
<file path=[Content_Types].xml><?xml version="1.0" encoding="utf-8"?>
<Types xmlns="http://schemas.openxmlformats.org/package/2006/content-types">
  <Default ContentType="application/vnd.openxmlformats-officedocument.spreadsheetml.printerSettings" Extension="bin"/>
  <Default ContentType="image/x-emf" Extension="emf"/>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ms-office.activeX" PartName="/xl/activeX/activeX1.bin"/>
  <Override ContentType="application/vnd.ms-office.activeX+xml" PartName="/xl/activeX/activeX1.xml"/>
  <Override ContentType="application/vnd.openxmlformats-officedocument.spreadsheetml.calcChain+xml" PartName="/xl/calcChain.xml"/>
  <Override ContentType="application/vnd.openxmlformats-officedocument.drawingml.chart+xml" PartName="/xl/charts/chart1.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openxmlformats-officedocument.spreadsheetml.comments+xml" PartName="/xl/comments4.xml"/>
  <Override ContentType="application/vnd.openxmlformats-officedocument.spreadsheetml.comments+xml" PartName="/xl/comments5.xml"/>
  <Override ContentType="application/vnd.openxmlformats-officedocument.spreadsheetml.comments+xml" PartName="/xl/comments6.xml"/>
  <Override ContentType="application/vnd.openxmlformats-officedocument.spreadsheetml.comments+xml" PartName="/xl/comments7.xml"/>
  <Override ContentType="application/vnd.openxmlformats-officedocument.spreadsheetml.comments+xml" PartName="/xl/comments8.xml"/>
  <Override ContentType="application/vnd.openxmlformats-officedocument.spreadsheetml.comments+xml" PartName="/xl/comments9.xml"/>
  <Override ContentType="application/vnd.openxmlformats-officedocument.spreadsheetml.comments+xml" PartName="/xl/comments10.xml"/>
  <Override ContentType="application/vnd.openxmlformats-officedocument.spreadsheetml.comments+xml" PartName="/xl/comments11.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ms-excel.controlproperties+xml" PartName="/xl/ctrlProps/ctrlProp14.xml"/>
  <Override ContentType="application/vnd.ms-excel.controlproperties+xml" PartName="/xl/ctrlProps/ctrlProp15.xml"/>
  <Override ContentType="application/vnd.ms-excel.controlproperties+xml" PartName="/xl/ctrlProps/ctrlProp16.xml"/>
  <Override ContentType="application/vnd.ms-excel.controlproperties+xml" PartName="/xl/ctrlProps/ctrlProp17.xml"/>
  <Override ContentType="application/vnd.ms-excel.controlproperties+xml" PartName="/xl/ctrlProps/ctrlProp18.xml"/>
  <Override ContentType="application/vnd.ms-excel.controlproperties+xml" PartName="/xl/ctrlProps/ctrlProp19.xml"/>
  <Override ContentType="application/vnd.ms-excel.controlproperties+xml" PartName="/xl/ctrlProps/ctrlProp20.xml"/>
  <Override ContentType="application/vnd.ms-excel.controlproperties+xml" PartName="/xl/ctrlProps/ctrlProp21.xml"/>
  <Override ContentType="application/vnd.ms-excel.controlproperties+xml" PartName="/xl/ctrlProps/ctrlProp22.xml"/>
  <Override ContentType="application/vnd.ms-excel.controlproperties+xml" PartName="/xl/ctrlProps/ctrlProp23.xml"/>
  <Override ContentType="application/vnd.ms-excel.controlproperties+xml" PartName="/xl/ctrlProps/ctrlProp24.xml"/>
  <Override ContentType="application/vnd.ms-excel.controlproperties+xml" PartName="/xl/ctrlProps/ctrlProp25.xml"/>
  <Override ContentType="application/vnd.ms-excel.controlproperties+xml" PartName="/xl/ctrlProps/ctrlProp26.xml"/>
  <Override ContentType="application/vnd.ms-excel.controlproperties+xml" PartName="/xl/ctrlProps/ctrlProp27.xml"/>
  <Override ContentType="application/vnd.ms-excel.controlproperties+xml" PartName="/xl/ctrlProps/ctrlProp28.xml"/>
  <Override ContentType="application/vnd.ms-excel.controlproperties+xml" PartName="/xl/ctrlProps/ctrlProp29.xml"/>
  <Override ContentType="application/vnd.ms-excel.controlproperties+xml" PartName="/xl/ctrlProps/ctrlProp30.xml"/>
  <Override ContentType="application/vnd.ms-excel.controlproperties+xml" PartName="/xl/ctrlProps/ctrlProp31.xml"/>
  <Override ContentType="application/vnd.ms-excel.controlproperties+xml" PartName="/xl/ctrlProps/ctrlProp32.xml"/>
  <Override ContentType="application/vnd.ms-excel.controlproperties+xml" PartName="/xl/ctrlProps/ctrlProp33.xml"/>
  <Override ContentType="application/vnd.ms-excel.controlproperties+xml" PartName="/xl/ctrlProps/ctrlProp34.xml"/>
  <Override ContentType="application/vnd.ms-excel.controlproperties+xml" PartName="/xl/ctrlProps/ctrlProp35.xml"/>
  <Override ContentType="application/vnd.ms-excel.controlproperties+xml" PartName="/xl/ctrlProps/ctrlProp36.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ml.chartshapes+xml" PartName="/xl/drawings/drawing23.xml"/>
  <Override ContentType="application/vnd.openxmlformats-officedocument.oleObject" PartName="/xl/embeddings/oleObject1.bin"/>
  <Override ContentType="application/vnd.openxmlformats-officedocument.spreadsheetml.externalLink+xml" PartName="/xl/externalLinks/externalLink1.xml"/>
  <Override ContentType="application/vnd.ms-excel.person+xml" PartName="/xl/persons/perso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table+xml" PartName="/xl/tables/table3.xml"/>
  <Override ContentType="application/vnd.openxmlformats-officedocument.theme+xml" PartName="/xl/theme/theme1.xml"/>
  <Override ContentType="application/vnd.ms-excel.threadedcomments+xml" PartName="/xl/threadedComments/threadedComment1.xml"/>
  <Override ContentType="application/vnd.ms-office.vbaProject" PartName="/xl/vbaProject.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codeName="{28389E77-7640-9E18-AD5C-E98E2F4A8B83}"/>
  <workbookPr showInkAnnotation="0" codeName="ThisWorkbook"/>
  <mc:AlternateContent xmlns:mc="http://schemas.openxmlformats.org/markup-compatibility/2006">
    <mc:Choice Requires="x15">
      <x15ac:absPath xmlns:x15ac="http://schemas.microsoft.com/office/spreadsheetml/2010/11/ac" url="https://ing-my.sharepoint.com/personal/maciej_kras_ing_com/Documents/Desktop/kalk pośrednik od 30.06/"/>
    </mc:Choice>
  </mc:AlternateContent>
  <xr:revisionPtr revIDLastSave="21" documentId="8_{83E4EE51-ED65-4F9D-AE8F-3F1879DF7E52}" xr6:coauthVersionLast="47" xr6:coauthVersionMax="47" xr10:uidLastSave="{12316397-9632-4D2A-922B-C3B5490310E5}"/>
  <bookViews>
    <workbookView xWindow="12345" yWindow="-16320" windowWidth="29040" windowHeight="15720" tabRatio="824" xr2:uid="{00000000-000D-0000-FFFF-FFFF00000000}"/>
  </bookViews>
  <sheets>
    <sheet name="WERSJA2" sheetId="4" r:id="rId1"/>
    <sheet name="Arkusz1" sheetId="59" state="hidden" r:id="rId2"/>
    <sheet name="POZYCZKA_DANE" sheetId="48" state="hidden" r:id="rId3"/>
    <sheet name="DOD1" sheetId="5" state="hidden" r:id="rId4"/>
    <sheet name="DODZ" sheetId="6" state="hidden" r:id="rId5"/>
    <sheet name="OPROCENTOWANIE" sheetId="49" state="hidden" r:id="rId6"/>
    <sheet name="Korzyści Bezp Poż Gold Plus" sheetId="40" state="hidden" r:id="rId7"/>
    <sheet name="Korzyści Bezp Poż Silver_Plus" sheetId="39" state="hidden" r:id="rId8"/>
    <sheet name="Korzyści Pakiet Srebrny" sheetId="58" state="hidden" r:id="rId9"/>
    <sheet name="Korzyści Pakiet Złoty" sheetId="57" state="hidden" r:id="rId10"/>
    <sheet name="wskaz" sheetId="7" state="hidden" r:id="rId11"/>
    <sheet name="Miesieczne Obciazenia" sheetId="10" state="hidden" r:id="rId12"/>
    <sheet name="zdolnosc_dane" sheetId="47" state="hidden" r:id="rId13"/>
    <sheet name="TestyOfert" sheetId="28" state="hidden" r:id="rId14"/>
    <sheet name="RATY_OE" sheetId="29" state="hidden" r:id="rId15"/>
    <sheet name="HARMONOGRAM" sheetId="26" state="hidden" r:id="rId16"/>
    <sheet name="WzoryZalozenia" sheetId="31" state="hidden" r:id="rId17"/>
    <sheet name="DccOfertownik" sheetId="33" state="hidden" r:id="rId18"/>
    <sheet name="PreOfertownik" sheetId="32" state="hidden" r:id="rId19"/>
    <sheet name="F_SKROCONY" sheetId="25" state="hidden" r:id="rId20"/>
    <sheet name="Raty_RRSO_kred" sheetId="50" state="hidden" r:id="rId21"/>
    <sheet name="Raty_RRSO" sheetId="17" state="hidden" r:id="rId22"/>
    <sheet name="Raty_RRSO (+3)" sheetId="43" state="hidden" r:id="rId23"/>
    <sheet name="Raty_RRSO (+4)" sheetId="51" state="hidden" r:id="rId24"/>
    <sheet name="Raty_RRSO (+różnica)" sheetId="52" state="hidden" r:id="rId25"/>
    <sheet name="Raty_RRSO (+5)" sheetId="44" state="hidden" r:id="rId26"/>
    <sheet name="Raty_RRSO (+10)" sheetId="45" state="hidden" r:id="rId27"/>
    <sheet name="Raty_RRSO (+15)" sheetId="46" state="hidden" r:id="rId28"/>
    <sheet name="FORMULARZ" sheetId="23" state="hidden" r:id="rId29"/>
    <sheet name="FORM WYDRUK" sheetId="56" state="hidden" r:id="rId30"/>
    <sheet name="FORMULARZ (2)" sheetId="38" state="hidden" r:id="rId31"/>
    <sheet name="cwiczenia" sheetId="21" state="hidden" r:id="rId32"/>
    <sheet name="WIZUALIZACJA" sheetId="36" state="hidden" r:id="rId33"/>
    <sheet name="testowy" sheetId="37" state="hidden" r:id="rId34"/>
    <sheet name="pomocniczy" sheetId="41" state="hidden" r:id="rId35"/>
  </sheets>
  <functionGroups builtInGroupCount="19"/>
  <externalReferences>
    <externalReference r:id="rId36"/>
  </externalReferences>
  <definedNames>
    <definedName name="_xlnm._FilterDatabase" localSheetId="3" hidden="1">'DOD1'!$A$9:$X$67</definedName>
    <definedName name="_xlnm._FilterDatabase" localSheetId="4" hidden="1">DODZ!$A$14:$V$66</definedName>
    <definedName name="_NrRaty" localSheetId="14">ROW()-RATY_OE!_NrWiersza0</definedName>
    <definedName name="_NrWiersza0" localSheetId="14">ROW(RATY_OE!$30:$30)</definedName>
    <definedName name="adres_siedziby_posrednika">WERSJA2!$D$33</definedName>
    <definedName name="AktywnyW">1</definedName>
    <definedName name="aktywnyW123">6</definedName>
    <definedName name="AktywnyWiersz">31</definedName>
    <definedName name="APLIKACJA">WERSJA2!$D$3</definedName>
    <definedName name="aplikacja123">[1]WERSJA2!$D$3</definedName>
    <definedName name="bufor">zdolnosc_dane!$B$8</definedName>
    <definedName name="check" localSheetId="23">'DOD1'!#REF!</definedName>
    <definedName name="check" localSheetId="24">'DOD1'!#REF!</definedName>
    <definedName name="check">'DOD1'!#REF!</definedName>
    <definedName name="CzyKredytowanaProwizja" localSheetId="19">IF(WERSJA2!$D$10="TAK",1,0)</definedName>
    <definedName name="CzyKredytowaneUbezpiecz" localSheetId="19">IF(WERSJA2!$D$12="TAK",1,0)</definedName>
    <definedName name="DccStatusKli" localSheetId="30">W2K3</definedName>
    <definedName name="DccStatusKli" localSheetId="26">W2K3</definedName>
    <definedName name="DccStatusKli" localSheetId="27">W2K3</definedName>
    <definedName name="DccStatusKli" localSheetId="22">W2K3</definedName>
    <definedName name="DccStatusKli" localSheetId="23">W2K3</definedName>
    <definedName name="DccStatusKli" localSheetId="25">W2K3</definedName>
    <definedName name="DccStatusKli" localSheetId="24">W2K3</definedName>
    <definedName name="DccStatusKli" localSheetId="20">W2K3</definedName>
    <definedName name="DccStatusKli">W2K3</definedName>
    <definedName name="DccStatusKliUproszcz">DccOfertownik!$N$9</definedName>
    <definedName name="dochod_netto">'Miesieczne Obciazenia'!$E$5</definedName>
    <definedName name="DODZ">18</definedName>
    <definedName name="DzNietySpl" localSheetId="14">RATY_OE!$B$11</definedName>
    <definedName name="FKredytowanaProwizja" localSheetId="28">FORMULARZ!$I$4</definedName>
    <definedName name="FKredytowanaProwizja" localSheetId="30">'FORMULARZ (2)'!$I$4</definedName>
    <definedName name="FKredytowanaProwizja">#REF!</definedName>
    <definedName name="FKredytowanaProwizja_Wsp" localSheetId="28">IF(FORMULARZ!FKredytowanaProwizja="TAK",1,0)</definedName>
    <definedName name="FKredytowanaProwizja_Wsp" localSheetId="30">IF('FORMULARZ (2)'!FKredytowanaProwizja="TAK",1,0)</definedName>
    <definedName name="FKredytowaneSkladowe" localSheetId="28">FORMULARZ!$I$6</definedName>
    <definedName name="FKredytowaneSkladowe" localSheetId="30">'FORMULARZ (2)'!$I$6</definedName>
    <definedName name="FkredytowaneUbezpiecz" localSheetId="28">FORMULARZ!$I$5</definedName>
    <definedName name="FkredytowaneUbezpiecz" localSheetId="30">'FORMULARZ (2)'!$I$5</definedName>
    <definedName name="FkredytowaneUbezpiecz">#REF!</definedName>
    <definedName name="FkredytowaneUbezpiecz_Wsp" localSheetId="28">IF(FORMULARZ!FkredytowaneUbezpiecz="TAK",1,0)</definedName>
    <definedName name="FkredytowaneUbezpiecz_Wsp" localSheetId="30">IF('FORMULARZ (2)'!FkredytowaneUbezpiecz="TAK",1,0)</definedName>
    <definedName name="FRodzajPlacowki" localSheetId="29">'FORM WYDRUK'!$C$2</definedName>
    <definedName name="FRodzajPlacowki" localSheetId="28">FORMULARZ!$C$2</definedName>
    <definedName name="FRodzajPlacowki" localSheetId="30">'FORMULARZ (2)'!$C$2</definedName>
    <definedName name="FUWierszWymUbezp" localSheetId="28">ROW(FORMULARZ!XFB1048576)</definedName>
    <definedName name="FUWierszWymUbezp" localSheetId="30">ROW('FORMULARZ (2)'!XFB1048576)</definedName>
    <definedName name="FWartOproc" localSheetId="19">FORMULARZ!$I$3</definedName>
    <definedName name="FWartOproc" localSheetId="30">'FORMULARZ (2)'!$I$3</definedName>
    <definedName name="FWartOproc">FORMULARZ!$I$3</definedName>
    <definedName name="FWartRRSO" localSheetId="30">'FORMULARZ (2)'!$I$8</definedName>
    <definedName name="FWartRRSO">FORMULARZ!$I$8</definedName>
    <definedName name="FWymagZabezpiecz" localSheetId="28">FORMULARZ!$I$7</definedName>
    <definedName name="FWymagZabezpiecz" localSheetId="30">'FORMULARZ (2)'!$I$7</definedName>
    <definedName name="ilosc_osob">'Miesieczne Obciazenia'!$E$6</definedName>
    <definedName name="inne_obciazenia_o">'Miesieczne Obciazenia'!$E$56</definedName>
    <definedName name="KlientWnioskuje">IF(WERSJA2!$B$15="Kwota Na Rękę","KNaReke","Knetto")</definedName>
    <definedName name="kredyty_krajowe">'Miesieczne Obciazenia'!$E$13</definedName>
    <definedName name="kredyty_obce">'Miesieczne Obciazenia'!$E$27</definedName>
    <definedName name="KwBrutto">WERSJA2!$J$15</definedName>
    <definedName name="KwNaReke">WERSJA2!$D$15</definedName>
    <definedName name="KwPoz">WERSJA2!$D$16</definedName>
    <definedName name="L_RAT_DlaWnioskProd">'DOD1'!$V$8</definedName>
    <definedName name="LiczDniDo1RatyMAX" localSheetId="14">RATY_OE!$I$3</definedName>
    <definedName name="LiczDniDo1RatyMIN" localSheetId="14">RATY_OE!$I$2</definedName>
    <definedName name="limity">'Miesieczne Obciazenia'!$E$41</definedName>
    <definedName name="Lr">WERSJA2!$D$13</definedName>
    <definedName name="LRat">RATY_OE!$B$8</definedName>
    <definedName name="MAX_" localSheetId="26">'Raty_RRSO (+10)'!$G$1</definedName>
    <definedName name="MAX_" localSheetId="27">'Raty_RRSO (+15)'!$G$1</definedName>
    <definedName name="MAX_" localSheetId="22">'Raty_RRSO (+3)'!$G$1</definedName>
    <definedName name="MAX_" localSheetId="23">'Raty_RRSO (+4)'!$G$1</definedName>
    <definedName name="MAX_" localSheetId="25">'Raty_RRSO (+5)'!$G$1</definedName>
    <definedName name="MAX_" localSheetId="24">'Raty_RRSO (+różnica)'!$G$1</definedName>
    <definedName name="MAX_" localSheetId="20">Raty_RRSO_kred!$G$1</definedName>
    <definedName name="MAX_">Raty_RRSO!$G$1</definedName>
    <definedName name="max_kwota_oferty">zdolnosc_dane!$B$13</definedName>
    <definedName name="MIN" localSheetId="19">Raty_RRSO!$I$1</definedName>
    <definedName name="MIN" localSheetId="26">'Raty_RRSO (+10)'!$I$1</definedName>
    <definedName name="MIN" localSheetId="27">'Raty_RRSO (+15)'!$I$1</definedName>
    <definedName name="MIN" localSheetId="22">'Raty_RRSO (+3)'!$I$1</definedName>
    <definedName name="MIN" localSheetId="23">'Raty_RRSO (+4)'!$I$1</definedName>
    <definedName name="MIN" localSheetId="25">'Raty_RRSO (+5)'!$I$1</definedName>
    <definedName name="MIN" localSheetId="24">'Raty_RRSO (+różnica)'!$I$1</definedName>
    <definedName name="MIN" localSheetId="20">Raty_RRSO_kred!$I$1</definedName>
    <definedName name="MIN">Raty_RRSO!$I$1</definedName>
    <definedName name="nazwa_posrednika">WERSJA2!$D$32</definedName>
    <definedName name="_xlnm.Print_Area" localSheetId="29">'FORM WYDRUK'!$A$3:$B$175</definedName>
    <definedName name="_xlnm.Print_Area" localSheetId="28">FORMULARZ!$C$14:$D$142</definedName>
    <definedName name="_xlnm.Print_Area" localSheetId="30">'FORMULARZ (2)'!$C$14:$D$141</definedName>
    <definedName name="_xlnm.Print_Area" localSheetId="15">HARMONOGRAM!$A$5:$G$145</definedName>
    <definedName name="_xlnm.Print_Area" localSheetId="21">Raty_RRSO!$A$8:$H$70</definedName>
    <definedName name="_xlnm.Print_Area" localSheetId="26">'Raty_RRSO (+10)'!$A$8:$H$70</definedName>
    <definedName name="_xlnm.Print_Area" localSheetId="27">'Raty_RRSO (+15)'!$A$8:$H$70</definedName>
    <definedName name="_xlnm.Print_Area" localSheetId="22">'Raty_RRSO (+3)'!$A$8:$H$70</definedName>
    <definedName name="_xlnm.Print_Area" localSheetId="23">'Raty_RRSO (+4)'!$A$8:$H$70</definedName>
    <definedName name="_xlnm.Print_Area" localSheetId="25">'Raty_RRSO (+5)'!$A$8:$H$70</definedName>
    <definedName name="_xlnm.Print_Area" localSheetId="24">'Raty_RRSO (+różnica)'!$A$8:$H$70</definedName>
    <definedName name="_xlnm.Print_Area" localSheetId="20">Raty_RRSO_kred!$A$8:$H$70</definedName>
    <definedName name="OE_oproc">RATY_OE!$B$20</definedName>
    <definedName name="OE_RP_raty">RATY_OE!$I$6</definedName>
    <definedName name="OE_RP_rrso">RATY_OE!$I$7</definedName>
    <definedName name="OE_wynikRRSO">RATY_OE!$AI$25</definedName>
    <definedName name="OEaktywnywiersz">5</definedName>
    <definedName name="Op">zdolnosc_dane!$B$9</definedName>
    <definedName name="PLATNOSC_UBEZPIECZ">RATY_OE!$D$16</definedName>
    <definedName name="PMT_">RATY_OE!$W$30</definedName>
    <definedName name="pot_brutto">wskaz!$K$2</definedName>
    <definedName name="pot_netto">wskaz!$K$1</definedName>
    <definedName name="potencjal_kred">zdolnosc_dane!$B$10</definedName>
    <definedName name="poz_brutto" localSheetId="30">wskaz!#REF!</definedName>
    <definedName name="poz_brutto" localSheetId="26">wskaz!#REF!</definedName>
    <definedName name="poz_brutto" localSheetId="27">wskaz!#REF!</definedName>
    <definedName name="poz_brutto" localSheetId="22">wskaz!#REF!</definedName>
    <definedName name="poz_brutto" localSheetId="23">wskaz!#REF!</definedName>
    <definedName name="poz_brutto" localSheetId="25">wskaz!#REF!</definedName>
    <definedName name="poz_brutto" localSheetId="24">wskaz!#REF!</definedName>
    <definedName name="poz_netto" localSheetId="30">wskaz!#REF!</definedName>
    <definedName name="poz_netto" localSheetId="26">wskaz!#REF!</definedName>
    <definedName name="poz_netto" localSheetId="27">wskaz!#REF!</definedName>
    <definedName name="poz_netto" localSheetId="22">wskaz!#REF!</definedName>
    <definedName name="poz_netto" localSheetId="23">wskaz!#REF!</definedName>
    <definedName name="poz_netto" localSheetId="25">wskaz!#REF!</definedName>
    <definedName name="poz_netto" localSheetId="24">wskaz!#REF!</definedName>
    <definedName name="PreStatusKli">PreOfertownik!$C$2</definedName>
    <definedName name="PreStatusKliUproszcz">PreOfertownik!$M$8</definedName>
    <definedName name="printarea">'FORM WYDRUK'!$A$3:$B$175</definedName>
    <definedName name="prowizja_kredytowana">WERSJA2!$D$14</definedName>
    <definedName name="RodzUbezp">WERSJA2!$D$5</definedName>
    <definedName name="solver_adj" localSheetId="0" hidden="1">WERSJA2!$D$15</definedName>
    <definedName name="solver_cvg" localSheetId="0" hidden="1">0.0001</definedName>
    <definedName name="solver_drv" localSheetId="0" hidden="1">1</definedName>
    <definedName name="solver_eng" localSheetId="3" hidden="1">1</definedName>
    <definedName name="solver_eng" localSheetId="2" hidden="1">1</definedName>
    <definedName name="solver_eng" localSheetId="0" hidden="1">3</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3" hidden="1">1</definedName>
    <definedName name="solver_neg" localSheetId="2" hidden="1">1</definedName>
    <definedName name="solver_neg" localSheetId="0" hidden="1">1</definedName>
    <definedName name="solver_nod" localSheetId="0" hidden="1">2147483647</definedName>
    <definedName name="solver_num" localSheetId="3" hidden="1">0</definedName>
    <definedName name="solver_num" localSheetId="2" hidden="1">0</definedName>
    <definedName name="solver_num" localSheetId="0" hidden="1">0</definedName>
    <definedName name="solver_nwt" localSheetId="0" hidden="1">1</definedName>
    <definedName name="solver_opt" localSheetId="3" hidden="1">'DOD1'!#REF!</definedName>
    <definedName name="solver_opt" localSheetId="2" hidden="1">POZYCZKA_DANE!$C$4</definedName>
    <definedName name="solver_opt" localSheetId="0" hidden="1">WERSJA2!$K$4</definedName>
    <definedName name="solver_pre" localSheetId="0" hidden="1">0.000001</definedName>
    <definedName name="solver_rbv" localSheetId="0" hidden="1">2</definedName>
    <definedName name="solver_rlx" localSheetId="0" hidden="1">2</definedName>
    <definedName name="solver_rsd" localSheetId="0" hidden="1">0</definedName>
    <definedName name="solver_scl" localSheetId="0" hidden="1">2</definedName>
    <definedName name="solver_sho" localSheetId="0" hidden="1">2</definedName>
    <definedName name="solver_ssz" localSheetId="0" hidden="1">0</definedName>
    <definedName name="solver_tim" localSheetId="0" hidden="1">2147483647</definedName>
    <definedName name="solver_tol" localSheetId="0" hidden="1">0.01</definedName>
    <definedName name="solver_typ" localSheetId="3" hidden="1">3</definedName>
    <definedName name="solver_typ" localSheetId="2" hidden="1">2</definedName>
    <definedName name="solver_typ" localSheetId="0" hidden="1">3</definedName>
    <definedName name="solver_val" localSheetId="3" hidden="1">0.02</definedName>
    <definedName name="solver_val" localSheetId="2" hidden="1">0</definedName>
    <definedName name="solver_val" localSheetId="0" hidden="1">0.02</definedName>
    <definedName name="solver_ver" localSheetId="3" hidden="1">3</definedName>
    <definedName name="solver_ver" localSheetId="2" hidden="1">3</definedName>
    <definedName name="solver_ver" localSheetId="0" hidden="1">3</definedName>
    <definedName name="SOWK_wynikRRSO">RATY_OE!$BG$25</definedName>
    <definedName name="suma_kredyty_krajowe">'Miesieczne Obciazenia'!$E$25</definedName>
    <definedName name="suma_kredyty_obce">'Miesieczne Obciazenia'!$E$39</definedName>
    <definedName name="suma_limity">'Miesieczne Obciazenia'!$E$53</definedName>
    <definedName name="suma_zobowiazan_w">'Miesieczne Obciazenia'!$E$11</definedName>
    <definedName name="WDochNETTO">WERSJA2!$D$24</definedName>
    <definedName name="Wgd" localSheetId="19">WERSJA2!$D$29</definedName>
    <definedName name="Wgd">WERSJA2!$D$29</definedName>
    <definedName name="WskazZdolnosc">wskaz!$J$7</definedName>
    <definedName name="WSP_TN_Ujednor">IF(OR(RodzUbezp="SILVER", RodzUbezp="GOLD"),0,1)</definedName>
    <definedName name="WSP_TNkrP">IF(WERSJA2!$D$10="TAK",1,0)</definedName>
    <definedName name="WSP_TNkrU">IF(WERSJA2!$D$12="TAK",1,0)</definedName>
    <definedName name="wsp_ubezp_wybranejOfe">'DOD1'!$N$8</definedName>
    <definedName name="wydatki_gospodarstwa">'Miesieczne Obciazenia'!$E$7</definedName>
    <definedName name="Zdolnosc_2zl">DccOfertownik!$AF$8</definedName>
    <definedName name="zdolnosc_kredytowa">'Miesieczne Obciazenia'!$E$8</definedName>
    <definedName name="ZK">zdolnosc_dane!$A$5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 i="47" l="1"/>
  <c r="R7" i="47"/>
  <c r="D19" i="49"/>
  <c r="F19" i="49" s="1"/>
  <c r="G19" i="49"/>
  <c r="D12" i="49"/>
  <c r="I11" i="49"/>
  <c r="D14" i="49"/>
  <c r="D13" i="49"/>
  <c r="I12" i="49"/>
  <c r="E11" i="49" l="1"/>
  <c r="E10" i="49"/>
  <c r="E9" i="49"/>
  <c r="E8" i="49"/>
  <c r="E7" i="49"/>
  <c r="E6" i="49"/>
  <c r="I10" i="49" l="1"/>
  <c r="I1" i="49" s="1"/>
  <c r="D16" i="4" l="1"/>
  <c r="I2" i="49" l="1"/>
  <c r="D18" i="4"/>
  <c r="D12" i="4"/>
  <c r="I6" i="49" l="1"/>
  <c r="F6" i="49" l="1"/>
  <c r="D552" i="23"/>
  <c r="D555" i="23" l="1"/>
  <c r="B152" i="56"/>
  <c r="B25" i="56"/>
  <c r="B19" i="56"/>
  <c r="B141" i="56" l="1"/>
  <c r="B4" i="47" l="1"/>
  <c r="C3" i="47"/>
  <c r="K6" i="49" l="1"/>
  <c r="C4" i="47" l="1"/>
  <c r="E48" i="10" l="1"/>
  <c r="E49" i="10"/>
  <c r="E50" i="10"/>
  <c r="E51" i="10"/>
  <c r="E52" i="10"/>
  <c r="E47" i="10"/>
  <c r="E46" i="10"/>
  <c r="E45" i="10"/>
  <c r="E44" i="10"/>
  <c r="E43" i="10"/>
  <c r="G6" i="49" l="1"/>
  <c r="D52" i="23" l="1"/>
  <c r="G15" i="49" l="1"/>
  <c r="F15" i="49"/>
  <c r="F5" i="49" l="1"/>
  <c r="G18" i="49" l="1"/>
  <c r="F18" i="49"/>
  <c r="G5" i="49"/>
  <c r="J2" i="49" s="1"/>
  <c r="G3" i="49"/>
  <c r="F3" i="49"/>
  <c r="J1" i="49" l="1"/>
  <c r="J10" i="4" s="1"/>
  <c r="J15" i="4"/>
  <c r="B9" i="29" s="1"/>
  <c r="D19" i="4"/>
  <c r="B3" i="47" l="1"/>
  <c r="I13" i="23" l="1"/>
  <c r="D9" i="25" s="1"/>
  <c r="D9" i="57" l="1"/>
  <c r="D9" i="58"/>
  <c r="D17" i="58" l="1"/>
  <c r="B109" i="56" l="1"/>
  <c r="B107" i="56"/>
  <c r="B28" i="56" l="1"/>
  <c r="B23" i="56"/>
  <c r="B22" i="56"/>
  <c r="B21" i="56"/>
  <c r="B20" i="56" l="1"/>
  <c r="B17" i="56"/>
  <c r="A20" i="52" l="1"/>
  <c r="A18" i="52"/>
  <c r="A17" i="52"/>
  <c r="A16" i="52"/>
  <c r="A15" i="52"/>
  <c r="A14" i="52"/>
  <c r="A13" i="52"/>
  <c r="A12" i="52"/>
  <c r="A11" i="52"/>
  <c r="A10" i="52"/>
  <c r="A9" i="52"/>
  <c r="H8" i="52"/>
  <c r="A29" i="52" s="1"/>
  <c r="A8" i="52"/>
  <c r="A20" i="51"/>
  <c r="A18" i="51"/>
  <c r="A17" i="51"/>
  <c r="A16" i="51"/>
  <c r="A15" i="51"/>
  <c r="A14" i="51"/>
  <c r="A13" i="51"/>
  <c r="A12" i="51"/>
  <c r="A11" i="51"/>
  <c r="A10" i="51"/>
  <c r="A9" i="51"/>
  <c r="H8" i="51"/>
  <c r="A29" i="51" s="1"/>
  <c r="A8" i="51"/>
  <c r="E5" i="52" l="1"/>
  <c r="D10" i="52" l="1"/>
  <c r="C10" i="52"/>
  <c r="B2" i="52"/>
  <c r="C2" i="52" s="1"/>
  <c r="I7" i="52" s="1"/>
  <c r="E5" i="51"/>
  <c r="G5" i="51" l="1"/>
  <c r="F2" i="51" s="1"/>
  <c r="G5" i="52"/>
  <c r="M9" i="52"/>
  <c r="N9" i="52"/>
  <c r="Q9" i="52" s="1"/>
  <c r="D10" i="51"/>
  <c r="C10" i="51"/>
  <c r="B2" i="51"/>
  <c r="C2" i="51" s="1"/>
  <c r="I7" i="51" s="1"/>
  <c r="F4" i="51" l="1"/>
  <c r="F3" i="51"/>
  <c r="E2" i="51" s="1"/>
  <c r="G2" i="51" s="1"/>
  <c r="I2" i="51" s="1"/>
  <c r="F2" i="52"/>
  <c r="F5" i="52"/>
  <c r="F4" i="52"/>
  <c r="F3" i="52"/>
  <c r="F5" i="51"/>
  <c r="N9" i="51"/>
  <c r="Q9" i="51" s="1"/>
  <c r="M9" i="51"/>
  <c r="E3" i="51" l="1"/>
  <c r="G3" i="51" s="1"/>
  <c r="F1" i="51" s="1"/>
  <c r="E4" i="51"/>
  <c r="G4" i="51" s="1"/>
  <c r="I4" i="51" s="1"/>
  <c r="E1" i="51" s="1"/>
  <c r="E3" i="52"/>
  <c r="G3" i="52" s="1"/>
  <c r="E2" i="52"/>
  <c r="G2" i="52" s="1"/>
  <c r="E4" i="52"/>
  <c r="G4" i="52" s="1"/>
  <c r="D111" i="23"/>
  <c r="H221" i="23"/>
  <c r="D68" i="23"/>
  <c r="F521" i="23"/>
  <c r="D521" i="23" l="1"/>
  <c r="D524" i="23"/>
  <c r="B1" i="51"/>
  <c r="C11" i="51" s="1"/>
  <c r="F1" i="52"/>
  <c r="I2" i="52"/>
  <c r="I4" i="52"/>
  <c r="B1" i="52"/>
  <c r="D11" i="51" l="1"/>
  <c r="H5" i="51" s="1"/>
  <c r="E1" i="52"/>
  <c r="D11" i="52"/>
  <c r="C11" i="52"/>
  <c r="N11" i="51" l="1"/>
  <c r="N10" i="51" s="1"/>
  <c r="Q10" i="51" s="1"/>
  <c r="N11" i="52"/>
  <c r="H5" i="52"/>
  <c r="Y30" i="29"/>
  <c r="G15" i="4"/>
  <c r="M10" i="51" l="1"/>
  <c r="M10" i="52"/>
  <c r="N10" i="52"/>
  <c r="Q10" i="52" s="1"/>
  <c r="D11" i="5"/>
  <c r="D12" i="5"/>
  <c r="D13" i="5"/>
  <c r="A11" i="5"/>
  <c r="N11" i="5" s="1"/>
  <c r="A12" i="5"/>
  <c r="N12" i="5" s="1"/>
  <c r="A13" i="5"/>
  <c r="N13" i="5" s="1"/>
  <c r="A10" i="5"/>
  <c r="N10" i="5" s="1"/>
  <c r="E4" i="5"/>
  <c r="D10" i="5"/>
  <c r="C11" i="5"/>
  <c r="C12" i="5"/>
  <c r="C13" i="5"/>
  <c r="C10" i="5"/>
  <c r="F13" i="5" l="1"/>
  <c r="F12" i="5"/>
  <c r="F11" i="5"/>
  <c r="F10" i="5"/>
  <c r="A20" i="50" l="1"/>
  <c r="A18" i="50"/>
  <c r="A17" i="50"/>
  <c r="A16" i="50"/>
  <c r="A15" i="50"/>
  <c r="A14" i="50"/>
  <c r="A13" i="50"/>
  <c r="A12" i="50"/>
  <c r="A11" i="50"/>
  <c r="A10" i="50"/>
  <c r="A9" i="50"/>
  <c r="H8" i="50"/>
  <c r="A29" i="50" s="1"/>
  <c r="A8" i="50"/>
  <c r="G5" i="50" l="1"/>
  <c r="E5" i="50"/>
  <c r="F7" i="26"/>
  <c r="C8" i="26"/>
  <c r="F2" i="50" l="1"/>
  <c r="D10" i="50"/>
  <c r="B2" i="50"/>
  <c r="C2" i="50" s="1"/>
  <c r="I7" i="50" s="1"/>
  <c r="C10" i="50"/>
  <c r="F5" i="50"/>
  <c r="F3" i="50"/>
  <c r="F4" i="50"/>
  <c r="F10" i="26"/>
  <c r="E4" i="50" l="1"/>
  <c r="G4" i="50" s="1"/>
  <c r="I4" i="50" s="1"/>
  <c r="E3" i="50"/>
  <c r="G3" i="50" s="1"/>
  <c r="M9" i="50"/>
  <c r="N9" i="50"/>
  <c r="Q9" i="50" s="1"/>
  <c r="E2" i="50"/>
  <c r="G2" i="50" s="1"/>
  <c r="D43" i="23"/>
  <c r="D41" i="23"/>
  <c r="D40" i="23"/>
  <c r="D9" i="23"/>
  <c r="B1" i="50" l="1"/>
  <c r="D11" i="50" s="1"/>
  <c r="F1" i="50"/>
  <c r="I2" i="50"/>
  <c r="E1" i="50" s="1"/>
  <c r="D119" i="23"/>
  <c r="C11" i="50" l="1"/>
  <c r="N11" i="50"/>
  <c r="H5" i="50"/>
  <c r="M10" i="50" l="1"/>
  <c r="N10" i="50"/>
  <c r="Q10" i="50" s="1"/>
  <c r="D504" i="23" l="1"/>
  <c r="E53" i="10" l="1"/>
  <c r="E39" i="10"/>
  <c r="B2" i="47" l="1"/>
  <c r="B5" i="47" l="1"/>
  <c r="A20" i="46"/>
  <c r="A18" i="46"/>
  <c r="A17" i="46"/>
  <c r="A16" i="46"/>
  <c r="A15" i="46"/>
  <c r="A14" i="46"/>
  <c r="A13" i="46"/>
  <c r="A12" i="46"/>
  <c r="A11" i="46"/>
  <c r="A10" i="46"/>
  <c r="A9" i="46"/>
  <c r="H8" i="46"/>
  <c r="A29" i="46" s="1"/>
  <c r="A8" i="46"/>
  <c r="A20" i="45"/>
  <c r="A18" i="45"/>
  <c r="A17" i="45"/>
  <c r="A16" i="45"/>
  <c r="A15" i="45"/>
  <c r="A14" i="45"/>
  <c r="A13" i="45"/>
  <c r="A12" i="45"/>
  <c r="A11" i="45"/>
  <c r="A10" i="45"/>
  <c r="A9" i="45"/>
  <c r="H8" i="45"/>
  <c r="A29" i="45" s="1"/>
  <c r="A8" i="45"/>
  <c r="A20" i="44"/>
  <c r="A18" i="44"/>
  <c r="A17" i="44"/>
  <c r="A16" i="44"/>
  <c r="A15" i="44"/>
  <c r="A14" i="44"/>
  <c r="A13" i="44"/>
  <c r="A12" i="44"/>
  <c r="A11" i="44"/>
  <c r="A10" i="44"/>
  <c r="A9" i="44"/>
  <c r="H8" i="44"/>
  <c r="A29" i="44" s="1"/>
  <c r="A8" i="44"/>
  <c r="A20" i="43"/>
  <c r="A18" i="43"/>
  <c r="A17" i="43"/>
  <c r="A16" i="43"/>
  <c r="A15" i="43"/>
  <c r="A14" i="43"/>
  <c r="A13" i="43"/>
  <c r="A12" i="43"/>
  <c r="A11" i="43"/>
  <c r="A10" i="43"/>
  <c r="A9" i="43"/>
  <c r="H8" i="43"/>
  <c r="A29" i="43" s="1"/>
  <c r="A8" i="43"/>
  <c r="G5" i="45"/>
  <c r="E5" i="46" l="1"/>
  <c r="G5" i="46"/>
  <c r="E5" i="45"/>
  <c r="E5" i="44"/>
  <c r="C10" i="44" s="1"/>
  <c r="G5" i="43"/>
  <c r="G5" i="44"/>
  <c r="E5" i="43"/>
  <c r="B2" i="44" l="1"/>
  <c r="C2" i="44" s="1"/>
  <c r="I7" i="44" s="1"/>
  <c r="F5" i="44"/>
  <c r="D10" i="44"/>
  <c r="M9" i="44" s="1"/>
  <c r="D10" i="46"/>
  <c r="F3" i="46"/>
  <c r="F2" i="46"/>
  <c r="F5" i="46"/>
  <c r="F4" i="46"/>
  <c r="C10" i="46"/>
  <c r="B2" i="46"/>
  <c r="C2" i="46" s="1"/>
  <c r="I7" i="46" s="1"/>
  <c r="F3" i="44"/>
  <c r="C10" i="45"/>
  <c r="F5" i="45"/>
  <c r="F4" i="45"/>
  <c r="B2" i="45"/>
  <c r="C2" i="45" s="1"/>
  <c r="I7" i="45" s="1"/>
  <c r="F2" i="45"/>
  <c r="D10" i="45"/>
  <c r="F3" i="45"/>
  <c r="F4" i="44"/>
  <c r="F2" i="43"/>
  <c r="F2" i="44"/>
  <c r="C10" i="43"/>
  <c r="F3" i="43"/>
  <c r="F5" i="43"/>
  <c r="D10" i="43"/>
  <c r="N9" i="43" s="1"/>
  <c r="Q9" i="43" s="1"/>
  <c r="F4" i="43"/>
  <c r="B2" i="43"/>
  <c r="C2" i="43" s="1"/>
  <c r="I7" i="43" s="1"/>
  <c r="E3" i="45" l="1"/>
  <c r="G3" i="45" s="1"/>
  <c r="N9" i="44"/>
  <c r="Q9" i="44" s="1"/>
  <c r="E3" i="46"/>
  <c r="G3" i="46" s="1"/>
  <c r="E4" i="45"/>
  <c r="G4" i="45" s="1"/>
  <c r="E2" i="46"/>
  <c r="G2" i="46" s="1"/>
  <c r="E4" i="46"/>
  <c r="G4" i="46" s="1"/>
  <c r="M9" i="46"/>
  <c r="N9" i="46"/>
  <c r="Q9" i="46" s="1"/>
  <c r="E2" i="43"/>
  <c r="G2" i="43" s="1"/>
  <c r="I2" i="43" s="1"/>
  <c r="E2" i="44"/>
  <c r="G2" i="44" s="1"/>
  <c r="I2" i="44" s="1"/>
  <c r="E3" i="44"/>
  <c r="G3" i="44" s="1"/>
  <c r="N9" i="45"/>
  <c r="Q9" i="45" s="1"/>
  <c r="M9" i="45"/>
  <c r="E4" i="44"/>
  <c r="G4" i="44" s="1"/>
  <c r="E2" i="45"/>
  <c r="G2" i="45" s="1"/>
  <c r="M9" i="43"/>
  <c r="E4" i="43"/>
  <c r="G4" i="43" s="1"/>
  <c r="I4" i="43" s="1"/>
  <c r="E3" i="43"/>
  <c r="G3" i="43" s="1"/>
  <c r="B1" i="45" l="1"/>
  <c r="C11" i="45" s="1"/>
  <c r="I4" i="45"/>
  <c r="F1" i="43"/>
  <c r="B1" i="44"/>
  <c r="D11" i="44" s="1"/>
  <c r="I4" i="46"/>
  <c r="B1" i="46"/>
  <c r="I2" i="46"/>
  <c r="F1" i="46"/>
  <c r="I4" i="44"/>
  <c r="E1" i="44" s="1"/>
  <c r="F1" i="44"/>
  <c r="I2" i="45"/>
  <c r="F1" i="45"/>
  <c r="B1" i="43"/>
  <c r="D11" i="43" s="1"/>
  <c r="E1" i="43"/>
  <c r="D11" i="45" l="1"/>
  <c r="H5" i="45" s="1"/>
  <c r="C11" i="44"/>
  <c r="E1" i="45"/>
  <c r="E1" i="46"/>
  <c r="D11" i="46"/>
  <c r="C11" i="46"/>
  <c r="N11" i="44"/>
  <c r="H5" i="44"/>
  <c r="C11" i="43"/>
  <c r="H5" i="43"/>
  <c r="N11" i="43"/>
  <c r="N11" i="45" l="1"/>
  <c r="N10" i="45" s="1"/>
  <c r="Q10" i="45" s="1"/>
  <c r="N11" i="46"/>
  <c r="H5" i="46"/>
  <c r="N10" i="44"/>
  <c r="Q10" i="44" s="1"/>
  <c r="M10" i="44"/>
  <c r="N10" i="43"/>
  <c r="Q10" i="43" s="1"/>
  <c r="M10" i="43"/>
  <c r="M10" i="45" l="1"/>
  <c r="M10" i="46"/>
  <c r="N10" i="46"/>
  <c r="Q10" i="46" s="1"/>
  <c r="E54" i="6"/>
  <c r="D54" i="6"/>
  <c r="B54" i="6"/>
  <c r="C54" i="6"/>
  <c r="L54" i="6" s="1"/>
  <c r="A54" i="6" l="1"/>
  <c r="F54" i="6"/>
  <c r="E53" i="6" l="1"/>
  <c r="D53" i="6"/>
  <c r="B53" i="6"/>
  <c r="C53" i="6"/>
  <c r="L53" i="6" s="1"/>
  <c r="A53" i="6" l="1"/>
  <c r="F53" i="6"/>
  <c r="A8" i="41" l="1"/>
  <c r="A7" i="41"/>
  <c r="AG17" i="32" l="1"/>
  <c r="D9" i="40" l="1"/>
  <c r="D18" i="39"/>
  <c r="D9" i="39"/>
  <c r="AS210" i="38" l="1"/>
  <c r="AR210" i="38"/>
  <c r="AQ210" i="38"/>
  <c r="AP210" i="38"/>
  <c r="AO210" i="38"/>
  <c r="AN210" i="38"/>
  <c r="AM210" i="38"/>
  <c r="AL210" i="38"/>
  <c r="AK210" i="38"/>
  <c r="AJ210" i="38"/>
  <c r="AI210" i="38"/>
  <c r="AH210" i="38"/>
  <c r="AG210" i="38"/>
  <c r="AF210" i="38"/>
  <c r="AE210" i="38"/>
  <c r="AD210" i="38"/>
  <c r="AC210" i="38"/>
  <c r="AB210" i="38"/>
  <c r="AA210" i="38"/>
  <c r="Z210" i="38"/>
  <c r="Y210" i="38"/>
  <c r="X210" i="38"/>
  <c r="W210" i="38"/>
  <c r="V210" i="38"/>
  <c r="U210" i="38"/>
  <c r="T210" i="38"/>
  <c r="S210" i="38"/>
  <c r="R210" i="38"/>
  <c r="Q210" i="38"/>
  <c r="P210" i="38"/>
  <c r="O210" i="38"/>
  <c r="N210" i="38"/>
  <c r="M210" i="38"/>
  <c r="L210" i="38"/>
  <c r="K210" i="38"/>
  <c r="J210" i="38"/>
  <c r="I210" i="38"/>
  <c r="H210" i="38"/>
  <c r="G210" i="38"/>
  <c r="F210" i="38"/>
  <c r="D210" i="38"/>
  <c r="AB19" i="33" l="1"/>
  <c r="AB20" i="33"/>
  <c r="AB21" i="33"/>
  <c r="AB22" i="33"/>
  <c r="AB23" i="33"/>
  <c r="AB24" i="33"/>
  <c r="C3" i="32" l="1"/>
  <c r="S12" i="32"/>
  <c r="S13" i="32"/>
  <c r="S14" i="32"/>
  <c r="S15" i="32"/>
  <c r="S16" i="32"/>
  <c r="S17" i="32"/>
  <c r="S18" i="32"/>
  <c r="S19" i="32"/>
  <c r="S20" i="32"/>
  <c r="S21" i="32"/>
  <c r="S22" i="32"/>
  <c r="S23" i="32"/>
  <c r="S11" i="32"/>
  <c r="D2" i="25" l="1"/>
  <c r="D110" i="38"/>
  <c r="E2" i="33" l="1"/>
  <c r="AS209" i="38" l="1"/>
  <c r="AR209" i="38"/>
  <c r="AQ209" i="38"/>
  <c r="AP209" i="38"/>
  <c r="AO209" i="38"/>
  <c r="AN209" i="38"/>
  <c r="AM209" i="38"/>
  <c r="AL209" i="38"/>
  <c r="AK209" i="38"/>
  <c r="AJ209" i="38"/>
  <c r="AI209" i="38"/>
  <c r="AH209" i="38"/>
  <c r="AG209" i="38"/>
  <c r="AF209" i="38"/>
  <c r="AE209" i="38"/>
  <c r="AD209" i="38"/>
  <c r="AC209" i="38"/>
  <c r="AB209" i="38"/>
  <c r="AA209" i="38"/>
  <c r="Z209" i="38"/>
  <c r="Y209" i="38"/>
  <c r="X209" i="38"/>
  <c r="W209" i="38"/>
  <c r="V209" i="38"/>
  <c r="U209" i="38"/>
  <c r="T209" i="38"/>
  <c r="S209" i="38"/>
  <c r="R209" i="38"/>
  <c r="Q209" i="38"/>
  <c r="P209" i="38"/>
  <c r="O209" i="38"/>
  <c r="N209" i="38"/>
  <c r="M209" i="38"/>
  <c r="L209" i="38"/>
  <c r="K209" i="38"/>
  <c r="J209" i="38"/>
  <c r="I209" i="38"/>
  <c r="H209" i="38"/>
  <c r="G209" i="38"/>
  <c r="F209" i="38"/>
  <c r="E209" i="38"/>
  <c r="D209" i="38"/>
  <c r="AS206" i="38"/>
  <c r="AR206" i="38"/>
  <c r="AQ206" i="38"/>
  <c r="AP206" i="38"/>
  <c r="AO206" i="38"/>
  <c r="AN206" i="38"/>
  <c r="AM206" i="38"/>
  <c r="AL206" i="38"/>
  <c r="AK206" i="38"/>
  <c r="AJ206" i="38"/>
  <c r="AI206" i="38"/>
  <c r="AH206" i="38"/>
  <c r="AG206" i="38"/>
  <c r="AF206" i="38"/>
  <c r="AE206" i="38"/>
  <c r="AD206" i="38"/>
  <c r="AC206" i="38"/>
  <c r="AB206" i="38"/>
  <c r="AA206" i="38"/>
  <c r="Z206" i="38"/>
  <c r="Y206" i="38"/>
  <c r="X206" i="38"/>
  <c r="W206" i="38"/>
  <c r="V206" i="38"/>
  <c r="U206" i="38"/>
  <c r="T206" i="38"/>
  <c r="S206" i="38"/>
  <c r="R206" i="38"/>
  <c r="Q206" i="38"/>
  <c r="P206" i="38"/>
  <c r="O206" i="38"/>
  <c r="N206" i="38"/>
  <c r="M206" i="38"/>
  <c r="L206" i="38"/>
  <c r="K206" i="38"/>
  <c r="J206" i="38"/>
  <c r="I206" i="38"/>
  <c r="H206" i="38"/>
  <c r="G206" i="38"/>
  <c r="F206" i="38"/>
  <c r="E206" i="38"/>
  <c r="D206" i="38"/>
  <c r="AS205" i="38"/>
  <c r="AR205" i="38"/>
  <c r="AQ205" i="38"/>
  <c r="AP205" i="38"/>
  <c r="AO205" i="38"/>
  <c r="AN205" i="38"/>
  <c r="AM205" i="38"/>
  <c r="AL205" i="38"/>
  <c r="AK205" i="38"/>
  <c r="AJ205" i="38"/>
  <c r="AI205" i="38"/>
  <c r="AH205" i="38"/>
  <c r="AG205" i="38"/>
  <c r="AF205" i="38"/>
  <c r="AE205" i="38"/>
  <c r="AD205" i="38"/>
  <c r="AC205" i="38"/>
  <c r="AB205" i="38"/>
  <c r="AA205" i="38"/>
  <c r="Z205" i="38"/>
  <c r="Y205" i="38"/>
  <c r="X205" i="38"/>
  <c r="W205" i="38"/>
  <c r="V205" i="38"/>
  <c r="U205" i="38"/>
  <c r="T205" i="38"/>
  <c r="S205" i="38"/>
  <c r="R205" i="38"/>
  <c r="Q205" i="38"/>
  <c r="P205" i="38"/>
  <c r="O205" i="38"/>
  <c r="N205" i="38"/>
  <c r="M205" i="38"/>
  <c r="L205" i="38"/>
  <c r="K205" i="38"/>
  <c r="J205" i="38"/>
  <c r="I205" i="38"/>
  <c r="H205" i="38"/>
  <c r="G205" i="38"/>
  <c r="F205" i="38"/>
  <c r="E205" i="38"/>
  <c r="D205" i="38"/>
  <c r="AS204" i="38"/>
  <c r="AR204" i="38"/>
  <c r="AQ204" i="38"/>
  <c r="AP204" i="38"/>
  <c r="AO204" i="38"/>
  <c r="AN204" i="38"/>
  <c r="AM204" i="38"/>
  <c r="AL204" i="38"/>
  <c r="AK204" i="38"/>
  <c r="AJ204" i="38"/>
  <c r="AI204" i="38"/>
  <c r="AH204" i="38"/>
  <c r="AG204" i="38"/>
  <c r="AF204" i="38"/>
  <c r="AE204" i="38"/>
  <c r="AD204" i="38"/>
  <c r="AC204" i="38"/>
  <c r="AB204" i="38"/>
  <c r="AA204" i="38"/>
  <c r="Z204" i="38"/>
  <c r="Y204" i="38"/>
  <c r="X204" i="38"/>
  <c r="W204" i="38"/>
  <c r="V204" i="38"/>
  <c r="U204" i="38"/>
  <c r="T204" i="38"/>
  <c r="S204" i="38"/>
  <c r="R204" i="38"/>
  <c r="Q204" i="38"/>
  <c r="P204" i="38"/>
  <c r="O204" i="38"/>
  <c r="N204" i="38"/>
  <c r="M204" i="38"/>
  <c r="L204" i="38"/>
  <c r="K204" i="38"/>
  <c r="J204" i="38"/>
  <c r="I204" i="38"/>
  <c r="H204" i="38"/>
  <c r="G204" i="38"/>
  <c r="F204" i="38"/>
  <c r="E204" i="38"/>
  <c r="D204" i="38"/>
  <c r="AS203" i="38"/>
  <c r="AR203" i="38"/>
  <c r="AQ203" i="38"/>
  <c r="AP203" i="38"/>
  <c r="AO203" i="38"/>
  <c r="AN203" i="38"/>
  <c r="AM203" i="38"/>
  <c r="AL203" i="38"/>
  <c r="AK203" i="38"/>
  <c r="AJ203" i="38"/>
  <c r="AI203" i="38"/>
  <c r="AH203" i="38"/>
  <c r="AG203" i="38"/>
  <c r="AF203" i="38"/>
  <c r="AE203" i="38"/>
  <c r="AD203" i="38"/>
  <c r="AC203" i="38"/>
  <c r="AB203" i="38"/>
  <c r="AA203" i="38"/>
  <c r="Z203" i="38"/>
  <c r="Y203" i="38"/>
  <c r="X203" i="38"/>
  <c r="W203" i="38"/>
  <c r="V203" i="38"/>
  <c r="U203" i="38"/>
  <c r="T203" i="38"/>
  <c r="S203" i="38"/>
  <c r="R203" i="38"/>
  <c r="Q203" i="38"/>
  <c r="P203" i="38"/>
  <c r="O203" i="38"/>
  <c r="N203" i="38"/>
  <c r="M203" i="38"/>
  <c r="L203" i="38"/>
  <c r="K203" i="38"/>
  <c r="J203" i="38"/>
  <c r="I203" i="38"/>
  <c r="H203" i="38"/>
  <c r="G203" i="38"/>
  <c r="F203" i="38"/>
  <c r="E203" i="38"/>
  <c r="D203" i="38"/>
  <c r="AE199" i="23" l="1"/>
  <c r="AF199" i="23"/>
  <c r="AG199" i="23"/>
  <c r="AH199" i="23"/>
  <c r="AI199" i="23"/>
  <c r="AI201" i="23" l="1"/>
  <c r="AI221" i="23"/>
  <c r="AI220" i="23"/>
  <c r="AH221" i="23"/>
  <c r="AH220" i="23"/>
  <c r="AH201" i="23"/>
  <c r="AJ201" i="23"/>
  <c r="AJ221" i="23"/>
  <c r="AJ220" i="23"/>
  <c r="D511" i="23"/>
  <c r="AI222" i="23" l="1"/>
  <c r="AI203" i="23" s="1"/>
  <c r="AJ222" i="23"/>
  <c r="AJ203" i="23" s="1"/>
  <c r="AH222" i="23"/>
  <c r="AH203" i="23" s="1"/>
  <c r="F1" i="36"/>
  <c r="B1" i="36"/>
  <c r="X6" i="5" l="1"/>
  <c r="X7" i="5"/>
  <c r="W7" i="5"/>
  <c r="D16" i="29" l="1"/>
  <c r="A9" i="33" l="1"/>
  <c r="B9" i="33"/>
  <c r="AO22" i="33"/>
  <c r="AO21" i="33"/>
  <c r="AO16" i="33"/>
  <c r="AO15" i="33"/>
  <c r="AO12" i="33"/>
  <c r="AO11" i="33"/>
  <c r="AA16" i="32"/>
  <c r="AA15" i="32"/>
  <c r="AA12" i="32"/>
  <c r="AA11" i="32"/>
  <c r="AA22" i="32"/>
  <c r="AA21" i="32"/>
  <c r="D510" i="38" l="1"/>
  <c r="D504" i="38"/>
  <c r="D503" i="38"/>
  <c r="Z221" i="38"/>
  <c r="Z202" i="38" s="1"/>
  <c r="G221" i="38"/>
  <c r="D221" i="38"/>
  <c r="AG202" i="38"/>
  <c r="F198" i="38"/>
  <c r="D118" i="38"/>
  <c r="D78" i="38"/>
  <c r="D71" i="38"/>
  <c r="D68" i="38"/>
  <c r="F57" i="38"/>
  <c r="D54" i="38"/>
  <c r="F52" i="38"/>
  <c r="D52" i="38"/>
  <c r="D10" i="38"/>
  <c r="D9" i="38"/>
  <c r="D8" i="38"/>
  <c r="C141" i="38" s="1"/>
  <c r="D7" i="38"/>
  <c r="D199" i="38" s="1"/>
  <c r="C6" i="38"/>
  <c r="D3" i="38"/>
  <c r="D28" i="38" s="1"/>
  <c r="C3" i="38"/>
  <c r="D29" i="38" s="1"/>
  <c r="D2" i="38"/>
  <c r="D27" i="38" s="1"/>
  <c r="C2" i="38"/>
  <c r="DX1" i="38"/>
  <c r="M219" i="38"/>
  <c r="D39" i="38" l="1"/>
  <c r="D41" i="38"/>
  <c r="M220" i="38"/>
  <c r="M221" i="38" s="1"/>
  <c r="M202" i="38" s="1"/>
  <c r="D42" i="38"/>
  <c r="N220" i="38"/>
  <c r="D43" i="38"/>
  <c r="N219" i="38"/>
  <c r="K220" i="38"/>
  <c r="K219" i="38"/>
  <c r="K221" i="38" l="1"/>
  <c r="K202" i="38" s="1"/>
  <c r="N221" i="38"/>
  <c r="N202" i="38" s="1"/>
  <c r="B48" i="6" l="1"/>
  <c r="N9" i="33" l="1"/>
  <c r="AG2" i="33" l="1"/>
  <c r="AG3" i="33"/>
  <c r="AG4" i="33"/>
  <c r="AG5" i="33"/>
  <c r="AG1" i="33"/>
  <c r="AH6" i="33" s="1"/>
  <c r="AG44" i="33" s="1"/>
  <c r="U2" i="32"/>
  <c r="N44" i="33"/>
  <c r="M8" i="32"/>
  <c r="D2" i="33"/>
  <c r="N12" i="32" l="1"/>
  <c r="N14" i="32"/>
  <c r="N13" i="32"/>
  <c r="M17" i="32"/>
  <c r="AG39" i="33"/>
  <c r="AG34" i="33"/>
  <c r="AG12" i="33"/>
  <c r="AG40" i="33"/>
  <c r="AG18" i="33"/>
  <c r="AG35" i="33"/>
  <c r="AG13" i="33"/>
  <c r="AG24" i="33"/>
  <c r="AG41" i="33"/>
  <c r="AG19" i="33"/>
  <c r="AG36" i="33"/>
  <c r="AG14" i="33"/>
  <c r="AG31" i="33"/>
  <c r="AG42" i="33"/>
  <c r="AG20" i="33"/>
  <c r="AG37" i="33"/>
  <c r="AG15" i="33"/>
  <c r="AG22" i="33"/>
  <c r="AG17" i="33"/>
  <c r="AG23" i="33"/>
  <c r="AG32" i="33"/>
  <c r="AG43" i="33"/>
  <c r="AG21" i="33"/>
  <c r="AG38" i="33"/>
  <c r="AG16" i="33"/>
  <c r="AG33" i="33"/>
  <c r="AG11" i="33"/>
  <c r="U11" i="33"/>
  <c r="U13" i="33"/>
  <c r="V13" i="33"/>
  <c r="U14" i="33"/>
  <c r="U12" i="33"/>
  <c r="V14" i="33"/>
  <c r="N11" i="33"/>
  <c r="N15" i="33"/>
  <c r="N19" i="33"/>
  <c r="N23" i="33"/>
  <c r="N33" i="33"/>
  <c r="N37" i="33"/>
  <c r="N41" i="33"/>
  <c r="N18" i="33"/>
  <c r="N32" i="33"/>
  <c r="N40" i="33"/>
  <c r="N12" i="33"/>
  <c r="N16" i="33"/>
  <c r="N20" i="33"/>
  <c r="N24" i="33"/>
  <c r="N34" i="33"/>
  <c r="N38" i="33"/>
  <c r="N42" i="33"/>
  <c r="N14" i="33"/>
  <c r="N22" i="33"/>
  <c r="N36" i="33"/>
  <c r="N13" i="33"/>
  <c r="N17" i="33"/>
  <c r="N21" i="33"/>
  <c r="N31" i="33"/>
  <c r="N35" i="33"/>
  <c r="N39" i="33"/>
  <c r="N43" i="33"/>
  <c r="D2" i="32"/>
  <c r="U3" i="32"/>
  <c r="U11" i="32" s="1"/>
  <c r="U4" i="32"/>
  <c r="U5" i="32"/>
  <c r="U6" i="32"/>
  <c r="U15" i="32" l="1"/>
  <c r="U18" i="32"/>
  <c r="U21" i="32"/>
  <c r="U24" i="32"/>
  <c r="U13" i="32"/>
  <c r="U23" i="32"/>
  <c r="U19" i="32"/>
  <c r="U14" i="32"/>
  <c r="U20" i="32"/>
  <c r="U16" i="32"/>
  <c r="U12" i="32"/>
  <c r="U22" i="32"/>
  <c r="U17" i="32"/>
  <c r="V17" i="32" s="1"/>
  <c r="BU151" i="29"/>
  <c r="M44" i="33" l="1"/>
  <c r="M41" i="33"/>
  <c r="B2" i="5"/>
  <c r="AB44" i="33" l="1"/>
  <c r="AB43" i="33"/>
  <c r="L43" i="33"/>
  <c r="M43" i="33"/>
  <c r="O43" i="33"/>
  <c r="P43" i="33" s="1"/>
  <c r="Q43" i="33"/>
  <c r="R43" i="33"/>
  <c r="S43" i="33"/>
  <c r="T43" i="33"/>
  <c r="U43" i="33"/>
  <c r="V43" i="33"/>
  <c r="X43" i="33"/>
  <c r="Y43" i="33"/>
  <c r="AC43" i="33"/>
  <c r="AN43" i="33"/>
  <c r="L44" i="33"/>
  <c r="W44" i="33" s="1"/>
  <c r="O44" i="33"/>
  <c r="P44" i="33" s="1"/>
  <c r="Q44" i="33"/>
  <c r="R44" i="33"/>
  <c r="S44" i="33"/>
  <c r="T44" i="33"/>
  <c r="U44" i="33"/>
  <c r="V44" i="33"/>
  <c r="X44" i="33"/>
  <c r="Y44" i="33"/>
  <c r="AC44" i="33"/>
  <c r="AM44" i="33"/>
  <c r="AN44" i="33"/>
  <c r="AO44" i="33"/>
  <c r="AE24" i="33"/>
  <c r="Z24" i="33"/>
  <c r="W24" i="33"/>
  <c r="AK24" i="33" s="1"/>
  <c r="P24" i="33"/>
  <c r="AE23" i="33"/>
  <c r="Z23" i="33"/>
  <c r="AK23" i="33"/>
  <c r="P23" i="33"/>
  <c r="AE43" i="33" l="1"/>
  <c r="AK43" i="33"/>
  <c r="AO23" i="33"/>
  <c r="AO43" i="33" s="1"/>
  <c r="AE44" i="33"/>
  <c r="AK44" i="33"/>
  <c r="AG24" i="32" l="1"/>
  <c r="S24" i="32"/>
  <c r="P24" i="32"/>
  <c r="AG23" i="32"/>
  <c r="Z21" i="33" l="1"/>
  <c r="E1" i="36" l="1"/>
  <c r="D505" i="23" l="1"/>
  <c r="C2" i="26" l="1"/>
  <c r="BL27" i="29" l="1"/>
  <c r="G222" i="23"/>
  <c r="Z222" i="23"/>
  <c r="Z203" i="23" s="1"/>
  <c r="D222" i="23"/>
  <c r="BN2" i="29"/>
  <c r="BL6" i="29"/>
  <c r="BM6" i="29"/>
  <c r="M221" i="23"/>
  <c r="M220" i="23"/>
  <c r="AO29" i="29"/>
  <c r="AY28" i="29"/>
  <c r="AA28" i="29"/>
  <c r="Q25" i="29"/>
  <c r="AN21" i="29"/>
  <c r="AM21" i="29"/>
  <c r="AM18" i="29"/>
  <c r="AM17" i="29"/>
  <c r="AP29" i="29"/>
  <c r="AE220" i="23" l="1"/>
  <c r="AE219" i="38"/>
  <c r="AE221" i="23"/>
  <c r="AE220" i="38"/>
  <c r="M222" i="23"/>
  <c r="M203" i="23" s="1"/>
  <c r="BN6" i="29"/>
  <c r="B24" i="28" s="1"/>
  <c r="BO6" i="29"/>
  <c r="N221" i="23"/>
  <c r="N220" i="23"/>
  <c r="K220" i="23"/>
  <c r="K221" i="23"/>
  <c r="AJ25" i="29"/>
  <c r="AE222" i="23" l="1"/>
  <c r="AE203" i="23" s="1"/>
  <c r="AE221" i="38"/>
  <c r="AE202" i="38" s="1"/>
  <c r="N222" i="23"/>
  <c r="N203" i="23" s="1"/>
  <c r="K222" i="23"/>
  <c r="K203" i="23" s="1"/>
  <c r="AK25" i="29"/>
  <c r="AL25" i="29" l="1"/>
  <c r="AL27" i="29"/>
  <c r="Z19" i="33" l="1"/>
  <c r="Z20" i="33"/>
  <c r="Z22" i="33"/>
  <c r="AV29" i="33" l="1"/>
  <c r="AM40" i="33" l="1"/>
  <c r="AN40" i="33"/>
  <c r="AO40" i="33"/>
  <c r="AM41" i="33"/>
  <c r="AN41" i="33"/>
  <c r="AM42" i="33"/>
  <c r="AN42" i="33"/>
  <c r="AO42" i="33"/>
  <c r="AB40" i="33"/>
  <c r="AC40" i="33"/>
  <c r="AC41" i="33"/>
  <c r="AC42" i="33"/>
  <c r="V40" i="33"/>
  <c r="X40" i="33"/>
  <c r="Y40" i="33"/>
  <c r="V41" i="33"/>
  <c r="X41" i="33"/>
  <c r="Y41" i="33"/>
  <c r="AB41" i="33" s="1"/>
  <c r="V42" i="33"/>
  <c r="X42" i="33"/>
  <c r="Y42" i="33"/>
  <c r="AB42" i="33" s="1"/>
  <c r="O40" i="33"/>
  <c r="P40" i="33" s="1"/>
  <c r="Q40" i="33"/>
  <c r="R40" i="33"/>
  <c r="S40" i="33"/>
  <c r="T40" i="33"/>
  <c r="U40" i="33"/>
  <c r="O41" i="33"/>
  <c r="P41" i="33" s="1"/>
  <c r="Q41" i="33"/>
  <c r="R41" i="33"/>
  <c r="S41" i="33"/>
  <c r="T41" i="33"/>
  <c r="O42" i="33"/>
  <c r="P42" i="33" s="1"/>
  <c r="Q42" i="33"/>
  <c r="R42" i="33"/>
  <c r="S42" i="33"/>
  <c r="T42" i="33"/>
  <c r="L40" i="33"/>
  <c r="W40" i="33" s="1"/>
  <c r="M40" i="33"/>
  <c r="L41" i="33"/>
  <c r="W41" i="33" s="1"/>
  <c r="L42" i="33"/>
  <c r="W42" i="33" s="1"/>
  <c r="M42" i="33"/>
  <c r="AV25" i="33"/>
  <c r="AV26" i="33"/>
  <c r="AV27" i="33"/>
  <c r="AV28" i="33"/>
  <c r="AE20" i="33"/>
  <c r="AE21" i="33"/>
  <c r="AE22" i="33"/>
  <c r="W19" i="33"/>
  <c r="AK19" i="33" s="1"/>
  <c r="W20" i="33"/>
  <c r="AK20" i="33" s="1"/>
  <c r="W21" i="33"/>
  <c r="AK21" i="33" s="1"/>
  <c r="W22" i="33"/>
  <c r="AK22" i="33" s="1"/>
  <c r="P20" i="33"/>
  <c r="P21" i="33"/>
  <c r="P22" i="33"/>
  <c r="AG20" i="32"/>
  <c r="AG21" i="32"/>
  <c r="AG22" i="32"/>
  <c r="P17" i="32"/>
  <c r="P18" i="32"/>
  <c r="P19" i="32"/>
  <c r="P20" i="32"/>
  <c r="P21" i="32"/>
  <c r="P22" i="32"/>
  <c r="AK41" i="33" l="1"/>
  <c r="AE42" i="33"/>
  <c r="AE41" i="33"/>
  <c r="AE40" i="33"/>
  <c r="AK42" i="33"/>
  <c r="AK40" i="33"/>
  <c r="AO41" i="33"/>
  <c r="Q220" i="38" l="1"/>
  <c r="Q219" i="38"/>
  <c r="R219" i="38" s="1"/>
  <c r="S219" i="38" s="1"/>
  <c r="Q220" i="23"/>
  <c r="Q221" i="23"/>
  <c r="R220" i="38" l="1"/>
  <c r="Q221" i="38"/>
  <c r="Q202" i="38" s="1"/>
  <c r="R221" i="23"/>
  <c r="Q222" i="23"/>
  <c r="Q203" i="23" s="1"/>
  <c r="R220" i="23"/>
  <c r="S220" i="23" s="1"/>
  <c r="AB39" i="33"/>
  <c r="S221" i="23" l="1"/>
  <c r="S222" i="23" s="1"/>
  <c r="S203" i="23" s="1"/>
  <c r="R222" i="23"/>
  <c r="R203" i="23" s="1"/>
  <c r="S220" i="38"/>
  <c r="S221" i="38" s="1"/>
  <c r="S202" i="38" s="1"/>
  <c r="R221" i="38"/>
  <c r="R202" i="38" s="1"/>
  <c r="K3" i="33" l="1"/>
  <c r="AM33" i="33" l="1"/>
  <c r="AN33" i="33"/>
  <c r="AO33" i="33"/>
  <c r="AM34" i="33"/>
  <c r="AN34" i="33"/>
  <c r="AO34" i="33"/>
  <c r="AM35" i="33"/>
  <c r="AN35" i="33"/>
  <c r="AO35" i="33"/>
  <c r="AM36" i="33"/>
  <c r="AN36" i="33"/>
  <c r="AO36" i="33"/>
  <c r="AM37" i="33"/>
  <c r="AN37" i="33"/>
  <c r="AO37" i="33"/>
  <c r="AM38" i="33"/>
  <c r="AN38" i="33"/>
  <c r="AO38" i="33"/>
  <c r="AN39" i="33"/>
  <c r="AE19" i="33"/>
  <c r="AC32" i="33"/>
  <c r="AC33" i="33"/>
  <c r="AC34" i="33"/>
  <c r="AC35" i="33"/>
  <c r="AC36" i="33"/>
  <c r="AC37" i="33"/>
  <c r="AC38" i="33"/>
  <c r="AC39" i="33"/>
  <c r="X33" i="33"/>
  <c r="Y33" i="33"/>
  <c r="AB33" i="33" s="1"/>
  <c r="X34" i="33"/>
  <c r="Y34" i="33"/>
  <c r="AB34" i="33" s="1"/>
  <c r="X35" i="33"/>
  <c r="Y35" i="33"/>
  <c r="AB35" i="33" s="1"/>
  <c r="X36" i="33"/>
  <c r="Y36" i="33"/>
  <c r="AB36" i="33" s="1"/>
  <c r="X37" i="33"/>
  <c r="Y37" i="33"/>
  <c r="AB37" i="33" s="1"/>
  <c r="X38" i="33"/>
  <c r="Y38" i="33"/>
  <c r="AB38" i="33" s="1"/>
  <c r="X39" i="33"/>
  <c r="Y39" i="33"/>
  <c r="V32" i="33"/>
  <c r="V35" i="33"/>
  <c r="V36" i="33"/>
  <c r="V37" i="33"/>
  <c r="V38" i="33"/>
  <c r="V39" i="33"/>
  <c r="U39" i="33"/>
  <c r="Q32" i="33"/>
  <c r="R32" i="33"/>
  <c r="S32" i="33"/>
  <c r="T32" i="33"/>
  <c r="Q33" i="33"/>
  <c r="R33" i="33"/>
  <c r="S33" i="33"/>
  <c r="T33" i="33"/>
  <c r="Q34" i="33"/>
  <c r="R34" i="33"/>
  <c r="S34" i="33"/>
  <c r="T34" i="33"/>
  <c r="Q35" i="33"/>
  <c r="R35" i="33"/>
  <c r="S35" i="33"/>
  <c r="T35" i="33"/>
  <c r="Q36" i="33"/>
  <c r="R36" i="33"/>
  <c r="S36" i="33"/>
  <c r="T36" i="33"/>
  <c r="Q37" i="33"/>
  <c r="R37" i="33"/>
  <c r="S37" i="33"/>
  <c r="T37" i="33"/>
  <c r="Q38" i="33"/>
  <c r="R38" i="33"/>
  <c r="S38" i="33"/>
  <c r="T38" i="33"/>
  <c r="Q39" i="33"/>
  <c r="R39" i="33"/>
  <c r="S39" i="33"/>
  <c r="T39" i="33"/>
  <c r="Q31" i="33"/>
  <c r="R31" i="33"/>
  <c r="T31" i="33"/>
  <c r="S31" i="33"/>
  <c r="L33" i="33"/>
  <c r="W33" i="33" s="1"/>
  <c r="M33" i="33"/>
  <c r="O33" i="33"/>
  <c r="P33" i="33" s="1"/>
  <c r="L34" i="33"/>
  <c r="W34" i="33" s="1"/>
  <c r="M34" i="33"/>
  <c r="O34" i="33"/>
  <c r="P34" i="33" s="1"/>
  <c r="L35" i="33"/>
  <c r="W35" i="33" s="1"/>
  <c r="M35" i="33"/>
  <c r="O35" i="33"/>
  <c r="P35" i="33" s="1"/>
  <c r="L36" i="33"/>
  <c r="W36" i="33" s="1"/>
  <c r="M36" i="33"/>
  <c r="O36" i="33"/>
  <c r="P36" i="33" s="1"/>
  <c r="L37" i="33"/>
  <c r="W37" i="33" s="1"/>
  <c r="M37" i="33"/>
  <c r="O37" i="33"/>
  <c r="P37" i="33" s="1"/>
  <c r="L38" i="33"/>
  <c r="W38" i="33" s="1"/>
  <c r="M38" i="33"/>
  <c r="O38" i="33"/>
  <c r="P38" i="33" s="1"/>
  <c r="L39" i="33"/>
  <c r="W39" i="33" s="1"/>
  <c r="AK39" i="33" s="1"/>
  <c r="M39" i="33"/>
  <c r="O39" i="33"/>
  <c r="P39" i="33" s="1"/>
  <c r="AM32" i="33"/>
  <c r="AN32" i="33"/>
  <c r="AO32" i="33"/>
  <c r="X32" i="33"/>
  <c r="Y32" i="33"/>
  <c r="AB32" i="33" s="1"/>
  <c r="Y31" i="33"/>
  <c r="AB31" i="33" s="1"/>
  <c r="X31" i="33"/>
  <c r="V31" i="33"/>
  <c r="L32" i="33"/>
  <c r="W32" i="33" s="1"/>
  <c r="M32" i="33"/>
  <c r="O32" i="33"/>
  <c r="P32" i="33" s="1"/>
  <c r="G25" i="33"/>
  <c r="G26" i="33"/>
  <c r="G27" i="33"/>
  <c r="G28" i="33"/>
  <c r="G29" i="33"/>
  <c r="G30" i="33"/>
  <c r="B25" i="33"/>
  <c r="C25" i="33"/>
  <c r="D25" i="33"/>
  <c r="E25" i="33"/>
  <c r="F25" i="33"/>
  <c r="H25" i="33"/>
  <c r="I25" i="33"/>
  <c r="B26" i="33"/>
  <c r="C26" i="33"/>
  <c r="D26" i="33"/>
  <c r="E26" i="33"/>
  <c r="F26" i="33"/>
  <c r="H26" i="33"/>
  <c r="I26" i="33"/>
  <c r="B27" i="33"/>
  <c r="C27" i="33"/>
  <c r="D27" i="33"/>
  <c r="E27" i="33"/>
  <c r="F27" i="33"/>
  <c r="H27" i="33"/>
  <c r="I27" i="33"/>
  <c r="B28" i="33"/>
  <c r="C28" i="33"/>
  <c r="D28" i="33"/>
  <c r="E28" i="33"/>
  <c r="F28" i="33"/>
  <c r="H28" i="33"/>
  <c r="I28" i="33"/>
  <c r="B29" i="33"/>
  <c r="C29" i="33"/>
  <c r="D29" i="33"/>
  <c r="E29" i="33"/>
  <c r="F29" i="33"/>
  <c r="H29" i="33"/>
  <c r="I29" i="33"/>
  <c r="B30" i="33"/>
  <c r="C30" i="33"/>
  <c r="D30" i="33"/>
  <c r="E30" i="33"/>
  <c r="F30" i="33"/>
  <c r="H30" i="33"/>
  <c r="I30" i="33"/>
  <c r="U34" i="33" l="1"/>
  <c r="U33" i="33"/>
  <c r="U32" i="33"/>
  <c r="U31" i="33"/>
  <c r="AK38" i="33"/>
  <c r="AK37" i="33"/>
  <c r="AK36" i="33"/>
  <c r="AK35" i="33"/>
  <c r="AK32" i="33"/>
  <c r="AE32" i="33"/>
  <c r="AE36" i="33"/>
  <c r="AE39" i="33"/>
  <c r="AE34" i="33"/>
  <c r="AE33" i="33"/>
  <c r="O31" i="33"/>
  <c r="P31" i="33" s="1"/>
  <c r="AO31" i="33"/>
  <c r="AN31" i="33"/>
  <c r="AM31" i="33"/>
  <c r="AC31" i="33"/>
  <c r="AE31" i="33" s="1"/>
  <c r="M31" i="33"/>
  <c r="L31" i="33"/>
  <c r="W31" i="33" s="1"/>
  <c r="AK31" i="33" s="1"/>
  <c r="P17" i="33"/>
  <c r="P18" i="33"/>
  <c r="AB17" i="33"/>
  <c r="Z17" i="33" s="1"/>
  <c r="W17" i="33"/>
  <c r="W18" i="33"/>
  <c r="P14" i="32"/>
  <c r="P15" i="32"/>
  <c r="P16" i="32"/>
  <c r="P12" i="32"/>
  <c r="P13" i="32"/>
  <c r="P11" i="32"/>
  <c r="W12" i="33"/>
  <c r="W13" i="33"/>
  <c r="W14" i="33"/>
  <c r="W15" i="33"/>
  <c r="W16" i="33"/>
  <c r="W11" i="33"/>
  <c r="AK17" i="33" l="1"/>
  <c r="U36" i="33"/>
  <c r="U38" i="33"/>
  <c r="AE38" i="33"/>
  <c r="AE37" i="33"/>
  <c r="U37" i="33"/>
  <c r="AE35" i="33"/>
  <c r="U35" i="33"/>
  <c r="K1" i="33"/>
  <c r="P19" i="33"/>
  <c r="P16" i="33"/>
  <c r="P15" i="33"/>
  <c r="P14" i="33"/>
  <c r="P13" i="33"/>
  <c r="P12" i="33"/>
  <c r="P11" i="33"/>
  <c r="C6" i="33"/>
  <c r="C5" i="33"/>
  <c r="C3" i="33"/>
  <c r="AG203" i="23"/>
  <c r="A3" i="21"/>
  <c r="B3" i="21"/>
  <c r="DX1" i="23"/>
  <c r="C2" i="23"/>
  <c r="D2" i="23"/>
  <c r="C3" i="23"/>
  <c r="D3" i="23"/>
  <c r="C6" i="23"/>
  <c r="D8" i="23"/>
  <c r="F52" i="23"/>
  <c r="D54" i="23"/>
  <c r="F57" i="23"/>
  <c r="D71" i="23"/>
  <c r="F199" i="23"/>
  <c r="C2" i="25"/>
  <c r="C3" i="25"/>
  <c r="C4" i="25"/>
  <c r="C5" i="25"/>
  <c r="C10" i="25"/>
  <c r="C11" i="25"/>
  <c r="C5" i="32"/>
  <c r="C6" i="32"/>
  <c r="AG11" i="32"/>
  <c r="AG12" i="32"/>
  <c r="AG14" i="32"/>
  <c r="AG13" i="32"/>
  <c r="AG15" i="32"/>
  <c r="AG16" i="32"/>
  <c r="AG18" i="32"/>
  <c r="AG19" i="32"/>
  <c r="A8" i="17"/>
  <c r="H8" i="17"/>
  <c r="A9" i="17"/>
  <c r="A10" i="17"/>
  <c r="A11" i="17"/>
  <c r="A12" i="17"/>
  <c r="A13" i="17"/>
  <c r="A14" i="17"/>
  <c r="A15" i="17"/>
  <c r="A16" i="17"/>
  <c r="A17" i="17"/>
  <c r="A18" i="17"/>
  <c r="A20" i="17"/>
  <c r="A2" i="29"/>
  <c r="AM2" i="29" s="1"/>
  <c r="B2" i="29"/>
  <c r="AN2" i="29" s="1"/>
  <c r="A3" i="29"/>
  <c r="AM3" i="29" s="1"/>
  <c r="B3" i="29"/>
  <c r="AN3" i="29" s="1"/>
  <c r="A4" i="29"/>
  <c r="AM4" i="29" s="1"/>
  <c r="B4" i="29"/>
  <c r="AN4" i="29" s="1"/>
  <c r="A5" i="29"/>
  <c r="AM5" i="29" s="1"/>
  <c r="B5" i="29"/>
  <c r="AN5" i="29" s="1"/>
  <c r="A8" i="29"/>
  <c r="AM8" i="29" s="1"/>
  <c r="A9" i="29"/>
  <c r="AM9" i="29" s="1"/>
  <c r="A10" i="29"/>
  <c r="AM10" i="29" s="1"/>
  <c r="A11" i="29"/>
  <c r="AM11" i="29" s="1"/>
  <c r="A12" i="29"/>
  <c r="AM12" i="29" s="1"/>
  <c r="A13" i="29"/>
  <c r="AM13" i="29" s="1"/>
  <c r="A14" i="29"/>
  <c r="AM14" i="29" s="1"/>
  <c r="A15" i="29"/>
  <c r="AM15" i="29" s="1"/>
  <c r="A16" i="29"/>
  <c r="AM16" i="29" s="1"/>
  <c r="A19" i="29"/>
  <c r="AM19" i="29" s="1"/>
  <c r="A20" i="29"/>
  <c r="AM20" i="29" s="1"/>
  <c r="A22" i="29"/>
  <c r="AM22" i="29" s="1"/>
  <c r="B22" i="29"/>
  <c r="AN22" i="29" s="1"/>
  <c r="A23" i="29"/>
  <c r="AM23" i="29" s="1"/>
  <c r="A24" i="29"/>
  <c r="AM24" i="29" s="1"/>
  <c r="B24" i="29"/>
  <c r="AN24" i="29" s="1"/>
  <c r="A25" i="29"/>
  <c r="AM25" i="29" s="1"/>
  <c r="B25" i="29"/>
  <c r="AN25" i="29" s="1"/>
  <c r="A26" i="29"/>
  <c r="AM26" i="29" s="1"/>
  <c r="L30" i="29"/>
  <c r="A2" i="28"/>
  <c r="B2" i="28"/>
  <c r="A3" i="28"/>
  <c r="B3" i="28"/>
  <c r="A4" i="28"/>
  <c r="B4" i="28"/>
  <c r="A5" i="28"/>
  <c r="B5" i="28"/>
  <c r="A8" i="28"/>
  <c r="B8" i="28"/>
  <c r="A9" i="28"/>
  <c r="A10" i="28"/>
  <c r="A11" i="28"/>
  <c r="A12" i="28"/>
  <c r="A14" i="28"/>
  <c r="A15" i="28"/>
  <c r="A17" i="28"/>
  <c r="A22" i="28"/>
  <c r="A23" i="28"/>
  <c r="A26" i="28"/>
  <c r="B26" i="28"/>
  <c r="A27" i="28"/>
  <c r="A28" i="28"/>
  <c r="B28" i="28"/>
  <c r="A29" i="28"/>
  <c r="B29" i="28"/>
  <c r="A30" i="28"/>
  <c r="A31" i="28"/>
  <c r="G2" i="10"/>
  <c r="E25" i="10"/>
  <c r="E11" i="10" s="1"/>
  <c r="D53" i="10"/>
  <c r="A8" i="7"/>
  <c r="A9" i="7"/>
  <c r="A10" i="7"/>
  <c r="A11" i="7"/>
  <c r="A29" i="7"/>
  <c r="A30" i="7"/>
  <c r="A31" i="7"/>
  <c r="A32" i="7"/>
  <c r="A33" i="7"/>
  <c r="G13" i="6"/>
  <c r="J13" i="6"/>
  <c r="J10" i="6" s="1"/>
  <c r="F5" i="7" s="1"/>
  <c r="A15" i="6"/>
  <c r="B15" i="6"/>
  <c r="C15" i="6"/>
  <c r="D15" i="6"/>
  <c r="E15" i="6"/>
  <c r="A16" i="6"/>
  <c r="B16" i="6"/>
  <c r="C16" i="6"/>
  <c r="D16" i="6"/>
  <c r="E16" i="6"/>
  <c r="A17" i="6"/>
  <c r="B17" i="6"/>
  <c r="C17" i="6"/>
  <c r="D17" i="6"/>
  <c r="E17" i="6"/>
  <c r="G17" i="6"/>
  <c r="G19" i="6" s="1"/>
  <c r="G21" i="6" s="1"/>
  <c r="A18" i="6"/>
  <c r="B18" i="6"/>
  <c r="C18" i="6"/>
  <c r="D18" i="6"/>
  <c r="E18" i="6"/>
  <c r="G18" i="6"/>
  <c r="G20" i="6" s="1"/>
  <c r="G22" i="6" s="1"/>
  <c r="G24" i="6" s="1"/>
  <c r="G26" i="6" s="1"/>
  <c r="G28" i="6" s="1"/>
  <c r="G30" i="6" s="1"/>
  <c r="A19" i="6"/>
  <c r="B19" i="6"/>
  <c r="C19" i="6"/>
  <c r="L19" i="6" s="1"/>
  <c r="D19" i="6"/>
  <c r="E19" i="6"/>
  <c r="A20" i="6"/>
  <c r="B20" i="6"/>
  <c r="C20" i="6"/>
  <c r="L20" i="6" s="1"/>
  <c r="D20" i="6"/>
  <c r="E20" i="6"/>
  <c r="A21" i="6"/>
  <c r="B21" i="6"/>
  <c r="C21" i="6"/>
  <c r="L21" i="6" s="1"/>
  <c r="D21" i="6"/>
  <c r="E21" i="6"/>
  <c r="A22" i="6"/>
  <c r="B22" i="6"/>
  <c r="C22" i="6"/>
  <c r="L22" i="6" s="1"/>
  <c r="D22" i="6"/>
  <c r="E22" i="6"/>
  <c r="A23" i="6"/>
  <c r="B23" i="6"/>
  <c r="C23" i="6"/>
  <c r="D23" i="6"/>
  <c r="E23" i="6"/>
  <c r="A24" i="6"/>
  <c r="B24" i="6"/>
  <c r="C24" i="6"/>
  <c r="D24" i="6"/>
  <c r="E24" i="6"/>
  <c r="A25" i="6"/>
  <c r="B25" i="6"/>
  <c r="C25" i="6"/>
  <c r="D25" i="6"/>
  <c r="E25" i="6"/>
  <c r="G25" i="6"/>
  <c r="G27" i="6" s="1"/>
  <c r="G29" i="6" s="1"/>
  <c r="G36" i="6" s="1"/>
  <c r="G37" i="6" s="1"/>
  <c r="G38" i="6" s="1"/>
  <c r="G39" i="6" s="1"/>
  <c r="G40" i="6" s="1"/>
  <c r="G41" i="6" s="1"/>
  <c r="G42" i="6" s="1"/>
  <c r="G43" i="6" s="1"/>
  <c r="G44" i="6" s="1"/>
  <c r="A26" i="6"/>
  <c r="B26" i="6"/>
  <c r="C26" i="6"/>
  <c r="D26" i="6"/>
  <c r="E26" i="6"/>
  <c r="A27" i="6"/>
  <c r="B27" i="6"/>
  <c r="C27" i="6"/>
  <c r="L27" i="6" s="1"/>
  <c r="D27" i="6"/>
  <c r="E27" i="6"/>
  <c r="A28" i="6"/>
  <c r="B28" i="6"/>
  <c r="C28" i="6"/>
  <c r="L28" i="6" s="1"/>
  <c r="D28" i="6"/>
  <c r="E28" i="6"/>
  <c r="A29" i="6"/>
  <c r="B29" i="6"/>
  <c r="C29" i="6"/>
  <c r="L29" i="6" s="1"/>
  <c r="D29" i="6"/>
  <c r="E29" i="6"/>
  <c r="A30" i="6"/>
  <c r="B30" i="6"/>
  <c r="C30" i="6"/>
  <c r="L30" i="6" s="1"/>
  <c r="D30" i="6"/>
  <c r="E30" i="6"/>
  <c r="A31" i="6"/>
  <c r="B31" i="6"/>
  <c r="C31" i="6"/>
  <c r="L31" i="6" s="1"/>
  <c r="D31" i="6"/>
  <c r="E31" i="6"/>
  <c r="A32" i="6"/>
  <c r="B32" i="6"/>
  <c r="C32" i="6"/>
  <c r="L32" i="6" s="1"/>
  <c r="D32" i="6"/>
  <c r="E32" i="6"/>
  <c r="A33" i="6"/>
  <c r="B33" i="6"/>
  <c r="D33" i="6"/>
  <c r="E33" i="6"/>
  <c r="A34" i="6"/>
  <c r="B34" i="6"/>
  <c r="D34" i="6"/>
  <c r="E34" i="6"/>
  <c r="A35" i="6"/>
  <c r="B35" i="6"/>
  <c r="E35" i="6"/>
  <c r="A36" i="6"/>
  <c r="B36" i="6"/>
  <c r="D36" i="6"/>
  <c r="E36" i="6"/>
  <c r="A37" i="6"/>
  <c r="B37" i="6"/>
  <c r="D37" i="6"/>
  <c r="E37" i="6"/>
  <c r="A38" i="6"/>
  <c r="B38" i="6"/>
  <c r="D38" i="6"/>
  <c r="E38" i="6"/>
  <c r="A39" i="6"/>
  <c r="B39" i="6"/>
  <c r="D39" i="6"/>
  <c r="E39" i="6"/>
  <c r="A40" i="6"/>
  <c r="B40" i="6"/>
  <c r="D40" i="6"/>
  <c r="E40" i="6"/>
  <c r="A41" i="6"/>
  <c r="B41" i="6"/>
  <c r="D41" i="6"/>
  <c r="E41" i="6"/>
  <c r="A42" i="6"/>
  <c r="B42" i="6"/>
  <c r="D42" i="6"/>
  <c r="E42" i="6"/>
  <c r="A43" i="6"/>
  <c r="B43" i="6"/>
  <c r="D43" i="6"/>
  <c r="E43" i="6"/>
  <c r="A44" i="6"/>
  <c r="B44" i="6"/>
  <c r="C44" i="6"/>
  <c r="D44" i="6"/>
  <c r="E44" i="6"/>
  <c r="A45" i="6"/>
  <c r="B45" i="6"/>
  <c r="C45" i="6"/>
  <c r="L45" i="6" s="1"/>
  <c r="D45" i="6"/>
  <c r="E45" i="6"/>
  <c r="G47" i="6"/>
  <c r="A46" i="6"/>
  <c r="B46" i="6"/>
  <c r="C46" i="6"/>
  <c r="L46" i="6" s="1"/>
  <c r="D46" i="6"/>
  <c r="E46" i="6"/>
  <c r="A47" i="6"/>
  <c r="B47" i="6"/>
  <c r="C47" i="6"/>
  <c r="L47" i="6" s="1"/>
  <c r="D47" i="6"/>
  <c r="E47" i="6"/>
  <c r="A48" i="6"/>
  <c r="C48" i="6"/>
  <c r="L48" i="6" s="1"/>
  <c r="D48" i="6"/>
  <c r="E48" i="6"/>
  <c r="A49" i="6"/>
  <c r="B49" i="6"/>
  <c r="C49" i="6"/>
  <c r="L49" i="6" s="1"/>
  <c r="D49" i="6"/>
  <c r="E49" i="6"/>
  <c r="G49" i="6"/>
  <c r="G50" i="6" s="1"/>
  <c r="G51" i="6" s="1"/>
  <c r="A50" i="6"/>
  <c r="B50" i="6"/>
  <c r="C50" i="6"/>
  <c r="L50" i="6" s="1"/>
  <c r="D50" i="6"/>
  <c r="E50" i="6"/>
  <c r="A51" i="6"/>
  <c r="B51" i="6"/>
  <c r="C51" i="6"/>
  <c r="L51" i="6" s="1"/>
  <c r="D51" i="6"/>
  <c r="E51" i="6"/>
  <c r="A52" i="6"/>
  <c r="B52" i="6"/>
  <c r="C52" i="6"/>
  <c r="L52" i="6" s="1"/>
  <c r="D52" i="6"/>
  <c r="E52" i="6"/>
  <c r="A55" i="6"/>
  <c r="B55" i="6"/>
  <c r="C55" i="6"/>
  <c r="L55" i="6" s="1"/>
  <c r="D55" i="6"/>
  <c r="E55" i="6"/>
  <c r="B56" i="6"/>
  <c r="E56" i="6"/>
  <c r="B57" i="6"/>
  <c r="C57" i="6"/>
  <c r="L57" i="6" s="1"/>
  <c r="D57" i="6"/>
  <c r="E57" i="6"/>
  <c r="B58" i="6"/>
  <c r="C58" i="6"/>
  <c r="L58" i="6" s="1"/>
  <c r="D58" i="6"/>
  <c r="E58" i="6"/>
  <c r="B59" i="6"/>
  <c r="D59" i="6"/>
  <c r="E59" i="6"/>
  <c r="G59" i="6"/>
  <c r="G60" i="6" s="1"/>
  <c r="G61" i="6" s="1"/>
  <c r="G62" i="6" s="1"/>
  <c r="G63" i="6" s="1"/>
  <c r="G64" i="6" s="1"/>
  <c r="G65" i="6" s="1"/>
  <c r="G66" i="6" s="1"/>
  <c r="B60" i="6"/>
  <c r="E60" i="6"/>
  <c r="B61" i="6"/>
  <c r="D61" i="6"/>
  <c r="E61" i="6"/>
  <c r="B62" i="6"/>
  <c r="D62" i="6"/>
  <c r="E62" i="6"/>
  <c r="A63" i="6"/>
  <c r="B63" i="6"/>
  <c r="C63" i="6"/>
  <c r="D63" i="6"/>
  <c r="E63" i="6"/>
  <c r="A64" i="6"/>
  <c r="B64" i="6"/>
  <c r="C64" i="6"/>
  <c r="D64" i="6"/>
  <c r="E64" i="6"/>
  <c r="A65" i="6"/>
  <c r="B65" i="6"/>
  <c r="C65" i="6"/>
  <c r="D65" i="6"/>
  <c r="E65" i="6"/>
  <c r="A66" i="6"/>
  <c r="B66" i="6"/>
  <c r="C66" i="6"/>
  <c r="D66" i="6"/>
  <c r="E66" i="6"/>
  <c r="F66" i="6"/>
  <c r="A8" i="5"/>
  <c r="B8" i="5"/>
  <c r="C8" i="5"/>
  <c r="C13" i="6" s="1"/>
  <c r="D8" i="5"/>
  <c r="D13" i="6" s="1"/>
  <c r="I10" i="6" s="1"/>
  <c r="E8" i="5"/>
  <c r="F15" i="6"/>
  <c r="F16" i="6"/>
  <c r="F17" i="6"/>
  <c r="F18" i="6"/>
  <c r="F19" i="6"/>
  <c r="F20" i="6"/>
  <c r="F21" i="6"/>
  <c r="F23" i="6"/>
  <c r="F25" i="6"/>
  <c r="F27" i="6"/>
  <c r="F29" i="6"/>
  <c r="F30" i="6"/>
  <c r="F32" i="6"/>
  <c r="F34" i="6"/>
  <c r="C35" i="6"/>
  <c r="D35" i="6"/>
  <c r="C40" i="6"/>
  <c r="C41" i="6"/>
  <c r="F42" i="6"/>
  <c r="C43" i="6"/>
  <c r="L43" i="6" s="1"/>
  <c r="F44" i="6"/>
  <c r="F45" i="6"/>
  <c r="F46" i="6"/>
  <c r="F47" i="6"/>
  <c r="F48" i="6"/>
  <c r="F49" i="6"/>
  <c r="F50" i="6"/>
  <c r="F51" i="6"/>
  <c r="F52" i="6"/>
  <c r="F55" i="6"/>
  <c r="C56" i="6"/>
  <c r="D56" i="6"/>
  <c r="C59" i="6"/>
  <c r="C60" i="6"/>
  <c r="L60" i="6" s="1"/>
  <c r="D60" i="6"/>
  <c r="C61" i="6"/>
  <c r="C62" i="6"/>
  <c r="L62" i="6" s="1"/>
  <c r="F63" i="6"/>
  <c r="F64" i="6"/>
  <c r="F65" i="6"/>
  <c r="A6" i="29"/>
  <c r="AM6" i="29" s="1"/>
  <c r="B6" i="29"/>
  <c r="AN6" i="29" s="1"/>
  <c r="C12" i="4"/>
  <c r="A7" i="29" s="1"/>
  <c r="AM7" i="29" s="1"/>
  <c r="E5" i="17"/>
  <c r="C10" i="17" s="1"/>
  <c r="B10" i="28"/>
  <c r="B10" i="29"/>
  <c r="AB16" i="33"/>
  <c r="C142" i="23" l="1"/>
  <c r="A175" i="56"/>
  <c r="A3" i="47"/>
  <c r="A2" i="47"/>
  <c r="C5" i="51"/>
  <c r="B11" i="51" s="1"/>
  <c r="C5" i="52"/>
  <c r="B11" i="52" s="1"/>
  <c r="E2" i="5"/>
  <c r="E5" i="5"/>
  <c r="C5" i="50"/>
  <c r="B11" i="50" s="1"/>
  <c r="B12" i="50" s="1"/>
  <c r="V13" i="5"/>
  <c r="S12" i="5"/>
  <c r="U12" i="5" s="1"/>
  <c r="S10" i="5"/>
  <c r="U10" i="5" s="1"/>
  <c r="S13" i="5"/>
  <c r="U13" i="5" s="1"/>
  <c r="S11" i="5"/>
  <c r="U11" i="5" s="1"/>
  <c r="V12" i="5"/>
  <c r="V11" i="5"/>
  <c r="V10" i="5"/>
  <c r="F26" i="6"/>
  <c r="F22" i="6"/>
  <c r="F28" i="6"/>
  <c r="F24" i="6"/>
  <c r="F31" i="6"/>
  <c r="D42" i="23"/>
  <c r="D45" i="23"/>
  <c r="D46" i="23"/>
  <c r="D47" i="23"/>
  <c r="D44" i="23"/>
  <c r="C8" i="32"/>
  <c r="W17" i="32" s="1"/>
  <c r="K41" i="33"/>
  <c r="K11" i="33"/>
  <c r="K12" i="33"/>
  <c r="C5" i="45"/>
  <c r="B11" i="45" s="1"/>
  <c r="C5" i="43"/>
  <c r="B11" i="43" s="1"/>
  <c r="C5" i="44"/>
  <c r="B11" i="44" s="1"/>
  <c r="C5" i="46"/>
  <c r="B11" i="46" s="1"/>
  <c r="A61" i="6"/>
  <c r="A60" i="6"/>
  <c r="C33" i="6"/>
  <c r="C38" i="6"/>
  <c r="L38" i="6" s="1"/>
  <c r="C39" i="6"/>
  <c r="L39" i="6" s="1"/>
  <c r="F37" i="6"/>
  <c r="C36" i="6"/>
  <c r="A58" i="6"/>
  <c r="B8" i="29"/>
  <c r="AU151" i="29" s="1"/>
  <c r="BR151" i="29" s="1"/>
  <c r="P220" i="38"/>
  <c r="P219" i="38"/>
  <c r="V11" i="32"/>
  <c r="AH44" i="33"/>
  <c r="AH43" i="33"/>
  <c r="AH24" i="33"/>
  <c r="AH23" i="33"/>
  <c r="V24" i="32"/>
  <c r="V23" i="32"/>
  <c r="A13" i="6"/>
  <c r="K24" i="33"/>
  <c r="K23" i="33"/>
  <c r="K43" i="33"/>
  <c r="U42" i="33"/>
  <c r="U41" i="33"/>
  <c r="P221" i="23"/>
  <c r="P220" i="23"/>
  <c r="I4" i="29"/>
  <c r="I3" i="29" s="1"/>
  <c r="AN10" i="29"/>
  <c r="C37" i="6"/>
  <c r="F33" i="6"/>
  <c r="V19" i="32"/>
  <c r="AH40" i="33"/>
  <c r="AH41" i="33"/>
  <c r="V20" i="32"/>
  <c r="AH42" i="33"/>
  <c r="V21" i="32"/>
  <c r="V22" i="32"/>
  <c r="A29" i="17"/>
  <c r="AK16" i="33"/>
  <c r="Z16" i="33"/>
  <c r="K42" i="33"/>
  <c r="K40" i="33"/>
  <c r="K39" i="33"/>
  <c r="K20" i="33"/>
  <c r="K21" i="33"/>
  <c r="K22" i="33"/>
  <c r="T2" i="5"/>
  <c r="I4" i="33"/>
  <c r="K4" i="33" s="1"/>
  <c r="F36" i="6"/>
  <c r="F39" i="6"/>
  <c r="V12" i="32"/>
  <c r="C34" i="6"/>
  <c r="L34" i="6" s="1"/>
  <c r="V15" i="32"/>
  <c r="F38" i="6"/>
  <c r="V18" i="32"/>
  <c r="F43" i="6"/>
  <c r="V14" i="32"/>
  <c r="F41" i="6"/>
  <c r="C42" i="6"/>
  <c r="L42" i="6" s="1"/>
  <c r="V13" i="32"/>
  <c r="V16" i="32"/>
  <c r="AH31" i="33"/>
  <c r="AH35" i="33"/>
  <c r="AH39" i="33"/>
  <c r="AH20" i="33"/>
  <c r="AH32" i="33"/>
  <c r="AH36" i="33"/>
  <c r="AH21" i="33"/>
  <c r="AH33" i="33"/>
  <c r="AH37" i="33"/>
  <c r="AH22" i="33"/>
  <c r="AH34" i="33"/>
  <c r="AH38" i="33"/>
  <c r="P4" i="5"/>
  <c r="U16" i="33"/>
  <c r="F35" i="6"/>
  <c r="F61" i="6"/>
  <c r="C5" i="17"/>
  <c r="B11" i="17" s="1"/>
  <c r="B12" i="17" s="1"/>
  <c r="I5" i="7"/>
  <c r="E13" i="6"/>
  <c r="F57" i="6"/>
  <c r="A57" i="6"/>
  <c r="A59" i="6"/>
  <c r="I3" i="33"/>
  <c r="H2" i="10"/>
  <c r="K32" i="33"/>
  <c r="K33" i="33"/>
  <c r="K37" i="33"/>
  <c r="K34" i="33"/>
  <c r="K38" i="33"/>
  <c r="K35" i="33"/>
  <c r="K36" i="33"/>
  <c r="F60" i="6"/>
  <c r="F56" i="6"/>
  <c r="K31" i="33"/>
  <c r="K16" i="33"/>
  <c r="K13" i="33"/>
  <c r="K17" i="33"/>
  <c r="K14" i="33"/>
  <c r="K18" i="33"/>
  <c r="K15" i="33"/>
  <c r="K19" i="33"/>
  <c r="A56" i="6"/>
  <c r="F58" i="6"/>
  <c r="AH17" i="33"/>
  <c r="F40" i="6"/>
  <c r="F59" i="6"/>
  <c r="B13" i="6"/>
  <c r="U17" i="33"/>
  <c r="AE17" i="33"/>
  <c r="A62" i="6"/>
  <c r="F62" i="6"/>
  <c r="D5" i="7"/>
  <c r="D29" i="7" s="1"/>
  <c r="AB15" i="33"/>
  <c r="AB14" i="33"/>
  <c r="AB12" i="33"/>
  <c r="B30" i="29"/>
  <c r="D30" i="29" s="1"/>
  <c r="AB13" i="33"/>
  <c r="Z13" i="33" s="1"/>
  <c r="AB18" i="33"/>
  <c r="AB11" i="33"/>
  <c r="B6" i="28"/>
  <c r="AH11" i="33"/>
  <c r="AH14" i="33"/>
  <c r="AH18" i="33"/>
  <c r="A6" i="28"/>
  <c r="AH13" i="33"/>
  <c r="V34" i="33"/>
  <c r="AK34" i="33" s="1"/>
  <c r="AH15" i="33"/>
  <c r="AH19" i="33"/>
  <c r="AH12" i="33"/>
  <c r="V33" i="33"/>
  <c r="AK33" i="33" s="1"/>
  <c r="AH16" i="33"/>
  <c r="A7" i="28"/>
  <c r="B11" i="29"/>
  <c r="G5" i="17"/>
  <c r="F3" i="17" s="1"/>
  <c r="B2" i="17"/>
  <c r="C2" i="17" s="1"/>
  <c r="I7" i="17" s="1"/>
  <c r="D10" i="17"/>
  <c r="A5" i="47" l="1"/>
  <c r="B12" i="52"/>
  <c r="M11" i="52"/>
  <c r="M6" i="52" s="1"/>
  <c r="Q11" i="52"/>
  <c r="B12" i="51"/>
  <c r="M11" i="51"/>
  <c r="M6" i="51" s="1"/>
  <c r="Q11" i="51"/>
  <c r="Q11" i="50"/>
  <c r="M11" i="50"/>
  <c r="M6" i="50" s="1"/>
  <c r="O11" i="50" s="1"/>
  <c r="R11" i="50" s="1"/>
  <c r="B13" i="50"/>
  <c r="L12" i="50"/>
  <c r="C12" i="50"/>
  <c r="D12" i="50" s="1"/>
  <c r="N12" i="50" s="1"/>
  <c r="W19" i="32"/>
  <c r="W18" i="32"/>
  <c r="W12" i="32"/>
  <c r="W21" i="32"/>
  <c r="W11" i="32"/>
  <c r="I12" i="6"/>
  <c r="C8" i="33"/>
  <c r="AI24" i="33" s="1"/>
  <c r="W16" i="32"/>
  <c r="W14" i="32"/>
  <c r="W15" i="32"/>
  <c r="W20" i="32"/>
  <c r="W23" i="32"/>
  <c r="W13" i="32"/>
  <c r="W22" i="32"/>
  <c r="W24" i="32"/>
  <c r="C4" i="33"/>
  <c r="C4" i="32"/>
  <c r="D26" i="4"/>
  <c r="B23" i="29" s="1"/>
  <c r="AN23" i="29" s="1"/>
  <c r="B12" i="44"/>
  <c r="M11" i="44"/>
  <c r="M6" i="44" s="1"/>
  <c r="Q11" i="44"/>
  <c r="B12" i="43"/>
  <c r="M11" i="43"/>
  <c r="M6" i="43" s="1"/>
  <c r="Q11" i="43"/>
  <c r="B12" i="45"/>
  <c r="M11" i="45"/>
  <c r="M6" i="45" s="1"/>
  <c r="Q11" i="45"/>
  <c r="B12" i="46"/>
  <c r="M11" i="46"/>
  <c r="M6" i="46" s="1"/>
  <c r="Q11" i="46"/>
  <c r="P221" i="38"/>
  <c r="P202" i="38" s="1"/>
  <c r="O14" i="32"/>
  <c r="O13" i="32"/>
  <c r="M22" i="32"/>
  <c r="M14" i="32"/>
  <c r="M11" i="32"/>
  <c r="M21" i="32"/>
  <c r="M15" i="32"/>
  <c r="M23" i="32"/>
  <c r="M20" i="32"/>
  <c r="M12" i="32"/>
  <c r="N11" i="32"/>
  <c r="M18" i="32"/>
  <c r="M24" i="32"/>
  <c r="M16" i="32"/>
  <c r="M13" i="32"/>
  <c r="M19" i="32"/>
  <c r="BW151" i="29"/>
  <c r="BV151" i="29"/>
  <c r="BT31" i="29"/>
  <c r="BU31" i="29" s="1"/>
  <c r="BT44" i="29"/>
  <c r="BU44" i="29" s="1"/>
  <c r="BT48" i="29"/>
  <c r="BU48" i="29" s="1"/>
  <c r="BT52" i="29"/>
  <c r="BU52" i="29" s="1"/>
  <c r="BT56" i="29"/>
  <c r="BU56" i="29" s="1"/>
  <c r="BT60" i="29"/>
  <c r="BU60" i="29" s="1"/>
  <c r="BT64" i="29"/>
  <c r="BU64" i="29" s="1"/>
  <c r="BT68" i="29"/>
  <c r="BU68" i="29" s="1"/>
  <c r="BT72" i="29"/>
  <c r="BU72" i="29" s="1"/>
  <c r="BT76" i="29"/>
  <c r="BU76" i="29" s="1"/>
  <c r="BT80" i="29"/>
  <c r="BU80" i="29" s="1"/>
  <c r="BT84" i="29"/>
  <c r="BU84" i="29" s="1"/>
  <c r="BT88" i="29"/>
  <c r="BU88" i="29" s="1"/>
  <c r="BT92" i="29"/>
  <c r="BU92" i="29" s="1"/>
  <c r="BT96" i="29"/>
  <c r="BU96" i="29" s="1"/>
  <c r="BT100" i="29"/>
  <c r="BU100" i="29" s="1"/>
  <c r="BT104" i="29"/>
  <c r="BU104" i="29" s="1"/>
  <c r="BT108" i="29"/>
  <c r="BU108" i="29" s="1"/>
  <c r="BT112" i="29"/>
  <c r="BU112" i="29" s="1"/>
  <c r="BT116" i="29"/>
  <c r="BU116" i="29" s="1"/>
  <c r="BT120" i="29"/>
  <c r="BU120" i="29" s="1"/>
  <c r="BT124" i="29"/>
  <c r="BU124" i="29" s="1"/>
  <c r="BT128" i="29"/>
  <c r="BU128" i="29" s="1"/>
  <c r="BT132" i="29"/>
  <c r="BU132" i="29" s="1"/>
  <c r="BT136" i="29"/>
  <c r="BU136" i="29" s="1"/>
  <c r="BT140" i="29"/>
  <c r="BU140" i="29" s="1"/>
  <c r="BT144" i="29"/>
  <c r="BU144" i="29" s="1"/>
  <c r="BT148" i="29"/>
  <c r="BU148" i="29" s="1"/>
  <c r="BT33" i="29"/>
  <c r="BU33" i="29" s="1"/>
  <c r="BT37" i="29"/>
  <c r="BU37" i="29" s="1"/>
  <c r="BT41" i="29"/>
  <c r="BU41" i="29" s="1"/>
  <c r="BT45" i="29"/>
  <c r="BU45" i="29" s="1"/>
  <c r="BT49" i="29"/>
  <c r="BU49" i="29" s="1"/>
  <c r="BT53" i="29"/>
  <c r="BU53" i="29" s="1"/>
  <c r="BT57" i="29"/>
  <c r="BU57" i="29" s="1"/>
  <c r="BT61" i="29"/>
  <c r="BU61" i="29" s="1"/>
  <c r="BT65" i="29"/>
  <c r="BU65" i="29" s="1"/>
  <c r="BT69" i="29"/>
  <c r="BU69" i="29" s="1"/>
  <c r="BT73" i="29"/>
  <c r="BU73" i="29" s="1"/>
  <c r="BT77" i="29"/>
  <c r="BU77" i="29" s="1"/>
  <c r="BT81" i="29"/>
  <c r="BU81" i="29" s="1"/>
  <c r="BT85" i="29"/>
  <c r="BU85" i="29" s="1"/>
  <c r="BT89" i="29"/>
  <c r="BU89" i="29" s="1"/>
  <c r="BT93" i="29"/>
  <c r="BU93" i="29" s="1"/>
  <c r="BT97" i="29"/>
  <c r="BU97" i="29" s="1"/>
  <c r="BT101" i="29"/>
  <c r="BU101" i="29" s="1"/>
  <c r="BT105" i="29"/>
  <c r="BU105" i="29" s="1"/>
  <c r="BT109" i="29"/>
  <c r="BU109" i="29" s="1"/>
  <c r="BT113" i="29"/>
  <c r="BU113" i="29" s="1"/>
  <c r="BT117" i="29"/>
  <c r="BU117" i="29" s="1"/>
  <c r="BT121" i="29"/>
  <c r="BU121" i="29" s="1"/>
  <c r="BT125" i="29"/>
  <c r="BU125" i="29" s="1"/>
  <c r="BT129" i="29"/>
  <c r="BU129" i="29" s="1"/>
  <c r="BT133" i="29"/>
  <c r="BU133" i="29" s="1"/>
  <c r="BT137" i="29"/>
  <c r="BU137" i="29" s="1"/>
  <c r="BT141" i="29"/>
  <c r="BU141" i="29" s="1"/>
  <c r="BT145" i="29"/>
  <c r="BU145" i="29" s="1"/>
  <c r="BT149" i="29"/>
  <c r="BU149" i="29" s="1"/>
  <c r="BT34" i="29"/>
  <c r="BU34" i="29" s="1"/>
  <c r="BT38" i="29"/>
  <c r="BU38" i="29" s="1"/>
  <c r="BL31" i="29"/>
  <c r="BT42" i="29"/>
  <c r="BU42" i="29" s="1"/>
  <c r="BT46" i="29"/>
  <c r="BU46" i="29" s="1"/>
  <c r="BT50" i="29"/>
  <c r="BU50" i="29" s="1"/>
  <c r="BT54" i="29"/>
  <c r="BU54" i="29" s="1"/>
  <c r="BT58" i="29"/>
  <c r="BU58" i="29" s="1"/>
  <c r="BT62" i="29"/>
  <c r="BU62" i="29" s="1"/>
  <c r="BT66" i="29"/>
  <c r="BU66" i="29" s="1"/>
  <c r="BT70" i="29"/>
  <c r="BU70" i="29" s="1"/>
  <c r="BT74" i="29"/>
  <c r="BU74" i="29" s="1"/>
  <c r="BT78" i="29"/>
  <c r="BU78" i="29" s="1"/>
  <c r="BT82" i="29"/>
  <c r="BU82" i="29" s="1"/>
  <c r="BT86" i="29"/>
  <c r="BU86" i="29" s="1"/>
  <c r="BT90" i="29"/>
  <c r="BU90" i="29" s="1"/>
  <c r="BT94" i="29"/>
  <c r="BU94" i="29" s="1"/>
  <c r="BT98" i="29"/>
  <c r="BU98" i="29" s="1"/>
  <c r="BT102" i="29"/>
  <c r="BU102" i="29" s="1"/>
  <c r="BT106" i="29"/>
  <c r="BU106" i="29" s="1"/>
  <c r="BT110" i="29"/>
  <c r="BU110" i="29" s="1"/>
  <c r="BT114" i="29"/>
  <c r="BU114" i="29" s="1"/>
  <c r="BT118" i="29"/>
  <c r="BU118" i="29" s="1"/>
  <c r="BT122" i="29"/>
  <c r="BU122" i="29" s="1"/>
  <c r="BT126" i="29"/>
  <c r="BU126" i="29" s="1"/>
  <c r="BT130" i="29"/>
  <c r="BU130" i="29" s="1"/>
  <c r="BT134" i="29"/>
  <c r="BU134" i="29" s="1"/>
  <c r="BT138" i="29"/>
  <c r="BU138" i="29" s="1"/>
  <c r="BT142" i="29"/>
  <c r="BU142" i="29" s="1"/>
  <c r="BT146" i="29"/>
  <c r="BU146" i="29" s="1"/>
  <c r="BT150" i="29"/>
  <c r="BU150" i="29" s="1"/>
  <c r="BT35" i="29"/>
  <c r="BU35" i="29" s="1"/>
  <c r="BT39" i="29"/>
  <c r="BU39" i="29" s="1"/>
  <c r="BT43" i="29"/>
  <c r="BU43" i="29" s="1"/>
  <c r="BT47" i="29"/>
  <c r="BU47" i="29" s="1"/>
  <c r="BT51" i="29"/>
  <c r="BU51" i="29" s="1"/>
  <c r="BT55" i="29"/>
  <c r="BU55" i="29" s="1"/>
  <c r="BT59" i="29"/>
  <c r="BU59" i="29" s="1"/>
  <c r="BT63" i="29"/>
  <c r="BU63" i="29" s="1"/>
  <c r="BT67" i="29"/>
  <c r="BU67" i="29" s="1"/>
  <c r="BT71" i="29"/>
  <c r="BU71" i="29" s="1"/>
  <c r="BT75" i="29"/>
  <c r="BU75" i="29" s="1"/>
  <c r="BT79" i="29"/>
  <c r="BU79" i="29" s="1"/>
  <c r="BT83" i="29"/>
  <c r="BU83" i="29" s="1"/>
  <c r="BT87" i="29"/>
  <c r="BU87" i="29" s="1"/>
  <c r="BT91" i="29"/>
  <c r="BU91" i="29" s="1"/>
  <c r="BT95" i="29"/>
  <c r="BU95" i="29" s="1"/>
  <c r="BT99" i="29"/>
  <c r="BU99" i="29" s="1"/>
  <c r="BT103" i="29"/>
  <c r="BU103" i="29" s="1"/>
  <c r="BT107" i="29"/>
  <c r="BU107" i="29" s="1"/>
  <c r="BT111" i="29"/>
  <c r="BU111" i="29" s="1"/>
  <c r="BT115" i="29"/>
  <c r="BU115" i="29" s="1"/>
  <c r="BT119" i="29"/>
  <c r="BU119" i="29" s="1"/>
  <c r="BT123" i="29"/>
  <c r="BU123" i="29" s="1"/>
  <c r="BT127" i="29"/>
  <c r="BU127" i="29" s="1"/>
  <c r="BT131" i="29"/>
  <c r="BU131" i="29" s="1"/>
  <c r="BT135" i="29"/>
  <c r="BU135" i="29" s="1"/>
  <c r="BT139" i="29"/>
  <c r="BU139" i="29" s="1"/>
  <c r="BT143" i="29"/>
  <c r="BU143" i="29" s="1"/>
  <c r="BT147" i="29"/>
  <c r="BU147" i="29" s="1"/>
  <c r="BT32" i="29"/>
  <c r="BU32" i="29" s="1"/>
  <c r="BT36" i="29"/>
  <c r="BU36" i="29" s="1"/>
  <c r="BT40" i="29"/>
  <c r="BU40" i="29" s="1"/>
  <c r="P222" i="23"/>
  <c r="P203" i="23" s="1"/>
  <c r="BL35" i="29"/>
  <c r="BL39" i="29"/>
  <c r="BL43" i="29"/>
  <c r="BL45" i="29"/>
  <c r="BL47" i="29"/>
  <c r="BL49" i="29"/>
  <c r="BL51" i="29"/>
  <c r="BL53" i="29"/>
  <c r="BL55" i="29"/>
  <c r="BL57" i="29"/>
  <c r="BL59" i="29"/>
  <c r="BL61" i="29"/>
  <c r="BL63" i="29"/>
  <c r="BL65" i="29"/>
  <c r="BL67" i="29"/>
  <c r="BL69" i="29"/>
  <c r="BL71" i="29"/>
  <c r="BL73" i="29"/>
  <c r="BL75" i="29"/>
  <c r="BL77" i="29"/>
  <c r="BL79" i="29"/>
  <c r="BL81" i="29"/>
  <c r="BL83" i="29"/>
  <c r="BL85" i="29"/>
  <c r="BL87" i="29"/>
  <c r="BL89" i="29"/>
  <c r="BL91" i="29"/>
  <c r="BL93" i="29"/>
  <c r="BL95" i="29"/>
  <c r="BL97" i="29"/>
  <c r="BL99" i="29"/>
  <c r="BL101" i="29"/>
  <c r="BL103" i="29"/>
  <c r="BL105" i="29"/>
  <c r="BL107" i="29"/>
  <c r="BL109" i="29"/>
  <c r="BL111" i="29"/>
  <c r="BL113" i="29"/>
  <c r="BL115" i="29"/>
  <c r="BL117" i="29"/>
  <c r="BL119" i="29"/>
  <c r="BL121" i="29"/>
  <c r="BL123" i="29"/>
  <c r="BL125" i="29"/>
  <c r="A120" i="26" s="1"/>
  <c r="BL127" i="29"/>
  <c r="A122" i="26" s="1"/>
  <c r="BL129" i="29"/>
  <c r="A124" i="26" s="1"/>
  <c r="BL131" i="29"/>
  <c r="A126" i="26" s="1"/>
  <c r="BL133" i="29"/>
  <c r="A128" i="26" s="1"/>
  <c r="BL135" i="29"/>
  <c r="A130" i="26" s="1"/>
  <c r="BL137" i="29"/>
  <c r="A132" i="26" s="1"/>
  <c r="BL139" i="29"/>
  <c r="A134" i="26" s="1"/>
  <c r="BL141" i="29"/>
  <c r="A136" i="26" s="1"/>
  <c r="BL143" i="29"/>
  <c r="A138" i="26" s="1"/>
  <c r="BL145" i="29"/>
  <c r="A140" i="26" s="1"/>
  <c r="BL147" i="29"/>
  <c r="A142" i="26" s="1"/>
  <c r="BL149" i="29"/>
  <c r="A144" i="26" s="1"/>
  <c r="BL32" i="29"/>
  <c r="BL150" i="29"/>
  <c r="A145" i="26" s="1"/>
  <c r="BL36" i="29"/>
  <c r="BL40" i="29"/>
  <c r="BL37" i="29"/>
  <c r="BL41" i="29"/>
  <c r="BL44" i="29"/>
  <c r="BL46" i="29"/>
  <c r="BL48" i="29"/>
  <c r="BL50" i="29"/>
  <c r="BL52" i="29"/>
  <c r="BL54" i="29"/>
  <c r="BL56" i="29"/>
  <c r="BL58" i="29"/>
  <c r="BL60" i="29"/>
  <c r="BL62" i="29"/>
  <c r="BL64" i="29"/>
  <c r="BL66" i="29"/>
  <c r="BL68" i="29"/>
  <c r="BL70" i="29"/>
  <c r="BL72" i="29"/>
  <c r="BL74" i="29"/>
  <c r="BL76" i="29"/>
  <c r="BL78" i="29"/>
  <c r="BL80" i="29"/>
  <c r="BL82" i="29"/>
  <c r="BL84" i="29"/>
  <c r="BL86" i="29"/>
  <c r="BL88" i="29"/>
  <c r="BL90" i="29"/>
  <c r="BL92" i="29"/>
  <c r="BL94" i="29"/>
  <c r="BL96" i="29"/>
  <c r="BL98" i="29"/>
  <c r="BL100" i="29"/>
  <c r="BL102" i="29"/>
  <c r="BL104" i="29"/>
  <c r="BL106" i="29"/>
  <c r="BL108" i="29"/>
  <c r="BL110" i="29"/>
  <c r="BL112" i="29"/>
  <c r="BL114" i="29"/>
  <c r="BL116" i="29"/>
  <c r="BL118" i="29"/>
  <c r="BL120" i="29"/>
  <c r="BL122" i="29"/>
  <c r="BL124" i="29"/>
  <c r="BL126" i="29"/>
  <c r="A121" i="26" s="1"/>
  <c r="BL128" i="29"/>
  <c r="A123" i="26" s="1"/>
  <c r="BL130" i="29"/>
  <c r="A125" i="26" s="1"/>
  <c r="BL132" i="29"/>
  <c r="A127" i="26" s="1"/>
  <c r="BL134" i="29"/>
  <c r="A129" i="26" s="1"/>
  <c r="BL136" i="29"/>
  <c r="A131" i="26" s="1"/>
  <c r="BL138" i="29"/>
  <c r="A133" i="26" s="1"/>
  <c r="BL140" i="29"/>
  <c r="A135" i="26" s="1"/>
  <c r="BL142" i="29"/>
  <c r="A137" i="26" s="1"/>
  <c r="BL144" i="29"/>
  <c r="A139" i="26" s="1"/>
  <c r="BL146" i="29"/>
  <c r="A141" i="26" s="1"/>
  <c r="BL148" i="29"/>
  <c r="A143" i="26" s="1"/>
  <c r="BL30" i="29"/>
  <c r="C31" i="29"/>
  <c r="BL34" i="29"/>
  <c r="BL38" i="29"/>
  <c r="BL42" i="29"/>
  <c r="BL33" i="29"/>
  <c r="AP30" i="29"/>
  <c r="BM30" i="29"/>
  <c r="AZ151" i="29"/>
  <c r="AO36" i="29"/>
  <c r="AO30" i="29"/>
  <c r="AO31" i="29"/>
  <c r="AO45" i="29"/>
  <c r="AO49" i="29"/>
  <c r="AO53" i="29"/>
  <c r="AO57" i="29"/>
  <c r="AO61" i="29"/>
  <c r="AO65" i="29"/>
  <c r="AO69" i="29"/>
  <c r="AO73" i="29"/>
  <c r="AO77" i="29"/>
  <c r="AO81" i="29"/>
  <c r="AO85" i="29"/>
  <c r="AO89" i="29"/>
  <c r="AO93" i="29"/>
  <c r="AO97" i="29"/>
  <c r="AO101" i="29"/>
  <c r="AO105" i="29"/>
  <c r="AO109" i="29"/>
  <c r="AO113" i="29"/>
  <c r="AO46" i="29"/>
  <c r="AO50" i="29"/>
  <c r="AO54" i="29"/>
  <c r="AO58" i="29"/>
  <c r="AO62" i="29"/>
  <c r="AO66" i="29"/>
  <c r="AO70" i="29"/>
  <c r="AO74" i="29"/>
  <c r="AO78" i="29"/>
  <c r="AO82" i="29"/>
  <c r="AO86" i="29"/>
  <c r="AO90" i="29"/>
  <c r="AO94" i="29"/>
  <c r="AO98" i="29"/>
  <c r="AO102" i="29"/>
  <c r="AO106" i="29"/>
  <c r="AO110" i="29"/>
  <c r="AO114" i="29"/>
  <c r="AO43" i="29"/>
  <c r="AO47" i="29"/>
  <c r="AO51" i="29"/>
  <c r="AO55" i="29"/>
  <c r="AO59" i="29"/>
  <c r="AO63" i="29"/>
  <c r="AO67" i="29"/>
  <c r="AO71" i="29"/>
  <c r="AO75" i="29"/>
  <c r="AO79" i="29"/>
  <c r="AO83" i="29"/>
  <c r="AO87" i="29"/>
  <c r="AO91" i="29"/>
  <c r="AO95" i="29"/>
  <c r="AO99" i="29"/>
  <c r="AO103" i="29"/>
  <c r="AO107" i="29"/>
  <c r="AO111" i="29"/>
  <c r="AO115" i="29"/>
  <c r="AO44" i="29"/>
  <c r="AO48" i="29"/>
  <c r="AO52" i="29"/>
  <c r="AO56" i="29"/>
  <c r="AO60" i="29"/>
  <c r="AO64" i="29"/>
  <c r="AO68" i="29"/>
  <c r="AO72" i="29"/>
  <c r="AO76" i="29"/>
  <c r="AO80" i="29"/>
  <c r="AO84" i="29"/>
  <c r="AO88" i="29"/>
  <c r="AO92" i="29"/>
  <c r="AO96" i="29"/>
  <c r="AO100" i="29"/>
  <c r="AO104" i="29"/>
  <c r="AO108" i="29"/>
  <c r="AO112" i="29"/>
  <c r="AO116" i="29"/>
  <c r="AO120" i="29"/>
  <c r="AO124" i="29"/>
  <c r="AO128" i="29"/>
  <c r="AO132" i="29"/>
  <c r="AO136" i="29"/>
  <c r="AO140" i="29"/>
  <c r="AO144" i="29"/>
  <c r="AO148" i="29"/>
  <c r="AO42" i="29"/>
  <c r="AO34" i="29"/>
  <c r="AO38" i="29"/>
  <c r="AO121" i="29"/>
  <c r="AO126" i="29"/>
  <c r="AO131" i="29"/>
  <c r="AO137" i="29"/>
  <c r="AO142" i="29"/>
  <c r="AO147" i="29"/>
  <c r="AO32" i="29"/>
  <c r="AO37" i="29"/>
  <c r="AO117" i="29"/>
  <c r="AO122" i="29"/>
  <c r="AO127" i="29"/>
  <c r="AO133" i="29"/>
  <c r="AO138" i="29"/>
  <c r="AO143" i="29"/>
  <c r="AO149" i="29"/>
  <c r="AO33" i="29"/>
  <c r="AO39" i="29"/>
  <c r="AO118" i="29"/>
  <c r="AO123" i="29"/>
  <c r="AO129" i="29"/>
  <c r="AO134" i="29"/>
  <c r="AO139" i="29"/>
  <c r="AO145" i="29"/>
  <c r="AO150" i="29"/>
  <c r="AO35" i="29"/>
  <c r="AO40" i="29"/>
  <c r="AO119" i="29"/>
  <c r="AO125" i="29"/>
  <c r="AO130" i="29"/>
  <c r="AO135" i="29"/>
  <c r="AO141" i="29"/>
  <c r="AO146" i="29"/>
  <c r="AO41" i="29"/>
  <c r="L31" i="29"/>
  <c r="AN8" i="29"/>
  <c r="L46" i="29"/>
  <c r="L50" i="29"/>
  <c r="L54" i="29"/>
  <c r="L58" i="29"/>
  <c r="L62" i="29"/>
  <c r="L66" i="29"/>
  <c r="L70" i="29"/>
  <c r="L74" i="29"/>
  <c r="L78" i="29"/>
  <c r="L82" i="29"/>
  <c r="L86" i="29"/>
  <c r="L90" i="29"/>
  <c r="L94" i="29"/>
  <c r="L98" i="29"/>
  <c r="L102" i="29"/>
  <c r="L106" i="29"/>
  <c r="L110" i="29"/>
  <c r="L114" i="29"/>
  <c r="L118" i="29"/>
  <c r="L122" i="29"/>
  <c r="L130" i="29"/>
  <c r="L138" i="29"/>
  <c r="L146" i="29"/>
  <c r="L144" i="29"/>
  <c r="L43" i="29"/>
  <c r="L47" i="29"/>
  <c r="L51" i="29"/>
  <c r="L55" i="29"/>
  <c r="L59" i="29"/>
  <c r="L63" i="29"/>
  <c r="L67" i="29"/>
  <c r="L71" i="29"/>
  <c r="L75" i="29"/>
  <c r="L79" i="29"/>
  <c r="L83" i="29"/>
  <c r="L87" i="29"/>
  <c r="L91" i="29"/>
  <c r="L95" i="29"/>
  <c r="L99" i="29"/>
  <c r="L103" i="29"/>
  <c r="L107" i="29"/>
  <c r="L111" i="29"/>
  <c r="L115" i="29"/>
  <c r="L119" i="29"/>
  <c r="L123" i="29"/>
  <c r="L127" i="29"/>
  <c r="L131" i="29"/>
  <c r="L135" i="29"/>
  <c r="L139" i="29"/>
  <c r="L143" i="29"/>
  <c r="L147" i="29"/>
  <c r="L148" i="29"/>
  <c r="L44" i="29"/>
  <c r="L48" i="29"/>
  <c r="L52" i="29"/>
  <c r="L56" i="29"/>
  <c r="L60" i="29"/>
  <c r="L64" i="29"/>
  <c r="L68" i="29"/>
  <c r="L72" i="29"/>
  <c r="L76" i="29"/>
  <c r="L80" i="29"/>
  <c r="L84" i="29"/>
  <c r="L88" i="29"/>
  <c r="L92" i="29"/>
  <c r="L96" i="29"/>
  <c r="L100" i="29"/>
  <c r="L104" i="29"/>
  <c r="L108" i="29"/>
  <c r="L112" i="29"/>
  <c r="L116" i="29"/>
  <c r="L120" i="29"/>
  <c r="L124" i="29"/>
  <c r="L128" i="29"/>
  <c r="L132" i="29"/>
  <c r="L136" i="29"/>
  <c r="L140" i="29"/>
  <c r="L45" i="29"/>
  <c r="L49" i="29"/>
  <c r="L53" i="29"/>
  <c r="L57" i="29"/>
  <c r="L61" i="29"/>
  <c r="L65" i="29"/>
  <c r="L69" i="29"/>
  <c r="L73" i="29"/>
  <c r="L77" i="29"/>
  <c r="L81" i="29"/>
  <c r="L85" i="29"/>
  <c r="L89" i="29"/>
  <c r="L93" i="29"/>
  <c r="L97" i="29"/>
  <c r="L101" i="29"/>
  <c r="L105" i="29"/>
  <c r="L109" i="29"/>
  <c r="L113" i="29"/>
  <c r="L117" i="29"/>
  <c r="L121" i="29"/>
  <c r="L125" i="29"/>
  <c r="L129" i="29"/>
  <c r="L133" i="29"/>
  <c r="L137" i="29"/>
  <c r="L141" i="29"/>
  <c r="L145" i="29"/>
  <c r="L149" i="29"/>
  <c r="L126" i="29"/>
  <c r="L134" i="29"/>
  <c r="L142" i="29"/>
  <c r="L150" i="29"/>
  <c r="F9" i="29"/>
  <c r="G9" i="29" s="1"/>
  <c r="H9" i="29" s="1"/>
  <c r="I9" i="29" s="1"/>
  <c r="AN11" i="29"/>
  <c r="C46" i="29"/>
  <c r="C50" i="29"/>
  <c r="C54" i="29"/>
  <c r="C58" i="29"/>
  <c r="C62" i="29"/>
  <c r="C66" i="29"/>
  <c r="C70" i="29"/>
  <c r="C74" i="29"/>
  <c r="C78" i="29"/>
  <c r="C82" i="29"/>
  <c r="C86" i="29"/>
  <c r="C90" i="29"/>
  <c r="C94" i="29"/>
  <c r="C98" i="29"/>
  <c r="C102" i="29"/>
  <c r="C106" i="29"/>
  <c r="C110" i="29"/>
  <c r="C114" i="29"/>
  <c r="C118" i="29"/>
  <c r="C122" i="29"/>
  <c r="C126" i="29"/>
  <c r="C130" i="29"/>
  <c r="C134" i="29"/>
  <c r="C138" i="29"/>
  <c r="C142" i="29"/>
  <c r="C146" i="29"/>
  <c r="C150" i="29"/>
  <c r="C52" i="29"/>
  <c r="C68" i="29"/>
  <c r="C84" i="29"/>
  <c r="C100" i="29"/>
  <c r="C108" i="29"/>
  <c r="C124" i="29"/>
  <c r="C136" i="29"/>
  <c r="C43" i="29"/>
  <c r="C47" i="29"/>
  <c r="C51" i="29"/>
  <c r="C55" i="29"/>
  <c r="C59" i="29"/>
  <c r="C63" i="29"/>
  <c r="C67" i="29"/>
  <c r="C71" i="29"/>
  <c r="C75" i="29"/>
  <c r="C79" i="29"/>
  <c r="C83" i="29"/>
  <c r="C87" i="29"/>
  <c r="C91" i="29"/>
  <c r="C95" i="29"/>
  <c r="C99" i="29"/>
  <c r="C103" i="29"/>
  <c r="C107" i="29"/>
  <c r="C111" i="29"/>
  <c r="C115" i="29"/>
  <c r="C119" i="29"/>
  <c r="C123" i="29"/>
  <c r="C127" i="29"/>
  <c r="C131" i="29"/>
  <c r="C135" i="29"/>
  <c r="C139" i="29"/>
  <c r="C143" i="29"/>
  <c r="C147" i="29"/>
  <c r="C44" i="29"/>
  <c r="C60" i="29"/>
  <c r="C80" i="29"/>
  <c r="C92" i="29"/>
  <c r="C112" i="29"/>
  <c r="C120" i="29"/>
  <c r="C140" i="29"/>
  <c r="C56" i="29"/>
  <c r="C72" i="29"/>
  <c r="C88" i="29"/>
  <c r="C104" i="29"/>
  <c r="C132" i="29"/>
  <c r="C148" i="29"/>
  <c r="C45" i="29"/>
  <c r="C49" i="29"/>
  <c r="C53" i="29"/>
  <c r="C57" i="29"/>
  <c r="C61" i="29"/>
  <c r="C65" i="29"/>
  <c r="C69" i="29"/>
  <c r="C73" i="29"/>
  <c r="C77" i="29"/>
  <c r="C81" i="29"/>
  <c r="C85" i="29"/>
  <c r="C89" i="29"/>
  <c r="C93" i="29"/>
  <c r="C97" i="29"/>
  <c r="C101" i="29"/>
  <c r="C105" i="29"/>
  <c r="C109" i="29"/>
  <c r="C113" i="29"/>
  <c r="C117" i="29"/>
  <c r="C121" i="29"/>
  <c r="C125" i="29"/>
  <c r="C129" i="29"/>
  <c r="C133" i="29"/>
  <c r="C137" i="29"/>
  <c r="C141" i="29"/>
  <c r="C145" i="29"/>
  <c r="C149" i="29"/>
  <c r="C48" i="29"/>
  <c r="C64" i="29"/>
  <c r="C76" i="29"/>
  <c r="C96" i="29"/>
  <c r="C116" i="29"/>
  <c r="C128" i="29"/>
  <c r="C144" i="29"/>
  <c r="L38" i="29"/>
  <c r="L42" i="29"/>
  <c r="L35" i="29"/>
  <c r="L39" i="29"/>
  <c r="L36" i="29"/>
  <c r="L40" i="29"/>
  <c r="L37" i="29"/>
  <c r="L41" i="29"/>
  <c r="L34" i="29"/>
  <c r="L33" i="29"/>
  <c r="M29" i="29"/>
  <c r="N29" i="29"/>
  <c r="AK18" i="33"/>
  <c r="Z18" i="33"/>
  <c r="AK15" i="33"/>
  <c r="Z15" i="33"/>
  <c r="AE14" i="33"/>
  <c r="Z14" i="33"/>
  <c r="AK12" i="33"/>
  <c r="Z12" i="33"/>
  <c r="AK11" i="33"/>
  <c r="Z11" i="33"/>
  <c r="T7" i="6"/>
  <c r="V10" i="6" s="1"/>
  <c r="I13" i="6"/>
  <c r="E5" i="7" s="1"/>
  <c r="E6" i="5"/>
  <c r="A6" i="5" s="1"/>
  <c r="AK13" i="33"/>
  <c r="AK14" i="33"/>
  <c r="AE16" i="33"/>
  <c r="U15" i="33"/>
  <c r="AE12" i="33"/>
  <c r="AE18" i="33"/>
  <c r="AE13" i="33"/>
  <c r="C42" i="29"/>
  <c r="C35" i="29"/>
  <c r="C38" i="29"/>
  <c r="C41" i="29"/>
  <c r="C37" i="29"/>
  <c r="C33" i="29"/>
  <c r="C32" i="29"/>
  <c r="C36" i="29"/>
  <c r="L32" i="29"/>
  <c r="C39" i="29"/>
  <c r="C34" i="29"/>
  <c r="C40" i="29"/>
  <c r="E3" i="5"/>
  <c r="F2" i="5" s="1"/>
  <c r="F1" i="5" s="1"/>
  <c r="D30" i="7"/>
  <c r="D10" i="7"/>
  <c r="D8" i="7"/>
  <c r="D33" i="7"/>
  <c r="D9" i="7"/>
  <c r="D7" i="7"/>
  <c r="D31" i="7"/>
  <c r="D28" i="7"/>
  <c r="D11" i="7"/>
  <c r="D32" i="7"/>
  <c r="B13" i="17"/>
  <c r="L12" i="17"/>
  <c r="AE11" i="33"/>
  <c r="B11" i="28"/>
  <c r="F4" i="17"/>
  <c r="E3" i="17" s="1"/>
  <c r="G3" i="17" s="1"/>
  <c r="M9" i="17"/>
  <c r="N9" i="17"/>
  <c r="Q9" i="17" s="1"/>
  <c r="F5" i="17"/>
  <c r="F2" i="17"/>
  <c r="E2" i="17" s="1"/>
  <c r="G2" i="17" s="1"/>
  <c r="K4" i="5" l="1"/>
  <c r="J4" i="5"/>
  <c r="N6" i="5" s="1"/>
  <c r="A29" i="26"/>
  <c r="A61" i="26"/>
  <c r="A53" i="26"/>
  <c r="A45" i="26"/>
  <c r="A36" i="26"/>
  <c r="A35" i="26"/>
  <c r="A56" i="26"/>
  <c r="A48" i="26"/>
  <c r="A40" i="26"/>
  <c r="A59" i="26"/>
  <c r="A51" i="26"/>
  <c r="A43" i="26"/>
  <c r="A32" i="26"/>
  <c r="A31" i="26"/>
  <c r="A54" i="26"/>
  <c r="A46" i="26"/>
  <c r="A38" i="26"/>
  <c r="A26" i="26"/>
  <c r="A28" i="26"/>
  <c r="A37" i="26"/>
  <c r="A57" i="26"/>
  <c r="A49" i="26"/>
  <c r="A41" i="26"/>
  <c r="A60" i="26"/>
  <c r="A52" i="26"/>
  <c r="A44" i="26"/>
  <c r="A34" i="26"/>
  <c r="A33" i="26"/>
  <c r="A55" i="26"/>
  <c r="A47" i="26"/>
  <c r="A39" i="26"/>
  <c r="A27" i="26"/>
  <c r="A58" i="26"/>
  <c r="A50" i="26"/>
  <c r="A42" i="26"/>
  <c r="A30" i="26"/>
  <c r="O11" i="51"/>
  <c r="R11" i="51" s="1"/>
  <c r="O10" i="51"/>
  <c r="R10" i="51" s="1"/>
  <c r="P11" i="51"/>
  <c r="S11" i="51" s="1"/>
  <c r="P10" i="51"/>
  <c r="S10" i="51" s="1"/>
  <c r="P11" i="52"/>
  <c r="S11" i="52" s="1"/>
  <c r="O10" i="52"/>
  <c r="R10" i="52" s="1"/>
  <c r="O11" i="52"/>
  <c r="R11" i="52" s="1"/>
  <c r="P10" i="52"/>
  <c r="S10" i="52" s="1"/>
  <c r="B13" i="51"/>
  <c r="L12" i="51"/>
  <c r="C12" i="51"/>
  <c r="D12" i="51" s="1"/>
  <c r="O12" i="51"/>
  <c r="R12" i="51" s="1"/>
  <c r="B13" i="52"/>
  <c r="L12" i="52"/>
  <c r="C12" i="52"/>
  <c r="D12" i="52" s="1"/>
  <c r="N12" i="52" s="1"/>
  <c r="P12" i="52" s="1"/>
  <c r="O12" i="52"/>
  <c r="R12" i="52" s="1"/>
  <c r="O12" i="50"/>
  <c r="R12" i="50" s="1"/>
  <c r="P10" i="50"/>
  <c r="S10" i="50" s="1"/>
  <c r="P12" i="50"/>
  <c r="P11" i="50"/>
  <c r="S11" i="50" s="1"/>
  <c r="O10" i="50"/>
  <c r="R10" i="50" s="1"/>
  <c r="M12" i="50"/>
  <c r="O13" i="50" s="1"/>
  <c r="Q12" i="50"/>
  <c r="B14" i="50"/>
  <c r="L13" i="50"/>
  <c r="C13" i="50"/>
  <c r="D13" i="50" s="1"/>
  <c r="N13" i="50" s="1"/>
  <c r="Q13" i="50" s="1"/>
  <c r="AI20" i="33"/>
  <c r="AI15" i="33"/>
  <c r="AI31" i="33"/>
  <c r="AI22" i="33"/>
  <c r="AI39" i="33"/>
  <c r="AI12" i="33"/>
  <c r="AI35" i="33"/>
  <c r="AI33" i="33"/>
  <c r="AI14" i="33"/>
  <c r="AI34" i="33"/>
  <c r="AI23" i="33"/>
  <c r="AI44" i="33"/>
  <c r="AI42" i="33"/>
  <c r="AI11" i="33"/>
  <c r="AI13" i="33"/>
  <c r="AI36" i="33"/>
  <c r="AI38" i="33"/>
  <c r="AI40" i="33"/>
  <c r="AI41" i="33"/>
  <c r="AI16" i="33"/>
  <c r="AI21" i="33"/>
  <c r="AI18" i="33"/>
  <c r="AI19" i="33"/>
  <c r="AI17" i="33"/>
  <c r="AI37" i="33"/>
  <c r="AI32" i="33"/>
  <c r="AI43" i="33"/>
  <c r="P11" i="46"/>
  <c r="S11" i="46" s="1"/>
  <c r="O11" i="46"/>
  <c r="R11" i="46" s="1"/>
  <c r="P10" i="46"/>
  <c r="S10" i="46" s="1"/>
  <c r="O10" i="46"/>
  <c r="R10" i="46" s="1"/>
  <c r="O11" i="45"/>
  <c r="R11" i="45" s="1"/>
  <c r="P10" i="45"/>
  <c r="S10" i="45" s="1"/>
  <c r="O10" i="45"/>
  <c r="R10" i="45" s="1"/>
  <c r="P11" i="45"/>
  <c r="S11" i="45" s="1"/>
  <c r="P11" i="43"/>
  <c r="S11" i="43" s="1"/>
  <c r="O11" i="43"/>
  <c r="R11" i="43" s="1"/>
  <c r="P10" i="43"/>
  <c r="S10" i="43" s="1"/>
  <c r="O10" i="43"/>
  <c r="R10" i="43" s="1"/>
  <c r="O11" i="44"/>
  <c r="R11" i="44" s="1"/>
  <c r="P10" i="44"/>
  <c r="S10" i="44" s="1"/>
  <c r="P11" i="44"/>
  <c r="S11" i="44" s="1"/>
  <c r="O10" i="44"/>
  <c r="R10" i="44" s="1"/>
  <c r="B13" i="46"/>
  <c r="L12" i="46"/>
  <c r="C12" i="46"/>
  <c r="D12" i="46" s="1"/>
  <c r="N12" i="46" s="1"/>
  <c r="Q12" i="46" s="1"/>
  <c r="O12" i="46"/>
  <c r="R12" i="46" s="1"/>
  <c r="B13" i="45"/>
  <c r="L12" i="45"/>
  <c r="C12" i="45"/>
  <c r="D12" i="45" s="1"/>
  <c r="N12" i="45" s="1"/>
  <c r="Q12" i="45" s="1"/>
  <c r="O12" i="45"/>
  <c r="R12" i="45" s="1"/>
  <c r="B13" i="43"/>
  <c r="L12" i="43"/>
  <c r="C12" i="43"/>
  <c r="D12" i="43" s="1"/>
  <c r="O12" i="43"/>
  <c r="R12" i="43" s="1"/>
  <c r="B13" i="44"/>
  <c r="L12" i="44"/>
  <c r="C12" i="44"/>
  <c r="D12" i="44" s="1"/>
  <c r="O12" i="44"/>
  <c r="R12" i="44" s="1"/>
  <c r="B27" i="28"/>
  <c r="A105" i="26"/>
  <c r="A97" i="26"/>
  <c r="A89" i="26"/>
  <c r="A81" i="26"/>
  <c r="A73" i="26"/>
  <c r="A65" i="26"/>
  <c r="A104" i="26"/>
  <c r="A96" i="26"/>
  <c r="A88" i="26"/>
  <c r="A80" i="26"/>
  <c r="A72" i="26"/>
  <c r="A64" i="26"/>
  <c r="A103" i="26"/>
  <c r="A95" i="26"/>
  <c r="A87" i="26"/>
  <c r="A79" i="26"/>
  <c r="A71" i="26"/>
  <c r="A63" i="26"/>
  <c r="A102" i="26"/>
  <c r="A94" i="26"/>
  <c r="A86" i="26"/>
  <c r="A78" i="26"/>
  <c r="A70" i="26"/>
  <c r="A62" i="26"/>
  <c r="A109" i="26"/>
  <c r="A101" i="26"/>
  <c r="A93" i="26"/>
  <c r="A85" i="26"/>
  <c r="A77" i="26"/>
  <c r="A69" i="26"/>
  <c r="A108" i="26"/>
  <c r="A100" i="26"/>
  <c r="A92" i="26"/>
  <c r="A84" i="26"/>
  <c r="A76" i="26"/>
  <c r="A68" i="26"/>
  <c r="A107" i="26"/>
  <c r="A99" i="26"/>
  <c r="A91" i="26"/>
  <c r="A83" i="26"/>
  <c r="A75" i="26"/>
  <c r="A67" i="26"/>
  <c r="A106" i="26"/>
  <c r="A98" i="26"/>
  <c r="A90" i="26"/>
  <c r="A82" i="26"/>
  <c r="A74" i="26"/>
  <c r="A66" i="26"/>
  <c r="M8" i="5"/>
  <c r="N8" i="5"/>
  <c r="C16" i="29" s="1"/>
  <c r="I8" i="5"/>
  <c r="I2" i="5" s="1"/>
  <c r="O8" i="5"/>
  <c r="P8" i="5" s="1"/>
  <c r="A117" i="26"/>
  <c r="A112" i="26"/>
  <c r="A115" i="26"/>
  <c r="A118" i="26"/>
  <c r="A110" i="26"/>
  <c r="A113" i="26"/>
  <c r="A116" i="26"/>
  <c r="A119" i="26"/>
  <c r="A111" i="26"/>
  <c r="A114" i="26"/>
  <c r="AA29" i="29"/>
  <c r="AY29" i="29"/>
  <c r="Q29" i="29"/>
  <c r="F10" i="29"/>
  <c r="G10" i="29" s="1"/>
  <c r="F11" i="29" s="1"/>
  <c r="G11" i="29" s="1"/>
  <c r="H11" i="29" s="1"/>
  <c r="I11" i="29" s="1"/>
  <c r="V11" i="6"/>
  <c r="U8" i="5"/>
  <c r="N7" i="7" s="1"/>
  <c r="A12" i="6"/>
  <c r="G11" i="6" s="1"/>
  <c r="G10" i="6" s="1"/>
  <c r="S8" i="5"/>
  <c r="S2" i="5" s="1"/>
  <c r="F8" i="5"/>
  <c r="V8" i="5"/>
  <c r="U18" i="33"/>
  <c r="AE15" i="33"/>
  <c r="D13" i="7"/>
  <c r="D16" i="7" s="1"/>
  <c r="D34" i="7"/>
  <c r="C3" i="7"/>
  <c r="J7" i="7" s="1"/>
  <c r="B14" i="17"/>
  <c r="L13" i="17"/>
  <c r="E4" i="17"/>
  <c r="G4" i="17" s="1"/>
  <c r="I2" i="17"/>
  <c r="I4" i="17" l="1"/>
  <c r="E1" i="17" s="1"/>
  <c r="B1" i="17"/>
  <c r="Q12" i="52"/>
  <c r="S12" i="52" s="1"/>
  <c r="T12" i="52" s="1"/>
  <c r="M12" i="52"/>
  <c r="O13" i="52" s="1"/>
  <c r="B14" i="52"/>
  <c r="L13" i="52"/>
  <c r="C13" i="52"/>
  <c r="D13" i="52" s="1"/>
  <c r="N13" i="52" s="1"/>
  <c r="Q13" i="52" s="1"/>
  <c r="T11" i="52"/>
  <c r="T11" i="51"/>
  <c r="C13" i="51"/>
  <c r="D13" i="51" s="1"/>
  <c r="N13" i="51" s="1"/>
  <c r="N12" i="51"/>
  <c r="M12" i="51"/>
  <c r="B14" i="51"/>
  <c r="L13" i="51"/>
  <c r="E8" i="10"/>
  <c r="T11" i="50"/>
  <c r="S12" i="50"/>
  <c r="T12" i="50" s="1"/>
  <c r="R13" i="50"/>
  <c r="M13" i="50"/>
  <c r="O14" i="50" s="1"/>
  <c r="R14" i="50" s="1"/>
  <c r="P13" i="50"/>
  <c r="S13" i="50" s="1"/>
  <c r="B15" i="50"/>
  <c r="L14" i="50"/>
  <c r="C14" i="50"/>
  <c r="D14" i="50" s="1"/>
  <c r="N14" i="50" s="1"/>
  <c r="Q14" i="50" s="1"/>
  <c r="T11" i="44"/>
  <c r="T11" i="43"/>
  <c r="T11" i="46"/>
  <c r="P12" i="45"/>
  <c r="S12" i="45" s="1"/>
  <c r="T12" i="45" s="1"/>
  <c r="M12" i="45"/>
  <c r="O13" i="45" s="1"/>
  <c r="R13" i="45" s="1"/>
  <c r="P12" i="46"/>
  <c r="S12" i="46" s="1"/>
  <c r="T12" i="46" s="1"/>
  <c r="C13" i="44"/>
  <c r="D13" i="44" s="1"/>
  <c r="N13" i="44" s="1"/>
  <c r="Q13" i="44" s="1"/>
  <c r="N12" i="44"/>
  <c r="M12" i="44"/>
  <c r="T11" i="45"/>
  <c r="B14" i="44"/>
  <c r="L13" i="44"/>
  <c r="M12" i="43"/>
  <c r="N12" i="43"/>
  <c r="L13" i="45"/>
  <c r="B14" i="45"/>
  <c r="C13" i="45"/>
  <c r="D13" i="45" s="1"/>
  <c r="N13" i="45" s="1"/>
  <c r="B14" i="43"/>
  <c r="L13" i="43"/>
  <c r="C13" i="43"/>
  <c r="D13" i="43" s="1"/>
  <c r="M12" i="46"/>
  <c r="O13" i="46" s="1"/>
  <c r="R13" i="46" s="1"/>
  <c r="B14" i="46"/>
  <c r="L13" i="46"/>
  <c r="C13" i="46"/>
  <c r="D13" i="46" s="1"/>
  <c r="N13" i="46" s="1"/>
  <c r="Q13" i="46" s="1"/>
  <c r="T13" i="32"/>
  <c r="X13" i="32" s="1"/>
  <c r="AB13" i="32" s="1"/>
  <c r="AC13" i="32" s="1"/>
  <c r="AH13" i="32" s="1"/>
  <c r="T17" i="32"/>
  <c r="X17" i="32" s="1"/>
  <c r="AB17" i="32" s="1"/>
  <c r="AG219" i="38"/>
  <c r="T24" i="32"/>
  <c r="X24" i="32" s="1"/>
  <c r="AB24" i="32" s="1"/>
  <c r="T23" i="32"/>
  <c r="X23" i="32" s="1"/>
  <c r="AB23" i="32" s="1"/>
  <c r="H10" i="29"/>
  <c r="I10" i="29" s="1"/>
  <c r="I12" i="29" s="1"/>
  <c r="B12" i="29" s="1"/>
  <c r="AN12" i="29" s="1"/>
  <c r="F1" i="17"/>
  <c r="AF8" i="33"/>
  <c r="AF38" i="33" s="1"/>
  <c r="AJ38" i="33" s="1"/>
  <c r="AL38" i="33" s="1"/>
  <c r="T22" i="32"/>
  <c r="X22" i="32" s="1"/>
  <c r="AB22" i="32" s="1"/>
  <c r="T20" i="32"/>
  <c r="X20" i="32" s="1"/>
  <c r="AB20" i="32" s="1"/>
  <c r="T21" i="32"/>
  <c r="X21" i="32" s="1"/>
  <c r="AB21" i="32" s="1"/>
  <c r="AD21" i="32" s="1"/>
  <c r="R8" i="5"/>
  <c r="N5" i="5"/>
  <c r="L10" i="6"/>
  <c r="S2" i="6" s="1"/>
  <c r="H13" i="6"/>
  <c r="H8" i="6" s="1"/>
  <c r="K13" i="6"/>
  <c r="K9" i="6" s="1"/>
  <c r="K8" i="6" s="1"/>
  <c r="N4" i="5"/>
  <c r="M11" i="6"/>
  <c r="A1" i="21"/>
  <c r="B1" i="21"/>
  <c r="C7" i="32"/>
  <c r="T15" i="32"/>
  <c r="X15" i="32" s="1"/>
  <c r="AB15" i="32" s="1"/>
  <c r="AE15" i="32" s="1"/>
  <c r="C7" i="33"/>
  <c r="I5" i="33" s="1"/>
  <c r="K5" i="33" s="1"/>
  <c r="K7" i="33" s="1"/>
  <c r="D17" i="7"/>
  <c r="T18" i="32"/>
  <c r="X18" i="32" s="1"/>
  <c r="AB18" i="32" s="1"/>
  <c r="AC18" i="32" s="1"/>
  <c r="AH18" i="32" s="1"/>
  <c r="T14" i="32"/>
  <c r="X14" i="32" s="1"/>
  <c r="AB14" i="32" s="1"/>
  <c r="AC14" i="32" s="1"/>
  <c r="AH14" i="32" s="1"/>
  <c r="T16" i="32"/>
  <c r="X16" i="32" s="1"/>
  <c r="AB16" i="32" s="1"/>
  <c r="AE16" i="32" s="1"/>
  <c r="T12" i="32"/>
  <c r="X12" i="32" s="1"/>
  <c r="AB12" i="32" s="1"/>
  <c r="AE12" i="32" s="1"/>
  <c r="T11" i="32"/>
  <c r="X11" i="32" s="1"/>
  <c r="T19" i="32"/>
  <c r="X19" i="32" s="1"/>
  <c r="AB19" i="32" s="1"/>
  <c r="AD19" i="32" s="1"/>
  <c r="L14" i="17"/>
  <c r="B15" i="17"/>
  <c r="R13" i="52" l="1"/>
  <c r="M13" i="51"/>
  <c r="O14" i="51" s="1"/>
  <c r="P13" i="51"/>
  <c r="P13" i="52"/>
  <c r="S13" i="52" s="1"/>
  <c r="Q13" i="51"/>
  <c r="O13" i="51"/>
  <c r="Q12" i="51"/>
  <c r="P12" i="51"/>
  <c r="B15" i="51"/>
  <c r="L14" i="51"/>
  <c r="C14" i="51"/>
  <c r="D14" i="51" s="1"/>
  <c r="N14" i="51" s="1"/>
  <c r="Q14" i="51" s="1"/>
  <c r="B15" i="52"/>
  <c r="L14" i="52"/>
  <c r="C14" i="52"/>
  <c r="D14" i="52" s="1"/>
  <c r="N14" i="52" s="1"/>
  <c r="Q14" i="52" s="1"/>
  <c r="M13" i="52"/>
  <c r="O14" i="52" s="1"/>
  <c r="R14" i="52" s="1"/>
  <c r="T13" i="50"/>
  <c r="P14" i="50"/>
  <c r="S14" i="50" s="1"/>
  <c r="T14" i="50" s="1"/>
  <c r="B16" i="50"/>
  <c r="L15" i="50"/>
  <c r="C15" i="50"/>
  <c r="D15" i="50" s="1"/>
  <c r="N15" i="50" s="1"/>
  <c r="Q15" i="50" s="1"/>
  <c r="M14" i="50"/>
  <c r="O15" i="50" s="1"/>
  <c r="R15" i="50" s="1"/>
  <c r="P13" i="45"/>
  <c r="M13" i="46"/>
  <c r="O14" i="46" s="1"/>
  <c r="R14" i="46" s="1"/>
  <c r="P13" i="46"/>
  <c r="S13" i="46" s="1"/>
  <c r="T13" i="46" s="1"/>
  <c r="Q13" i="45"/>
  <c r="P13" i="44"/>
  <c r="S13" i="44" s="1"/>
  <c r="M13" i="44"/>
  <c r="O14" i="44" s="1"/>
  <c r="R14" i="44" s="1"/>
  <c r="B15" i="43"/>
  <c r="L14" i="43"/>
  <c r="C14" i="43"/>
  <c r="D14" i="43" s="1"/>
  <c r="O13" i="43"/>
  <c r="Q12" i="43"/>
  <c r="P12" i="43"/>
  <c r="O13" i="44"/>
  <c r="L14" i="46"/>
  <c r="B15" i="46"/>
  <c r="C14" i="46"/>
  <c r="D14" i="46" s="1"/>
  <c r="N14" i="46" s="1"/>
  <c r="Q14" i="46" s="1"/>
  <c r="M13" i="43"/>
  <c r="N13" i="43"/>
  <c r="B15" i="45"/>
  <c r="L14" i="45"/>
  <c r="C14" i="45"/>
  <c r="D14" i="45" s="1"/>
  <c r="N14" i="45" s="1"/>
  <c r="Q12" i="44"/>
  <c r="P12" i="44"/>
  <c r="M13" i="45"/>
  <c r="O14" i="45" s="1"/>
  <c r="B15" i="44"/>
  <c r="L14" i="44"/>
  <c r="C14" i="44"/>
  <c r="D14" i="44" s="1"/>
  <c r="N14" i="44" s="1"/>
  <c r="Q14" i="44" s="1"/>
  <c r="AD17" i="32"/>
  <c r="AE17" i="32"/>
  <c r="AC17" i="32"/>
  <c r="AH17" i="32" s="1"/>
  <c r="AF35" i="33"/>
  <c r="AJ35" i="33" s="1"/>
  <c r="AL35" i="33" s="1"/>
  <c r="AP35" i="33" s="1"/>
  <c r="AF39" i="33"/>
  <c r="AJ39" i="33" s="1"/>
  <c r="AL39" i="33" s="1"/>
  <c r="AT39" i="33" s="1"/>
  <c r="AF34" i="33"/>
  <c r="AJ34" i="33" s="1"/>
  <c r="AL34" i="33" s="1"/>
  <c r="AP34" i="33" s="1"/>
  <c r="AR34" i="33" s="1"/>
  <c r="AX34" i="33" s="1"/>
  <c r="AF11" i="33"/>
  <c r="AJ11" i="33" s="1"/>
  <c r="AF12" i="33"/>
  <c r="AJ12" i="33" s="1"/>
  <c r="AF24" i="33"/>
  <c r="AJ24" i="33" s="1"/>
  <c r="AL24" i="33" s="1"/>
  <c r="AP24" i="33" s="1"/>
  <c r="AF23" i="33"/>
  <c r="AJ23" i="33" s="1"/>
  <c r="AL23" i="33" s="1"/>
  <c r="AP23" i="33" s="1"/>
  <c r="AF43" i="33"/>
  <c r="AJ43" i="33" s="1"/>
  <c r="AL43" i="33" s="1"/>
  <c r="AF44" i="33"/>
  <c r="AJ44" i="33" s="1"/>
  <c r="AL44" i="33" s="1"/>
  <c r="AD23" i="32"/>
  <c r="AC23" i="32"/>
  <c r="AH23" i="32" s="1"/>
  <c r="AE23" i="32"/>
  <c r="AE24" i="32"/>
  <c r="AD24" i="32"/>
  <c r="AC24" i="32"/>
  <c r="AF16" i="33"/>
  <c r="AJ16" i="33" s="1"/>
  <c r="AF37" i="33"/>
  <c r="AJ37" i="33" s="1"/>
  <c r="AL37" i="33" s="1"/>
  <c r="AP37" i="33" s="1"/>
  <c r="AF19" i="33"/>
  <c r="AJ19" i="33" s="1"/>
  <c r="AL19" i="33" s="1"/>
  <c r="AP19" i="33" s="1"/>
  <c r="AF15" i="33"/>
  <c r="AJ15" i="33" s="1"/>
  <c r="AF32" i="33"/>
  <c r="AJ32" i="33" s="1"/>
  <c r="AL32" i="33" s="1"/>
  <c r="AP32" i="33" s="1"/>
  <c r="AQ32" i="33" s="1"/>
  <c r="AV32" i="33" s="1"/>
  <c r="AF18" i="33"/>
  <c r="AJ18" i="33" s="1"/>
  <c r="AF14" i="33"/>
  <c r="AJ14" i="33" s="1"/>
  <c r="AF33" i="33"/>
  <c r="AJ33" i="33" s="1"/>
  <c r="AL33" i="33" s="1"/>
  <c r="AP33" i="33" s="1"/>
  <c r="AQ33" i="33" s="1"/>
  <c r="AV33" i="33" s="1"/>
  <c r="AF21" i="33"/>
  <c r="AJ21" i="33" s="1"/>
  <c r="AL21" i="33" s="1"/>
  <c r="B31" i="29"/>
  <c r="D31" i="29" s="1"/>
  <c r="B32" i="29" s="1"/>
  <c r="AF20" i="33"/>
  <c r="AJ20" i="33" s="1"/>
  <c r="AL20" i="33" s="1"/>
  <c r="AP20" i="33" s="1"/>
  <c r="AS20" i="33" s="1"/>
  <c r="AF17" i="33"/>
  <c r="AJ17" i="33" s="1"/>
  <c r="AL17" i="33" s="1"/>
  <c r="AP17" i="33" s="1"/>
  <c r="AF36" i="33"/>
  <c r="AJ36" i="33" s="1"/>
  <c r="AL36" i="33" s="1"/>
  <c r="AT36" i="33" s="1"/>
  <c r="AF31" i="33"/>
  <c r="AJ31" i="33" s="1"/>
  <c r="AL31" i="33" s="1"/>
  <c r="AP31" i="33" s="1"/>
  <c r="AS31" i="33" s="1"/>
  <c r="AF13" i="33"/>
  <c r="AJ13" i="33" s="1"/>
  <c r="AF22" i="33"/>
  <c r="AJ22" i="33" s="1"/>
  <c r="AL22" i="33" s="1"/>
  <c r="D11" i="17"/>
  <c r="D20" i="4"/>
  <c r="AC21" i="32"/>
  <c r="AH21" i="32" s="1"/>
  <c r="AE21" i="32"/>
  <c r="AD20" i="32"/>
  <c r="AC20" i="32"/>
  <c r="AH20" i="32" s="1"/>
  <c r="AE20" i="32"/>
  <c r="AD22" i="32"/>
  <c r="AE22" i="32"/>
  <c r="AC22" i="32"/>
  <c r="AH22" i="32" s="1"/>
  <c r="AF40" i="33"/>
  <c r="AJ40" i="33" s="1"/>
  <c r="AL40" i="33" s="1"/>
  <c r="AF42" i="33"/>
  <c r="AJ42" i="33" s="1"/>
  <c r="AL42" i="33" s="1"/>
  <c r="AF41" i="33"/>
  <c r="AJ41" i="33" s="1"/>
  <c r="AL41" i="33" s="1"/>
  <c r="N2" i="5"/>
  <c r="AB11" i="32"/>
  <c r="AC11" i="32" s="1"/>
  <c r="M10" i="6"/>
  <c r="M9" i="6" s="1"/>
  <c r="M8" i="6" s="1"/>
  <c r="AP38" i="33"/>
  <c r="AT38" i="33"/>
  <c r="AE18" i="32"/>
  <c r="I18" i="32" s="1"/>
  <c r="AC16" i="32"/>
  <c r="AH16" i="32" s="1"/>
  <c r="E16" i="32" s="1"/>
  <c r="AC15" i="32"/>
  <c r="AH15" i="32" s="1"/>
  <c r="C15" i="32" s="1"/>
  <c r="AE14" i="32"/>
  <c r="I14" i="32" s="1"/>
  <c r="AE13" i="32"/>
  <c r="I13" i="32" s="1"/>
  <c r="AC12" i="32"/>
  <c r="F12" i="32" s="1"/>
  <c r="AE19" i="32"/>
  <c r="AC19" i="32"/>
  <c r="AH19" i="32" s="1"/>
  <c r="D19" i="32" s="1"/>
  <c r="F13" i="32"/>
  <c r="D13" i="32"/>
  <c r="E13" i="32"/>
  <c r="H13" i="32"/>
  <c r="B13" i="32"/>
  <c r="AD13" i="32" s="1"/>
  <c r="G13" i="32" s="1"/>
  <c r="C13" i="32"/>
  <c r="B16" i="17"/>
  <c r="L15" i="17"/>
  <c r="E14" i="32"/>
  <c r="F14" i="32"/>
  <c r="C14" i="32"/>
  <c r="H14" i="32"/>
  <c r="D14" i="32"/>
  <c r="B14" i="32"/>
  <c r="AD14" i="32" s="1"/>
  <c r="G14" i="32" s="1"/>
  <c r="E18" i="32"/>
  <c r="C18" i="32"/>
  <c r="B18" i="32"/>
  <c r="AD18" i="32" s="1"/>
  <c r="G18" i="32" s="1"/>
  <c r="D18" i="32"/>
  <c r="F18" i="32"/>
  <c r="H18" i="32"/>
  <c r="C11" i="17"/>
  <c r="T13" i="52" l="1"/>
  <c r="S13" i="51"/>
  <c r="M14" i="52"/>
  <c r="O15" i="52" s="1"/>
  <c r="R15" i="52" s="1"/>
  <c r="R14" i="51"/>
  <c r="S12" i="51"/>
  <c r="T12" i="51" s="1"/>
  <c r="P14" i="52"/>
  <c r="S14" i="52" s="1"/>
  <c r="T14" i="52" s="1"/>
  <c r="R13" i="51"/>
  <c r="P14" i="51"/>
  <c r="S14" i="51" s="1"/>
  <c r="L15" i="52"/>
  <c r="B16" i="52"/>
  <c r="C15" i="52"/>
  <c r="D15" i="52" s="1"/>
  <c r="N15" i="52" s="1"/>
  <c r="M14" i="51"/>
  <c r="O15" i="51" s="1"/>
  <c r="R15" i="51" s="1"/>
  <c r="B16" i="51"/>
  <c r="L15" i="51"/>
  <c r="C15" i="51"/>
  <c r="D15" i="51" s="1"/>
  <c r="N15" i="51" s="1"/>
  <c r="Q15" i="51" s="1"/>
  <c r="P15" i="50"/>
  <c r="S15" i="50" s="1"/>
  <c r="T15" i="50" s="1"/>
  <c r="B17" i="50"/>
  <c r="L16" i="50"/>
  <c r="C16" i="50"/>
  <c r="D16" i="50" s="1"/>
  <c r="N16" i="50" s="1"/>
  <c r="M15" i="50"/>
  <c r="O16" i="50" s="1"/>
  <c r="R16" i="50" s="1"/>
  <c r="S13" i="45"/>
  <c r="T13" i="45" s="1"/>
  <c r="R13" i="43"/>
  <c r="M14" i="44"/>
  <c r="O15" i="44" s="1"/>
  <c r="R15" i="44" s="1"/>
  <c r="R14" i="45"/>
  <c r="P14" i="46"/>
  <c r="S14" i="46" s="1"/>
  <c r="T14" i="46" s="1"/>
  <c r="P14" i="44"/>
  <c r="S14" i="44" s="1"/>
  <c r="T14" i="44" s="1"/>
  <c r="S12" i="44"/>
  <c r="T12" i="44" s="1"/>
  <c r="R13" i="44"/>
  <c r="T13" i="44" s="1"/>
  <c r="P14" i="45"/>
  <c r="O14" i="43"/>
  <c r="M14" i="43"/>
  <c r="N14" i="43"/>
  <c r="Q14" i="45"/>
  <c r="S12" i="43"/>
  <c r="T12" i="43" s="1"/>
  <c r="B16" i="44"/>
  <c r="L15" i="44"/>
  <c r="C15" i="44"/>
  <c r="D15" i="44" s="1"/>
  <c r="N15" i="44" s="1"/>
  <c r="M14" i="45"/>
  <c r="O15" i="45" s="1"/>
  <c r="B16" i="45"/>
  <c r="L15" i="45"/>
  <c r="C15" i="45"/>
  <c r="D15" i="45" s="1"/>
  <c r="N15" i="45" s="1"/>
  <c r="Q15" i="45" s="1"/>
  <c r="L15" i="46"/>
  <c r="B16" i="46"/>
  <c r="C15" i="46"/>
  <c r="D15" i="46" s="1"/>
  <c r="N15" i="46" s="1"/>
  <c r="B16" i="43"/>
  <c r="L15" i="43"/>
  <c r="C15" i="43"/>
  <c r="D15" i="43" s="1"/>
  <c r="N15" i="43" s="1"/>
  <c r="Q15" i="43" s="1"/>
  <c r="Q13" i="43"/>
  <c r="P13" i="43"/>
  <c r="M14" i="46"/>
  <c r="O15" i="46" s="1"/>
  <c r="R15" i="46" s="1"/>
  <c r="H17" i="32"/>
  <c r="F17" i="32"/>
  <c r="D17" i="32"/>
  <c r="B17" i="32"/>
  <c r="I17" i="32"/>
  <c r="G17" i="32"/>
  <c r="E17" i="32"/>
  <c r="C17" i="32"/>
  <c r="AQ17" i="33"/>
  <c r="AV17" i="33" s="1"/>
  <c r="D17" i="33" s="1"/>
  <c r="AR17" i="33"/>
  <c r="O221" i="23"/>
  <c r="O219" i="38"/>
  <c r="O220" i="38"/>
  <c r="AT35" i="33"/>
  <c r="AQ34" i="33"/>
  <c r="AV34" i="33" s="1"/>
  <c r="B34" i="33" s="1"/>
  <c r="AS34" i="33"/>
  <c r="AW34" i="33" s="1"/>
  <c r="AT43" i="33"/>
  <c r="AP43" i="33"/>
  <c r="I24" i="32"/>
  <c r="G24" i="32"/>
  <c r="C24" i="32"/>
  <c r="E24" i="32"/>
  <c r="F24" i="32"/>
  <c r="H24" i="32"/>
  <c r="B24" i="32"/>
  <c r="D24" i="32"/>
  <c r="H23" i="32"/>
  <c r="D23" i="32"/>
  <c r="G23" i="32"/>
  <c r="I23" i="32"/>
  <c r="F23" i="32"/>
  <c r="E23" i="32"/>
  <c r="B23" i="32"/>
  <c r="C23" i="32"/>
  <c r="AQ23" i="33"/>
  <c r="AV23" i="33" s="1"/>
  <c r="AR23" i="33"/>
  <c r="AS23" i="33"/>
  <c r="AS24" i="33"/>
  <c r="AQ24" i="33"/>
  <c r="AR24" i="33"/>
  <c r="AT44" i="33"/>
  <c r="AP44" i="33"/>
  <c r="AT37" i="33"/>
  <c r="AR32" i="33"/>
  <c r="AX32" i="33" s="1"/>
  <c r="AS32" i="33"/>
  <c r="AW32" i="33" s="1"/>
  <c r="AP22" i="33"/>
  <c r="AS22" i="33" s="1"/>
  <c r="AP21" i="33"/>
  <c r="AS21" i="33" s="1"/>
  <c r="AS33" i="33"/>
  <c r="AW33" i="33" s="1"/>
  <c r="AR33" i="33"/>
  <c r="AX33" i="33" s="1"/>
  <c r="AP36" i="33"/>
  <c r="AQ36" i="33" s="1"/>
  <c r="AV36" i="33" s="1"/>
  <c r="AR20" i="33"/>
  <c r="AS17" i="33"/>
  <c r="AQ20" i="33"/>
  <c r="AV20" i="33" s="1"/>
  <c r="I20" i="33" s="1"/>
  <c r="AP31" i="29"/>
  <c r="BM31" i="29"/>
  <c r="O220" i="23"/>
  <c r="AR31" i="33"/>
  <c r="AX31" i="33" s="1"/>
  <c r="AQ31" i="33"/>
  <c r="AV31" i="33" s="1"/>
  <c r="E31" i="33" s="1"/>
  <c r="N31" i="29"/>
  <c r="AY31" i="29" s="1"/>
  <c r="D32" i="29"/>
  <c r="BM32" i="29" s="1"/>
  <c r="M31" i="29"/>
  <c r="N11" i="17"/>
  <c r="Q11" i="17" s="1"/>
  <c r="C12" i="17"/>
  <c r="D12" i="17" s="1"/>
  <c r="C13" i="17" s="1"/>
  <c r="D13" i="17" s="1"/>
  <c r="H5" i="17"/>
  <c r="M11" i="17"/>
  <c r="AT41" i="33"/>
  <c r="AP41" i="33"/>
  <c r="AQ41" i="33" s="1"/>
  <c r="AT42" i="33"/>
  <c r="AP42" i="33"/>
  <c r="AQ42" i="33" s="1"/>
  <c r="AT40" i="33"/>
  <c r="AP40" i="33"/>
  <c r="I22" i="32"/>
  <c r="E22" i="32"/>
  <c r="F22" i="32"/>
  <c r="C22" i="32"/>
  <c r="H22" i="32"/>
  <c r="B22" i="32"/>
  <c r="D22" i="32"/>
  <c r="G22" i="32"/>
  <c r="C20" i="32"/>
  <c r="D20" i="32"/>
  <c r="F20" i="32"/>
  <c r="I20" i="32"/>
  <c r="H20" i="32"/>
  <c r="G20" i="32"/>
  <c r="E20" i="32"/>
  <c r="B20" i="32"/>
  <c r="B21" i="32"/>
  <c r="I21" i="32"/>
  <c r="F21" i="32"/>
  <c r="G21" i="32"/>
  <c r="C21" i="32"/>
  <c r="D21" i="32"/>
  <c r="E21" i="32"/>
  <c r="H21" i="32"/>
  <c r="E11" i="32"/>
  <c r="D11" i="32"/>
  <c r="H11" i="32"/>
  <c r="C11" i="32"/>
  <c r="B11" i="32"/>
  <c r="AD11" i="32" s="1"/>
  <c r="G11" i="32" s="1"/>
  <c r="F11" i="32"/>
  <c r="AE11" i="32"/>
  <c r="I11" i="32" s="1"/>
  <c r="AA34" i="33"/>
  <c r="AW31" i="33"/>
  <c r="E15" i="32"/>
  <c r="E19" i="32"/>
  <c r="H15" i="32"/>
  <c r="I19" i="32"/>
  <c r="C16" i="32"/>
  <c r="D16" i="32"/>
  <c r="I16" i="32"/>
  <c r="B16" i="32"/>
  <c r="AD16" i="32" s="1"/>
  <c r="G16" i="32" s="1"/>
  <c r="H16" i="32"/>
  <c r="B12" i="32"/>
  <c r="AD12" i="32" s="1"/>
  <c r="G12" i="32" s="1"/>
  <c r="D12" i="32"/>
  <c r="F19" i="32"/>
  <c r="F16" i="32"/>
  <c r="I12" i="32"/>
  <c r="B15" i="32"/>
  <c r="AD15" i="32" s="1"/>
  <c r="G15" i="32" s="1"/>
  <c r="I15" i="32"/>
  <c r="D15" i="32"/>
  <c r="F15" i="32"/>
  <c r="AS35" i="33"/>
  <c r="AQ35" i="33"/>
  <c r="AV35" i="33" s="1"/>
  <c r="AR35" i="33"/>
  <c r="AQ37" i="33"/>
  <c r="AV37" i="33" s="1"/>
  <c r="AR37" i="33"/>
  <c r="AS37" i="33"/>
  <c r="AW37" i="33" s="1"/>
  <c r="AS38" i="33"/>
  <c r="AW38" i="33" s="1"/>
  <c r="AQ38" i="33"/>
  <c r="AV38" i="33" s="1"/>
  <c r="AR38" i="33"/>
  <c r="F32" i="33"/>
  <c r="C32" i="33"/>
  <c r="E32" i="33"/>
  <c r="B32" i="33"/>
  <c r="H32" i="33"/>
  <c r="D32" i="33"/>
  <c r="F33" i="33"/>
  <c r="H33" i="33"/>
  <c r="C33" i="33"/>
  <c r="E33" i="33"/>
  <c r="B33" i="33"/>
  <c r="D33" i="33"/>
  <c r="G19" i="32"/>
  <c r="E12" i="32"/>
  <c r="H12" i="32"/>
  <c r="C12" i="32"/>
  <c r="C19" i="32"/>
  <c r="H19" i="32"/>
  <c r="B19" i="32"/>
  <c r="B12" i="28"/>
  <c r="B17" i="17"/>
  <c r="L16" i="17"/>
  <c r="P15" i="52" l="1"/>
  <c r="B27" i="26"/>
  <c r="B26" i="26"/>
  <c r="T14" i="51"/>
  <c r="T13" i="51"/>
  <c r="Q15" i="52"/>
  <c r="M15" i="52"/>
  <c r="O16" i="52" s="1"/>
  <c r="P15" i="51"/>
  <c r="S15" i="51" s="1"/>
  <c r="T15" i="51" s="1"/>
  <c r="B17" i="52"/>
  <c r="L16" i="52"/>
  <c r="C16" i="52"/>
  <c r="D16" i="52" s="1"/>
  <c r="N16" i="52" s="1"/>
  <c r="Q16" i="52" s="1"/>
  <c r="M15" i="51"/>
  <c r="O16" i="51" s="1"/>
  <c r="R16" i="51" s="1"/>
  <c r="B17" i="51"/>
  <c r="L16" i="51"/>
  <c r="C16" i="51"/>
  <c r="D16" i="51" s="1"/>
  <c r="N16" i="51" s="1"/>
  <c r="M16" i="50"/>
  <c r="O17" i="50" s="1"/>
  <c r="P16" i="50"/>
  <c r="Q16" i="50"/>
  <c r="B18" i="50"/>
  <c r="L17" i="50"/>
  <c r="C17" i="50"/>
  <c r="D17" i="50" s="1"/>
  <c r="N17" i="50" s="1"/>
  <c r="Q17" i="50" s="1"/>
  <c r="P15" i="44"/>
  <c r="R15" i="45"/>
  <c r="P15" i="43"/>
  <c r="S15" i="43" s="1"/>
  <c r="P15" i="46"/>
  <c r="Q15" i="44"/>
  <c r="R14" i="43"/>
  <c r="M15" i="43"/>
  <c r="O16" i="43" s="1"/>
  <c r="R16" i="43" s="1"/>
  <c r="Q15" i="46"/>
  <c r="P15" i="45"/>
  <c r="S15" i="45" s="1"/>
  <c r="S13" i="43"/>
  <c r="T13" i="43" s="1"/>
  <c r="S14" i="45"/>
  <c r="T14" i="45" s="1"/>
  <c r="M15" i="46"/>
  <c r="O16" i="46" s="1"/>
  <c r="B17" i="45"/>
  <c r="L16" i="45"/>
  <c r="C16" i="45"/>
  <c r="D16" i="45" s="1"/>
  <c r="N16" i="45" s="1"/>
  <c r="Q16" i="45" s="1"/>
  <c r="M15" i="44"/>
  <c r="O16" i="44" s="1"/>
  <c r="B17" i="44"/>
  <c r="L16" i="44"/>
  <c r="C16" i="44"/>
  <c r="D16" i="44" s="1"/>
  <c r="N16" i="44" s="1"/>
  <c r="Q16" i="44" s="1"/>
  <c r="O15" i="43"/>
  <c r="Q14" i="43"/>
  <c r="P14" i="43"/>
  <c r="B17" i="43"/>
  <c r="L16" i="43"/>
  <c r="C16" i="43"/>
  <c r="D16" i="43" s="1"/>
  <c r="M15" i="45"/>
  <c r="O16" i="45" s="1"/>
  <c r="R16" i="45" s="1"/>
  <c r="L16" i="46"/>
  <c r="B17" i="46"/>
  <c r="C16" i="46"/>
  <c r="D16" i="46" s="1"/>
  <c r="N16" i="46" s="1"/>
  <c r="Q16" i="46" s="1"/>
  <c r="E17" i="33"/>
  <c r="G17" i="33"/>
  <c r="B17" i="33"/>
  <c r="H17" i="33"/>
  <c r="F17" i="33"/>
  <c r="I17" i="33"/>
  <c r="C17" i="33"/>
  <c r="G32" i="33"/>
  <c r="O221" i="38"/>
  <c r="O202" i="38" s="1"/>
  <c r="O222" i="23"/>
  <c r="O203" i="23" s="1"/>
  <c r="H34" i="33"/>
  <c r="I34" i="33"/>
  <c r="G34" i="33"/>
  <c r="F34" i="33"/>
  <c r="E34" i="33"/>
  <c r="D34" i="33"/>
  <c r="C34" i="33"/>
  <c r="AA32" i="33"/>
  <c r="AQ21" i="33"/>
  <c r="AV21" i="33" s="1"/>
  <c r="C21" i="33" s="1"/>
  <c r="C24" i="33"/>
  <c r="G24" i="33"/>
  <c r="H24" i="33"/>
  <c r="E24" i="33"/>
  <c r="F24" i="33"/>
  <c r="I24" i="33"/>
  <c r="B24" i="33"/>
  <c r="D24" i="33"/>
  <c r="F23" i="33"/>
  <c r="D23" i="33"/>
  <c r="H23" i="33"/>
  <c r="I23" i="33"/>
  <c r="G23" i="33"/>
  <c r="B23" i="33"/>
  <c r="C23" i="33"/>
  <c r="E23" i="33"/>
  <c r="AR44" i="33"/>
  <c r="AS44" i="33"/>
  <c r="AW44" i="33" s="1"/>
  <c r="AQ44" i="33"/>
  <c r="AV44" i="33" s="1"/>
  <c r="AR43" i="33"/>
  <c r="AQ43" i="33"/>
  <c r="AV43" i="33" s="1"/>
  <c r="AS43" i="33"/>
  <c r="AW43" i="33" s="1"/>
  <c r="I33" i="33"/>
  <c r="I32" i="33"/>
  <c r="G33" i="33"/>
  <c r="AQ22" i="33"/>
  <c r="AV22" i="33" s="1"/>
  <c r="B22" i="33" s="1"/>
  <c r="AR22" i="33"/>
  <c r="AR21" i="33"/>
  <c r="AA33" i="33"/>
  <c r="D20" i="33"/>
  <c r="AR36" i="33"/>
  <c r="AX36" i="33" s="1"/>
  <c r="AS36" i="33"/>
  <c r="AW36" i="33" s="1"/>
  <c r="AU31" i="33"/>
  <c r="AA31" i="33"/>
  <c r="B31" i="33"/>
  <c r="H31" i="33"/>
  <c r="B20" i="33"/>
  <c r="F31" i="33"/>
  <c r="C31" i="33"/>
  <c r="H20" i="33"/>
  <c r="F20" i="33"/>
  <c r="C20" i="33"/>
  <c r="E20" i="33"/>
  <c r="I31" i="33"/>
  <c r="G31" i="33"/>
  <c r="D31" i="33"/>
  <c r="G20" i="33"/>
  <c r="AA31" i="29"/>
  <c r="N32" i="29"/>
  <c r="AY32" i="29" s="1"/>
  <c r="AP32" i="29"/>
  <c r="Q31" i="29"/>
  <c r="N30" i="29"/>
  <c r="AY30" i="29" s="1"/>
  <c r="O32" i="29"/>
  <c r="AZ32" i="29" s="1"/>
  <c r="M30" i="29"/>
  <c r="M28" i="29" s="1"/>
  <c r="P31" i="29" s="1"/>
  <c r="BA31" i="29" s="1"/>
  <c r="O12" i="17"/>
  <c r="R12" i="17" s="1"/>
  <c r="N10" i="17"/>
  <c r="Q10" i="17" s="1"/>
  <c r="M32" i="29"/>
  <c r="M10" i="17"/>
  <c r="M6" i="17" s="1"/>
  <c r="O10" i="17" s="1"/>
  <c r="B33" i="29"/>
  <c r="D33" i="29" s="1"/>
  <c r="AS42" i="33"/>
  <c r="AW42" i="33" s="1"/>
  <c r="AV42" i="33"/>
  <c r="AR42" i="33"/>
  <c r="AX42" i="33" s="1"/>
  <c r="AS40" i="33"/>
  <c r="AW40" i="33" s="1"/>
  <c r="AR40" i="33"/>
  <c r="AQ40" i="33"/>
  <c r="AV40" i="33" s="1"/>
  <c r="AV41" i="33"/>
  <c r="AS41" i="33"/>
  <c r="AW41" i="33" s="1"/>
  <c r="AR41" i="33"/>
  <c r="AX41" i="33" s="1"/>
  <c r="D35" i="33"/>
  <c r="AA38" i="33"/>
  <c r="AX38" i="33"/>
  <c r="AU38" i="33" s="1"/>
  <c r="AA37" i="33"/>
  <c r="AX37" i="33"/>
  <c r="AU37" i="33" s="1"/>
  <c r="AA35" i="33"/>
  <c r="AX35" i="33"/>
  <c r="AU34" i="33"/>
  <c r="AU33" i="33"/>
  <c r="AU32" i="33"/>
  <c r="AW35" i="33"/>
  <c r="B37" i="33"/>
  <c r="D37" i="33"/>
  <c r="F37" i="33"/>
  <c r="H37" i="33"/>
  <c r="C37" i="33"/>
  <c r="E37" i="33"/>
  <c r="G37" i="33"/>
  <c r="I37" i="33"/>
  <c r="C38" i="33"/>
  <c r="E38" i="33"/>
  <c r="G38" i="33"/>
  <c r="I38" i="33"/>
  <c r="B38" i="33"/>
  <c r="D38" i="33"/>
  <c r="F38" i="33"/>
  <c r="H38" i="33"/>
  <c r="C36" i="33"/>
  <c r="E36" i="33"/>
  <c r="B36" i="33"/>
  <c r="D36" i="33"/>
  <c r="F36" i="33"/>
  <c r="H36" i="33"/>
  <c r="M12" i="17"/>
  <c r="N12" i="17"/>
  <c r="L17" i="17"/>
  <c r="B18" i="17"/>
  <c r="M13" i="17"/>
  <c r="N13" i="17"/>
  <c r="C14" i="17"/>
  <c r="D14" i="17" s="1"/>
  <c r="S15" i="52" l="1"/>
  <c r="T15" i="52" s="1"/>
  <c r="R16" i="52"/>
  <c r="P16" i="51"/>
  <c r="P16" i="52"/>
  <c r="S16" i="52" s="1"/>
  <c r="Q16" i="51"/>
  <c r="M16" i="51"/>
  <c r="O17" i="51" s="1"/>
  <c r="B18" i="51"/>
  <c r="L17" i="51"/>
  <c r="C17" i="51"/>
  <c r="D17" i="51" s="1"/>
  <c r="N17" i="51" s="1"/>
  <c r="M16" i="52"/>
  <c r="O17" i="52" s="1"/>
  <c r="R17" i="52" s="1"/>
  <c r="B18" i="52"/>
  <c r="L17" i="52"/>
  <c r="C17" i="52"/>
  <c r="D17" i="52" s="1"/>
  <c r="N17" i="52" s="1"/>
  <c r="Q17" i="52" s="1"/>
  <c r="R17" i="50"/>
  <c r="S16" i="50"/>
  <c r="T16" i="50" s="1"/>
  <c r="M17" i="50"/>
  <c r="O18" i="50" s="1"/>
  <c r="R18" i="50" s="1"/>
  <c r="P17" i="50"/>
  <c r="S17" i="50" s="1"/>
  <c r="B19" i="50"/>
  <c r="L18" i="50"/>
  <c r="C18" i="50"/>
  <c r="D18" i="50" s="1"/>
  <c r="N18" i="50" s="1"/>
  <c r="Q18" i="50" s="1"/>
  <c r="G21" i="33"/>
  <c r="S15" i="44"/>
  <c r="T15" i="44" s="1"/>
  <c r="S15" i="46"/>
  <c r="T15" i="46" s="1"/>
  <c r="T15" i="45"/>
  <c r="R16" i="46"/>
  <c r="R16" i="44"/>
  <c r="P16" i="45"/>
  <c r="S16" i="45" s="1"/>
  <c r="T16" i="45" s="1"/>
  <c r="M16" i="44"/>
  <c r="O17" i="44" s="1"/>
  <c r="R17" i="44" s="1"/>
  <c r="M16" i="45"/>
  <c r="O17" i="45" s="1"/>
  <c r="R17" i="45" s="1"/>
  <c r="R15" i="43"/>
  <c r="T15" i="43" s="1"/>
  <c r="P16" i="44"/>
  <c r="S16" i="44" s="1"/>
  <c r="P16" i="46"/>
  <c r="S16" i="46" s="1"/>
  <c r="C17" i="43"/>
  <c r="D17" i="43" s="1"/>
  <c r="N17" i="43" s="1"/>
  <c r="Q17" i="43" s="1"/>
  <c r="N16" i="43"/>
  <c r="B18" i="44"/>
  <c r="L17" i="44"/>
  <c r="C17" i="44"/>
  <c r="D17" i="44" s="1"/>
  <c r="N17" i="44" s="1"/>
  <c r="L17" i="46"/>
  <c r="B18" i="46"/>
  <c r="C17" i="46"/>
  <c r="D17" i="46" s="1"/>
  <c r="N17" i="46" s="1"/>
  <c r="Q17" i="46" s="1"/>
  <c r="M16" i="46"/>
  <c r="B18" i="43"/>
  <c r="L17" i="43"/>
  <c r="L17" i="45"/>
  <c r="B18" i="45"/>
  <c r="C17" i="45"/>
  <c r="D17" i="45" s="1"/>
  <c r="N17" i="45" s="1"/>
  <c r="Q17" i="45" s="1"/>
  <c r="M16" i="43"/>
  <c r="S14" i="43"/>
  <c r="T14" i="43" s="1"/>
  <c r="G36" i="33"/>
  <c r="D21" i="33"/>
  <c r="I21" i="33"/>
  <c r="E21" i="33"/>
  <c r="H21" i="33"/>
  <c r="F21" i="33"/>
  <c r="B21" i="33"/>
  <c r="I36" i="33"/>
  <c r="AA43" i="33"/>
  <c r="AX43" i="33"/>
  <c r="AU43" i="33" s="1"/>
  <c r="D44" i="33"/>
  <c r="C44" i="33"/>
  <c r="B44" i="33"/>
  <c r="E44" i="33"/>
  <c r="H44" i="33"/>
  <c r="G44" i="33"/>
  <c r="F44" i="33"/>
  <c r="I44" i="33"/>
  <c r="G43" i="33"/>
  <c r="F43" i="33"/>
  <c r="I43" i="33"/>
  <c r="H43" i="33"/>
  <c r="B43" i="33"/>
  <c r="C43" i="33"/>
  <c r="D43" i="33"/>
  <c r="E43" i="33"/>
  <c r="AX44" i="33"/>
  <c r="AU44" i="33" s="1"/>
  <c r="AA44" i="33"/>
  <c r="D22" i="33"/>
  <c r="F22" i="33"/>
  <c r="E22" i="33"/>
  <c r="C22" i="33"/>
  <c r="G22" i="33"/>
  <c r="H22" i="33"/>
  <c r="I22" i="33"/>
  <c r="AA36" i="33"/>
  <c r="AP33" i="29"/>
  <c r="BM33" i="29"/>
  <c r="AC31" i="29"/>
  <c r="AA32" i="29"/>
  <c r="AA30" i="29"/>
  <c r="AB32" i="29"/>
  <c r="P32" i="29"/>
  <c r="BA32" i="29" s="1"/>
  <c r="Q32" i="29"/>
  <c r="O33" i="29"/>
  <c r="AZ33" i="29" s="1"/>
  <c r="S31" i="29"/>
  <c r="R32" i="29"/>
  <c r="Q30" i="29"/>
  <c r="O30" i="29"/>
  <c r="O31" i="29"/>
  <c r="P30" i="29"/>
  <c r="BA30" i="29" s="1"/>
  <c r="P12" i="17"/>
  <c r="Q12" i="17"/>
  <c r="B34" i="29"/>
  <c r="D34" i="29" s="1"/>
  <c r="N33" i="29"/>
  <c r="M33" i="29"/>
  <c r="O11" i="17"/>
  <c r="R11" i="17" s="1"/>
  <c r="P10" i="17"/>
  <c r="S10" i="17" s="1"/>
  <c r="P11" i="17"/>
  <c r="S11" i="17" s="1"/>
  <c r="F41" i="33"/>
  <c r="C41" i="33"/>
  <c r="H41" i="33"/>
  <c r="I41" i="33"/>
  <c r="B41" i="33"/>
  <c r="G41" i="33"/>
  <c r="D41" i="33"/>
  <c r="E41" i="33"/>
  <c r="AU42" i="33"/>
  <c r="AA42" i="33"/>
  <c r="E40" i="33"/>
  <c r="F40" i="33"/>
  <c r="C40" i="33"/>
  <c r="D40" i="33"/>
  <c r="B40" i="33"/>
  <c r="I40" i="33"/>
  <c r="G40" i="33"/>
  <c r="H40" i="33"/>
  <c r="G42" i="33"/>
  <c r="H42" i="33"/>
  <c r="I42" i="33"/>
  <c r="C42" i="33"/>
  <c r="D42" i="33"/>
  <c r="B42" i="33"/>
  <c r="E42" i="33"/>
  <c r="F42" i="33"/>
  <c r="AU41" i="33"/>
  <c r="AA41" i="33"/>
  <c r="AX40" i="33"/>
  <c r="AU40" i="33" s="1"/>
  <c r="AA40" i="33"/>
  <c r="B35" i="33"/>
  <c r="I35" i="33"/>
  <c r="C35" i="33"/>
  <c r="F35" i="33"/>
  <c r="E35" i="33"/>
  <c r="G35" i="33"/>
  <c r="H35" i="33"/>
  <c r="AU36" i="33"/>
  <c r="AU35" i="33"/>
  <c r="O13" i="17"/>
  <c r="O14" i="17"/>
  <c r="L18" i="17"/>
  <c r="B19" i="17"/>
  <c r="C15" i="17"/>
  <c r="D15" i="17" s="1"/>
  <c r="N14" i="17"/>
  <c r="M14" i="17"/>
  <c r="P13" i="17"/>
  <c r="Q13" i="17"/>
  <c r="R10" i="17"/>
  <c r="B28" i="26" l="1"/>
  <c r="T16" i="52"/>
  <c r="P17" i="51"/>
  <c r="S16" i="51"/>
  <c r="T16" i="51" s="1"/>
  <c r="M17" i="52"/>
  <c r="O18" i="52" s="1"/>
  <c r="R18" i="52" s="1"/>
  <c r="M17" i="51"/>
  <c r="O18" i="51" s="1"/>
  <c r="R17" i="51"/>
  <c r="P17" i="52"/>
  <c r="S17" i="52" s="1"/>
  <c r="T17" i="52" s="1"/>
  <c r="Q17" i="51"/>
  <c r="L18" i="52"/>
  <c r="B19" i="52"/>
  <c r="C18" i="52"/>
  <c r="D18" i="52" s="1"/>
  <c r="N18" i="52" s="1"/>
  <c r="B19" i="51"/>
  <c r="L18" i="51"/>
  <c r="C18" i="51"/>
  <c r="D18" i="51" s="1"/>
  <c r="N18" i="51" s="1"/>
  <c r="T17" i="50"/>
  <c r="P18" i="50"/>
  <c r="S18" i="50" s="1"/>
  <c r="T18" i="50" s="1"/>
  <c r="M18" i="50"/>
  <c r="O19" i="50" s="1"/>
  <c r="R19" i="50" s="1"/>
  <c r="B20" i="50"/>
  <c r="L19" i="50"/>
  <c r="C19" i="50"/>
  <c r="D19" i="50" s="1"/>
  <c r="N19" i="50" s="1"/>
  <c r="P17" i="44"/>
  <c r="T16" i="46"/>
  <c r="T16" i="44"/>
  <c r="P17" i="43"/>
  <c r="S17" i="43" s="1"/>
  <c r="P17" i="46"/>
  <c r="S17" i="46" s="1"/>
  <c r="M17" i="44"/>
  <c r="O18" i="44" s="1"/>
  <c r="O17" i="43"/>
  <c r="O17" i="46"/>
  <c r="R17" i="46" s="1"/>
  <c r="Q17" i="44"/>
  <c r="M17" i="43"/>
  <c r="O18" i="43" s="1"/>
  <c r="R18" i="43" s="1"/>
  <c r="B19" i="46"/>
  <c r="L18" i="46"/>
  <c r="C18" i="46"/>
  <c r="D18" i="46" s="1"/>
  <c r="N18" i="46" s="1"/>
  <c r="Q18" i="46" s="1"/>
  <c r="P17" i="45"/>
  <c r="S17" i="45" s="1"/>
  <c r="T17" i="45" s="1"/>
  <c r="B19" i="45"/>
  <c r="L18" i="45"/>
  <c r="C18" i="45"/>
  <c r="D18" i="45" s="1"/>
  <c r="N18" i="45" s="1"/>
  <c r="Q18" i="45" s="1"/>
  <c r="L18" i="43"/>
  <c r="B19" i="43"/>
  <c r="C18" i="43"/>
  <c r="D18" i="43" s="1"/>
  <c r="N18" i="43" s="1"/>
  <c r="Q18" i="43" s="1"/>
  <c r="Q16" i="43"/>
  <c r="P16" i="43"/>
  <c r="M17" i="46"/>
  <c r="O18" i="46" s="1"/>
  <c r="R18" i="46" s="1"/>
  <c r="B19" i="44"/>
  <c r="L18" i="44"/>
  <c r="C18" i="44"/>
  <c r="D18" i="44" s="1"/>
  <c r="N18" i="44" s="1"/>
  <c r="Q18" i="44" s="1"/>
  <c r="M17" i="45"/>
  <c r="O18" i="45" s="1"/>
  <c r="R18" i="45" s="1"/>
  <c r="BV31" i="29"/>
  <c r="BW31" i="29" s="1"/>
  <c r="BV32" i="29"/>
  <c r="BW32" i="29" s="1"/>
  <c r="AZ31" i="29"/>
  <c r="AZ30" i="29"/>
  <c r="AP34" i="29"/>
  <c r="BM34" i="29"/>
  <c r="AA33" i="29"/>
  <c r="AY33" i="29"/>
  <c r="AC32" i="29"/>
  <c r="AD32" i="29" s="1"/>
  <c r="AC30" i="29"/>
  <c r="AB33" i="29"/>
  <c r="AB30" i="29"/>
  <c r="AB31" i="29"/>
  <c r="S32" i="29"/>
  <c r="T32" i="29" s="1"/>
  <c r="R33" i="29"/>
  <c r="S30" i="29"/>
  <c r="R30" i="29"/>
  <c r="R31" i="29"/>
  <c r="P33" i="29"/>
  <c r="Q33" i="29"/>
  <c r="S12" i="17"/>
  <c r="T12" i="17" s="1"/>
  <c r="O34" i="29"/>
  <c r="T11" i="17"/>
  <c r="N34" i="29"/>
  <c r="M34" i="29"/>
  <c r="B35" i="29"/>
  <c r="D35" i="29" s="1"/>
  <c r="R13" i="17"/>
  <c r="R14" i="17"/>
  <c r="L19" i="17"/>
  <c r="B20" i="17"/>
  <c r="S13" i="17"/>
  <c r="Q14" i="17"/>
  <c r="P14" i="17"/>
  <c r="M15" i="17"/>
  <c r="C16" i="17"/>
  <c r="D16" i="17" s="1"/>
  <c r="N15" i="17"/>
  <c r="O15" i="17"/>
  <c r="B29" i="26" l="1"/>
  <c r="P18" i="52"/>
  <c r="M18" i="51"/>
  <c r="O19" i="51" s="1"/>
  <c r="P18" i="51"/>
  <c r="Q18" i="52"/>
  <c r="Q18" i="51"/>
  <c r="M18" i="52"/>
  <c r="O19" i="52" s="1"/>
  <c r="R18" i="51"/>
  <c r="L19" i="51"/>
  <c r="B20" i="51"/>
  <c r="C19" i="51"/>
  <c r="D19" i="51" s="1"/>
  <c r="N19" i="51" s="1"/>
  <c r="Q19" i="51" s="1"/>
  <c r="B20" i="52"/>
  <c r="L19" i="52"/>
  <c r="C19" i="52"/>
  <c r="D19" i="52" s="1"/>
  <c r="N19" i="52" s="1"/>
  <c r="Q19" i="52" s="1"/>
  <c r="S17" i="51"/>
  <c r="T17" i="51" s="1"/>
  <c r="P19" i="50"/>
  <c r="Q19" i="50"/>
  <c r="M19" i="50"/>
  <c r="O20" i="50" s="1"/>
  <c r="B21" i="50"/>
  <c r="L20" i="50"/>
  <c r="C20" i="50"/>
  <c r="D20" i="50" s="1"/>
  <c r="N20" i="50" s="1"/>
  <c r="Q20" i="50" s="1"/>
  <c r="S17" i="44"/>
  <c r="T17" i="44" s="1"/>
  <c r="R18" i="44"/>
  <c r="M18" i="46"/>
  <c r="O19" i="46" s="1"/>
  <c r="R19" i="46" s="1"/>
  <c r="S16" i="43"/>
  <c r="T16" i="43" s="1"/>
  <c r="R17" i="43"/>
  <c r="T17" i="43" s="1"/>
  <c r="M18" i="44"/>
  <c r="O19" i="44" s="1"/>
  <c r="R19" i="44" s="1"/>
  <c r="P18" i="44"/>
  <c r="S18" i="44" s="1"/>
  <c r="P18" i="46"/>
  <c r="S18" i="46" s="1"/>
  <c r="T18" i="46" s="1"/>
  <c r="T17" i="46"/>
  <c r="P18" i="43"/>
  <c r="S18" i="43" s="1"/>
  <c r="T18" i="43" s="1"/>
  <c r="M18" i="43"/>
  <c r="O19" i="43" s="1"/>
  <c r="R19" i="43" s="1"/>
  <c r="M18" i="45"/>
  <c r="O19" i="45" s="1"/>
  <c r="R19" i="45" s="1"/>
  <c r="B20" i="44"/>
  <c r="L19" i="44"/>
  <c r="C19" i="44"/>
  <c r="D19" i="44" s="1"/>
  <c r="N19" i="44" s="1"/>
  <c r="Q19" i="44" s="1"/>
  <c r="P18" i="45"/>
  <c r="S18" i="45" s="1"/>
  <c r="T18" i="45" s="1"/>
  <c r="B20" i="43"/>
  <c r="L19" i="43"/>
  <c r="C19" i="43"/>
  <c r="D19" i="43" s="1"/>
  <c r="N19" i="43" s="1"/>
  <c r="L19" i="45"/>
  <c r="B20" i="45"/>
  <c r="C19" i="45"/>
  <c r="D19" i="45" s="1"/>
  <c r="N19" i="45" s="1"/>
  <c r="B20" i="46"/>
  <c r="L19" i="46"/>
  <c r="C19" i="46"/>
  <c r="D19" i="46" s="1"/>
  <c r="N19" i="46" s="1"/>
  <c r="BV33" i="29"/>
  <c r="BW33" i="29" s="1"/>
  <c r="BB31" i="29"/>
  <c r="AP35" i="29"/>
  <c r="BM35" i="29"/>
  <c r="BB32" i="29"/>
  <c r="AZ34" i="29"/>
  <c r="BA33" i="29"/>
  <c r="AC33" i="29"/>
  <c r="AD33" i="29" s="1"/>
  <c r="AA34" i="29"/>
  <c r="AY34" i="29"/>
  <c r="AB34" i="29"/>
  <c r="AD31" i="29"/>
  <c r="AI31" i="29" s="1"/>
  <c r="T31" i="29"/>
  <c r="R34" i="29"/>
  <c r="S33" i="29"/>
  <c r="T33" i="29" s="1"/>
  <c r="B36" i="29"/>
  <c r="D36" i="29" s="1"/>
  <c r="M35" i="29"/>
  <c r="N35" i="29"/>
  <c r="O35" i="29"/>
  <c r="P34" i="29"/>
  <c r="Q34" i="29"/>
  <c r="T13" i="17"/>
  <c r="B21" i="17"/>
  <c r="L20" i="17"/>
  <c r="O16" i="17"/>
  <c r="R15" i="17"/>
  <c r="P15" i="17"/>
  <c r="Q15" i="17"/>
  <c r="M16" i="17"/>
  <c r="C17" i="17"/>
  <c r="D17" i="17" s="1"/>
  <c r="N16" i="17"/>
  <c r="S14" i="17"/>
  <c r="T14" i="17" s="1"/>
  <c r="B30" i="26" l="1"/>
  <c r="S18" i="52"/>
  <c r="T18" i="52" s="1"/>
  <c r="S18" i="51"/>
  <c r="T18" i="51" s="1"/>
  <c r="P19" i="52"/>
  <c r="S19" i="52" s="1"/>
  <c r="R19" i="52"/>
  <c r="R19" i="51"/>
  <c r="P19" i="51"/>
  <c r="S19" i="51" s="1"/>
  <c r="B21" i="51"/>
  <c r="L20" i="51"/>
  <c r="C20" i="51"/>
  <c r="D20" i="51" s="1"/>
  <c r="N20" i="51" s="1"/>
  <c r="Q20" i="51" s="1"/>
  <c r="M19" i="51"/>
  <c r="O20" i="51" s="1"/>
  <c r="R20" i="51" s="1"/>
  <c r="M19" i="52"/>
  <c r="O20" i="52" s="1"/>
  <c r="R20" i="52" s="1"/>
  <c r="B21" i="52"/>
  <c r="L20" i="52"/>
  <c r="C20" i="52"/>
  <c r="D20" i="52" s="1"/>
  <c r="N20" i="52" s="1"/>
  <c r="Q20" i="52" s="1"/>
  <c r="S19" i="50"/>
  <c r="T19" i="50" s="1"/>
  <c r="R20" i="50"/>
  <c r="P20" i="50"/>
  <c r="S20" i="50" s="1"/>
  <c r="M20" i="50"/>
  <c r="O21" i="50" s="1"/>
  <c r="R21" i="50" s="1"/>
  <c r="L21" i="50"/>
  <c r="B22" i="50"/>
  <c r="C21" i="50"/>
  <c r="D21" i="50" s="1"/>
  <c r="N21" i="50" s="1"/>
  <c r="Q21" i="50" s="1"/>
  <c r="T18" i="44"/>
  <c r="P19" i="43"/>
  <c r="P19" i="46"/>
  <c r="P19" i="45"/>
  <c r="P19" i="44"/>
  <c r="S19" i="44" s="1"/>
  <c r="T19" i="44" s="1"/>
  <c r="M19" i="43"/>
  <c r="O20" i="43" s="1"/>
  <c r="M19" i="45"/>
  <c r="O20" i="45" s="1"/>
  <c r="Q19" i="45"/>
  <c r="Q19" i="43"/>
  <c r="B21" i="45"/>
  <c r="L20" i="45"/>
  <c r="C20" i="45"/>
  <c r="D20" i="45" s="1"/>
  <c r="N20" i="45" s="1"/>
  <c r="Q20" i="45" s="1"/>
  <c r="B21" i="43"/>
  <c r="L20" i="43"/>
  <c r="C20" i="43"/>
  <c r="D20" i="43" s="1"/>
  <c r="N20" i="43" s="1"/>
  <c r="Q20" i="43" s="1"/>
  <c r="Q19" i="46"/>
  <c r="M19" i="46"/>
  <c r="B21" i="46"/>
  <c r="L20" i="46"/>
  <c r="C20" i="46"/>
  <c r="D20" i="46" s="1"/>
  <c r="N20" i="46" s="1"/>
  <c r="Q20" i="46" s="1"/>
  <c r="M19" i="44"/>
  <c r="B21" i="44"/>
  <c r="L20" i="44"/>
  <c r="C20" i="44"/>
  <c r="D20" i="44" s="1"/>
  <c r="N20" i="44" s="1"/>
  <c r="Q20" i="44" s="1"/>
  <c r="BV34" i="29"/>
  <c r="BW34" i="29" s="1"/>
  <c r="AP36" i="29"/>
  <c r="BM36" i="29"/>
  <c r="AZ35" i="29"/>
  <c r="BB33" i="29"/>
  <c r="BA34" i="29"/>
  <c r="AC34" i="29"/>
  <c r="AD34" i="29" s="1"/>
  <c r="AA35" i="29"/>
  <c r="AY35" i="29"/>
  <c r="AB35" i="29"/>
  <c r="B37" i="29"/>
  <c r="D37" i="29" s="1"/>
  <c r="S34" i="29"/>
  <c r="T34" i="29" s="1"/>
  <c r="R35" i="29"/>
  <c r="O36" i="29"/>
  <c r="Q35" i="29"/>
  <c r="P35" i="29"/>
  <c r="N36" i="29"/>
  <c r="M36" i="29"/>
  <c r="O17" i="17"/>
  <c r="B22" i="17"/>
  <c r="L21" i="17"/>
  <c r="R16" i="17"/>
  <c r="P16" i="17"/>
  <c r="Q16" i="17"/>
  <c r="M17" i="17"/>
  <c r="N17" i="17"/>
  <c r="C18" i="17"/>
  <c r="D18" i="17" s="1"/>
  <c r="S15" i="17"/>
  <c r="T15" i="17" s="1"/>
  <c r="B31" i="26" l="1"/>
  <c r="M20" i="51"/>
  <c r="O21" i="51" s="1"/>
  <c r="R21" i="51" s="1"/>
  <c r="T19" i="52"/>
  <c r="P20" i="52"/>
  <c r="S20" i="52" s="1"/>
  <c r="T20" i="52" s="1"/>
  <c r="T19" i="51"/>
  <c r="M20" i="52"/>
  <c r="O21" i="52" s="1"/>
  <c r="R21" i="52" s="1"/>
  <c r="L21" i="51"/>
  <c r="B22" i="51"/>
  <c r="C21" i="51"/>
  <c r="D21" i="51" s="1"/>
  <c r="N21" i="51" s="1"/>
  <c r="Q21" i="51" s="1"/>
  <c r="P20" i="51"/>
  <c r="S20" i="51" s="1"/>
  <c r="T20" i="51" s="1"/>
  <c r="B22" i="52"/>
  <c r="L21" i="52"/>
  <c r="C21" i="52"/>
  <c r="D21" i="52" s="1"/>
  <c r="N21" i="52" s="1"/>
  <c r="T20" i="50"/>
  <c r="P21" i="50"/>
  <c r="S21" i="50" s="1"/>
  <c r="T21" i="50" s="1"/>
  <c r="B23" i="50"/>
  <c r="L22" i="50"/>
  <c r="C22" i="50"/>
  <c r="D22" i="50" s="1"/>
  <c r="N22" i="50" s="1"/>
  <c r="Q22" i="50" s="1"/>
  <c r="M21" i="50"/>
  <c r="O22" i="50" s="1"/>
  <c r="R22" i="50" s="1"/>
  <c r="S19" i="45"/>
  <c r="T19" i="45" s="1"/>
  <c r="S19" i="43"/>
  <c r="T19" i="43" s="1"/>
  <c r="S19" i="46"/>
  <c r="T19" i="46" s="1"/>
  <c r="R20" i="43"/>
  <c r="R20" i="45"/>
  <c r="M20" i="44"/>
  <c r="O21" i="44" s="1"/>
  <c r="R21" i="44" s="1"/>
  <c r="P20" i="44"/>
  <c r="S20" i="44" s="1"/>
  <c r="P20" i="46"/>
  <c r="S20" i="46" s="1"/>
  <c r="O20" i="44"/>
  <c r="R20" i="44" s="1"/>
  <c r="L21" i="44"/>
  <c r="B22" i="44"/>
  <c r="C21" i="44"/>
  <c r="D21" i="44" s="1"/>
  <c r="N21" i="44" s="1"/>
  <c r="Q21" i="44" s="1"/>
  <c r="P20" i="43"/>
  <c r="S20" i="43" s="1"/>
  <c r="P20" i="45"/>
  <c r="S20" i="45" s="1"/>
  <c r="O20" i="46"/>
  <c r="R20" i="46" s="1"/>
  <c r="L21" i="43"/>
  <c r="B22" i="43"/>
  <c r="C21" i="43"/>
  <c r="D21" i="43" s="1"/>
  <c r="N21" i="43" s="1"/>
  <c r="B22" i="45"/>
  <c r="L21" i="45"/>
  <c r="C21" i="45"/>
  <c r="D21" i="45" s="1"/>
  <c r="N21" i="45" s="1"/>
  <c r="Q21" i="45" s="1"/>
  <c r="M20" i="46"/>
  <c r="O21" i="46" s="1"/>
  <c r="R21" i="46" s="1"/>
  <c r="B22" i="46"/>
  <c r="L21" i="46"/>
  <c r="C21" i="46"/>
  <c r="D21" i="46" s="1"/>
  <c r="N21" i="46" s="1"/>
  <c r="Q21" i="46" s="1"/>
  <c r="M20" i="43"/>
  <c r="O21" i="43" s="1"/>
  <c r="R21" i="43" s="1"/>
  <c r="M20" i="45"/>
  <c r="O21" i="45" s="1"/>
  <c r="R21" i="45" s="1"/>
  <c r="BV35" i="29"/>
  <c r="BW35" i="29" s="1"/>
  <c r="AP37" i="29"/>
  <c r="BM37" i="29"/>
  <c r="AZ36" i="29"/>
  <c r="BB34" i="29"/>
  <c r="AA36" i="29"/>
  <c r="AY36" i="29"/>
  <c r="BA35" i="29"/>
  <c r="AC35" i="29"/>
  <c r="AD35" i="29" s="1"/>
  <c r="AB36" i="29"/>
  <c r="N37" i="29"/>
  <c r="M37" i="29"/>
  <c r="B38" i="29"/>
  <c r="D38" i="29" s="1"/>
  <c r="S35" i="29"/>
  <c r="T35" i="29" s="1"/>
  <c r="R36" i="29"/>
  <c r="O37" i="29"/>
  <c r="P36" i="29"/>
  <c r="Q36" i="29"/>
  <c r="O18" i="17"/>
  <c r="R17" i="17"/>
  <c r="L22" i="17"/>
  <c r="B23" i="17"/>
  <c r="P17" i="17"/>
  <c r="Q17" i="17"/>
  <c r="N18" i="17"/>
  <c r="M18" i="17"/>
  <c r="C19" i="17"/>
  <c r="D19" i="17" s="1"/>
  <c r="S16" i="17"/>
  <c r="T16" i="17" s="1"/>
  <c r="B32" i="26" l="1"/>
  <c r="P21" i="52"/>
  <c r="Q21" i="52"/>
  <c r="P21" i="51"/>
  <c r="S21" i="51" s="1"/>
  <c r="T21" i="51" s="1"/>
  <c r="B23" i="52"/>
  <c r="L22" i="52"/>
  <c r="C22" i="52"/>
  <c r="D22" i="52" s="1"/>
  <c r="N22" i="52" s="1"/>
  <c r="Q22" i="52" s="1"/>
  <c r="B23" i="51"/>
  <c r="L22" i="51"/>
  <c r="C22" i="51"/>
  <c r="D22" i="51" s="1"/>
  <c r="N22" i="51" s="1"/>
  <c r="M21" i="52"/>
  <c r="O22" i="52" s="1"/>
  <c r="M21" i="51"/>
  <c r="O22" i="51" s="1"/>
  <c r="R22" i="51" s="1"/>
  <c r="P22" i="50"/>
  <c r="S22" i="50" s="1"/>
  <c r="T22" i="50" s="1"/>
  <c r="M22" i="50"/>
  <c r="O23" i="50" s="1"/>
  <c r="R23" i="50" s="1"/>
  <c r="B24" i="50"/>
  <c r="L23" i="50"/>
  <c r="C23" i="50"/>
  <c r="D23" i="50" s="1"/>
  <c r="N23" i="50" s="1"/>
  <c r="Q23" i="50" s="1"/>
  <c r="T20" i="45"/>
  <c r="T20" i="43"/>
  <c r="P21" i="43"/>
  <c r="T20" i="46"/>
  <c r="M21" i="44"/>
  <c r="P21" i="44"/>
  <c r="S21" i="44" s="1"/>
  <c r="T21" i="44" s="1"/>
  <c r="M21" i="45"/>
  <c r="O22" i="45" s="1"/>
  <c r="R22" i="45" s="1"/>
  <c r="T20" i="44"/>
  <c r="P21" i="45"/>
  <c r="S21" i="45" s="1"/>
  <c r="T21" i="45" s="1"/>
  <c r="P21" i="46"/>
  <c r="S21" i="46" s="1"/>
  <c r="T21" i="46" s="1"/>
  <c r="Q21" i="43"/>
  <c r="B23" i="43"/>
  <c r="L22" i="43"/>
  <c r="C22" i="43"/>
  <c r="D22" i="43" s="1"/>
  <c r="N22" i="43" s="1"/>
  <c r="Q22" i="43" s="1"/>
  <c r="M21" i="46"/>
  <c r="O22" i="46" s="1"/>
  <c r="R22" i="46" s="1"/>
  <c r="L22" i="46"/>
  <c r="B23" i="46"/>
  <c r="C22" i="46"/>
  <c r="D22" i="46" s="1"/>
  <c r="N22" i="46" s="1"/>
  <c r="B23" i="45"/>
  <c r="L22" i="45"/>
  <c r="C22" i="45"/>
  <c r="D22" i="45" s="1"/>
  <c r="N22" i="45" s="1"/>
  <c r="Q22" i="45" s="1"/>
  <c r="M21" i="43"/>
  <c r="B23" i="44"/>
  <c r="L22" i="44"/>
  <c r="C22" i="44"/>
  <c r="D22" i="44" s="1"/>
  <c r="N22" i="44" s="1"/>
  <c r="Q22" i="44" s="1"/>
  <c r="BV36" i="29"/>
  <c r="BW36" i="29" s="1"/>
  <c r="AP38" i="29"/>
  <c r="BM38" i="29"/>
  <c r="AZ37" i="29"/>
  <c r="BB35" i="29"/>
  <c r="AA37" i="29"/>
  <c r="AY37" i="29"/>
  <c r="AC36" i="29"/>
  <c r="AD36" i="29" s="1"/>
  <c r="BA36" i="29"/>
  <c r="AB37" i="29"/>
  <c r="P37" i="29"/>
  <c r="Q37" i="29"/>
  <c r="O38" i="29"/>
  <c r="N38" i="29"/>
  <c r="AY38" i="29" s="1"/>
  <c r="M38" i="29"/>
  <c r="B39" i="29"/>
  <c r="D39" i="29" s="1"/>
  <c r="S36" i="29"/>
  <c r="T36" i="29" s="1"/>
  <c r="R37" i="29"/>
  <c r="R18" i="17"/>
  <c r="L23" i="17"/>
  <c r="B24" i="17"/>
  <c r="O19" i="17"/>
  <c r="Q18" i="17"/>
  <c r="P18" i="17"/>
  <c r="M19" i="17"/>
  <c r="N19" i="17"/>
  <c r="C20" i="17"/>
  <c r="D20" i="17" s="1"/>
  <c r="S17" i="17"/>
  <c r="T17" i="17" s="1"/>
  <c r="R22" i="52" l="1"/>
  <c r="B33" i="26"/>
  <c r="S21" i="52"/>
  <c r="T21" i="52" s="1"/>
  <c r="P22" i="51"/>
  <c r="M22" i="52"/>
  <c r="O23" i="52" s="1"/>
  <c r="R23" i="52" s="1"/>
  <c r="M22" i="51"/>
  <c r="O23" i="51" s="1"/>
  <c r="Q22" i="51"/>
  <c r="P22" i="52"/>
  <c r="S22" i="52" s="1"/>
  <c r="L23" i="52"/>
  <c r="B24" i="52"/>
  <c r="C23" i="52"/>
  <c r="D23" i="52" s="1"/>
  <c r="N23" i="52" s="1"/>
  <c r="Q23" i="52" s="1"/>
  <c r="B24" i="51"/>
  <c r="L23" i="51"/>
  <c r="C23" i="51"/>
  <c r="D23" i="51" s="1"/>
  <c r="N23" i="51" s="1"/>
  <c r="Q23" i="51" s="1"/>
  <c r="M23" i="50"/>
  <c r="O24" i="50" s="1"/>
  <c r="R24" i="50" s="1"/>
  <c r="P23" i="50"/>
  <c r="S23" i="50" s="1"/>
  <c r="T23" i="50" s="1"/>
  <c r="B25" i="50"/>
  <c r="L24" i="50"/>
  <c r="C24" i="50"/>
  <c r="D24" i="50" s="1"/>
  <c r="N24" i="50" s="1"/>
  <c r="Q24" i="50" s="1"/>
  <c r="S21" i="43"/>
  <c r="T21" i="43" s="1"/>
  <c r="P22" i="46"/>
  <c r="P22" i="44"/>
  <c r="S22" i="44" s="1"/>
  <c r="O22" i="44"/>
  <c r="R22" i="44" s="1"/>
  <c r="P22" i="45"/>
  <c r="S22" i="45" s="1"/>
  <c r="T22" i="45" s="1"/>
  <c r="Q22" i="46"/>
  <c r="P22" i="43"/>
  <c r="S22" i="43" s="1"/>
  <c r="O22" i="43"/>
  <c r="R22" i="43" s="1"/>
  <c r="B24" i="46"/>
  <c r="L23" i="46"/>
  <c r="C23" i="46"/>
  <c r="D23" i="46" s="1"/>
  <c r="N23" i="46" s="1"/>
  <c r="Q23" i="46" s="1"/>
  <c r="M22" i="44"/>
  <c r="O23" i="44" s="1"/>
  <c r="R23" i="44" s="1"/>
  <c r="B24" i="44"/>
  <c r="L23" i="44"/>
  <c r="C23" i="44"/>
  <c r="D23" i="44" s="1"/>
  <c r="N23" i="44" s="1"/>
  <c r="Q23" i="44" s="1"/>
  <c r="M22" i="45"/>
  <c r="O23" i="45" s="1"/>
  <c r="R23" i="45" s="1"/>
  <c r="L23" i="45"/>
  <c r="B24" i="45"/>
  <c r="C23" i="45"/>
  <c r="D23" i="45" s="1"/>
  <c r="N23" i="45" s="1"/>
  <c r="Q23" i="45" s="1"/>
  <c r="M22" i="46"/>
  <c r="O23" i="46" s="1"/>
  <c r="M22" i="43"/>
  <c r="O23" i="43" s="1"/>
  <c r="R23" i="43" s="1"/>
  <c r="B24" i="43"/>
  <c r="L23" i="43"/>
  <c r="C23" i="43"/>
  <c r="D23" i="43" s="1"/>
  <c r="N23" i="43" s="1"/>
  <c r="Q23" i="43" s="1"/>
  <c r="BV37" i="29"/>
  <c r="BW37" i="29" s="1"/>
  <c r="AP39" i="29"/>
  <c r="BM39" i="29"/>
  <c r="AZ38" i="29"/>
  <c r="BB36" i="29"/>
  <c r="AC37" i="29"/>
  <c r="AD37" i="29" s="1"/>
  <c r="BA37" i="29"/>
  <c r="AB38" i="29"/>
  <c r="S37" i="29"/>
  <c r="T37" i="29" s="1"/>
  <c r="P38" i="29"/>
  <c r="BV38" i="29" s="1"/>
  <c r="BW38" i="29" s="1"/>
  <c r="AA38" i="29"/>
  <c r="R38" i="29"/>
  <c r="Q38" i="29"/>
  <c r="O39" i="29"/>
  <c r="AZ39" i="29" s="1"/>
  <c r="N39" i="29"/>
  <c r="AY39" i="29" s="1"/>
  <c r="M39" i="29"/>
  <c r="B40" i="29"/>
  <c r="D40" i="29" s="1"/>
  <c r="L24" i="17"/>
  <c r="B25" i="17"/>
  <c r="R19" i="17"/>
  <c r="O20" i="17"/>
  <c r="P19" i="17"/>
  <c r="Q19" i="17"/>
  <c r="S18" i="17"/>
  <c r="T18" i="17" s="1"/>
  <c r="N20" i="17"/>
  <c r="M20" i="17"/>
  <c r="C21" i="17"/>
  <c r="D21" i="17" s="1"/>
  <c r="T22" i="52" l="1"/>
  <c r="B34" i="26"/>
  <c r="S22" i="51"/>
  <c r="T22" i="51" s="1"/>
  <c r="R23" i="51"/>
  <c r="P23" i="51"/>
  <c r="S23" i="51" s="1"/>
  <c r="L24" i="52"/>
  <c r="B25" i="52"/>
  <c r="C24" i="52"/>
  <c r="D24" i="52" s="1"/>
  <c r="N24" i="52" s="1"/>
  <c r="P23" i="52"/>
  <c r="S23" i="52" s="1"/>
  <c r="T23" i="52" s="1"/>
  <c r="M23" i="51"/>
  <c r="O24" i="51" s="1"/>
  <c r="R24" i="51" s="1"/>
  <c r="B25" i="51"/>
  <c r="L24" i="51"/>
  <c r="C24" i="51"/>
  <c r="D24" i="51" s="1"/>
  <c r="N24" i="51" s="1"/>
  <c r="Q24" i="51" s="1"/>
  <c r="M23" i="52"/>
  <c r="O24" i="52" s="1"/>
  <c r="R24" i="52" s="1"/>
  <c r="P24" i="50"/>
  <c r="S24" i="50" s="1"/>
  <c r="T24" i="50" s="1"/>
  <c r="M24" i="50"/>
  <c r="O25" i="50" s="1"/>
  <c r="R25" i="50" s="1"/>
  <c r="L25" i="50"/>
  <c r="B26" i="50"/>
  <c r="C25" i="50"/>
  <c r="D25" i="50" s="1"/>
  <c r="N25" i="50" s="1"/>
  <c r="Q25" i="50" s="1"/>
  <c r="S22" i="46"/>
  <c r="T22" i="46" s="1"/>
  <c r="T22" i="44"/>
  <c r="T22" i="43"/>
  <c r="R23" i="46"/>
  <c r="P23" i="44"/>
  <c r="S23" i="44" s="1"/>
  <c r="T23" i="44" s="1"/>
  <c r="P23" i="45"/>
  <c r="S23" i="45" s="1"/>
  <c r="T23" i="45" s="1"/>
  <c r="P23" i="46"/>
  <c r="S23" i="46" s="1"/>
  <c r="M23" i="46"/>
  <c r="O24" i="46" s="1"/>
  <c r="R24" i="46" s="1"/>
  <c r="P23" i="43"/>
  <c r="S23" i="43" s="1"/>
  <c r="T23" i="43" s="1"/>
  <c r="B25" i="46"/>
  <c r="L24" i="46"/>
  <c r="C24" i="46"/>
  <c r="D24" i="46" s="1"/>
  <c r="N24" i="46" s="1"/>
  <c r="Q24" i="46" s="1"/>
  <c r="L24" i="43"/>
  <c r="B25" i="43"/>
  <c r="C24" i="43"/>
  <c r="D24" i="43" s="1"/>
  <c r="N24" i="43" s="1"/>
  <c r="Q24" i="43" s="1"/>
  <c r="B25" i="45"/>
  <c r="L24" i="45"/>
  <c r="C24" i="45"/>
  <c r="D24" i="45" s="1"/>
  <c r="N24" i="45" s="1"/>
  <c r="Q24" i="45" s="1"/>
  <c r="M23" i="43"/>
  <c r="O24" i="43" s="1"/>
  <c r="R24" i="43" s="1"/>
  <c r="M23" i="45"/>
  <c r="O24" i="45" s="1"/>
  <c r="R24" i="45" s="1"/>
  <c r="M23" i="44"/>
  <c r="O24" i="44" s="1"/>
  <c r="R24" i="44" s="1"/>
  <c r="B25" i="44"/>
  <c r="L24" i="44"/>
  <c r="C24" i="44"/>
  <c r="D24" i="44" s="1"/>
  <c r="N24" i="44" s="1"/>
  <c r="Q24" i="44" s="1"/>
  <c r="BA38" i="29"/>
  <c r="AP40" i="29"/>
  <c r="BM40" i="29"/>
  <c r="BB37" i="29"/>
  <c r="S38" i="29"/>
  <c r="T38" i="29" s="1"/>
  <c r="Q39" i="29"/>
  <c r="AA39" i="29"/>
  <c r="AB39" i="29"/>
  <c r="AC38" i="29"/>
  <c r="AD38" i="29" s="1"/>
  <c r="R39" i="29"/>
  <c r="P39" i="29"/>
  <c r="BV39" i="29" s="1"/>
  <c r="BW39" i="29" s="1"/>
  <c r="O40" i="29"/>
  <c r="M40" i="29"/>
  <c r="B41" i="29"/>
  <c r="D41" i="29" s="1"/>
  <c r="N40" i="29"/>
  <c r="AY40" i="29" s="1"/>
  <c r="R20" i="17"/>
  <c r="B26" i="17"/>
  <c r="L25" i="17"/>
  <c r="O21" i="17"/>
  <c r="C22" i="17"/>
  <c r="D22" i="17" s="1"/>
  <c r="M21" i="17"/>
  <c r="N21" i="17"/>
  <c r="P20" i="17"/>
  <c r="Q20" i="17"/>
  <c r="S19" i="17"/>
  <c r="T19" i="17" s="1"/>
  <c r="B35" i="26" l="1"/>
  <c r="T23" i="51"/>
  <c r="P24" i="51"/>
  <c r="S24" i="51" s="1"/>
  <c r="T24" i="51" s="1"/>
  <c r="P24" i="52"/>
  <c r="M24" i="51"/>
  <c r="O25" i="51" s="1"/>
  <c r="R25" i="51" s="1"/>
  <c r="L25" i="51"/>
  <c r="B26" i="51"/>
  <c r="C25" i="51"/>
  <c r="D25" i="51" s="1"/>
  <c r="N25" i="51" s="1"/>
  <c r="Q24" i="52"/>
  <c r="L25" i="52"/>
  <c r="B26" i="52"/>
  <c r="C25" i="52"/>
  <c r="D25" i="52" s="1"/>
  <c r="N25" i="52" s="1"/>
  <c r="Q25" i="52" s="1"/>
  <c r="M24" i="52"/>
  <c r="M25" i="50"/>
  <c r="O26" i="50" s="1"/>
  <c r="R26" i="50" s="1"/>
  <c r="P25" i="50"/>
  <c r="S25" i="50" s="1"/>
  <c r="T25" i="50" s="1"/>
  <c r="B27" i="50"/>
  <c r="L26" i="50"/>
  <c r="C26" i="50"/>
  <c r="D26" i="50" s="1"/>
  <c r="N26" i="50" s="1"/>
  <c r="T23" i="46"/>
  <c r="M24" i="45"/>
  <c r="O25" i="45" s="1"/>
  <c r="R25" i="45" s="1"/>
  <c r="P24" i="43"/>
  <c r="S24" i="43" s="1"/>
  <c r="T24" i="43" s="1"/>
  <c r="P24" i="46"/>
  <c r="S24" i="46" s="1"/>
  <c r="T24" i="46" s="1"/>
  <c r="P24" i="44"/>
  <c r="S24" i="44" s="1"/>
  <c r="T24" i="44" s="1"/>
  <c r="P24" i="45"/>
  <c r="S24" i="45" s="1"/>
  <c r="T24" i="45" s="1"/>
  <c r="B26" i="43"/>
  <c r="L25" i="43"/>
  <c r="C25" i="43"/>
  <c r="D25" i="43" s="1"/>
  <c r="N25" i="43" s="1"/>
  <c r="L25" i="45"/>
  <c r="B26" i="45"/>
  <c r="C25" i="45"/>
  <c r="D25" i="45" s="1"/>
  <c r="N25" i="45" s="1"/>
  <c r="M24" i="43"/>
  <c r="O25" i="43" s="1"/>
  <c r="R25" i="43" s="1"/>
  <c r="M24" i="46"/>
  <c r="O25" i="46" s="1"/>
  <c r="R25" i="46" s="1"/>
  <c r="L25" i="46"/>
  <c r="B26" i="46"/>
  <c r="C25" i="46"/>
  <c r="D25" i="46" s="1"/>
  <c r="N25" i="46" s="1"/>
  <c r="Q25" i="46" s="1"/>
  <c r="M24" i="44"/>
  <c r="O25" i="44" s="1"/>
  <c r="R25" i="44" s="1"/>
  <c r="B26" i="44"/>
  <c r="L25" i="44"/>
  <c r="C25" i="44"/>
  <c r="D25" i="44" s="1"/>
  <c r="N25" i="44" s="1"/>
  <c r="Q25" i="44" s="1"/>
  <c r="J8" i="5"/>
  <c r="J2" i="5"/>
  <c r="BA39" i="29"/>
  <c r="AP41" i="29"/>
  <c r="BM41" i="29"/>
  <c r="BB38" i="29"/>
  <c r="AZ40" i="29"/>
  <c r="R40" i="29"/>
  <c r="AB40" i="29"/>
  <c r="P40" i="29"/>
  <c r="BV40" i="29" s="1"/>
  <c r="BW40" i="29" s="1"/>
  <c r="AA40" i="29"/>
  <c r="S39" i="29"/>
  <c r="T39" i="29" s="1"/>
  <c r="AC39" i="29"/>
  <c r="AD39" i="29" s="1"/>
  <c r="Q40" i="29"/>
  <c r="O41" i="29"/>
  <c r="B42" i="29"/>
  <c r="D42" i="29" s="1"/>
  <c r="BM42" i="29" s="1"/>
  <c r="N41" i="29"/>
  <c r="AY41" i="29" s="1"/>
  <c r="M41" i="29"/>
  <c r="R21" i="17"/>
  <c r="L26" i="17"/>
  <c r="B27" i="17"/>
  <c r="O22" i="17"/>
  <c r="C23" i="17"/>
  <c r="D23" i="17" s="1"/>
  <c r="M22" i="17"/>
  <c r="N22" i="17"/>
  <c r="P21" i="17"/>
  <c r="Q21" i="17"/>
  <c r="S20" i="17"/>
  <c r="T20" i="17" s="1"/>
  <c r="B37" i="26" l="1"/>
  <c r="B36" i="26"/>
  <c r="S24" i="52"/>
  <c r="T24" i="52" s="1"/>
  <c r="P25" i="51"/>
  <c r="M25" i="52"/>
  <c r="O26" i="52" s="1"/>
  <c r="R26" i="52" s="1"/>
  <c r="P25" i="52"/>
  <c r="S25" i="52" s="1"/>
  <c r="Q25" i="51"/>
  <c r="O25" i="52"/>
  <c r="R25" i="52" s="1"/>
  <c r="L26" i="51"/>
  <c r="B27" i="51"/>
  <c r="C26" i="51"/>
  <c r="D26" i="51" s="1"/>
  <c r="N26" i="51" s="1"/>
  <c r="Q26" i="51" s="1"/>
  <c r="L26" i="52"/>
  <c r="B27" i="52"/>
  <c r="C26" i="52"/>
  <c r="D26" i="52" s="1"/>
  <c r="N26" i="52" s="1"/>
  <c r="Q26" i="52" s="1"/>
  <c r="M25" i="51"/>
  <c r="O26" i="51" s="1"/>
  <c r="P26" i="50"/>
  <c r="Q26" i="50"/>
  <c r="M26" i="50"/>
  <c r="O27" i="50" s="1"/>
  <c r="B28" i="50"/>
  <c r="L27" i="50"/>
  <c r="C27" i="50"/>
  <c r="D27" i="50" s="1"/>
  <c r="N27" i="50" s="1"/>
  <c r="Q27" i="50" s="1"/>
  <c r="P25" i="45"/>
  <c r="Q25" i="45"/>
  <c r="P25" i="44"/>
  <c r="S25" i="44" s="1"/>
  <c r="T25" i="44" s="1"/>
  <c r="M25" i="44"/>
  <c r="O26" i="44" s="1"/>
  <c r="R26" i="44" s="1"/>
  <c r="M25" i="46"/>
  <c r="O26" i="46" s="1"/>
  <c r="R26" i="46" s="1"/>
  <c r="M25" i="45"/>
  <c r="O26" i="45" s="1"/>
  <c r="P25" i="43"/>
  <c r="B27" i="45"/>
  <c r="L26" i="45"/>
  <c r="C26" i="45"/>
  <c r="D26" i="45" s="1"/>
  <c r="N26" i="45" s="1"/>
  <c r="Q26" i="45" s="1"/>
  <c r="P25" i="46"/>
  <c r="S25" i="46" s="1"/>
  <c r="T25" i="46" s="1"/>
  <c r="Q25" i="43"/>
  <c r="B27" i="46"/>
  <c r="L26" i="46"/>
  <c r="C26" i="46"/>
  <c r="D26" i="46" s="1"/>
  <c r="N26" i="46" s="1"/>
  <c r="Q26" i="46" s="1"/>
  <c r="B27" i="43"/>
  <c r="L26" i="43"/>
  <c r="C26" i="43"/>
  <c r="D26" i="43" s="1"/>
  <c r="N26" i="43" s="1"/>
  <c r="B27" i="44"/>
  <c r="L26" i="44"/>
  <c r="C26" i="44"/>
  <c r="D26" i="44" s="1"/>
  <c r="N26" i="44" s="1"/>
  <c r="M25" i="43"/>
  <c r="O26" i="43" s="1"/>
  <c r="J1" i="5"/>
  <c r="X4" i="4"/>
  <c r="BA40" i="29"/>
  <c r="BB39" i="29"/>
  <c r="AZ41" i="29"/>
  <c r="B43" i="29"/>
  <c r="D43" i="29" s="1"/>
  <c r="AP42" i="29"/>
  <c r="AB41" i="29"/>
  <c r="S40" i="29"/>
  <c r="T40" i="29" s="1"/>
  <c r="AC40" i="29"/>
  <c r="AD40" i="29" s="1"/>
  <c r="Q41" i="29"/>
  <c r="AA41" i="29"/>
  <c r="R41" i="29"/>
  <c r="P41" i="29"/>
  <c r="BV41" i="29" s="1"/>
  <c r="BW41" i="29" s="1"/>
  <c r="O42" i="29"/>
  <c r="M42" i="29"/>
  <c r="N42" i="29"/>
  <c r="AY42" i="29" s="1"/>
  <c r="R22" i="17"/>
  <c r="B28" i="17"/>
  <c r="L27" i="17"/>
  <c r="S21" i="17"/>
  <c r="T21" i="17" s="1"/>
  <c r="O23" i="17"/>
  <c r="C24" i="17"/>
  <c r="D24" i="17" s="1"/>
  <c r="M23" i="17"/>
  <c r="N23" i="17"/>
  <c r="P22" i="17"/>
  <c r="Q22" i="17"/>
  <c r="R26" i="51" l="1"/>
  <c r="S25" i="51"/>
  <c r="T25" i="51" s="1"/>
  <c r="T25" i="52"/>
  <c r="M26" i="51"/>
  <c r="O27" i="51" s="1"/>
  <c r="R27" i="51" s="1"/>
  <c r="P26" i="52"/>
  <c r="S26" i="52" s="1"/>
  <c r="T26" i="52" s="1"/>
  <c r="M26" i="52"/>
  <c r="O27" i="52" s="1"/>
  <c r="R27" i="52" s="1"/>
  <c r="P26" i="51"/>
  <c r="S26" i="51" s="1"/>
  <c r="B28" i="52"/>
  <c r="L27" i="52"/>
  <c r="C27" i="52"/>
  <c r="D27" i="52" s="1"/>
  <c r="N27" i="52" s="1"/>
  <c r="B28" i="51"/>
  <c r="L27" i="51"/>
  <c r="C27" i="51"/>
  <c r="D27" i="51" s="1"/>
  <c r="N27" i="51" s="1"/>
  <c r="Q27" i="51" s="1"/>
  <c r="S26" i="50"/>
  <c r="T26" i="50" s="1"/>
  <c r="R27" i="50"/>
  <c r="P27" i="50"/>
  <c r="S27" i="50" s="1"/>
  <c r="M27" i="50"/>
  <c r="O28" i="50" s="1"/>
  <c r="R28" i="50" s="1"/>
  <c r="B29" i="50"/>
  <c r="L28" i="50"/>
  <c r="C28" i="50"/>
  <c r="D28" i="50" s="1"/>
  <c r="N28" i="50" s="1"/>
  <c r="Q28" i="50" s="1"/>
  <c r="R26" i="45"/>
  <c r="M26" i="44"/>
  <c r="O27" i="44" s="1"/>
  <c r="M26" i="45"/>
  <c r="O27" i="45" s="1"/>
  <c r="R27" i="45" s="1"/>
  <c r="S25" i="45"/>
  <c r="T25" i="45" s="1"/>
  <c r="P26" i="43"/>
  <c r="P26" i="44"/>
  <c r="P26" i="45"/>
  <c r="S26" i="45" s="1"/>
  <c r="P26" i="46"/>
  <c r="S26" i="46" s="1"/>
  <c r="T26" i="46" s="1"/>
  <c r="R26" i="43"/>
  <c r="Q26" i="43"/>
  <c r="S25" i="43"/>
  <c r="T25" i="43" s="1"/>
  <c r="Q26" i="44"/>
  <c r="M26" i="43"/>
  <c r="O27" i="43" s="1"/>
  <c r="L27" i="45"/>
  <c r="B28" i="45"/>
  <c r="C27" i="45"/>
  <c r="D27" i="45" s="1"/>
  <c r="N27" i="45" s="1"/>
  <c r="L27" i="44"/>
  <c r="B28" i="44"/>
  <c r="C27" i="44"/>
  <c r="D27" i="44" s="1"/>
  <c r="N27" i="44" s="1"/>
  <c r="L27" i="43"/>
  <c r="B28" i="43"/>
  <c r="C27" i="43"/>
  <c r="D27" i="43" s="1"/>
  <c r="N27" i="43" s="1"/>
  <c r="Q27" i="43" s="1"/>
  <c r="M26" i="46"/>
  <c r="B28" i="46"/>
  <c r="L27" i="46"/>
  <c r="C27" i="46"/>
  <c r="D27" i="46" s="1"/>
  <c r="N27" i="46" s="1"/>
  <c r="Q27" i="46" s="1"/>
  <c r="BA41" i="29"/>
  <c r="B44" i="29"/>
  <c r="D44" i="29" s="1"/>
  <c r="BM44" i="29" s="1"/>
  <c r="BM43" i="29"/>
  <c r="BB40" i="29"/>
  <c r="AZ42" i="29"/>
  <c r="AP43" i="29"/>
  <c r="M43" i="29"/>
  <c r="N43" i="29"/>
  <c r="AY43" i="29" s="1"/>
  <c r="O43" i="29"/>
  <c r="O24" i="17"/>
  <c r="S41" i="29"/>
  <c r="T41" i="29" s="1"/>
  <c r="AC41" i="29"/>
  <c r="AD41" i="29" s="1"/>
  <c r="Q42" i="29"/>
  <c r="AA42" i="29"/>
  <c r="R42" i="29"/>
  <c r="AB42" i="29"/>
  <c r="P42" i="29"/>
  <c r="BV42" i="29" s="1"/>
  <c r="BW42" i="29" s="1"/>
  <c r="L28" i="17"/>
  <c r="B29" i="17"/>
  <c r="S22" i="17"/>
  <c r="T22" i="17" s="1"/>
  <c r="M24" i="17"/>
  <c r="C25" i="17"/>
  <c r="D25" i="17" s="1"/>
  <c r="N24" i="17"/>
  <c r="R23" i="17"/>
  <c r="Q23" i="17"/>
  <c r="P23" i="17"/>
  <c r="T26" i="51" l="1"/>
  <c r="B39" i="26"/>
  <c r="B38" i="26"/>
  <c r="P27" i="52"/>
  <c r="Q27" i="52"/>
  <c r="P27" i="51"/>
  <c r="S27" i="51" s="1"/>
  <c r="T27" i="51" s="1"/>
  <c r="M27" i="51"/>
  <c r="O28" i="51" s="1"/>
  <c r="R28" i="51" s="1"/>
  <c r="B29" i="51"/>
  <c r="L28" i="51"/>
  <c r="C28" i="51"/>
  <c r="D28" i="51" s="1"/>
  <c r="N28" i="51" s="1"/>
  <c r="M27" i="52"/>
  <c r="O28" i="52" s="1"/>
  <c r="L28" i="52"/>
  <c r="B29" i="52"/>
  <c r="C28" i="52"/>
  <c r="D28" i="52" s="1"/>
  <c r="N28" i="52" s="1"/>
  <c r="Q28" i="52" s="1"/>
  <c r="T27" i="50"/>
  <c r="M28" i="50"/>
  <c r="O29" i="50" s="1"/>
  <c r="R29" i="50" s="1"/>
  <c r="P28" i="50"/>
  <c r="S28" i="50" s="1"/>
  <c r="T28" i="50" s="1"/>
  <c r="L29" i="50"/>
  <c r="B30" i="50"/>
  <c r="C29" i="50"/>
  <c r="D29" i="50" s="1"/>
  <c r="N29" i="50" s="1"/>
  <c r="Q29" i="50" s="1"/>
  <c r="T26" i="45"/>
  <c r="P27" i="45"/>
  <c r="P27" i="44"/>
  <c r="S26" i="43"/>
  <c r="T26" i="43" s="1"/>
  <c r="S26" i="44"/>
  <c r="T26" i="44" s="1"/>
  <c r="M27" i="46"/>
  <c r="O28" i="46" s="1"/>
  <c r="R28" i="46" s="1"/>
  <c r="P27" i="46"/>
  <c r="S27" i="46" s="1"/>
  <c r="R27" i="43"/>
  <c r="R27" i="44"/>
  <c r="O27" i="46"/>
  <c r="R27" i="46" s="1"/>
  <c r="Q27" i="45"/>
  <c r="P27" i="43"/>
  <c r="S27" i="43" s="1"/>
  <c r="M27" i="44"/>
  <c r="O28" i="44" s="1"/>
  <c r="M27" i="45"/>
  <c r="O28" i="45" s="1"/>
  <c r="Q27" i="44"/>
  <c r="B29" i="43"/>
  <c r="L28" i="43"/>
  <c r="C28" i="43"/>
  <c r="D28" i="43" s="1"/>
  <c r="N28" i="43" s="1"/>
  <c r="Q28" i="43" s="1"/>
  <c r="B29" i="46"/>
  <c r="L28" i="46"/>
  <c r="C28" i="46"/>
  <c r="D28" i="46" s="1"/>
  <c r="N28" i="46" s="1"/>
  <c r="Q28" i="46" s="1"/>
  <c r="M27" i="43"/>
  <c r="O28" i="43" s="1"/>
  <c r="R28" i="43" s="1"/>
  <c r="B29" i="44"/>
  <c r="L28" i="44"/>
  <c r="C28" i="44"/>
  <c r="D28" i="44" s="1"/>
  <c r="N28" i="44" s="1"/>
  <c r="Q28" i="44" s="1"/>
  <c r="L28" i="45"/>
  <c r="B29" i="45"/>
  <c r="C28" i="45"/>
  <c r="D28" i="45" s="1"/>
  <c r="N28" i="45" s="1"/>
  <c r="Q28" i="45" s="1"/>
  <c r="BA42" i="29"/>
  <c r="B45" i="29"/>
  <c r="D45" i="29" s="1"/>
  <c r="BM45" i="29" s="1"/>
  <c r="N44" i="29"/>
  <c r="AY44" i="29" s="1"/>
  <c r="M44" i="29"/>
  <c r="AP44" i="29"/>
  <c r="AA43" i="29"/>
  <c r="BB41" i="29"/>
  <c r="AZ43" i="29"/>
  <c r="AB43" i="29"/>
  <c r="P43" i="29"/>
  <c r="BV43" i="29" s="1"/>
  <c r="BW43" i="29" s="1"/>
  <c r="Q43" i="29"/>
  <c r="O44" i="29"/>
  <c r="R43" i="29"/>
  <c r="R24" i="17"/>
  <c r="S42" i="29"/>
  <c r="T42" i="29" s="1"/>
  <c r="AC42" i="29"/>
  <c r="AD42" i="29" s="1"/>
  <c r="B30" i="17"/>
  <c r="L29" i="17"/>
  <c r="S23" i="17"/>
  <c r="T23" i="17" s="1"/>
  <c r="N25" i="17"/>
  <c r="M25" i="17"/>
  <c r="C26" i="17"/>
  <c r="D26" i="17" s="1"/>
  <c r="O25" i="17"/>
  <c r="P24" i="17"/>
  <c r="Q24" i="17"/>
  <c r="B40" i="26" l="1"/>
  <c r="S27" i="52"/>
  <c r="T27" i="52" s="1"/>
  <c r="P28" i="51"/>
  <c r="P28" i="52"/>
  <c r="S28" i="52" s="1"/>
  <c r="Q28" i="51"/>
  <c r="M28" i="52"/>
  <c r="O29" i="52" s="1"/>
  <c r="R29" i="52" s="1"/>
  <c r="R28" i="52"/>
  <c r="L29" i="52"/>
  <c r="B30" i="52"/>
  <c r="C29" i="52"/>
  <c r="D29" i="52" s="1"/>
  <c r="N29" i="52" s="1"/>
  <c r="L29" i="51"/>
  <c r="B30" i="51"/>
  <c r="C29" i="51"/>
  <c r="D29" i="51" s="1"/>
  <c r="N29" i="51" s="1"/>
  <c r="Q29" i="51" s="1"/>
  <c r="M28" i="51"/>
  <c r="O29" i="51" s="1"/>
  <c r="P29" i="50"/>
  <c r="S29" i="50" s="1"/>
  <c r="T29" i="50" s="1"/>
  <c r="M29" i="50"/>
  <c r="O30" i="50" s="1"/>
  <c r="R30" i="50" s="1"/>
  <c r="B31" i="50"/>
  <c r="L30" i="50"/>
  <c r="C30" i="50"/>
  <c r="D30" i="50" s="1"/>
  <c r="N30" i="50" s="1"/>
  <c r="S27" i="44"/>
  <c r="T27" i="44" s="1"/>
  <c r="S27" i="45"/>
  <c r="T27" i="45" s="1"/>
  <c r="T27" i="43"/>
  <c r="R28" i="45"/>
  <c r="R28" i="44"/>
  <c r="P28" i="46"/>
  <c r="S28" i="46" s="1"/>
  <c r="T28" i="46" s="1"/>
  <c r="T27" i="46"/>
  <c r="P28" i="44"/>
  <c r="S28" i="44" s="1"/>
  <c r="M28" i="45"/>
  <c r="O29" i="45" s="1"/>
  <c r="R29" i="45" s="1"/>
  <c r="M28" i="44"/>
  <c r="O29" i="44" s="1"/>
  <c r="R29" i="44" s="1"/>
  <c r="M28" i="46"/>
  <c r="O29" i="46" s="1"/>
  <c r="R29" i="46" s="1"/>
  <c r="M28" i="43"/>
  <c r="O29" i="43" s="1"/>
  <c r="R29" i="43" s="1"/>
  <c r="P28" i="45"/>
  <c r="S28" i="45" s="1"/>
  <c r="B30" i="45"/>
  <c r="L29" i="45"/>
  <c r="C29" i="45"/>
  <c r="D29" i="45" s="1"/>
  <c r="N29" i="45" s="1"/>
  <c r="B30" i="46"/>
  <c r="L29" i="46"/>
  <c r="C29" i="46"/>
  <c r="D29" i="46" s="1"/>
  <c r="N29" i="46" s="1"/>
  <c r="Q29" i="46" s="1"/>
  <c r="L29" i="44"/>
  <c r="B30" i="44"/>
  <c r="C29" i="44"/>
  <c r="D29" i="44" s="1"/>
  <c r="N29" i="44" s="1"/>
  <c r="P28" i="43"/>
  <c r="S28" i="43" s="1"/>
  <c r="T28" i="43" s="1"/>
  <c r="B30" i="43"/>
  <c r="L29" i="43"/>
  <c r="C29" i="43"/>
  <c r="D29" i="43" s="1"/>
  <c r="N29" i="43" s="1"/>
  <c r="Q29" i="43" s="1"/>
  <c r="BA43" i="29"/>
  <c r="BB43" i="29" s="1"/>
  <c r="P44" i="29"/>
  <c r="BV44" i="29" s="1"/>
  <c r="BW44" i="29" s="1"/>
  <c r="Q44" i="29"/>
  <c r="M45" i="29"/>
  <c r="O45" i="29"/>
  <c r="AZ45" i="29" s="1"/>
  <c r="B46" i="29"/>
  <c r="D46" i="29" s="1"/>
  <c r="BM46" i="29" s="1"/>
  <c r="N45" i="29"/>
  <c r="AY45" i="29" s="1"/>
  <c r="AP45" i="29"/>
  <c r="AA44" i="29"/>
  <c r="BB42" i="29"/>
  <c r="AZ44" i="29"/>
  <c r="S43" i="29"/>
  <c r="T43" i="29" s="1"/>
  <c r="R44" i="29"/>
  <c r="AC43" i="29"/>
  <c r="AD43" i="29" s="1"/>
  <c r="AB44" i="29"/>
  <c r="R25" i="17"/>
  <c r="L30" i="17"/>
  <c r="B31" i="17"/>
  <c r="Q25" i="17"/>
  <c r="P25" i="17"/>
  <c r="S24" i="17"/>
  <c r="T24" i="17" s="1"/>
  <c r="O26" i="17"/>
  <c r="C27" i="17"/>
  <c r="D27" i="17" s="1"/>
  <c r="N26" i="17"/>
  <c r="M26" i="17"/>
  <c r="P29" i="52" l="1"/>
  <c r="B41" i="26"/>
  <c r="S28" i="51"/>
  <c r="T28" i="51" s="1"/>
  <c r="T28" i="52"/>
  <c r="R29" i="51"/>
  <c r="M29" i="52"/>
  <c r="O30" i="52" s="1"/>
  <c r="Q29" i="52"/>
  <c r="P29" i="51"/>
  <c r="S29" i="51" s="1"/>
  <c r="M29" i="51"/>
  <c r="O30" i="51" s="1"/>
  <c r="R30" i="51" s="1"/>
  <c r="L30" i="52"/>
  <c r="B31" i="52"/>
  <c r="C30" i="52"/>
  <c r="D30" i="52" s="1"/>
  <c r="N30" i="52" s="1"/>
  <c r="Q30" i="52" s="1"/>
  <c r="L30" i="51"/>
  <c r="B31" i="51"/>
  <c r="C30" i="51"/>
  <c r="D30" i="51" s="1"/>
  <c r="N30" i="51" s="1"/>
  <c r="P30" i="50"/>
  <c r="Q30" i="50"/>
  <c r="M30" i="50"/>
  <c r="O31" i="50" s="1"/>
  <c r="L31" i="50"/>
  <c r="B32" i="50"/>
  <c r="C31" i="50"/>
  <c r="D31" i="50" s="1"/>
  <c r="N31" i="50" s="1"/>
  <c r="T28" i="44"/>
  <c r="T28" i="45"/>
  <c r="P29" i="44"/>
  <c r="Q29" i="44"/>
  <c r="P29" i="45"/>
  <c r="M29" i="46"/>
  <c r="O30" i="46" s="1"/>
  <c r="R30" i="46" s="1"/>
  <c r="Q29" i="45"/>
  <c r="M29" i="44"/>
  <c r="O30" i="44" s="1"/>
  <c r="P29" i="46"/>
  <c r="S29" i="46" s="1"/>
  <c r="T29" i="46" s="1"/>
  <c r="L30" i="44"/>
  <c r="B31" i="44"/>
  <c r="C30" i="44"/>
  <c r="D30" i="44" s="1"/>
  <c r="N30" i="44" s="1"/>
  <c r="Q30" i="44" s="1"/>
  <c r="B31" i="46"/>
  <c r="L30" i="46"/>
  <c r="C30" i="46"/>
  <c r="D30" i="46" s="1"/>
  <c r="N30" i="46" s="1"/>
  <c r="P29" i="43"/>
  <c r="S29" i="43" s="1"/>
  <c r="T29" i="43" s="1"/>
  <c r="B31" i="43"/>
  <c r="L30" i="43"/>
  <c r="C30" i="43"/>
  <c r="D30" i="43" s="1"/>
  <c r="N30" i="43" s="1"/>
  <c r="Q30" i="43" s="1"/>
  <c r="M29" i="43"/>
  <c r="M29" i="45"/>
  <c r="O30" i="45" s="1"/>
  <c r="B31" i="45"/>
  <c r="L30" i="45"/>
  <c r="C30" i="45"/>
  <c r="D30" i="45" s="1"/>
  <c r="N30" i="45" s="1"/>
  <c r="Q30" i="45" s="1"/>
  <c r="BA44" i="29"/>
  <c r="BB44" i="29" s="1"/>
  <c r="AB45" i="29"/>
  <c r="AA45" i="29"/>
  <c r="R45" i="29"/>
  <c r="S44" i="29"/>
  <c r="T44" i="29" s="1"/>
  <c r="M46" i="29"/>
  <c r="P45" i="29"/>
  <c r="BV45" i="29" s="1"/>
  <c r="BW45" i="29" s="1"/>
  <c r="Q45" i="29"/>
  <c r="O46" i="29"/>
  <c r="AZ46" i="29" s="1"/>
  <c r="B47" i="29"/>
  <c r="D47" i="29" s="1"/>
  <c r="BM47" i="29" s="1"/>
  <c r="AP46" i="29"/>
  <c r="N46" i="29"/>
  <c r="AY46" i="29" s="1"/>
  <c r="AC44" i="29"/>
  <c r="AD44" i="29" s="1"/>
  <c r="R26" i="17"/>
  <c r="O27" i="17"/>
  <c r="B32" i="17"/>
  <c r="L31" i="17"/>
  <c r="M27" i="17"/>
  <c r="N27" i="17"/>
  <c r="C28" i="17"/>
  <c r="D28" i="17" s="1"/>
  <c r="Q26" i="17"/>
  <c r="P26" i="17"/>
  <c r="S25" i="17"/>
  <c r="T25" i="17" s="1"/>
  <c r="S29" i="52" l="1"/>
  <c r="T29" i="52" s="1"/>
  <c r="B42" i="26"/>
  <c r="P30" i="51"/>
  <c r="T29" i="51"/>
  <c r="R30" i="52"/>
  <c r="Q30" i="51"/>
  <c r="P30" i="52"/>
  <c r="S30" i="52" s="1"/>
  <c r="L31" i="52"/>
  <c r="B32" i="52"/>
  <c r="C31" i="52"/>
  <c r="D31" i="52" s="1"/>
  <c r="N31" i="52" s="1"/>
  <c r="Q31" i="52" s="1"/>
  <c r="B32" i="51"/>
  <c r="L31" i="51"/>
  <c r="C31" i="51"/>
  <c r="D31" i="51" s="1"/>
  <c r="N31" i="51" s="1"/>
  <c r="Q31" i="51" s="1"/>
  <c r="M30" i="52"/>
  <c r="O31" i="52" s="1"/>
  <c r="R31" i="52" s="1"/>
  <c r="M30" i="51"/>
  <c r="O31" i="51" s="1"/>
  <c r="R31" i="50"/>
  <c r="M31" i="50"/>
  <c r="O32" i="50" s="1"/>
  <c r="P31" i="50"/>
  <c r="S30" i="50"/>
  <c r="T30" i="50" s="1"/>
  <c r="Q31" i="50"/>
  <c r="B33" i="50"/>
  <c r="L32" i="50"/>
  <c r="C32" i="50"/>
  <c r="D32" i="50" s="1"/>
  <c r="N32" i="50" s="1"/>
  <c r="Q32" i="50" s="1"/>
  <c r="R30" i="44"/>
  <c r="S29" i="44"/>
  <c r="T29" i="44" s="1"/>
  <c r="P30" i="46"/>
  <c r="P30" i="43"/>
  <c r="S30" i="43" s="1"/>
  <c r="M30" i="43"/>
  <c r="O31" i="43" s="1"/>
  <c r="R31" i="43" s="1"/>
  <c r="M30" i="46"/>
  <c r="O31" i="46" s="1"/>
  <c r="P30" i="44"/>
  <c r="S30" i="44" s="1"/>
  <c r="R30" i="45"/>
  <c r="S29" i="45"/>
  <c r="T29" i="45" s="1"/>
  <c r="O30" i="43"/>
  <c r="R30" i="43" s="1"/>
  <c r="M30" i="45"/>
  <c r="O31" i="45" s="1"/>
  <c r="R31" i="45" s="1"/>
  <c r="P30" i="45"/>
  <c r="S30" i="45" s="1"/>
  <c r="Q30" i="46"/>
  <c r="M30" i="44"/>
  <c r="O31" i="44" s="1"/>
  <c r="R31" i="44" s="1"/>
  <c r="L31" i="43"/>
  <c r="B32" i="43"/>
  <c r="C31" i="43"/>
  <c r="D31" i="43" s="1"/>
  <c r="N31" i="43" s="1"/>
  <c r="Q31" i="43" s="1"/>
  <c r="L31" i="44"/>
  <c r="B32" i="44"/>
  <c r="C31" i="44"/>
  <c r="D31" i="44" s="1"/>
  <c r="N31" i="44" s="1"/>
  <c r="B32" i="45"/>
  <c r="L31" i="45"/>
  <c r="C31" i="45"/>
  <c r="D31" i="45" s="1"/>
  <c r="N31" i="45" s="1"/>
  <c r="Q31" i="45" s="1"/>
  <c r="B32" i="46"/>
  <c r="L31" i="46"/>
  <c r="C31" i="46"/>
  <c r="D31" i="46" s="1"/>
  <c r="N31" i="46" s="1"/>
  <c r="BA45" i="29"/>
  <c r="BB45" i="29" s="1"/>
  <c r="AB46" i="29"/>
  <c r="S45" i="29"/>
  <c r="T45" i="29" s="1"/>
  <c r="AC45" i="29"/>
  <c r="AD45" i="29" s="1"/>
  <c r="P46" i="29"/>
  <c r="BV46" i="29" s="1"/>
  <c r="BW46" i="29" s="1"/>
  <c r="Q46" i="29"/>
  <c r="O47" i="29"/>
  <c r="AZ47" i="29" s="1"/>
  <c r="R46" i="29"/>
  <c r="AA46" i="29"/>
  <c r="N47" i="29"/>
  <c r="AY47" i="29" s="1"/>
  <c r="AP47" i="29"/>
  <c r="M47" i="29"/>
  <c r="B48" i="29"/>
  <c r="D48" i="29" s="1"/>
  <c r="BM48" i="29" s="1"/>
  <c r="R27" i="17"/>
  <c r="O28" i="17"/>
  <c r="B33" i="17"/>
  <c r="L32" i="17"/>
  <c r="C29" i="17"/>
  <c r="D29" i="17" s="1"/>
  <c r="M28" i="17"/>
  <c r="N28" i="17"/>
  <c r="P27" i="17"/>
  <c r="Q27" i="17"/>
  <c r="S26" i="17"/>
  <c r="T26" i="17" s="1"/>
  <c r="B43" i="26" l="1"/>
  <c r="R31" i="51"/>
  <c r="S30" i="51"/>
  <c r="T30" i="51" s="1"/>
  <c r="T30" i="52"/>
  <c r="M31" i="51"/>
  <c r="O32" i="51" s="1"/>
  <c r="R32" i="51" s="1"/>
  <c r="M31" i="52"/>
  <c r="O32" i="52" s="1"/>
  <c r="R32" i="52" s="1"/>
  <c r="P31" i="52"/>
  <c r="S31" i="52" s="1"/>
  <c r="T31" i="52" s="1"/>
  <c r="P31" i="51"/>
  <c r="S31" i="51" s="1"/>
  <c r="L32" i="52"/>
  <c r="B33" i="52"/>
  <c r="C32" i="52"/>
  <c r="D32" i="52" s="1"/>
  <c r="N32" i="52" s="1"/>
  <c r="Q32" i="52" s="1"/>
  <c r="B33" i="51"/>
  <c r="L32" i="51"/>
  <c r="C32" i="51"/>
  <c r="D32" i="51" s="1"/>
  <c r="N32" i="51" s="1"/>
  <c r="Q32" i="51" s="1"/>
  <c r="R32" i="50"/>
  <c r="P32" i="50"/>
  <c r="S32" i="50" s="1"/>
  <c r="S31" i="50"/>
  <c r="T31" i="50" s="1"/>
  <c r="M32" i="50"/>
  <c r="O33" i="50" s="1"/>
  <c r="R33" i="50" s="1"/>
  <c r="L33" i="50"/>
  <c r="B34" i="50"/>
  <c r="C33" i="50"/>
  <c r="D33" i="50" s="1"/>
  <c r="N33" i="50" s="1"/>
  <c r="Q33" i="50" s="1"/>
  <c r="P31" i="46"/>
  <c r="T30" i="44"/>
  <c r="P31" i="44"/>
  <c r="Q31" i="44"/>
  <c r="Q31" i="46"/>
  <c r="M31" i="46"/>
  <c r="O32" i="46" s="1"/>
  <c r="P31" i="45"/>
  <c r="S31" i="45" s="1"/>
  <c r="T31" i="45" s="1"/>
  <c r="M31" i="44"/>
  <c r="O32" i="44" s="1"/>
  <c r="P31" i="43"/>
  <c r="S31" i="43" s="1"/>
  <c r="T31" i="43" s="1"/>
  <c r="M31" i="45"/>
  <c r="O32" i="45" s="1"/>
  <c r="R32" i="45" s="1"/>
  <c r="M31" i="43"/>
  <c r="S30" i="46"/>
  <c r="T30" i="46" s="1"/>
  <c r="T30" i="43"/>
  <c r="T30" i="45"/>
  <c r="R31" i="46"/>
  <c r="B33" i="45"/>
  <c r="L32" i="45"/>
  <c r="C32" i="45"/>
  <c r="D32" i="45" s="1"/>
  <c r="N32" i="45" s="1"/>
  <c r="Q32" i="45" s="1"/>
  <c r="L32" i="46"/>
  <c r="B33" i="46"/>
  <c r="C32" i="46"/>
  <c r="D32" i="46" s="1"/>
  <c r="N32" i="46" s="1"/>
  <c r="Q32" i="46" s="1"/>
  <c r="B33" i="44"/>
  <c r="L32" i="44"/>
  <c r="C32" i="44"/>
  <c r="D32" i="44" s="1"/>
  <c r="N32" i="44" s="1"/>
  <c r="L32" i="43"/>
  <c r="B33" i="43"/>
  <c r="C32" i="43"/>
  <c r="D32" i="43" s="1"/>
  <c r="N32" i="43" s="1"/>
  <c r="Q32" i="43" s="1"/>
  <c r="BA46" i="29"/>
  <c r="BB46" i="29" s="1"/>
  <c r="AB47" i="29"/>
  <c r="R47" i="29"/>
  <c r="Q47" i="29"/>
  <c r="S46" i="29"/>
  <c r="T46" i="29" s="1"/>
  <c r="P47" i="29"/>
  <c r="BV47" i="29" s="1"/>
  <c r="BW47" i="29" s="1"/>
  <c r="AA47" i="29"/>
  <c r="AC46" i="29"/>
  <c r="AD46" i="29" s="1"/>
  <c r="O48" i="29"/>
  <c r="AZ48" i="29" s="1"/>
  <c r="N48" i="29"/>
  <c r="AY48" i="29" s="1"/>
  <c r="M48" i="29"/>
  <c r="B49" i="29"/>
  <c r="D49" i="29" s="1"/>
  <c r="BM49" i="29" s="1"/>
  <c r="AP48" i="29"/>
  <c r="O29" i="17"/>
  <c r="R28" i="17"/>
  <c r="L33" i="17"/>
  <c r="B34" i="17"/>
  <c r="S27" i="17"/>
  <c r="T27" i="17" s="1"/>
  <c r="Q28" i="17"/>
  <c r="P28" i="17"/>
  <c r="M29" i="17"/>
  <c r="C30" i="17"/>
  <c r="D30" i="17" s="1"/>
  <c r="N29" i="17"/>
  <c r="B44" i="26" l="1"/>
  <c r="T31" i="51"/>
  <c r="P32" i="51"/>
  <c r="S32" i="51" s="1"/>
  <c r="T32" i="51" s="1"/>
  <c r="P32" i="52"/>
  <c r="S32" i="52" s="1"/>
  <c r="T32" i="52" s="1"/>
  <c r="M32" i="52"/>
  <c r="O33" i="52" s="1"/>
  <c r="R33" i="52" s="1"/>
  <c r="L33" i="51"/>
  <c r="B34" i="51"/>
  <c r="C33" i="51"/>
  <c r="D33" i="51" s="1"/>
  <c r="N33" i="51" s="1"/>
  <c r="Q33" i="51" s="1"/>
  <c r="M32" i="51"/>
  <c r="L33" i="52"/>
  <c r="B34" i="52"/>
  <c r="C33" i="52"/>
  <c r="D33" i="52" s="1"/>
  <c r="N33" i="52" s="1"/>
  <c r="Q33" i="52" s="1"/>
  <c r="T32" i="50"/>
  <c r="M33" i="50"/>
  <c r="O34" i="50" s="1"/>
  <c r="R34" i="50" s="1"/>
  <c r="P33" i="50"/>
  <c r="S33" i="50" s="1"/>
  <c r="T33" i="50" s="1"/>
  <c r="B35" i="50"/>
  <c r="L34" i="50"/>
  <c r="C34" i="50"/>
  <c r="D34" i="50" s="1"/>
  <c r="N34" i="50" s="1"/>
  <c r="Q34" i="50" s="1"/>
  <c r="S31" i="46"/>
  <c r="T31" i="46" s="1"/>
  <c r="P32" i="44"/>
  <c r="R32" i="44"/>
  <c r="S31" i="44"/>
  <c r="T31" i="44" s="1"/>
  <c r="M32" i="46"/>
  <c r="O33" i="46" s="1"/>
  <c r="R33" i="46" s="1"/>
  <c r="R32" i="46"/>
  <c r="M32" i="43"/>
  <c r="O33" i="43" s="1"/>
  <c r="R33" i="43" s="1"/>
  <c r="Q32" i="44"/>
  <c r="M32" i="44"/>
  <c r="O33" i="44" s="1"/>
  <c r="P32" i="46"/>
  <c r="S32" i="46" s="1"/>
  <c r="M32" i="45"/>
  <c r="O33" i="45" s="1"/>
  <c r="R33" i="45" s="1"/>
  <c r="P32" i="43"/>
  <c r="S32" i="43" s="1"/>
  <c r="P32" i="45"/>
  <c r="S32" i="45" s="1"/>
  <c r="T32" i="45" s="1"/>
  <c r="O32" i="43"/>
  <c r="R32" i="43" s="1"/>
  <c r="B34" i="44"/>
  <c r="L33" i="44"/>
  <c r="C33" i="44"/>
  <c r="D33" i="44" s="1"/>
  <c r="N33" i="44" s="1"/>
  <c r="B34" i="43"/>
  <c r="L33" i="43"/>
  <c r="C33" i="43"/>
  <c r="D33" i="43" s="1"/>
  <c r="N33" i="43" s="1"/>
  <c r="L33" i="46"/>
  <c r="B34" i="46"/>
  <c r="C33" i="46"/>
  <c r="D33" i="46" s="1"/>
  <c r="N33" i="46" s="1"/>
  <c r="L33" i="45"/>
  <c r="B34" i="45"/>
  <c r="C33" i="45"/>
  <c r="D33" i="45" s="1"/>
  <c r="N33" i="45" s="1"/>
  <c r="BA47" i="29"/>
  <c r="BB47" i="29" s="1"/>
  <c r="P48" i="29"/>
  <c r="BV48" i="29" s="1"/>
  <c r="BW48" i="29" s="1"/>
  <c r="R48" i="29"/>
  <c r="AA48" i="29"/>
  <c r="O49" i="29"/>
  <c r="AZ49" i="29" s="1"/>
  <c r="AC47" i="29"/>
  <c r="AD47" i="29" s="1"/>
  <c r="Q48" i="29"/>
  <c r="S47" i="29"/>
  <c r="T47" i="29" s="1"/>
  <c r="AB48" i="29"/>
  <c r="N49" i="29"/>
  <c r="AY49" i="29" s="1"/>
  <c r="B50" i="29"/>
  <c r="D50" i="29" s="1"/>
  <c r="BM50" i="29" s="1"/>
  <c r="M49" i="29"/>
  <c r="AP49" i="29"/>
  <c r="R29" i="17"/>
  <c r="B35" i="17"/>
  <c r="L34" i="17"/>
  <c r="C31" i="17"/>
  <c r="D31" i="17" s="1"/>
  <c r="N30" i="17"/>
  <c r="M30" i="17"/>
  <c r="S28" i="17"/>
  <c r="T28" i="17" s="1"/>
  <c r="O30" i="17"/>
  <c r="P29" i="17"/>
  <c r="Q29" i="17"/>
  <c r="B45" i="26" l="1"/>
  <c r="M33" i="52"/>
  <c r="O34" i="52" s="1"/>
  <c r="R34" i="52" s="1"/>
  <c r="M33" i="51"/>
  <c r="O34" i="51" s="1"/>
  <c r="R34" i="51" s="1"/>
  <c r="P33" i="52"/>
  <c r="S33" i="52" s="1"/>
  <c r="T33" i="52" s="1"/>
  <c r="P33" i="51"/>
  <c r="S33" i="51" s="1"/>
  <c r="O33" i="51"/>
  <c r="R33" i="51" s="1"/>
  <c r="B35" i="52"/>
  <c r="L34" i="52"/>
  <c r="C34" i="52"/>
  <c r="D34" i="52" s="1"/>
  <c r="N34" i="52" s="1"/>
  <c r="Q34" i="52" s="1"/>
  <c r="B35" i="51"/>
  <c r="L34" i="51"/>
  <c r="C34" i="51"/>
  <c r="D34" i="51" s="1"/>
  <c r="N34" i="51" s="1"/>
  <c r="Q34" i="51" s="1"/>
  <c r="P34" i="50"/>
  <c r="S34" i="50" s="1"/>
  <c r="T34" i="50" s="1"/>
  <c r="M34" i="50"/>
  <c r="O35" i="50" s="1"/>
  <c r="R35" i="50" s="1"/>
  <c r="B36" i="50"/>
  <c r="L35" i="50"/>
  <c r="C35" i="50"/>
  <c r="D35" i="50" s="1"/>
  <c r="N35" i="50" s="1"/>
  <c r="T32" i="46"/>
  <c r="S32" i="44"/>
  <c r="T32" i="44" s="1"/>
  <c r="P33" i="45"/>
  <c r="P33" i="46"/>
  <c r="P33" i="44"/>
  <c r="P33" i="43"/>
  <c r="T32" i="43"/>
  <c r="M33" i="46"/>
  <c r="O34" i="46" s="1"/>
  <c r="M33" i="45"/>
  <c r="O34" i="45" s="1"/>
  <c r="Q33" i="46"/>
  <c r="R33" i="44"/>
  <c r="Q33" i="45"/>
  <c r="Q33" i="43"/>
  <c r="Q33" i="44"/>
  <c r="M33" i="43"/>
  <c r="O34" i="43" s="1"/>
  <c r="M33" i="44"/>
  <c r="O34" i="44" s="1"/>
  <c r="B35" i="45"/>
  <c r="L34" i="45"/>
  <c r="C34" i="45"/>
  <c r="D34" i="45" s="1"/>
  <c r="N34" i="45" s="1"/>
  <c r="Q34" i="45" s="1"/>
  <c r="B35" i="46"/>
  <c r="L34" i="46"/>
  <c r="C34" i="46"/>
  <c r="D34" i="46" s="1"/>
  <c r="N34" i="46" s="1"/>
  <c r="Q34" i="46" s="1"/>
  <c r="B35" i="43"/>
  <c r="L34" i="43"/>
  <c r="C34" i="43"/>
  <c r="D34" i="43" s="1"/>
  <c r="N34" i="43" s="1"/>
  <c r="B35" i="44"/>
  <c r="L34" i="44"/>
  <c r="C34" i="44"/>
  <c r="D34" i="44" s="1"/>
  <c r="N34" i="44" s="1"/>
  <c r="BA48" i="29"/>
  <c r="BB48" i="29" s="1"/>
  <c r="P49" i="29"/>
  <c r="BV49" i="29" s="1"/>
  <c r="BW49" i="29" s="1"/>
  <c r="S48" i="29"/>
  <c r="T48" i="29" s="1"/>
  <c r="AB49" i="29"/>
  <c r="AC48" i="29"/>
  <c r="AD48" i="29" s="1"/>
  <c r="R49" i="29"/>
  <c r="O50" i="29"/>
  <c r="AZ50" i="29" s="1"/>
  <c r="B51" i="29"/>
  <c r="D51" i="29" s="1"/>
  <c r="BM51" i="29" s="1"/>
  <c r="AA49" i="29"/>
  <c r="N50" i="29"/>
  <c r="AY50" i="29" s="1"/>
  <c r="Q49" i="29"/>
  <c r="AP50" i="29"/>
  <c r="M50" i="29"/>
  <c r="L35" i="17"/>
  <c r="B36" i="17"/>
  <c r="S29" i="17"/>
  <c r="T29" i="17" s="1"/>
  <c r="C32" i="17"/>
  <c r="D32" i="17" s="1"/>
  <c r="N31" i="17"/>
  <c r="M31" i="17"/>
  <c r="O31" i="17"/>
  <c r="R30" i="17"/>
  <c r="P30" i="17"/>
  <c r="Q30" i="17"/>
  <c r="B46" i="26" l="1"/>
  <c r="T33" i="51"/>
  <c r="P34" i="52"/>
  <c r="S34" i="52" s="1"/>
  <c r="T34" i="52" s="1"/>
  <c r="M34" i="52"/>
  <c r="O35" i="52" s="1"/>
  <c r="R35" i="52" s="1"/>
  <c r="P34" i="51"/>
  <c r="S34" i="51" s="1"/>
  <c r="T34" i="51" s="1"/>
  <c r="B36" i="52"/>
  <c r="L35" i="52"/>
  <c r="C35" i="52"/>
  <c r="D35" i="52" s="1"/>
  <c r="N35" i="52" s="1"/>
  <c r="L35" i="51"/>
  <c r="B36" i="51"/>
  <c r="C35" i="51"/>
  <c r="D35" i="51" s="1"/>
  <c r="N35" i="51" s="1"/>
  <c r="M34" i="51"/>
  <c r="O35" i="51" s="1"/>
  <c r="R35" i="51" s="1"/>
  <c r="P35" i="50"/>
  <c r="M35" i="50"/>
  <c r="O36" i="50" s="1"/>
  <c r="Q35" i="50"/>
  <c r="L36" i="50"/>
  <c r="B37" i="50"/>
  <c r="C36" i="50"/>
  <c r="D36" i="50" s="1"/>
  <c r="N36" i="50" s="1"/>
  <c r="S33" i="45"/>
  <c r="T33" i="45" s="1"/>
  <c r="S33" i="46"/>
  <c r="T33" i="46" s="1"/>
  <c r="S33" i="44"/>
  <c r="T33" i="44" s="1"/>
  <c r="M34" i="44"/>
  <c r="O35" i="44" s="1"/>
  <c r="S33" i="43"/>
  <c r="T33" i="43" s="1"/>
  <c r="R34" i="46"/>
  <c r="R34" i="44"/>
  <c r="P34" i="44"/>
  <c r="P34" i="46"/>
  <c r="S34" i="46" s="1"/>
  <c r="P34" i="45"/>
  <c r="S34" i="45" s="1"/>
  <c r="Q34" i="44"/>
  <c r="M34" i="45"/>
  <c r="O35" i="45" s="1"/>
  <c r="R35" i="45" s="1"/>
  <c r="R34" i="43"/>
  <c r="P34" i="43"/>
  <c r="Q34" i="43"/>
  <c r="R34" i="45"/>
  <c r="M34" i="43"/>
  <c r="O35" i="43" s="1"/>
  <c r="M34" i="46"/>
  <c r="O35" i="46" s="1"/>
  <c r="R35" i="46" s="1"/>
  <c r="L35" i="44"/>
  <c r="B36" i="44"/>
  <c r="C35" i="44"/>
  <c r="D35" i="44" s="1"/>
  <c r="N35" i="44" s="1"/>
  <c r="L35" i="46"/>
  <c r="B36" i="46"/>
  <c r="C35" i="46"/>
  <c r="D35" i="46" s="1"/>
  <c r="N35" i="46" s="1"/>
  <c r="Q35" i="46" s="1"/>
  <c r="L35" i="43"/>
  <c r="B36" i="43"/>
  <c r="C35" i="43"/>
  <c r="D35" i="43" s="1"/>
  <c r="N35" i="43" s="1"/>
  <c r="L35" i="45"/>
  <c r="B36" i="45"/>
  <c r="C35" i="45"/>
  <c r="D35" i="45" s="1"/>
  <c r="N35" i="45" s="1"/>
  <c r="Q35" i="45" s="1"/>
  <c r="BA49" i="29"/>
  <c r="BB49" i="29" s="1"/>
  <c r="S49" i="29"/>
  <c r="T49" i="29" s="1"/>
  <c r="Q50" i="29"/>
  <c r="P50" i="29"/>
  <c r="BV50" i="29" s="1"/>
  <c r="BW50" i="29" s="1"/>
  <c r="AA50" i="29"/>
  <c r="O51" i="29"/>
  <c r="AZ51" i="29" s="1"/>
  <c r="AP51" i="29"/>
  <c r="AB50" i="29"/>
  <c r="R50" i="29"/>
  <c r="AC49" i="29"/>
  <c r="AD49" i="29" s="1"/>
  <c r="N51" i="29"/>
  <c r="AY51" i="29" s="1"/>
  <c r="B52" i="29"/>
  <c r="D52" i="29" s="1"/>
  <c r="M52" i="29" s="1"/>
  <c r="M51" i="29"/>
  <c r="O32" i="17"/>
  <c r="L36" i="17"/>
  <c r="B37" i="17"/>
  <c r="R31" i="17"/>
  <c r="P31" i="17"/>
  <c r="Q31" i="17"/>
  <c r="M32" i="17"/>
  <c r="C33" i="17"/>
  <c r="D33" i="17" s="1"/>
  <c r="N32" i="17"/>
  <c r="S30" i="17"/>
  <c r="T30" i="17" s="1"/>
  <c r="P35" i="52" l="1"/>
  <c r="Q35" i="52"/>
  <c r="M35" i="52"/>
  <c r="O36" i="52" s="1"/>
  <c r="P35" i="51"/>
  <c r="Q35" i="51"/>
  <c r="B37" i="51"/>
  <c r="L36" i="51"/>
  <c r="C36" i="51"/>
  <c r="D36" i="51" s="1"/>
  <c r="N36" i="51" s="1"/>
  <c r="Q36" i="51" s="1"/>
  <c r="L36" i="52"/>
  <c r="B37" i="52"/>
  <c r="C36" i="52"/>
  <c r="D36" i="52" s="1"/>
  <c r="N36" i="52" s="1"/>
  <c r="M35" i="51"/>
  <c r="O36" i="51" s="1"/>
  <c r="P36" i="50"/>
  <c r="S35" i="50"/>
  <c r="T35" i="50" s="1"/>
  <c r="Q36" i="50"/>
  <c r="R36" i="50"/>
  <c r="M36" i="50"/>
  <c r="O37" i="50" s="1"/>
  <c r="B38" i="50"/>
  <c r="L37" i="50"/>
  <c r="C37" i="50"/>
  <c r="D37" i="50" s="1"/>
  <c r="N37" i="50" s="1"/>
  <c r="P35" i="44"/>
  <c r="R35" i="44"/>
  <c r="T34" i="46"/>
  <c r="T34" i="45"/>
  <c r="P35" i="43"/>
  <c r="P35" i="45"/>
  <c r="S35" i="45" s="1"/>
  <c r="T35" i="45" s="1"/>
  <c r="S34" i="43"/>
  <c r="T34" i="43" s="1"/>
  <c r="S34" i="44"/>
  <c r="T34" i="44" s="1"/>
  <c r="P35" i="46"/>
  <c r="S35" i="46" s="1"/>
  <c r="T35" i="46" s="1"/>
  <c r="R35" i="43"/>
  <c r="Q35" i="43"/>
  <c r="Q35" i="44"/>
  <c r="M35" i="43"/>
  <c r="O36" i="43" s="1"/>
  <c r="M35" i="45"/>
  <c r="O36" i="45" s="1"/>
  <c r="R36" i="45" s="1"/>
  <c r="M35" i="46"/>
  <c r="O36" i="46" s="1"/>
  <c r="R36" i="46" s="1"/>
  <c r="M35" i="44"/>
  <c r="O36" i="44" s="1"/>
  <c r="B37" i="43"/>
  <c r="L36" i="43"/>
  <c r="C36" i="43"/>
  <c r="D36" i="43" s="1"/>
  <c r="N36" i="43" s="1"/>
  <c r="B37" i="46"/>
  <c r="L36" i="46"/>
  <c r="C36" i="46"/>
  <c r="D36" i="46" s="1"/>
  <c r="N36" i="46" s="1"/>
  <c r="Q36" i="46" s="1"/>
  <c r="B37" i="45"/>
  <c r="L36" i="45"/>
  <c r="C36" i="45"/>
  <c r="D36" i="45" s="1"/>
  <c r="N36" i="45" s="1"/>
  <c r="L36" i="44"/>
  <c r="B37" i="44"/>
  <c r="C36" i="44"/>
  <c r="D36" i="44" s="1"/>
  <c r="N36" i="44" s="1"/>
  <c r="Q36" i="44" s="1"/>
  <c r="BA50" i="29"/>
  <c r="BB50" i="29" s="1"/>
  <c r="AC50" i="29"/>
  <c r="AD50" i="29" s="1"/>
  <c r="S50" i="29"/>
  <c r="T50" i="29" s="1"/>
  <c r="AB51" i="29"/>
  <c r="AA51" i="29"/>
  <c r="P51" i="29"/>
  <c r="BV51" i="29" s="1"/>
  <c r="BW51" i="29" s="1"/>
  <c r="Q51" i="29"/>
  <c r="R51" i="29"/>
  <c r="O52" i="29"/>
  <c r="AP52" i="29"/>
  <c r="B53" i="29"/>
  <c r="D53" i="29" s="1"/>
  <c r="B54" i="29" s="1"/>
  <c r="D54" i="29" s="1"/>
  <c r="BM52" i="29"/>
  <c r="N52" i="29"/>
  <c r="AY52" i="29" s="1"/>
  <c r="R32" i="17"/>
  <c r="L37" i="17"/>
  <c r="B38" i="17"/>
  <c r="P32" i="17"/>
  <c r="Q32" i="17"/>
  <c r="O33" i="17"/>
  <c r="S31" i="17"/>
  <c r="T31" i="17" s="1"/>
  <c r="C34" i="17"/>
  <c r="D34" i="17" s="1"/>
  <c r="M33" i="17"/>
  <c r="N33" i="17"/>
  <c r="S35" i="52" l="1"/>
  <c r="T35" i="52" s="1"/>
  <c r="B47" i="26"/>
  <c r="R36" i="52"/>
  <c r="R36" i="51"/>
  <c r="M36" i="52"/>
  <c r="O37" i="52" s="1"/>
  <c r="P36" i="52"/>
  <c r="P36" i="51"/>
  <c r="S36" i="51" s="1"/>
  <c r="Q36" i="52"/>
  <c r="M36" i="51"/>
  <c r="O37" i="51" s="1"/>
  <c r="R37" i="51" s="1"/>
  <c r="S35" i="51"/>
  <c r="T35" i="51" s="1"/>
  <c r="B38" i="52"/>
  <c r="L37" i="52"/>
  <c r="C37" i="52"/>
  <c r="D37" i="52" s="1"/>
  <c r="N37" i="52" s="1"/>
  <c r="Q37" i="52" s="1"/>
  <c r="B38" i="51"/>
  <c r="L37" i="51"/>
  <c r="C37" i="51"/>
  <c r="D37" i="51" s="1"/>
  <c r="N37" i="51" s="1"/>
  <c r="Q37" i="51" s="1"/>
  <c r="S36" i="50"/>
  <c r="T36" i="50" s="1"/>
  <c r="P37" i="50"/>
  <c r="R37" i="50"/>
  <c r="Q37" i="50"/>
  <c r="M37" i="50"/>
  <c r="O38" i="50" s="1"/>
  <c r="B39" i="50"/>
  <c r="L38" i="50"/>
  <c r="C38" i="50"/>
  <c r="D38" i="50" s="1"/>
  <c r="N38" i="50" s="1"/>
  <c r="S35" i="44"/>
  <c r="T35" i="44" s="1"/>
  <c r="P36" i="43"/>
  <c r="S35" i="43"/>
  <c r="T35" i="43" s="1"/>
  <c r="P36" i="44"/>
  <c r="S36" i="44" s="1"/>
  <c r="P36" i="45"/>
  <c r="R36" i="43"/>
  <c r="P36" i="46"/>
  <c r="S36" i="46" s="1"/>
  <c r="T36" i="46" s="1"/>
  <c r="Q36" i="45"/>
  <c r="M36" i="46"/>
  <c r="O37" i="46" s="1"/>
  <c r="R37" i="46" s="1"/>
  <c r="R36" i="44"/>
  <c r="Q36" i="43"/>
  <c r="M36" i="45"/>
  <c r="O37" i="45" s="1"/>
  <c r="M36" i="44"/>
  <c r="O37" i="44" s="1"/>
  <c r="R37" i="44" s="1"/>
  <c r="M36" i="43"/>
  <c r="O37" i="43" s="1"/>
  <c r="L37" i="43"/>
  <c r="B38" i="43"/>
  <c r="C37" i="43"/>
  <c r="D37" i="43" s="1"/>
  <c r="N37" i="43" s="1"/>
  <c r="Q37" i="43" s="1"/>
  <c r="B38" i="44"/>
  <c r="L37" i="44"/>
  <c r="C37" i="44"/>
  <c r="D37" i="44" s="1"/>
  <c r="N37" i="44" s="1"/>
  <c r="Q37" i="44" s="1"/>
  <c r="B38" i="45"/>
  <c r="L37" i="45"/>
  <c r="C37" i="45"/>
  <c r="D37" i="45" s="1"/>
  <c r="N37" i="45" s="1"/>
  <c r="B38" i="46"/>
  <c r="L37" i="46"/>
  <c r="C37" i="46"/>
  <c r="D37" i="46" s="1"/>
  <c r="N37" i="46" s="1"/>
  <c r="Q37" i="46" s="1"/>
  <c r="BA51" i="29"/>
  <c r="BB51" i="29" s="1"/>
  <c r="R52" i="29"/>
  <c r="O53" i="29"/>
  <c r="AZ53" i="29" s="1"/>
  <c r="AZ52" i="29"/>
  <c r="P52" i="29"/>
  <c r="BV52" i="29" s="1"/>
  <c r="BW52" i="29" s="1"/>
  <c r="AB52" i="29"/>
  <c r="S51" i="29"/>
  <c r="T51" i="29" s="1"/>
  <c r="AA52" i="29"/>
  <c r="AC51" i="29"/>
  <c r="AD51" i="29" s="1"/>
  <c r="Q52" i="29"/>
  <c r="N53" i="29"/>
  <c r="AY53" i="29" s="1"/>
  <c r="M53" i="29"/>
  <c r="AP53" i="29"/>
  <c r="BM53" i="29"/>
  <c r="M54" i="29"/>
  <c r="BM54" i="29"/>
  <c r="N54" i="29"/>
  <c r="AY54" i="29" s="1"/>
  <c r="AP54" i="29"/>
  <c r="B55" i="29"/>
  <c r="D55" i="29" s="1"/>
  <c r="B39" i="17"/>
  <c r="L38" i="17"/>
  <c r="R33" i="17"/>
  <c r="S32" i="17"/>
  <c r="T32" i="17" s="1"/>
  <c r="M34" i="17"/>
  <c r="C35" i="17"/>
  <c r="D35" i="17" s="1"/>
  <c r="N34" i="17"/>
  <c r="Q33" i="17"/>
  <c r="P33" i="17"/>
  <c r="O34" i="17"/>
  <c r="B48" i="26" l="1"/>
  <c r="B49" i="26"/>
  <c r="T36" i="51"/>
  <c r="R37" i="52"/>
  <c r="P37" i="52"/>
  <c r="S37" i="52" s="1"/>
  <c r="P37" i="51"/>
  <c r="S37" i="51" s="1"/>
  <c r="T37" i="51" s="1"/>
  <c r="S36" i="52"/>
  <c r="T36" i="52" s="1"/>
  <c r="M37" i="51"/>
  <c r="O38" i="51" s="1"/>
  <c r="R38" i="51" s="1"/>
  <c r="M37" i="52"/>
  <c r="O38" i="52" s="1"/>
  <c r="R38" i="52" s="1"/>
  <c r="B39" i="52"/>
  <c r="L38" i="52"/>
  <c r="C38" i="52"/>
  <c r="D38" i="52" s="1"/>
  <c r="N38" i="52" s="1"/>
  <c r="Q38" i="52" s="1"/>
  <c r="L38" i="51"/>
  <c r="B39" i="51"/>
  <c r="C38" i="51"/>
  <c r="D38" i="51" s="1"/>
  <c r="N38" i="51" s="1"/>
  <c r="Q38" i="51" s="1"/>
  <c r="S37" i="50"/>
  <c r="T37" i="50" s="1"/>
  <c r="P38" i="50"/>
  <c r="M38" i="50"/>
  <c r="O39" i="50" s="1"/>
  <c r="R38" i="50"/>
  <c r="B40" i="50"/>
  <c r="L39" i="50"/>
  <c r="C39" i="50"/>
  <c r="D39" i="50" s="1"/>
  <c r="N39" i="50" s="1"/>
  <c r="Q38" i="50"/>
  <c r="R37" i="45"/>
  <c r="S36" i="45"/>
  <c r="T36" i="45" s="1"/>
  <c r="S36" i="43"/>
  <c r="T36" i="43" s="1"/>
  <c r="M37" i="46"/>
  <c r="O38" i="46" s="1"/>
  <c r="R38" i="46" s="1"/>
  <c r="P37" i="45"/>
  <c r="R37" i="43"/>
  <c r="M37" i="45"/>
  <c r="O38" i="45" s="1"/>
  <c r="T36" i="44"/>
  <c r="P37" i="46"/>
  <c r="S37" i="46" s="1"/>
  <c r="T37" i="46" s="1"/>
  <c r="P37" i="43"/>
  <c r="S37" i="43" s="1"/>
  <c r="Q37" i="45"/>
  <c r="M37" i="43"/>
  <c r="O38" i="43" s="1"/>
  <c r="R38" i="43" s="1"/>
  <c r="P37" i="44"/>
  <c r="S37" i="44" s="1"/>
  <c r="T37" i="44" s="1"/>
  <c r="M37" i="44"/>
  <c r="O38" i="44" s="1"/>
  <c r="R38" i="44" s="1"/>
  <c r="L38" i="44"/>
  <c r="B39" i="44"/>
  <c r="C38" i="44"/>
  <c r="D38" i="44" s="1"/>
  <c r="N38" i="44" s="1"/>
  <c r="L38" i="45"/>
  <c r="B39" i="45"/>
  <c r="C38" i="45"/>
  <c r="D38" i="45" s="1"/>
  <c r="N38" i="45" s="1"/>
  <c r="Q38" i="45" s="1"/>
  <c r="L38" i="46"/>
  <c r="B39" i="46"/>
  <c r="C38" i="46"/>
  <c r="D38" i="46" s="1"/>
  <c r="N38" i="46" s="1"/>
  <c r="L38" i="43"/>
  <c r="B39" i="43"/>
  <c r="C38" i="43"/>
  <c r="D38" i="43" s="1"/>
  <c r="N38" i="43" s="1"/>
  <c r="Q38" i="43" s="1"/>
  <c r="BA52" i="29"/>
  <c r="BB52" i="29" s="1"/>
  <c r="AA53" i="29"/>
  <c r="R53" i="29"/>
  <c r="O54" i="29"/>
  <c r="AZ54" i="29" s="1"/>
  <c r="AB53" i="29"/>
  <c r="P53" i="29"/>
  <c r="BV53" i="29" s="1"/>
  <c r="BW53" i="29" s="1"/>
  <c r="Q53" i="29"/>
  <c r="S52" i="29"/>
  <c r="T52" i="29" s="1"/>
  <c r="AC52" i="29"/>
  <c r="AD52" i="29" s="1"/>
  <c r="M55" i="29"/>
  <c r="BM55" i="29"/>
  <c r="N55" i="29"/>
  <c r="AY55" i="29" s="1"/>
  <c r="AP55" i="29"/>
  <c r="O55" i="29"/>
  <c r="B56" i="29"/>
  <c r="D56" i="29" s="1"/>
  <c r="AA54" i="29"/>
  <c r="Q54" i="29"/>
  <c r="P54" i="29"/>
  <c r="S33" i="17"/>
  <c r="T33" i="17" s="1"/>
  <c r="B40" i="17"/>
  <c r="L39" i="17"/>
  <c r="O35" i="17"/>
  <c r="R34" i="17"/>
  <c r="Q34" i="17"/>
  <c r="P34" i="17"/>
  <c r="C36" i="17"/>
  <c r="D36" i="17" s="1"/>
  <c r="M35" i="17"/>
  <c r="N35" i="17"/>
  <c r="B50" i="26" l="1"/>
  <c r="T37" i="52"/>
  <c r="P38" i="51"/>
  <c r="S38" i="51" s="1"/>
  <c r="T38" i="51" s="1"/>
  <c r="M38" i="51"/>
  <c r="O39" i="51" s="1"/>
  <c r="R39" i="51" s="1"/>
  <c r="P38" i="52"/>
  <c r="S38" i="52" s="1"/>
  <c r="T38" i="52" s="1"/>
  <c r="B40" i="51"/>
  <c r="L39" i="51"/>
  <c r="C39" i="51"/>
  <c r="D39" i="51" s="1"/>
  <c r="N39" i="51" s="1"/>
  <c r="M38" i="52"/>
  <c r="B40" i="52"/>
  <c r="L39" i="52"/>
  <c r="C39" i="52"/>
  <c r="D39" i="52" s="1"/>
  <c r="N39" i="52" s="1"/>
  <c r="Q39" i="52" s="1"/>
  <c r="P39" i="50"/>
  <c r="S38" i="50"/>
  <c r="T38" i="50" s="1"/>
  <c r="Q39" i="50"/>
  <c r="M39" i="50"/>
  <c r="O40" i="50" s="1"/>
  <c r="L40" i="50"/>
  <c r="B41" i="50"/>
  <c r="C40" i="50"/>
  <c r="D40" i="50" s="1"/>
  <c r="N40" i="50" s="1"/>
  <c r="Q40" i="50" s="1"/>
  <c r="R39" i="50"/>
  <c r="T37" i="43"/>
  <c r="P38" i="46"/>
  <c r="R38" i="45"/>
  <c r="P38" i="45"/>
  <c r="S38" i="45" s="1"/>
  <c r="S37" i="45"/>
  <c r="T37" i="45" s="1"/>
  <c r="P38" i="43"/>
  <c r="S38" i="43" s="1"/>
  <c r="T38" i="43" s="1"/>
  <c r="Q38" i="46"/>
  <c r="P38" i="44"/>
  <c r="Q38" i="44"/>
  <c r="M38" i="43"/>
  <c r="O39" i="43" s="1"/>
  <c r="R39" i="43" s="1"/>
  <c r="M38" i="45"/>
  <c r="O39" i="45" s="1"/>
  <c r="R39" i="45" s="1"/>
  <c r="M38" i="44"/>
  <c r="O39" i="44" s="1"/>
  <c r="M38" i="46"/>
  <c r="L39" i="46"/>
  <c r="B40" i="46"/>
  <c r="C39" i="46"/>
  <c r="D39" i="46" s="1"/>
  <c r="N39" i="46" s="1"/>
  <c r="Q39" i="46" s="1"/>
  <c r="L39" i="43"/>
  <c r="B40" i="43"/>
  <c r="C39" i="43"/>
  <c r="D39" i="43" s="1"/>
  <c r="N39" i="43" s="1"/>
  <c r="L39" i="44"/>
  <c r="B40" i="44"/>
  <c r="C39" i="44"/>
  <c r="D39" i="44" s="1"/>
  <c r="N39" i="44" s="1"/>
  <c r="L39" i="45"/>
  <c r="B40" i="45"/>
  <c r="C39" i="45"/>
  <c r="D39" i="45" s="1"/>
  <c r="N39" i="45" s="1"/>
  <c r="Q39" i="45" s="1"/>
  <c r="BV54" i="29"/>
  <c r="BW54" i="29" s="1"/>
  <c r="BA54" i="29"/>
  <c r="BA53" i="29"/>
  <c r="BB53" i="29" s="1"/>
  <c r="AB54" i="29"/>
  <c r="R54" i="29"/>
  <c r="AC53" i="29"/>
  <c r="AD53" i="29" s="1"/>
  <c r="S53" i="29"/>
  <c r="T53" i="29" s="1"/>
  <c r="M56" i="29"/>
  <c r="BM56" i="29"/>
  <c r="AZ55" i="29"/>
  <c r="N56" i="29"/>
  <c r="AY56" i="29" s="1"/>
  <c r="AP56" i="29"/>
  <c r="AB55" i="29"/>
  <c r="R55" i="29"/>
  <c r="O56" i="29"/>
  <c r="B57" i="29"/>
  <c r="D57" i="29" s="1"/>
  <c r="AC54" i="29"/>
  <c r="S54" i="29"/>
  <c r="P55" i="29"/>
  <c r="BV55" i="29" s="1"/>
  <c r="BW55" i="29" s="1"/>
  <c r="AA55" i="29"/>
  <c r="Q55" i="29"/>
  <c r="R35" i="17"/>
  <c r="O36" i="17"/>
  <c r="S34" i="17"/>
  <c r="T34" i="17" s="1"/>
  <c r="B41" i="17"/>
  <c r="L40" i="17"/>
  <c r="Q35" i="17"/>
  <c r="P35" i="17"/>
  <c r="C37" i="17"/>
  <c r="D37" i="17" s="1"/>
  <c r="M36" i="17"/>
  <c r="N36" i="17"/>
  <c r="B51" i="26" l="1"/>
  <c r="P39" i="51"/>
  <c r="Q39" i="51"/>
  <c r="M39" i="52"/>
  <c r="O40" i="52" s="1"/>
  <c r="R40" i="52" s="1"/>
  <c r="P39" i="52"/>
  <c r="S39" i="52" s="1"/>
  <c r="O39" i="52"/>
  <c r="R39" i="52" s="1"/>
  <c r="B41" i="52"/>
  <c r="L40" i="52"/>
  <c r="C40" i="52"/>
  <c r="D40" i="52" s="1"/>
  <c r="N40" i="52" s="1"/>
  <c r="Q40" i="52" s="1"/>
  <c r="M39" i="51"/>
  <c r="O40" i="51" s="1"/>
  <c r="L40" i="51"/>
  <c r="B41" i="51"/>
  <c r="C40" i="51"/>
  <c r="D40" i="51" s="1"/>
  <c r="N40" i="51" s="1"/>
  <c r="S39" i="50"/>
  <c r="T39" i="50" s="1"/>
  <c r="R40" i="50"/>
  <c r="M40" i="50"/>
  <c r="O41" i="50" s="1"/>
  <c r="R41" i="50" s="1"/>
  <c r="P40" i="50"/>
  <c r="S40" i="50" s="1"/>
  <c r="B42" i="50"/>
  <c r="L41" i="50"/>
  <c r="C41" i="50"/>
  <c r="D41" i="50" s="1"/>
  <c r="N41" i="50" s="1"/>
  <c r="P39" i="43"/>
  <c r="S38" i="46"/>
  <c r="T38" i="46" s="1"/>
  <c r="P39" i="46"/>
  <c r="S39" i="46" s="1"/>
  <c r="S38" i="44"/>
  <c r="T38" i="44" s="1"/>
  <c r="P39" i="44"/>
  <c r="T38" i="45"/>
  <c r="O39" i="46"/>
  <c r="R39" i="46" s="1"/>
  <c r="R39" i="44"/>
  <c r="P39" i="45"/>
  <c r="S39" i="45" s="1"/>
  <c r="T39" i="45" s="1"/>
  <c r="Q39" i="44"/>
  <c r="Q39" i="43"/>
  <c r="M39" i="44"/>
  <c r="O40" i="44" s="1"/>
  <c r="M39" i="43"/>
  <c r="O40" i="43" s="1"/>
  <c r="M39" i="46"/>
  <c r="O40" i="46" s="1"/>
  <c r="R40" i="46" s="1"/>
  <c r="M39" i="45"/>
  <c r="O40" i="45" s="1"/>
  <c r="R40" i="45" s="1"/>
  <c r="L40" i="45"/>
  <c r="B41" i="45"/>
  <c r="C40" i="45"/>
  <c r="D40" i="45" s="1"/>
  <c r="N40" i="45" s="1"/>
  <c r="B41" i="46"/>
  <c r="L40" i="46"/>
  <c r="C40" i="46"/>
  <c r="D40" i="46" s="1"/>
  <c r="N40" i="46" s="1"/>
  <c r="Q40" i="46" s="1"/>
  <c r="L40" i="44"/>
  <c r="B41" i="44"/>
  <c r="C40" i="44"/>
  <c r="D40" i="44" s="1"/>
  <c r="N40" i="44" s="1"/>
  <c r="B41" i="43"/>
  <c r="L40" i="43"/>
  <c r="C40" i="43"/>
  <c r="D40" i="43" s="1"/>
  <c r="N40" i="43" s="1"/>
  <c r="Q40" i="43" s="1"/>
  <c r="BA55" i="29"/>
  <c r="AD54" i="29"/>
  <c r="T54" i="29"/>
  <c r="M57" i="29"/>
  <c r="BM57" i="29"/>
  <c r="BB54" i="29"/>
  <c r="AZ56" i="29"/>
  <c r="N57" i="29"/>
  <c r="AY57" i="29" s="1"/>
  <c r="AP57" i="29"/>
  <c r="R56" i="29"/>
  <c r="AB56" i="29"/>
  <c r="AA56" i="29"/>
  <c r="P56" i="29"/>
  <c r="BV56" i="29" s="1"/>
  <c r="BW56" i="29" s="1"/>
  <c r="Q56" i="29"/>
  <c r="S55" i="29"/>
  <c r="T55" i="29" s="1"/>
  <c r="AC55" i="29"/>
  <c r="AD55" i="29" s="1"/>
  <c r="B58" i="29"/>
  <c r="D58" i="29" s="1"/>
  <c r="O57" i="29"/>
  <c r="R36" i="17"/>
  <c r="L41" i="17"/>
  <c r="B42" i="17"/>
  <c r="O37" i="17"/>
  <c r="C38" i="17"/>
  <c r="D38" i="17" s="1"/>
  <c r="M37" i="17"/>
  <c r="N37" i="17"/>
  <c r="S35" i="17"/>
  <c r="T35" i="17" s="1"/>
  <c r="Q36" i="17"/>
  <c r="P36" i="17"/>
  <c r="B52" i="26" l="1"/>
  <c r="S39" i="51"/>
  <c r="T39" i="51" s="1"/>
  <c r="R40" i="51"/>
  <c r="M40" i="51"/>
  <c r="P40" i="52"/>
  <c r="S40" i="52" s="1"/>
  <c r="T40" i="52" s="1"/>
  <c r="T39" i="52"/>
  <c r="P40" i="51"/>
  <c r="Q40" i="51"/>
  <c r="B42" i="51"/>
  <c r="L41" i="51"/>
  <c r="C41" i="51"/>
  <c r="D41" i="51" s="1"/>
  <c r="N41" i="51" s="1"/>
  <c r="Q41" i="51" s="1"/>
  <c r="M40" i="52"/>
  <c r="O41" i="52" s="1"/>
  <c r="R41" i="52" s="1"/>
  <c r="B42" i="52"/>
  <c r="L41" i="52"/>
  <c r="C41" i="52"/>
  <c r="D41" i="52" s="1"/>
  <c r="N41" i="52" s="1"/>
  <c r="T40" i="50"/>
  <c r="P41" i="50"/>
  <c r="L42" i="50"/>
  <c r="B43" i="50"/>
  <c r="C42" i="50"/>
  <c r="D42" i="50" s="1"/>
  <c r="N42" i="50" s="1"/>
  <c r="Q42" i="50" s="1"/>
  <c r="Q41" i="50"/>
  <c r="M41" i="50"/>
  <c r="O42" i="50" s="1"/>
  <c r="P40" i="45"/>
  <c r="S39" i="43"/>
  <c r="T39" i="43" s="1"/>
  <c r="S39" i="44"/>
  <c r="T39" i="44" s="1"/>
  <c r="T39" i="46"/>
  <c r="R40" i="44"/>
  <c r="M40" i="43"/>
  <c r="O41" i="43" s="1"/>
  <c r="R41" i="43" s="1"/>
  <c r="M40" i="44"/>
  <c r="O41" i="44" s="1"/>
  <c r="M40" i="46"/>
  <c r="O41" i="46" s="1"/>
  <c r="R41" i="46" s="1"/>
  <c r="Q40" i="45"/>
  <c r="P40" i="46"/>
  <c r="S40" i="46" s="1"/>
  <c r="T40" i="46" s="1"/>
  <c r="P40" i="44"/>
  <c r="M40" i="45"/>
  <c r="O41" i="45" s="1"/>
  <c r="R40" i="43"/>
  <c r="P40" i="43"/>
  <c r="S40" i="43" s="1"/>
  <c r="Q40" i="44"/>
  <c r="B42" i="44"/>
  <c r="L41" i="44"/>
  <c r="C41" i="44"/>
  <c r="D41" i="44" s="1"/>
  <c r="N41" i="44" s="1"/>
  <c r="L41" i="45"/>
  <c r="B42" i="45"/>
  <c r="C41" i="45"/>
  <c r="D41" i="45" s="1"/>
  <c r="N41" i="45" s="1"/>
  <c r="Q41" i="45" s="1"/>
  <c r="B42" i="43"/>
  <c r="L41" i="43"/>
  <c r="C41" i="43"/>
  <c r="D41" i="43" s="1"/>
  <c r="N41" i="43" s="1"/>
  <c r="Q41" i="43" s="1"/>
  <c r="B42" i="46"/>
  <c r="L41" i="46"/>
  <c r="C41" i="46"/>
  <c r="D41" i="46" s="1"/>
  <c r="N41" i="46" s="1"/>
  <c r="BA56" i="29"/>
  <c r="M58" i="29"/>
  <c r="BM58" i="29"/>
  <c r="BB55" i="29"/>
  <c r="AZ57" i="29"/>
  <c r="N58" i="29"/>
  <c r="AY58" i="29" s="1"/>
  <c r="AP58" i="29"/>
  <c r="O58" i="29"/>
  <c r="AA57" i="29"/>
  <c r="P57" i="29"/>
  <c r="BV57" i="29" s="1"/>
  <c r="BW57" i="29" s="1"/>
  <c r="Q57" i="29"/>
  <c r="AC56" i="29"/>
  <c r="AD56" i="29" s="1"/>
  <c r="S56" i="29"/>
  <c r="T56" i="29" s="1"/>
  <c r="AB57" i="29"/>
  <c r="R57" i="29"/>
  <c r="B59" i="29"/>
  <c r="D59" i="29" s="1"/>
  <c r="O38" i="17"/>
  <c r="B43" i="17"/>
  <c r="L42" i="17"/>
  <c r="R37" i="17"/>
  <c r="S36" i="17"/>
  <c r="T36" i="17" s="1"/>
  <c r="Q37" i="17"/>
  <c r="P37" i="17"/>
  <c r="C39" i="17"/>
  <c r="D39" i="17" s="1"/>
  <c r="N38" i="17"/>
  <c r="M38" i="17"/>
  <c r="B53" i="26" l="1"/>
  <c r="M41" i="51"/>
  <c r="O42" i="51" s="1"/>
  <c r="R42" i="51" s="1"/>
  <c r="P41" i="51"/>
  <c r="S41" i="51" s="1"/>
  <c r="M41" i="52"/>
  <c r="O42" i="52" s="1"/>
  <c r="P41" i="52"/>
  <c r="Q41" i="52"/>
  <c r="O41" i="51"/>
  <c r="R41" i="51" s="1"/>
  <c r="S40" i="51"/>
  <c r="T40" i="51" s="1"/>
  <c r="L42" i="52"/>
  <c r="B43" i="52"/>
  <c r="C42" i="52"/>
  <c r="D42" i="52" s="1"/>
  <c r="N42" i="52" s="1"/>
  <c r="B43" i="51"/>
  <c r="L42" i="51"/>
  <c r="C42" i="51"/>
  <c r="D42" i="51" s="1"/>
  <c r="N42" i="51" s="1"/>
  <c r="Q42" i="51" s="1"/>
  <c r="S41" i="50"/>
  <c r="T41" i="50" s="1"/>
  <c r="R42" i="50"/>
  <c r="P42" i="50"/>
  <c r="S42" i="50" s="1"/>
  <c r="M42" i="50"/>
  <c r="O43" i="50" s="1"/>
  <c r="R43" i="50" s="1"/>
  <c r="B44" i="50"/>
  <c r="L43" i="50"/>
  <c r="C43" i="50"/>
  <c r="D43" i="50" s="1"/>
  <c r="N43" i="50" s="1"/>
  <c r="Q43" i="50" s="1"/>
  <c r="S40" i="44"/>
  <c r="T40" i="44" s="1"/>
  <c r="S40" i="45"/>
  <c r="T40" i="45" s="1"/>
  <c r="P41" i="43"/>
  <c r="S41" i="43" s="1"/>
  <c r="T41" i="43" s="1"/>
  <c r="P41" i="46"/>
  <c r="P41" i="44"/>
  <c r="T40" i="43"/>
  <c r="P41" i="45"/>
  <c r="S41" i="45" s="1"/>
  <c r="R41" i="45"/>
  <c r="R41" i="44"/>
  <c r="Q41" i="44"/>
  <c r="M41" i="44"/>
  <c r="O42" i="44" s="1"/>
  <c r="M41" i="43"/>
  <c r="O42" i="43" s="1"/>
  <c r="R42" i="43" s="1"/>
  <c r="M41" i="45"/>
  <c r="O42" i="45" s="1"/>
  <c r="R42" i="45" s="1"/>
  <c r="Q41" i="46"/>
  <c r="M41" i="46"/>
  <c r="O42" i="46" s="1"/>
  <c r="B43" i="43"/>
  <c r="L42" i="43"/>
  <c r="C42" i="43"/>
  <c r="D42" i="43" s="1"/>
  <c r="N42" i="43" s="1"/>
  <c r="B43" i="46"/>
  <c r="L42" i="46"/>
  <c r="C42" i="46"/>
  <c r="D42" i="46" s="1"/>
  <c r="N42" i="46" s="1"/>
  <c r="Q42" i="46" s="1"/>
  <c r="L42" i="45"/>
  <c r="B43" i="45"/>
  <c r="C42" i="45"/>
  <c r="D42" i="45" s="1"/>
  <c r="N42" i="45" s="1"/>
  <c r="Q42" i="45" s="1"/>
  <c r="B43" i="44"/>
  <c r="L42" i="44"/>
  <c r="C42" i="44"/>
  <c r="D42" i="44" s="1"/>
  <c r="N42" i="44" s="1"/>
  <c r="BA57" i="29"/>
  <c r="M59" i="29"/>
  <c r="BM59" i="29"/>
  <c r="BB56" i="29"/>
  <c r="AZ58" i="29"/>
  <c r="N59" i="29"/>
  <c r="AY59" i="29" s="1"/>
  <c r="AP59" i="29"/>
  <c r="AB58" i="29"/>
  <c r="R58" i="29"/>
  <c r="O59" i="29"/>
  <c r="B60" i="29"/>
  <c r="D60" i="29" s="1"/>
  <c r="P58" i="29"/>
  <c r="BV58" i="29" s="1"/>
  <c r="BW58" i="29" s="1"/>
  <c r="Q58" i="29"/>
  <c r="AA58" i="29"/>
  <c r="AC57" i="29"/>
  <c r="AD57" i="29" s="1"/>
  <c r="S57" i="29"/>
  <c r="T57" i="29" s="1"/>
  <c r="R38" i="17"/>
  <c r="B44" i="17"/>
  <c r="L43" i="17"/>
  <c r="O39" i="17"/>
  <c r="P38" i="17"/>
  <c r="Q38" i="17"/>
  <c r="N39" i="17"/>
  <c r="C40" i="17"/>
  <c r="D40" i="17" s="1"/>
  <c r="M39" i="17"/>
  <c r="S37" i="17"/>
  <c r="T37" i="17" s="1"/>
  <c r="B54" i="26" l="1"/>
  <c r="P42" i="52"/>
  <c r="R42" i="52"/>
  <c r="Q42" i="52"/>
  <c r="P42" i="51"/>
  <c r="S42" i="51" s="1"/>
  <c r="T42" i="51" s="1"/>
  <c r="M42" i="52"/>
  <c r="O43" i="52" s="1"/>
  <c r="S41" i="52"/>
  <c r="T41" i="52" s="1"/>
  <c r="T41" i="51"/>
  <c r="M42" i="51"/>
  <c r="O43" i="51" s="1"/>
  <c r="R43" i="51" s="1"/>
  <c r="B44" i="51"/>
  <c r="L43" i="51"/>
  <c r="C43" i="51"/>
  <c r="D43" i="51" s="1"/>
  <c r="N43" i="51" s="1"/>
  <c r="B44" i="52"/>
  <c r="L43" i="52"/>
  <c r="C43" i="52"/>
  <c r="D43" i="52" s="1"/>
  <c r="N43" i="52" s="1"/>
  <c r="Q43" i="52" s="1"/>
  <c r="M43" i="50"/>
  <c r="O44" i="50" s="1"/>
  <c r="R44" i="50" s="1"/>
  <c r="T42" i="50"/>
  <c r="P43" i="50"/>
  <c r="S43" i="50" s="1"/>
  <c r="T43" i="50" s="1"/>
  <c r="L44" i="50"/>
  <c r="B45" i="50"/>
  <c r="C44" i="50"/>
  <c r="D44" i="50" s="1"/>
  <c r="N44" i="50" s="1"/>
  <c r="Q44" i="50" s="1"/>
  <c r="P42" i="44"/>
  <c r="S41" i="46"/>
  <c r="T41" i="46" s="1"/>
  <c r="S41" i="44"/>
  <c r="T41" i="44" s="1"/>
  <c r="M42" i="45"/>
  <c r="O43" i="45" s="1"/>
  <c r="R43" i="45" s="1"/>
  <c r="P42" i="43"/>
  <c r="R42" i="44"/>
  <c r="Q42" i="44"/>
  <c r="P42" i="45"/>
  <c r="S42" i="45" s="1"/>
  <c r="T42" i="45" s="1"/>
  <c r="T41" i="45"/>
  <c r="Q42" i="43"/>
  <c r="P42" i="46"/>
  <c r="S42" i="46" s="1"/>
  <c r="M42" i="43"/>
  <c r="O43" i="43" s="1"/>
  <c r="R42" i="46"/>
  <c r="M42" i="44"/>
  <c r="O43" i="44" s="1"/>
  <c r="M42" i="46"/>
  <c r="O43" i="46" s="1"/>
  <c r="R43" i="46" s="1"/>
  <c r="L43" i="44"/>
  <c r="B44" i="44"/>
  <c r="C43" i="44"/>
  <c r="D43" i="44" s="1"/>
  <c r="N43" i="44" s="1"/>
  <c r="Q43" i="44" s="1"/>
  <c r="B44" i="46"/>
  <c r="L43" i="46"/>
  <c r="C43" i="46"/>
  <c r="D43" i="46" s="1"/>
  <c r="N43" i="46" s="1"/>
  <c r="Q43" i="46" s="1"/>
  <c r="L43" i="45"/>
  <c r="B44" i="45"/>
  <c r="C43" i="45"/>
  <c r="D43" i="45" s="1"/>
  <c r="N43" i="45" s="1"/>
  <c r="B44" i="43"/>
  <c r="L43" i="43"/>
  <c r="C43" i="43"/>
  <c r="D43" i="43" s="1"/>
  <c r="N43" i="43" s="1"/>
  <c r="BA58" i="29"/>
  <c r="M60" i="29"/>
  <c r="BM60" i="29"/>
  <c r="BB57" i="29"/>
  <c r="AZ59" i="29"/>
  <c r="N60" i="29"/>
  <c r="AY60" i="29" s="1"/>
  <c r="AP60" i="29"/>
  <c r="AB59" i="29"/>
  <c r="O60" i="29"/>
  <c r="R59" i="29"/>
  <c r="S58" i="29"/>
  <c r="T58" i="29" s="1"/>
  <c r="AC58" i="29"/>
  <c r="AD58" i="29" s="1"/>
  <c r="B61" i="29"/>
  <c r="D61" i="29" s="1"/>
  <c r="AA59" i="29"/>
  <c r="Q59" i="29"/>
  <c r="P59" i="29"/>
  <c r="BV59" i="29" s="1"/>
  <c r="BW59" i="29" s="1"/>
  <c r="O40" i="17"/>
  <c r="R39" i="17"/>
  <c r="B45" i="17"/>
  <c r="L44" i="17"/>
  <c r="N40" i="17"/>
  <c r="C41" i="17"/>
  <c r="D41" i="17" s="1"/>
  <c r="M40" i="17"/>
  <c r="P39" i="17"/>
  <c r="Q39" i="17"/>
  <c r="S38" i="17"/>
  <c r="T38" i="17" s="1"/>
  <c r="B55" i="26" l="1"/>
  <c r="S42" i="52"/>
  <c r="T42" i="52" s="1"/>
  <c r="P43" i="51"/>
  <c r="M43" i="52"/>
  <c r="O44" i="52" s="1"/>
  <c r="R44" i="52" s="1"/>
  <c r="R43" i="52"/>
  <c r="Q43" i="51"/>
  <c r="M43" i="51"/>
  <c r="O44" i="51" s="1"/>
  <c r="P43" i="52"/>
  <c r="S43" i="52" s="1"/>
  <c r="B45" i="52"/>
  <c r="L44" i="52"/>
  <c r="C44" i="52"/>
  <c r="D44" i="52" s="1"/>
  <c r="N44" i="52" s="1"/>
  <c r="B45" i="51"/>
  <c r="L44" i="51"/>
  <c r="C44" i="51"/>
  <c r="D44" i="51" s="1"/>
  <c r="N44" i="51" s="1"/>
  <c r="Q44" i="51" s="1"/>
  <c r="P44" i="50"/>
  <c r="S44" i="50" s="1"/>
  <c r="T44" i="50" s="1"/>
  <c r="B46" i="50"/>
  <c r="L45" i="50"/>
  <c r="C45" i="50"/>
  <c r="D45" i="50" s="1"/>
  <c r="N45" i="50" s="1"/>
  <c r="Q45" i="50" s="1"/>
  <c r="M44" i="50"/>
  <c r="O45" i="50" s="1"/>
  <c r="R45" i="50" s="1"/>
  <c r="S42" i="44"/>
  <c r="T42" i="44" s="1"/>
  <c r="R43" i="43"/>
  <c r="P43" i="43"/>
  <c r="P43" i="45"/>
  <c r="S42" i="43"/>
  <c r="T42" i="43" s="1"/>
  <c r="R43" i="44"/>
  <c r="Q43" i="45"/>
  <c r="M43" i="46"/>
  <c r="O44" i="46" s="1"/>
  <c r="R44" i="46" s="1"/>
  <c r="P43" i="46"/>
  <c r="S43" i="46" s="1"/>
  <c r="T43" i="46" s="1"/>
  <c r="P43" i="44"/>
  <c r="S43" i="44" s="1"/>
  <c r="Q43" i="43"/>
  <c r="M43" i="45"/>
  <c r="O44" i="45" s="1"/>
  <c r="M43" i="43"/>
  <c r="O44" i="43" s="1"/>
  <c r="T42" i="46"/>
  <c r="M43" i="44"/>
  <c r="O44" i="44" s="1"/>
  <c r="R44" i="44" s="1"/>
  <c r="L44" i="45"/>
  <c r="B45" i="45"/>
  <c r="C44" i="45"/>
  <c r="D44" i="45" s="1"/>
  <c r="N44" i="45" s="1"/>
  <c r="L44" i="44"/>
  <c r="B45" i="44"/>
  <c r="C44" i="44"/>
  <c r="D44" i="44" s="1"/>
  <c r="N44" i="44" s="1"/>
  <c r="L44" i="46"/>
  <c r="B45" i="46"/>
  <c r="C44" i="46"/>
  <c r="D44" i="46" s="1"/>
  <c r="N44" i="46" s="1"/>
  <c r="Q44" i="46" s="1"/>
  <c r="L44" i="43"/>
  <c r="B45" i="43"/>
  <c r="C44" i="43"/>
  <c r="D44" i="43" s="1"/>
  <c r="N44" i="43" s="1"/>
  <c r="Q44" i="43" s="1"/>
  <c r="BA59" i="29"/>
  <c r="M61" i="29"/>
  <c r="BM61" i="29"/>
  <c r="BB58" i="29"/>
  <c r="AZ60" i="29"/>
  <c r="N61" i="29"/>
  <c r="AY61" i="29" s="1"/>
  <c r="AP61" i="29"/>
  <c r="O61" i="29"/>
  <c r="AB60" i="29"/>
  <c r="R60" i="29"/>
  <c r="B62" i="29"/>
  <c r="D62" i="29" s="1"/>
  <c r="AA60" i="29"/>
  <c r="Q60" i="29"/>
  <c r="P60" i="29"/>
  <c r="BV60" i="29" s="1"/>
  <c r="BW60" i="29" s="1"/>
  <c r="AC59" i="29"/>
  <c r="AD59" i="29" s="1"/>
  <c r="S59" i="29"/>
  <c r="T59" i="29" s="1"/>
  <c r="R40" i="17"/>
  <c r="B46" i="17"/>
  <c r="L45" i="17"/>
  <c r="O41" i="17"/>
  <c r="C42" i="17"/>
  <c r="D42" i="17" s="1"/>
  <c r="M41" i="17"/>
  <c r="N41" i="17"/>
  <c r="S39" i="17"/>
  <c r="T39" i="17" s="1"/>
  <c r="P40" i="17"/>
  <c r="Q40" i="17"/>
  <c r="B56" i="26" l="1"/>
  <c r="S43" i="51"/>
  <c r="T43" i="51" s="1"/>
  <c r="P44" i="52"/>
  <c r="T43" i="52"/>
  <c r="Q44" i="52"/>
  <c r="R44" i="51"/>
  <c r="P44" i="51"/>
  <c r="S44" i="51" s="1"/>
  <c r="M44" i="51"/>
  <c r="O45" i="51" s="1"/>
  <c r="R45" i="51" s="1"/>
  <c r="M44" i="52"/>
  <c r="O45" i="52" s="1"/>
  <c r="B46" i="51"/>
  <c r="L45" i="51"/>
  <c r="C45" i="51"/>
  <c r="D45" i="51" s="1"/>
  <c r="N45" i="51" s="1"/>
  <c r="B46" i="52"/>
  <c r="L45" i="52"/>
  <c r="C45" i="52"/>
  <c r="D45" i="52" s="1"/>
  <c r="N45" i="52" s="1"/>
  <c r="Q45" i="52" s="1"/>
  <c r="S43" i="43"/>
  <c r="T43" i="43" s="1"/>
  <c r="M45" i="50"/>
  <c r="O46" i="50" s="1"/>
  <c r="R46" i="50" s="1"/>
  <c r="B47" i="50"/>
  <c r="L46" i="50"/>
  <c r="C46" i="50"/>
  <c r="D46" i="50" s="1"/>
  <c r="N46" i="50" s="1"/>
  <c r="Q46" i="50" s="1"/>
  <c r="P45" i="50"/>
  <c r="S45" i="50" s="1"/>
  <c r="T45" i="50" s="1"/>
  <c r="T43" i="44"/>
  <c r="M44" i="44"/>
  <c r="O45" i="44" s="1"/>
  <c r="P44" i="44"/>
  <c r="S43" i="45"/>
  <c r="T43" i="45" s="1"/>
  <c r="P44" i="45"/>
  <c r="M44" i="43"/>
  <c r="O45" i="43" s="1"/>
  <c r="R45" i="43" s="1"/>
  <c r="Q44" i="44"/>
  <c r="R44" i="45"/>
  <c r="P44" i="43"/>
  <c r="S44" i="43" s="1"/>
  <c r="P44" i="46"/>
  <c r="S44" i="46" s="1"/>
  <c r="T44" i="46" s="1"/>
  <c r="Q44" i="45"/>
  <c r="R44" i="43"/>
  <c r="M44" i="46"/>
  <c r="O45" i="46" s="1"/>
  <c r="R45" i="46" s="1"/>
  <c r="M44" i="45"/>
  <c r="O45" i="45" s="1"/>
  <c r="L45" i="43"/>
  <c r="B46" i="43"/>
  <c r="C45" i="43"/>
  <c r="D45" i="43" s="1"/>
  <c r="N45" i="43" s="1"/>
  <c r="L45" i="44"/>
  <c r="B46" i="44"/>
  <c r="C45" i="44"/>
  <c r="D45" i="44" s="1"/>
  <c r="N45" i="44" s="1"/>
  <c r="B46" i="45"/>
  <c r="L45" i="45"/>
  <c r="C45" i="45"/>
  <c r="D45" i="45" s="1"/>
  <c r="N45" i="45" s="1"/>
  <c r="Q45" i="45" s="1"/>
  <c r="B46" i="46"/>
  <c r="L45" i="46"/>
  <c r="C45" i="46"/>
  <c r="D45" i="46" s="1"/>
  <c r="N45" i="46" s="1"/>
  <c r="Q45" i="46" s="1"/>
  <c r="BA60" i="29"/>
  <c r="M62" i="29"/>
  <c r="BM62" i="29"/>
  <c r="BB59" i="29"/>
  <c r="AZ61" i="29"/>
  <c r="N62" i="29"/>
  <c r="AY62" i="29" s="1"/>
  <c r="AP62" i="29"/>
  <c r="AB61" i="29"/>
  <c r="R61" i="29"/>
  <c r="O62" i="29"/>
  <c r="AC60" i="29"/>
  <c r="AD60" i="29" s="1"/>
  <c r="S60" i="29"/>
  <c r="T60" i="29" s="1"/>
  <c r="B63" i="29"/>
  <c r="D63" i="29" s="1"/>
  <c r="P61" i="29"/>
  <c r="BV61" i="29" s="1"/>
  <c r="BW61" i="29" s="1"/>
  <c r="Q61" i="29"/>
  <c r="AA61" i="29"/>
  <c r="R41" i="17"/>
  <c r="B47" i="17"/>
  <c r="L46" i="17"/>
  <c r="N42" i="17"/>
  <c r="M42" i="17"/>
  <c r="C43" i="17"/>
  <c r="D43" i="17" s="1"/>
  <c r="C44" i="17" s="1"/>
  <c r="D44" i="17" s="1"/>
  <c r="P41" i="17"/>
  <c r="Q41" i="17"/>
  <c r="S40" i="17"/>
  <c r="T40" i="17" s="1"/>
  <c r="O42" i="17"/>
  <c r="R45" i="52" l="1"/>
  <c r="P45" i="51"/>
  <c r="B57" i="26"/>
  <c r="S44" i="52"/>
  <c r="T44" i="52" s="1"/>
  <c r="T44" i="51"/>
  <c r="Q45" i="51"/>
  <c r="P45" i="52"/>
  <c r="S45" i="52" s="1"/>
  <c r="M45" i="51"/>
  <c r="O46" i="51" s="1"/>
  <c r="M45" i="52"/>
  <c r="O46" i="52" s="1"/>
  <c r="R46" i="52" s="1"/>
  <c r="B47" i="52"/>
  <c r="L46" i="52"/>
  <c r="C46" i="52"/>
  <c r="D46" i="52" s="1"/>
  <c r="N46" i="52" s="1"/>
  <c r="B47" i="51"/>
  <c r="L46" i="51"/>
  <c r="C46" i="51"/>
  <c r="D46" i="51" s="1"/>
  <c r="N46" i="51" s="1"/>
  <c r="Q46" i="51" s="1"/>
  <c r="P46" i="50"/>
  <c r="S46" i="50" s="1"/>
  <c r="T46" i="50" s="1"/>
  <c r="M46" i="50"/>
  <c r="O47" i="50" s="1"/>
  <c r="R47" i="50" s="1"/>
  <c r="B48" i="50"/>
  <c r="L47" i="50"/>
  <c r="C47" i="50"/>
  <c r="D47" i="50" s="1"/>
  <c r="N47" i="50" s="1"/>
  <c r="S44" i="44"/>
  <c r="T44" i="44" s="1"/>
  <c r="R45" i="45"/>
  <c r="P45" i="44"/>
  <c r="T44" i="43"/>
  <c r="P45" i="46"/>
  <c r="S45" i="46" s="1"/>
  <c r="T45" i="46" s="1"/>
  <c r="R45" i="44"/>
  <c r="S44" i="45"/>
  <c r="T44" i="45" s="1"/>
  <c r="P45" i="43"/>
  <c r="M45" i="46"/>
  <c r="O46" i="46" s="1"/>
  <c r="R46" i="46" s="1"/>
  <c r="Q45" i="44"/>
  <c r="M45" i="45"/>
  <c r="O46" i="45" s="1"/>
  <c r="R46" i="45" s="1"/>
  <c r="M45" i="44"/>
  <c r="O46" i="44" s="1"/>
  <c r="Q45" i="43"/>
  <c r="P45" i="45"/>
  <c r="S45" i="45" s="1"/>
  <c r="M45" i="43"/>
  <c r="O46" i="43" s="1"/>
  <c r="L46" i="43"/>
  <c r="B47" i="43"/>
  <c r="C46" i="43"/>
  <c r="D46" i="43" s="1"/>
  <c r="N46" i="43" s="1"/>
  <c r="Q46" i="43" s="1"/>
  <c r="B47" i="45"/>
  <c r="L46" i="45"/>
  <c r="C46" i="45"/>
  <c r="D46" i="45" s="1"/>
  <c r="N46" i="45" s="1"/>
  <c r="Q46" i="45" s="1"/>
  <c r="B47" i="46"/>
  <c r="L46" i="46"/>
  <c r="C46" i="46"/>
  <c r="D46" i="46" s="1"/>
  <c r="N46" i="46" s="1"/>
  <c r="Q46" i="46" s="1"/>
  <c r="L46" i="44"/>
  <c r="B47" i="44"/>
  <c r="C46" i="44"/>
  <c r="D46" i="44" s="1"/>
  <c r="N46" i="44" s="1"/>
  <c r="Q46" i="44" s="1"/>
  <c r="BA61" i="29"/>
  <c r="M63" i="29"/>
  <c r="BM63" i="29"/>
  <c r="BB60" i="29"/>
  <c r="AZ62" i="29"/>
  <c r="AB62" i="29"/>
  <c r="N63" i="29"/>
  <c r="AY63" i="29" s="1"/>
  <c r="AP63" i="29"/>
  <c r="R62" i="29"/>
  <c r="P62" i="29"/>
  <c r="BV62" i="29" s="1"/>
  <c r="BW62" i="29" s="1"/>
  <c r="AA62" i="29"/>
  <c r="Q62" i="29"/>
  <c r="S61" i="29"/>
  <c r="T61" i="29" s="1"/>
  <c r="AC61" i="29"/>
  <c r="AD61" i="29" s="1"/>
  <c r="O63" i="29"/>
  <c r="B64" i="29"/>
  <c r="D64" i="29" s="1"/>
  <c r="N44" i="17"/>
  <c r="M44" i="17"/>
  <c r="C45" i="17"/>
  <c r="D45" i="17" s="1"/>
  <c r="B48" i="17"/>
  <c r="L47" i="17"/>
  <c r="O43" i="17"/>
  <c r="M43" i="17"/>
  <c r="N43" i="17"/>
  <c r="R42" i="17"/>
  <c r="S41" i="17"/>
  <c r="T41" i="17" s="1"/>
  <c r="Q42" i="17"/>
  <c r="P42" i="17"/>
  <c r="S45" i="51" l="1"/>
  <c r="T45" i="51" s="1"/>
  <c r="T45" i="52"/>
  <c r="B58" i="26"/>
  <c r="R46" i="51"/>
  <c r="P46" i="52"/>
  <c r="Q46" i="52"/>
  <c r="P46" i="51"/>
  <c r="S46" i="51" s="1"/>
  <c r="M46" i="52"/>
  <c r="O47" i="52" s="1"/>
  <c r="M46" i="51"/>
  <c r="B48" i="51"/>
  <c r="L47" i="51"/>
  <c r="C47" i="51"/>
  <c r="D47" i="51" s="1"/>
  <c r="N47" i="51" s="1"/>
  <c r="Q47" i="51" s="1"/>
  <c r="B48" i="52"/>
  <c r="L47" i="52"/>
  <c r="C47" i="52"/>
  <c r="D47" i="52" s="1"/>
  <c r="N47" i="52" s="1"/>
  <c r="P47" i="50"/>
  <c r="Q47" i="50"/>
  <c r="M47" i="50"/>
  <c r="O48" i="50" s="1"/>
  <c r="L48" i="50"/>
  <c r="C48" i="50"/>
  <c r="D48" i="50" s="1"/>
  <c r="B49" i="50"/>
  <c r="T45" i="45"/>
  <c r="S45" i="44"/>
  <c r="T45" i="44" s="1"/>
  <c r="M46" i="46"/>
  <c r="O47" i="46" s="1"/>
  <c r="R47" i="46" s="1"/>
  <c r="P46" i="43"/>
  <c r="S46" i="43" s="1"/>
  <c r="R46" i="44"/>
  <c r="P46" i="45"/>
  <c r="S46" i="45" s="1"/>
  <c r="T46" i="45" s="1"/>
  <c r="S45" i="43"/>
  <c r="T45" i="43" s="1"/>
  <c r="P46" i="44"/>
  <c r="S46" i="44" s="1"/>
  <c r="M46" i="44"/>
  <c r="O47" i="44" s="1"/>
  <c r="R47" i="44" s="1"/>
  <c r="P46" i="46"/>
  <c r="S46" i="46" s="1"/>
  <c r="T46" i="46" s="1"/>
  <c r="R46" i="43"/>
  <c r="M46" i="45"/>
  <c r="O47" i="45" s="1"/>
  <c r="R47" i="45" s="1"/>
  <c r="M46" i="43"/>
  <c r="O47" i="43" s="1"/>
  <c r="R47" i="43" s="1"/>
  <c r="L47" i="44"/>
  <c r="B48" i="44"/>
  <c r="C47" i="44"/>
  <c r="D47" i="44" s="1"/>
  <c r="N47" i="44" s="1"/>
  <c r="Q47" i="44" s="1"/>
  <c r="B48" i="46"/>
  <c r="L47" i="46"/>
  <c r="C47" i="46"/>
  <c r="D47" i="46" s="1"/>
  <c r="N47" i="46" s="1"/>
  <c r="L47" i="45"/>
  <c r="B48" i="45"/>
  <c r="C47" i="45"/>
  <c r="D47" i="45" s="1"/>
  <c r="N47" i="45" s="1"/>
  <c r="Q47" i="45" s="1"/>
  <c r="L47" i="43"/>
  <c r="B48" i="43"/>
  <c r="C47" i="43"/>
  <c r="D47" i="43" s="1"/>
  <c r="N47" i="43" s="1"/>
  <c r="Q47" i="43" s="1"/>
  <c r="BA62" i="29"/>
  <c r="M64" i="29"/>
  <c r="BM64" i="29"/>
  <c r="BB61" i="29"/>
  <c r="AZ63" i="29"/>
  <c r="N64" i="29"/>
  <c r="AY64" i="29" s="1"/>
  <c r="AP64" i="29"/>
  <c r="O64" i="29"/>
  <c r="AB63" i="29"/>
  <c r="R63" i="29"/>
  <c r="B65" i="29"/>
  <c r="D65" i="29" s="1"/>
  <c r="AC62" i="29"/>
  <c r="AD62" i="29" s="1"/>
  <c r="S62" i="29"/>
  <c r="T62" i="29" s="1"/>
  <c r="AA63" i="29"/>
  <c r="Q63" i="29"/>
  <c r="P63" i="29"/>
  <c r="BV63" i="29" s="1"/>
  <c r="BW63" i="29" s="1"/>
  <c r="O45" i="17"/>
  <c r="O44" i="17"/>
  <c r="N45" i="17"/>
  <c r="M45" i="17"/>
  <c r="C46" i="17"/>
  <c r="D46" i="17" s="1"/>
  <c r="P44" i="17"/>
  <c r="Q44" i="17"/>
  <c r="R43" i="17"/>
  <c r="L48" i="17"/>
  <c r="B49" i="17"/>
  <c r="S42" i="17"/>
  <c r="T42" i="17" s="1"/>
  <c r="P43" i="17"/>
  <c r="Q43" i="17"/>
  <c r="B59" i="26" l="1"/>
  <c r="T46" i="51"/>
  <c r="R47" i="52"/>
  <c r="S46" i="52"/>
  <c r="T46" i="52" s="1"/>
  <c r="M47" i="51"/>
  <c r="O48" i="51" s="1"/>
  <c r="R48" i="51" s="1"/>
  <c r="P47" i="51"/>
  <c r="S47" i="51" s="1"/>
  <c r="P47" i="52"/>
  <c r="M47" i="52"/>
  <c r="O48" i="52" s="1"/>
  <c r="O47" i="51"/>
  <c r="R47" i="51" s="1"/>
  <c r="Q47" i="52"/>
  <c r="B49" i="52"/>
  <c r="L48" i="52"/>
  <c r="C48" i="52"/>
  <c r="D48" i="52" s="1"/>
  <c r="N48" i="52" s="1"/>
  <c r="B49" i="51"/>
  <c r="L48" i="51"/>
  <c r="C48" i="51"/>
  <c r="D48" i="51" s="1"/>
  <c r="N48" i="51" s="1"/>
  <c r="N48" i="50"/>
  <c r="M48" i="50"/>
  <c r="R48" i="50"/>
  <c r="C49" i="50"/>
  <c r="D49" i="50" s="1"/>
  <c r="B50" i="50"/>
  <c r="L49" i="50"/>
  <c r="S47" i="50"/>
  <c r="T47" i="50" s="1"/>
  <c r="P47" i="46"/>
  <c r="T46" i="44"/>
  <c r="T46" i="43"/>
  <c r="Q47" i="46"/>
  <c r="P47" i="44"/>
  <c r="S47" i="44" s="1"/>
  <c r="T47" i="44" s="1"/>
  <c r="M47" i="43"/>
  <c r="O48" i="43" s="1"/>
  <c r="R48" i="43" s="1"/>
  <c r="P47" i="43"/>
  <c r="S47" i="43" s="1"/>
  <c r="T47" i="43" s="1"/>
  <c r="P47" i="45"/>
  <c r="S47" i="45" s="1"/>
  <c r="T47" i="45" s="1"/>
  <c r="M47" i="45"/>
  <c r="O48" i="45" s="1"/>
  <c r="R48" i="45" s="1"/>
  <c r="M47" i="44"/>
  <c r="O48" i="44" s="1"/>
  <c r="R48" i="44" s="1"/>
  <c r="M47" i="46"/>
  <c r="O48" i="46" s="1"/>
  <c r="L48" i="44"/>
  <c r="B49" i="44"/>
  <c r="C48" i="44"/>
  <c r="D48" i="44" s="1"/>
  <c r="N48" i="44" s="1"/>
  <c r="B49" i="43"/>
  <c r="L48" i="43"/>
  <c r="C48" i="43"/>
  <c r="D48" i="43" s="1"/>
  <c r="N48" i="43" s="1"/>
  <c r="L48" i="45"/>
  <c r="B49" i="45"/>
  <c r="C48" i="45"/>
  <c r="D48" i="45" s="1"/>
  <c r="N48" i="45" s="1"/>
  <c r="Q48" i="45" s="1"/>
  <c r="B49" i="46"/>
  <c r="L48" i="46"/>
  <c r="C48" i="46"/>
  <c r="D48" i="46" s="1"/>
  <c r="N48" i="46" s="1"/>
  <c r="Q48" i="46" s="1"/>
  <c r="BA63" i="29"/>
  <c r="M65" i="29"/>
  <c r="BM65" i="29"/>
  <c r="BB62" i="29"/>
  <c r="AZ64" i="29"/>
  <c r="AB64" i="29"/>
  <c r="N65" i="29"/>
  <c r="AY65" i="29" s="1"/>
  <c r="AP65" i="29"/>
  <c r="R64" i="29"/>
  <c r="O65" i="29"/>
  <c r="AC63" i="29"/>
  <c r="AD63" i="29" s="1"/>
  <c r="S63" i="29"/>
  <c r="T63" i="29" s="1"/>
  <c r="B66" i="29"/>
  <c r="D66" i="29" s="1"/>
  <c r="Q64" i="29"/>
  <c r="P64" i="29"/>
  <c r="BV64" i="29" s="1"/>
  <c r="BW64" i="29" s="1"/>
  <c r="AA64" i="29"/>
  <c r="R45" i="17"/>
  <c r="R44" i="17"/>
  <c r="S44" i="17"/>
  <c r="N46" i="17"/>
  <c r="M46" i="17"/>
  <c r="C47" i="17"/>
  <c r="D47" i="17" s="1"/>
  <c r="O46" i="17"/>
  <c r="Q45" i="17"/>
  <c r="P45" i="17"/>
  <c r="B50" i="17"/>
  <c r="L49" i="17"/>
  <c r="S43" i="17"/>
  <c r="T43" i="17" s="1"/>
  <c r="B60" i="26" l="1"/>
  <c r="P48" i="51"/>
  <c r="P48" i="52"/>
  <c r="T47" i="51"/>
  <c r="R48" i="52"/>
  <c r="Q48" i="52"/>
  <c r="M48" i="52"/>
  <c r="O49" i="52" s="1"/>
  <c r="S47" i="52"/>
  <c r="T47" i="52" s="1"/>
  <c r="Q48" i="51"/>
  <c r="M48" i="51"/>
  <c r="O49" i="51" s="1"/>
  <c r="L49" i="52"/>
  <c r="B50" i="52"/>
  <c r="C49" i="52"/>
  <c r="D49" i="52" s="1"/>
  <c r="N49" i="52" s="1"/>
  <c r="Q49" i="52" s="1"/>
  <c r="B50" i="51"/>
  <c r="L49" i="51"/>
  <c r="C49" i="51"/>
  <c r="D49" i="51" s="1"/>
  <c r="N49" i="51" s="1"/>
  <c r="O49" i="50"/>
  <c r="N49" i="50"/>
  <c r="M49" i="50"/>
  <c r="P48" i="50"/>
  <c r="Q48" i="50"/>
  <c r="B51" i="50"/>
  <c r="L50" i="50"/>
  <c r="C50" i="50"/>
  <c r="D50" i="50" s="1"/>
  <c r="P48" i="44"/>
  <c r="S47" i="46"/>
  <c r="T47" i="46" s="1"/>
  <c r="R48" i="46"/>
  <c r="M48" i="43"/>
  <c r="O49" i="43" s="1"/>
  <c r="M48" i="46"/>
  <c r="O49" i="46" s="1"/>
  <c r="R49" i="46" s="1"/>
  <c r="P48" i="43"/>
  <c r="Q48" i="44"/>
  <c r="P48" i="45"/>
  <c r="S48" i="45" s="1"/>
  <c r="T48" i="45" s="1"/>
  <c r="Q48" i="43"/>
  <c r="M48" i="44"/>
  <c r="O49" i="44" s="1"/>
  <c r="P48" i="46"/>
  <c r="S48" i="46" s="1"/>
  <c r="M48" i="45"/>
  <c r="O49" i="45" s="1"/>
  <c r="R49" i="45" s="1"/>
  <c r="L49" i="44"/>
  <c r="B50" i="44"/>
  <c r="C49" i="44"/>
  <c r="D49" i="44" s="1"/>
  <c r="N49" i="44" s="1"/>
  <c r="Q49" i="44" s="1"/>
  <c r="B50" i="43"/>
  <c r="L49" i="43"/>
  <c r="C49" i="43"/>
  <c r="D49" i="43" s="1"/>
  <c r="N49" i="43" s="1"/>
  <c r="Q49" i="43" s="1"/>
  <c r="B50" i="46"/>
  <c r="L49" i="46"/>
  <c r="C49" i="46"/>
  <c r="D49" i="46" s="1"/>
  <c r="N49" i="46" s="1"/>
  <c r="Q49" i="46" s="1"/>
  <c r="L49" i="45"/>
  <c r="B50" i="45"/>
  <c r="C49" i="45"/>
  <c r="D49" i="45" s="1"/>
  <c r="N49" i="45" s="1"/>
  <c r="Q49" i="45" s="1"/>
  <c r="BA64" i="29"/>
  <c r="M66" i="29"/>
  <c r="BM66" i="29"/>
  <c r="B61" i="26" s="1"/>
  <c r="BB63" i="29"/>
  <c r="AZ65" i="29"/>
  <c r="AB65" i="29"/>
  <c r="N66" i="29"/>
  <c r="AY66" i="29" s="1"/>
  <c r="AP66" i="29"/>
  <c r="O66" i="29"/>
  <c r="R65" i="29"/>
  <c r="S64" i="29"/>
  <c r="T64" i="29" s="1"/>
  <c r="AC64" i="29"/>
  <c r="AD64" i="29" s="1"/>
  <c r="B67" i="29"/>
  <c r="D67" i="29" s="1"/>
  <c r="AA65" i="29"/>
  <c r="P65" i="29"/>
  <c r="BV65" i="29" s="1"/>
  <c r="BW65" i="29" s="1"/>
  <c r="Q65" i="29"/>
  <c r="T44" i="17"/>
  <c r="O47" i="17"/>
  <c r="Q46" i="17"/>
  <c r="P46" i="17"/>
  <c r="N47" i="17"/>
  <c r="M47" i="17"/>
  <c r="C48" i="17"/>
  <c r="D48" i="17" s="1"/>
  <c r="S45" i="17"/>
  <c r="T45" i="17" s="1"/>
  <c r="R46" i="17"/>
  <c r="L50" i="17"/>
  <c r="B51" i="17"/>
  <c r="S48" i="51" l="1"/>
  <c r="T48" i="51" s="1"/>
  <c r="R49" i="52"/>
  <c r="S48" i="52"/>
  <c r="T48" i="52" s="1"/>
  <c r="P49" i="51"/>
  <c r="Q49" i="51"/>
  <c r="M49" i="51"/>
  <c r="O50" i="51" s="1"/>
  <c r="R49" i="51"/>
  <c r="P49" i="52"/>
  <c r="S49" i="52" s="1"/>
  <c r="M49" i="52"/>
  <c r="B51" i="51"/>
  <c r="L50" i="51"/>
  <c r="C50" i="51"/>
  <c r="D50" i="51" s="1"/>
  <c r="N50" i="51" s="1"/>
  <c r="B51" i="52"/>
  <c r="L50" i="52"/>
  <c r="C50" i="52"/>
  <c r="D50" i="52" s="1"/>
  <c r="N50" i="52" s="1"/>
  <c r="Q50" i="52" s="1"/>
  <c r="R49" i="50"/>
  <c r="O50" i="50"/>
  <c r="N50" i="50"/>
  <c r="M50" i="50"/>
  <c r="S48" i="50"/>
  <c r="T48" i="50" s="1"/>
  <c r="Q49" i="50"/>
  <c r="P49" i="50"/>
  <c r="B52" i="50"/>
  <c r="L51" i="50"/>
  <c r="C51" i="50"/>
  <c r="D51" i="50" s="1"/>
  <c r="N51" i="50" s="1"/>
  <c r="S48" i="44"/>
  <c r="T48" i="44" s="1"/>
  <c r="T48" i="46"/>
  <c r="R49" i="43"/>
  <c r="R49" i="44"/>
  <c r="S48" i="43"/>
  <c r="T48" i="43" s="1"/>
  <c r="P49" i="45"/>
  <c r="S49" i="45" s="1"/>
  <c r="T49" i="45" s="1"/>
  <c r="P49" i="46"/>
  <c r="S49" i="46" s="1"/>
  <c r="T49" i="46" s="1"/>
  <c r="M49" i="45"/>
  <c r="O50" i="45" s="1"/>
  <c r="R50" i="45" s="1"/>
  <c r="M49" i="46"/>
  <c r="O50" i="46" s="1"/>
  <c r="R50" i="46" s="1"/>
  <c r="P49" i="43"/>
  <c r="S49" i="43" s="1"/>
  <c r="P49" i="44"/>
  <c r="S49" i="44" s="1"/>
  <c r="M49" i="44"/>
  <c r="O50" i="44" s="1"/>
  <c r="R50" i="44" s="1"/>
  <c r="M49" i="43"/>
  <c r="O50" i="43" s="1"/>
  <c r="R50" i="43" s="1"/>
  <c r="L50" i="46"/>
  <c r="B51" i="46"/>
  <c r="C50" i="46"/>
  <c r="D50" i="46" s="1"/>
  <c r="N50" i="46" s="1"/>
  <c r="Q50" i="46" s="1"/>
  <c r="L50" i="44"/>
  <c r="B51" i="44"/>
  <c r="C50" i="44"/>
  <c r="D50" i="44" s="1"/>
  <c r="N50" i="44" s="1"/>
  <c r="B51" i="45"/>
  <c r="L50" i="45"/>
  <c r="C50" i="45"/>
  <c r="D50" i="45" s="1"/>
  <c r="N50" i="45" s="1"/>
  <c r="Q50" i="45" s="1"/>
  <c r="B51" i="43"/>
  <c r="L50" i="43"/>
  <c r="C50" i="43"/>
  <c r="D50" i="43" s="1"/>
  <c r="N50" i="43" s="1"/>
  <c r="Q50" i="43" s="1"/>
  <c r="BA65" i="29"/>
  <c r="M67" i="29"/>
  <c r="BM67" i="29"/>
  <c r="B62" i="26" s="1"/>
  <c r="BB64" i="29"/>
  <c r="AZ66" i="29"/>
  <c r="N67" i="29"/>
  <c r="AY67" i="29" s="1"/>
  <c r="AP67" i="29"/>
  <c r="R66" i="29"/>
  <c r="AB66" i="29"/>
  <c r="AC65" i="29"/>
  <c r="AD65" i="29" s="1"/>
  <c r="S65" i="29"/>
  <c r="T65" i="29" s="1"/>
  <c r="O67" i="29"/>
  <c r="B68" i="29"/>
  <c r="D68" i="29" s="1"/>
  <c r="AA66" i="29"/>
  <c r="P66" i="29"/>
  <c r="BV66" i="29" s="1"/>
  <c r="BW66" i="29" s="1"/>
  <c r="Q66" i="29"/>
  <c r="O48" i="17"/>
  <c r="R47" i="17"/>
  <c r="N48" i="17"/>
  <c r="M48" i="17"/>
  <c r="C49" i="17"/>
  <c r="D49" i="17" s="1"/>
  <c r="S46" i="17"/>
  <c r="T46" i="17" s="1"/>
  <c r="Q47" i="17"/>
  <c r="P47" i="17"/>
  <c r="L51" i="17"/>
  <c r="B52" i="17"/>
  <c r="R50" i="50" l="1"/>
  <c r="T49" i="52"/>
  <c r="S49" i="51"/>
  <c r="T49" i="51" s="1"/>
  <c r="R50" i="51"/>
  <c r="P50" i="51"/>
  <c r="M50" i="52"/>
  <c r="O51" i="52" s="1"/>
  <c r="R51" i="52" s="1"/>
  <c r="P50" i="52"/>
  <c r="S50" i="52" s="1"/>
  <c r="O50" i="52"/>
  <c r="R50" i="52" s="1"/>
  <c r="M50" i="51"/>
  <c r="O51" i="51" s="1"/>
  <c r="Q50" i="51"/>
  <c r="B52" i="51"/>
  <c r="L51" i="51"/>
  <c r="C51" i="51"/>
  <c r="D51" i="51" s="1"/>
  <c r="N51" i="51" s="1"/>
  <c r="Q51" i="51" s="1"/>
  <c r="B52" i="52"/>
  <c r="L51" i="52"/>
  <c r="C51" i="52"/>
  <c r="D51" i="52" s="1"/>
  <c r="N51" i="52" s="1"/>
  <c r="Q51" i="52" s="1"/>
  <c r="O51" i="50"/>
  <c r="Q51" i="50"/>
  <c r="P51" i="50"/>
  <c r="S49" i="50"/>
  <c r="T49" i="50" s="1"/>
  <c r="P50" i="50"/>
  <c r="Q50" i="50"/>
  <c r="M51" i="50"/>
  <c r="O52" i="50" s="1"/>
  <c r="B53" i="50"/>
  <c r="L52" i="50"/>
  <c r="C52" i="50"/>
  <c r="D52" i="50" s="1"/>
  <c r="N52" i="50" s="1"/>
  <c r="T49" i="44"/>
  <c r="T49" i="43"/>
  <c r="P50" i="45"/>
  <c r="S50" i="45" s="1"/>
  <c r="T50" i="45" s="1"/>
  <c r="P50" i="46"/>
  <c r="S50" i="46" s="1"/>
  <c r="T50" i="46" s="1"/>
  <c r="M50" i="45"/>
  <c r="O51" i="45" s="1"/>
  <c r="R51" i="45" s="1"/>
  <c r="P50" i="44"/>
  <c r="M50" i="46"/>
  <c r="O51" i="46" s="1"/>
  <c r="R51" i="46" s="1"/>
  <c r="P50" i="43"/>
  <c r="S50" i="43" s="1"/>
  <c r="T50" i="43" s="1"/>
  <c r="M50" i="43"/>
  <c r="Q50" i="44"/>
  <c r="M50" i="44"/>
  <c r="O51" i="44" s="1"/>
  <c r="B52" i="43"/>
  <c r="L51" i="43"/>
  <c r="C51" i="43"/>
  <c r="D51" i="43" s="1"/>
  <c r="N51" i="43" s="1"/>
  <c r="Q51" i="43" s="1"/>
  <c r="B52" i="46"/>
  <c r="L51" i="46"/>
  <c r="C51" i="46"/>
  <c r="D51" i="46" s="1"/>
  <c r="N51" i="46" s="1"/>
  <c r="L51" i="44"/>
  <c r="B52" i="44"/>
  <c r="C51" i="44"/>
  <c r="D51" i="44" s="1"/>
  <c r="N51" i="44" s="1"/>
  <c r="L51" i="45"/>
  <c r="B52" i="45"/>
  <c r="C51" i="45"/>
  <c r="D51" i="45" s="1"/>
  <c r="N51" i="45" s="1"/>
  <c r="BA66" i="29"/>
  <c r="M68" i="29"/>
  <c r="BM68" i="29"/>
  <c r="B63" i="26" s="1"/>
  <c r="BB65" i="29"/>
  <c r="AZ67" i="29"/>
  <c r="N68" i="29"/>
  <c r="AY68" i="29" s="1"/>
  <c r="AP68" i="29"/>
  <c r="O68" i="29"/>
  <c r="B69" i="29"/>
  <c r="D69" i="29" s="1"/>
  <c r="AC66" i="29"/>
  <c r="AD66" i="29" s="1"/>
  <c r="S66" i="29"/>
  <c r="T66" i="29" s="1"/>
  <c r="Q67" i="29"/>
  <c r="P67" i="29"/>
  <c r="BV67" i="29" s="1"/>
  <c r="BW67" i="29" s="1"/>
  <c r="AA67" i="29"/>
  <c r="R67" i="29"/>
  <c r="AB67" i="29"/>
  <c r="R48" i="17"/>
  <c r="O49" i="17"/>
  <c r="P48" i="17"/>
  <c r="Q48" i="17"/>
  <c r="S47" i="17"/>
  <c r="T47" i="17" s="1"/>
  <c r="N49" i="17"/>
  <c r="M49" i="17"/>
  <c r="C50" i="17"/>
  <c r="D50" i="17" s="1"/>
  <c r="L52" i="17"/>
  <c r="B53" i="17"/>
  <c r="S50" i="51" l="1"/>
  <c r="T50" i="51" s="1"/>
  <c r="R51" i="51"/>
  <c r="T50" i="52"/>
  <c r="M51" i="51"/>
  <c r="O52" i="51" s="1"/>
  <c r="R52" i="51" s="1"/>
  <c r="P51" i="51"/>
  <c r="S51" i="51" s="1"/>
  <c r="P51" i="52"/>
  <c r="S51" i="52" s="1"/>
  <c r="T51" i="52" s="1"/>
  <c r="M51" i="52"/>
  <c r="O52" i="52" s="1"/>
  <c r="R52" i="52" s="1"/>
  <c r="L52" i="51"/>
  <c r="B53" i="51"/>
  <c r="C52" i="51"/>
  <c r="D52" i="51" s="1"/>
  <c r="N52" i="51" s="1"/>
  <c r="B53" i="52"/>
  <c r="L52" i="52"/>
  <c r="C52" i="52"/>
  <c r="D52" i="52" s="1"/>
  <c r="N52" i="52" s="1"/>
  <c r="Q52" i="52" s="1"/>
  <c r="R51" i="50"/>
  <c r="R52" i="50"/>
  <c r="S50" i="50"/>
  <c r="T50" i="50" s="1"/>
  <c r="P52" i="50"/>
  <c r="S51" i="50"/>
  <c r="M52" i="50"/>
  <c r="O53" i="50" s="1"/>
  <c r="Q52" i="50"/>
  <c r="C53" i="50"/>
  <c r="D53" i="50" s="1"/>
  <c r="B54" i="50"/>
  <c r="L53" i="50"/>
  <c r="P51" i="46"/>
  <c r="S50" i="44"/>
  <c r="T50" i="44" s="1"/>
  <c r="R51" i="44"/>
  <c r="P51" i="45"/>
  <c r="P51" i="44"/>
  <c r="P51" i="43"/>
  <c r="S51" i="43" s="1"/>
  <c r="Q51" i="45"/>
  <c r="M51" i="45"/>
  <c r="O52" i="45" s="1"/>
  <c r="Q51" i="44"/>
  <c r="O51" i="43"/>
  <c r="R51" i="43" s="1"/>
  <c r="M51" i="44"/>
  <c r="O52" i="44" s="1"/>
  <c r="Q51" i="46"/>
  <c r="M51" i="46"/>
  <c r="O52" i="46" s="1"/>
  <c r="M51" i="43"/>
  <c r="O52" i="43" s="1"/>
  <c r="R52" i="43" s="1"/>
  <c r="B53" i="46"/>
  <c r="L52" i="46"/>
  <c r="C52" i="46"/>
  <c r="D52" i="46" s="1"/>
  <c r="N52" i="46" s="1"/>
  <c r="L52" i="44"/>
  <c r="B53" i="44"/>
  <c r="C52" i="44"/>
  <c r="D52" i="44" s="1"/>
  <c r="N52" i="44" s="1"/>
  <c r="Q52" i="44" s="1"/>
  <c r="L52" i="45"/>
  <c r="B53" i="45"/>
  <c r="C52" i="45"/>
  <c r="D52" i="45" s="1"/>
  <c r="N52" i="45" s="1"/>
  <c r="Q52" i="45" s="1"/>
  <c r="L52" i="43"/>
  <c r="B53" i="43"/>
  <c r="C52" i="43"/>
  <c r="D52" i="43" s="1"/>
  <c r="N52" i="43" s="1"/>
  <c r="Q52" i="43" s="1"/>
  <c r="BA67" i="29"/>
  <c r="M69" i="29"/>
  <c r="BM69" i="29"/>
  <c r="B64" i="26" s="1"/>
  <c r="BB66" i="29"/>
  <c r="AZ68" i="29"/>
  <c r="AB68" i="29"/>
  <c r="N69" i="29"/>
  <c r="AY69" i="29" s="1"/>
  <c r="AP69" i="29"/>
  <c r="R68" i="29"/>
  <c r="O69" i="29"/>
  <c r="B70" i="29"/>
  <c r="D70" i="29" s="1"/>
  <c r="AA68" i="29"/>
  <c r="Q68" i="29"/>
  <c r="P68" i="29"/>
  <c r="BV68" i="29" s="1"/>
  <c r="BW68" i="29" s="1"/>
  <c r="S67" i="29"/>
  <c r="T67" i="29" s="1"/>
  <c r="AC67" i="29"/>
  <c r="AD67" i="29" s="1"/>
  <c r="O50" i="17"/>
  <c r="R49" i="17"/>
  <c r="Q49" i="17"/>
  <c r="P49" i="17"/>
  <c r="S48" i="17"/>
  <c r="T48" i="17" s="1"/>
  <c r="N50" i="17"/>
  <c r="M50" i="17"/>
  <c r="C51" i="17"/>
  <c r="D51" i="17" s="1"/>
  <c r="L53" i="17"/>
  <c r="B54" i="17"/>
  <c r="T51" i="51" l="1"/>
  <c r="P52" i="51"/>
  <c r="M52" i="52"/>
  <c r="O53" i="52" s="1"/>
  <c r="R53" i="52" s="1"/>
  <c r="P52" i="52"/>
  <c r="S52" i="52" s="1"/>
  <c r="T52" i="52" s="1"/>
  <c r="Q52" i="51"/>
  <c r="M52" i="51"/>
  <c r="O53" i="51" s="1"/>
  <c r="B54" i="51"/>
  <c r="L53" i="51"/>
  <c r="C53" i="51"/>
  <c r="D53" i="51" s="1"/>
  <c r="N53" i="51" s="1"/>
  <c r="L53" i="52"/>
  <c r="B54" i="52"/>
  <c r="C53" i="52"/>
  <c r="D53" i="52" s="1"/>
  <c r="N53" i="52" s="1"/>
  <c r="T51" i="50"/>
  <c r="S52" i="50"/>
  <c r="T52" i="50" s="1"/>
  <c r="R53" i="50"/>
  <c r="N53" i="50"/>
  <c r="M53" i="50"/>
  <c r="B55" i="50"/>
  <c r="L54" i="50"/>
  <c r="C54" i="50"/>
  <c r="D54" i="50" s="1"/>
  <c r="P52" i="46"/>
  <c r="S51" i="46"/>
  <c r="T51" i="46" s="1"/>
  <c r="S51" i="45"/>
  <c r="T51" i="45" s="1"/>
  <c r="M52" i="43"/>
  <c r="O53" i="43" s="1"/>
  <c r="R53" i="43" s="1"/>
  <c r="R52" i="45"/>
  <c r="S51" i="44"/>
  <c r="T51" i="44" s="1"/>
  <c r="R52" i="44"/>
  <c r="M52" i="44"/>
  <c r="O53" i="44" s="1"/>
  <c r="R53" i="44" s="1"/>
  <c r="Q52" i="46"/>
  <c r="T51" i="43"/>
  <c r="P52" i="43"/>
  <c r="S52" i="43" s="1"/>
  <c r="T52" i="43" s="1"/>
  <c r="P52" i="44"/>
  <c r="S52" i="44" s="1"/>
  <c r="M52" i="46"/>
  <c r="O53" i="46" s="1"/>
  <c r="M52" i="45"/>
  <c r="O53" i="45" s="1"/>
  <c r="R53" i="45" s="1"/>
  <c r="R52" i="46"/>
  <c r="P52" i="45"/>
  <c r="S52" i="45" s="1"/>
  <c r="B54" i="44"/>
  <c r="L53" i="44"/>
  <c r="C53" i="44"/>
  <c r="D53" i="44" s="1"/>
  <c r="N53" i="44" s="1"/>
  <c r="Q53" i="44" s="1"/>
  <c r="B54" i="43"/>
  <c r="L53" i="43"/>
  <c r="C53" i="43"/>
  <c r="D53" i="43" s="1"/>
  <c r="N53" i="43" s="1"/>
  <c r="Q53" i="43" s="1"/>
  <c r="B54" i="45"/>
  <c r="L53" i="45"/>
  <c r="C53" i="45"/>
  <c r="D53" i="45" s="1"/>
  <c r="N53" i="45" s="1"/>
  <c r="Q53" i="45" s="1"/>
  <c r="L53" i="46"/>
  <c r="B54" i="46"/>
  <c r="C53" i="46"/>
  <c r="D53" i="46" s="1"/>
  <c r="N53" i="46" s="1"/>
  <c r="Q53" i="46" s="1"/>
  <c r="BA68" i="29"/>
  <c r="M70" i="29"/>
  <c r="BM70" i="29"/>
  <c r="B65" i="26" s="1"/>
  <c r="BB67" i="29"/>
  <c r="AZ69" i="29"/>
  <c r="N70" i="29"/>
  <c r="AY70" i="29" s="1"/>
  <c r="AP70" i="29"/>
  <c r="AB69" i="29"/>
  <c r="R69" i="29"/>
  <c r="O70" i="29"/>
  <c r="AA69" i="29"/>
  <c r="Q69" i="29"/>
  <c r="P69" i="29"/>
  <c r="BV69" i="29" s="1"/>
  <c r="BW69" i="29" s="1"/>
  <c r="AC68" i="29"/>
  <c r="AD68" i="29" s="1"/>
  <c r="S68" i="29"/>
  <c r="T68" i="29" s="1"/>
  <c r="B71" i="29"/>
  <c r="D71" i="29" s="1"/>
  <c r="R50" i="17"/>
  <c r="O51" i="17"/>
  <c r="N51" i="17"/>
  <c r="M51" i="17"/>
  <c r="C52" i="17"/>
  <c r="D52" i="17" s="1"/>
  <c r="S49" i="17"/>
  <c r="T49" i="17" s="1"/>
  <c r="Q50" i="17"/>
  <c r="P50" i="17"/>
  <c r="L54" i="17"/>
  <c r="B55" i="17"/>
  <c r="P53" i="52" l="1"/>
  <c r="P53" i="51"/>
  <c r="S52" i="51"/>
  <c r="T52" i="51" s="1"/>
  <c r="Q53" i="52"/>
  <c r="Q53" i="51"/>
  <c r="M53" i="51"/>
  <c r="O54" i="51" s="1"/>
  <c r="R53" i="51"/>
  <c r="M53" i="52"/>
  <c r="O54" i="52" s="1"/>
  <c r="L54" i="52"/>
  <c r="B55" i="52"/>
  <c r="C54" i="52"/>
  <c r="D54" i="52" s="1"/>
  <c r="N54" i="52" s="1"/>
  <c r="Q54" i="52" s="1"/>
  <c r="L54" i="51"/>
  <c r="B55" i="51"/>
  <c r="C54" i="51"/>
  <c r="D54" i="51" s="1"/>
  <c r="N54" i="51" s="1"/>
  <c r="O54" i="50"/>
  <c r="N54" i="50"/>
  <c r="M54" i="50"/>
  <c r="Q53" i="50"/>
  <c r="P53" i="50"/>
  <c r="B56" i="50"/>
  <c r="L55" i="50"/>
  <c r="C55" i="50"/>
  <c r="D55" i="50" s="1"/>
  <c r="N55" i="50" s="1"/>
  <c r="S52" i="46"/>
  <c r="T52" i="46" s="1"/>
  <c r="R53" i="46"/>
  <c r="T52" i="45"/>
  <c r="T52" i="44"/>
  <c r="P53" i="44"/>
  <c r="S53" i="44" s="1"/>
  <c r="T53" i="44" s="1"/>
  <c r="P53" i="43"/>
  <c r="S53" i="43" s="1"/>
  <c r="T53" i="43" s="1"/>
  <c r="P53" i="45"/>
  <c r="S53" i="45" s="1"/>
  <c r="T53" i="45" s="1"/>
  <c r="M53" i="43"/>
  <c r="O54" i="43" s="1"/>
  <c r="R54" i="43" s="1"/>
  <c r="M53" i="44"/>
  <c r="O54" i="44" s="1"/>
  <c r="R54" i="44" s="1"/>
  <c r="P53" i="46"/>
  <c r="S53" i="46" s="1"/>
  <c r="M53" i="45"/>
  <c r="O54" i="45" s="1"/>
  <c r="R54" i="45" s="1"/>
  <c r="M53" i="46"/>
  <c r="O54" i="46" s="1"/>
  <c r="R54" i="46" s="1"/>
  <c r="C54" i="46"/>
  <c r="D54" i="46" s="1"/>
  <c r="B55" i="46"/>
  <c r="L54" i="46"/>
  <c r="B55" i="45"/>
  <c r="C54" i="45"/>
  <c r="D54" i="45" s="1"/>
  <c r="L54" i="45"/>
  <c r="L54" i="43"/>
  <c r="C54" i="43"/>
  <c r="D54" i="43" s="1"/>
  <c r="N54" i="43" s="1"/>
  <c r="B55" i="43"/>
  <c r="B55" i="44"/>
  <c r="L54" i="44"/>
  <c r="C54" i="44"/>
  <c r="D54" i="44" s="1"/>
  <c r="BA69" i="29"/>
  <c r="M71" i="29"/>
  <c r="BM71" i="29"/>
  <c r="B66" i="26" s="1"/>
  <c r="BB68" i="29"/>
  <c r="AZ70" i="29"/>
  <c r="N71" i="29"/>
  <c r="AY71" i="29" s="1"/>
  <c r="AP71" i="29"/>
  <c r="AB70" i="29"/>
  <c r="R70" i="29"/>
  <c r="O71" i="29"/>
  <c r="B72" i="29"/>
  <c r="D72" i="29" s="1"/>
  <c r="AA70" i="29"/>
  <c r="Q70" i="29"/>
  <c r="P70" i="29"/>
  <c r="BV70" i="29" s="1"/>
  <c r="BW70" i="29" s="1"/>
  <c r="AC69" i="29"/>
  <c r="AD69" i="29" s="1"/>
  <c r="S69" i="29"/>
  <c r="T69" i="29" s="1"/>
  <c r="R51" i="17"/>
  <c r="O52" i="17"/>
  <c r="S50" i="17"/>
  <c r="T50" i="17" s="1"/>
  <c r="P51" i="17"/>
  <c r="Q51" i="17"/>
  <c r="N52" i="17"/>
  <c r="M52" i="17"/>
  <c r="C53" i="17"/>
  <c r="D53" i="17" s="1"/>
  <c r="L55" i="17"/>
  <c r="B56" i="17"/>
  <c r="R54" i="52" l="1"/>
  <c r="S53" i="52"/>
  <c r="T53" i="52" s="1"/>
  <c r="S53" i="51"/>
  <c r="T53" i="51" s="1"/>
  <c r="P54" i="52"/>
  <c r="S54" i="52" s="1"/>
  <c r="R54" i="51"/>
  <c r="P54" i="51"/>
  <c r="M54" i="52"/>
  <c r="O55" i="52" s="1"/>
  <c r="R55" i="52" s="1"/>
  <c r="Q54" i="51"/>
  <c r="M54" i="51"/>
  <c r="O55" i="51" s="1"/>
  <c r="L55" i="52"/>
  <c r="B56" i="52"/>
  <c r="C55" i="52"/>
  <c r="D55" i="52" s="1"/>
  <c r="N55" i="52" s="1"/>
  <c r="Q55" i="52" s="1"/>
  <c r="L55" i="51"/>
  <c r="B56" i="51"/>
  <c r="C55" i="51"/>
  <c r="D55" i="51" s="1"/>
  <c r="N55" i="51" s="1"/>
  <c r="Q55" i="51" s="1"/>
  <c r="R54" i="50"/>
  <c r="O55" i="50"/>
  <c r="Q55" i="50"/>
  <c r="P55" i="50"/>
  <c r="M55" i="50"/>
  <c r="O56" i="50" s="1"/>
  <c r="S53" i="50"/>
  <c r="T53" i="50" s="1"/>
  <c r="P54" i="50"/>
  <c r="Q54" i="50"/>
  <c r="L56" i="50"/>
  <c r="C56" i="50"/>
  <c r="D56" i="50" s="1"/>
  <c r="B57" i="50"/>
  <c r="T53" i="46"/>
  <c r="P54" i="43"/>
  <c r="N54" i="46"/>
  <c r="M54" i="46"/>
  <c r="N54" i="44"/>
  <c r="M54" i="44"/>
  <c r="N54" i="45"/>
  <c r="M54" i="45"/>
  <c r="Q54" i="43"/>
  <c r="M54" i="43"/>
  <c r="O55" i="43" s="1"/>
  <c r="B56" i="43"/>
  <c r="L55" i="43"/>
  <c r="C55" i="43"/>
  <c r="D55" i="43" s="1"/>
  <c r="N55" i="43" s="1"/>
  <c r="B56" i="44"/>
  <c r="L55" i="44"/>
  <c r="C55" i="44"/>
  <c r="D55" i="44" s="1"/>
  <c r="N55" i="44" s="1"/>
  <c r="Q55" i="44" s="1"/>
  <c r="B56" i="45"/>
  <c r="L55" i="45"/>
  <c r="C55" i="45"/>
  <c r="D55" i="45" s="1"/>
  <c r="B56" i="46"/>
  <c r="L55" i="46"/>
  <c r="C55" i="46"/>
  <c r="D55" i="46" s="1"/>
  <c r="BA70" i="29"/>
  <c r="M72" i="29"/>
  <c r="BM72" i="29"/>
  <c r="B67" i="26" s="1"/>
  <c r="BB69" i="29"/>
  <c r="AZ71" i="29"/>
  <c r="AB71" i="29"/>
  <c r="N72" i="29"/>
  <c r="AY72" i="29" s="1"/>
  <c r="AP72" i="29"/>
  <c r="O72" i="29"/>
  <c r="R71" i="29"/>
  <c r="B73" i="29"/>
  <c r="D73" i="29" s="1"/>
  <c r="AC70" i="29"/>
  <c r="AD70" i="29" s="1"/>
  <c r="S70" i="29"/>
  <c r="T70" i="29" s="1"/>
  <c r="P71" i="29"/>
  <c r="BV71" i="29" s="1"/>
  <c r="BW71" i="29" s="1"/>
  <c r="Q71" i="29"/>
  <c r="AA71" i="29"/>
  <c r="R52" i="17"/>
  <c r="O53" i="17"/>
  <c r="N53" i="17"/>
  <c r="M53" i="17"/>
  <c r="C54" i="17"/>
  <c r="D54" i="17" s="1"/>
  <c r="Q52" i="17"/>
  <c r="P52" i="17"/>
  <c r="S51" i="17"/>
  <c r="T51" i="17" s="1"/>
  <c r="B57" i="17"/>
  <c r="L56" i="17"/>
  <c r="T54" i="52" l="1"/>
  <c r="R55" i="51"/>
  <c r="S54" i="51"/>
  <c r="T54" i="51" s="1"/>
  <c r="P55" i="52"/>
  <c r="S55" i="52" s="1"/>
  <c r="T55" i="52" s="1"/>
  <c r="P55" i="51"/>
  <c r="S55" i="51" s="1"/>
  <c r="M55" i="51"/>
  <c r="O56" i="51" s="1"/>
  <c r="R56" i="51" s="1"/>
  <c r="M55" i="52"/>
  <c r="O56" i="52" s="1"/>
  <c r="R56" i="52" s="1"/>
  <c r="B57" i="51"/>
  <c r="L56" i="51"/>
  <c r="C56" i="51"/>
  <c r="D56" i="51" s="1"/>
  <c r="N56" i="51" s="1"/>
  <c r="Q56" i="51" s="1"/>
  <c r="B57" i="52"/>
  <c r="L56" i="52"/>
  <c r="C56" i="52"/>
  <c r="D56" i="52" s="1"/>
  <c r="N56" i="52" s="1"/>
  <c r="Q56" i="52" s="1"/>
  <c r="S55" i="50"/>
  <c r="R55" i="50"/>
  <c r="R56" i="50"/>
  <c r="S54" i="50"/>
  <c r="T54" i="50" s="1"/>
  <c r="N56" i="50"/>
  <c r="M56" i="50"/>
  <c r="L57" i="50"/>
  <c r="B58" i="50"/>
  <c r="C57" i="50"/>
  <c r="D57" i="50" s="1"/>
  <c r="N57" i="50" s="1"/>
  <c r="Q57" i="50" s="1"/>
  <c r="S54" i="43"/>
  <c r="T54" i="43" s="1"/>
  <c r="O55" i="46"/>
  <c r="P55" i="43"/>
  <c r="Q55" i="43"/>
  <c r="O55" i="44"/>
  <c r="R55" i="43"/>
  <c r="P54" i="46"/>
  <c r="Q54" i="46"/>
  <c r="N55" i="45"/>
  <c r="M55" i="45"/>
  <c r="N55" i="46"/>
  <c r="M55" i="46"/>
  <c r="M55" i="44"/>
  <c r="O56" i="44" s="1"/>
  <c r="R56" i="44" s="1"/>
  <c r="P55" i="44"/>
  <c r="S55" i="44" s="1"/>
  <c r="M55" i="43"/>
  <c r="O56" i="43" s="1"/>
  <c r="P54" i="45"/>
  <c r="Q54" i="45"/>
  <c r="O55" i="45"/>
  <c r="Q54" i="44"/>
  <c r="P54" i="44"/>
  <c r="C56" i="46"/>
  <c r="D56" i="46" s="1"/>
  <c r="L56" i="46"/>
  <c r="B57" i="46"/>
  <c r="C56" i="45"/>
  <c r="D56" i="45" s="1"/>
  <c r="L56" i="45"/>
  <c r="B57" i="45"/>
  <c r="B57" i="43"/>
  <c r="L56" i="43"/>
  <c r="C56" i="43"/>
  <c r="D56" i="43" s="1"/>
  <c r="L56" i="44"/>
  <c r="B57" i="44"/>
  <c r="C56" i="44"/>
  <c r="D56" i="44" s="1"/>
  <c r="BA71" i="29"/>
  <c r="M73" i="29"/>
  <c r="BM73" i="29"/>
  <c r="B68" i="26" s="1"/>
  <c r="BB70" i="29"/>
  <c r="AZ72" i="29"/>
  <c r="R72" i="29"/>
  <c r="N73" i="29"/>
  <c r="AY73" i="29" s="1"/>
  <c r="AP73" i="29"/>
  <c r="AB72" i="29"/>
  <c r="B74" i="29"/>
  <c r="D74" i="29" s="1"/>
  <c r="AC71" i="29"/>
  <c r="AD71" i="29" s="1"/>
  <c r="S71" i="29"/>
  <c r="T71" i="29" s="1"/>
  <c r="O73" i="29"/>
  <c r="Q72" i="29"/>
  <c r="P72" i="29"/>
  <c r="BV72" i="29" s="1"/>
  <c r="BW72" i="29" s="1"/>
  <c r="AA72" i="29"/>
  <c r="R53" i="17"/>
  <c r="O54" i="17"/>
  <c r="S52" i="17"/>
  <c r="T52" i="17" s="1"/>
  <c r="Q53" i="17"/>
  <c r="P53" i="17"/>
  <c r="N54" i="17"/>
  <c r="M54" i="17"/>
  <c r="C55" i="17"/>
  <c r="D55" i="17" s="1"/>
  <c r="L57" i="17"/>
  <c r="B58" i="17"/>
  <c r="T55" i="51" l="1"/>
  <c r="P56" i="52"/>
  <c r="S56" i="52" s="1"/>
  <c r="T56" i="52" s="1"/>
  <c r="P56" i="51"/>
  <c r="S56" i="51" s="1"/>
  <c r="T56" i="51" s="1"/>
  <c r="M56" i="52"/>
  <c r="O57" i="52" s="1"/>
  <c r="R57" i="52" s="1"/>
  <c r="M56" i="51"/>
  <c r="O57" i="51" s="1"/>
  <c r="R57" i="51" s="1"/>
  <c r="B58" i="52"/>
  <c r="L57" i="52"/>
  <c r="C57" i="52"/>
  <c r="D57" i="52" s="1"/>
  <c r="N57" i="52" s="1"/>
  <c r="Q57" i="52" s="1"/>
  <c r="B58" i="51"/>
  <c r="L57" i="51"/>
  <c r="C57" i="51"/>
  <c r="D57" i="51" s="1"/>
  <c r="N57" i="51" s="1"/>
  <c r="Q57" i="51" s="1"/>
  <c r="T55" i="50"/>
  <c r="O57" i="50"/>
  <c r="P57" i="50"/>
  <c r="S57" i="50" s="1"/>
  <c r="P56" i="50"/>
  <c r="Q56" i="50"/>
  <c r="M57" i="50"/>
  <c r="O58" i="50" s="1"/>
  <c r="R58" i="50" s="1"/>
  <c r="B59" i="50"/>
  <c r="C58" i="50"/>
  <c r="D58" i="50" s="1"/>
  <c r="L58" i="50"/>
  <c r="R55" i="46"/>
  <c r="S55" i="43"/>
  <c r="T55" i="43" s="1"/>
  <c r="O56" i="45"/>
  <c r="R55" i="44"/>
  <c r="T55" i="44" s="1"/>
  <c r="S54" i="45"/>
  <c r="T54" i="45" s="1"/>
  <c r="R56" i="43"/>
  <c r="R55" i="45"/>
  <c r="S54" i="46"/>
  <c r="T54" i="46" s="1"/>
  <c r="N56" i="46"/>
  <c r="M56" i="46"/>
  <c r="O56" i="46"/>
  <c r="N56" i="43"/>
  <c r="M56" i="43"/>
  <c r="N56" i="44"/>
  <c r="M56" i="44"/>
  <c r="N56" i="45"/>
  <c r="M56" i="45"/>
  <c r="Q55" i="46"/>
  <c r="P55" i="46"/>
  <c r="S54" i="44"/>
  <c r="T54" i="44" s="1"/>
  <c r="Q55" i="45"/>
  <c r="P55" i="45"/>
  <c r="C57" i="46"/>
  <c r="D57" i="46" s="1"/>
  <c r="L57" i="46"/>
  <c r="B58" i="46"/>
  <c r="C57" i="44"/>
  <c r="D57" i="44" s="1"/>
  <c r="L57" i="44"/>
  <c r="B58" i="44"/>
  <c r="L57" i="45"/>
  <c r="B58" i="45"/>
  <c r="C57" i="45"/>
  <c r="D57" i="45" s="1"/>
  <c r="C57" i="43"/>
  <c r="D57" i="43" s="1"/>
  <c r="L57" i="43"/>
  <c r="B58" i="43"/>
  <c r="BA72" i="29"/>
  <c r="M74" i="29"/>
  <c r="BM74" i="29"/>
  <c r="B69" i="26" s="1"/>
  <c r="BB71" i="29"/>
  <c r="AZ73" i="29"/>
  <c r="N74" i="29"/>
  <c r="AY74" i="29" s="1"/>
  <c r="AP74" i="29"/>
  <c r="S72" i="29"/>
  <c r="T72" i="29" s="1"/>
  <c r="AC72" i="29"/>
  <c r="AD72" i="29" s="1"/>
  <c r="AB73" i="29"/>
  <c r="R73" i="29"/>
  <c r="O74" i="29"/>
  <c r="AA73" i="29"/>
  <c r="Q73" i="29"/>
  <c r="P73" i="29"/>
  <c r="BV73" i="29" s="1"/>
  <c r="BW73" i="29" s="1"/>
  <c r="B75" i="29"/>
  <c r="D75" i="29" s="1"/>
  <c r="R54" i="17"/>
  <c r="O55" i="17"/>
  <c r="P54" i="17"/>
  <c r="Q54" i="17"/>
  <c r="N55" i="17"/>
  <c r="M55" i="17"/>
  <c r="C56" i="17"/>
  <c r="D56" i="17" s="1"/>
  <c r="S53" i="17"/>
  <c r="T53" i="17" s="1"/>
  <c r="L58" i="17"/>
  <c r="B59" i="17"/>
  <c r="M57" i="51" l="1"/>
  <c r="O58" i="51" s="1"/>
  <c r="R58" i="51" s="1"/>
  <c r="P57" i="52"/>
  <c r="S57" i="52" s="1"/>
  <c r="T57" i="52" s="1"/>
  <c r="P57" i="51"/>
  <c r="S57" i="51" s="1"/>
  <c r="T57" i="51" s="1"/>
  <c r="M57" i="52"/>
  <c r="O58" i="52" s="1"/>
  <c r="R58" i="52" s="1"/>
  <c r="B59" i="51"/>
  <c r="L58" i="51"/>
  <c r="C58" i="51"/>
  <c r="D58" i="51" s="1"/>
  <c r="N58" i="51" s="1"/>
  <c r="B59" i="52"/>
  <c r="L58" i="52"/>
  <c r="C58" i="52"/>
  <c r="D58" i="52" s="1"/>
  <c r="N58" i="52" s="1"/>
  <c r="Q58" i="52" s="1"/>
  <c r="R57" i="50"/>
  <c r="T57" i="50" s="1"/>
  <c r="N58" i="50"/>
  <c r="Q58" i="50" s="1"/>
  <c r="M58" i="50"/>
  <c r="S56" i="50"/>
  <c r="T56" i="50" s="1"/>
  <c r="C59" i="50"/>
  <c r="D59" i="50" s="1"/>
  <c r="N59" i="50" s="1"/>
  <c r="Q59" i="50" s="1"/>
  <c r="B60" i="50"/>
  <c r="L59" i="50"/>
  <c r="R56" i="45"/>
  <c r="O57" i="45"/>
  <c r="O57" i="43"/>
  <c r="R56" i="46"/>
  <c r="O57" i="44"/>
  <c r="O57" i="46"/>
  <c r="P56" i="46"/>
  <c r="Q56" i="46"/>
  <c r="S55" i="45"/>
  <c r="T55" i="45" s="1"/>
  <c r="S55" i="46"/>
  <c r="T55" i="46" s="1"/>
  <c r="N57" i="45"/>
  <c r="M57" i="45"/>
  <c r="N57" i="46"/>
  <c r="M57" i="46"/>
  <c r="N57" i="43"/>
  <c r="M57" i="43"/>
  <c r="N57" i="44"/>
  <c r="M57" i="44"/>
  <c r="Q56" i="45"/>
  <c r="P56" i="45"/>
  <c r="P56" i="43"/>
  <c r="Q56" i="43"/>
  <c r="P56" i="44"/>
  <c r="Q56" i="44"/>
  <c r="B59" i="45"/>
  <c r="C58" i="45"/>
  <c r="D58" i="45" s="1"/>
  <c r="L58" i="45"/>
  <c r="L58" i="44"/>
  <c r="C58" i="44"/>
  <c r="D58" i="44" s="1"/>
  <c r="B59" i="44"/>
  <c r="C58" i="43"/>
  <c r="D58" i="43" s="1"/>
  <c r="B59" i="43"/>
  <c r="L58" i="43"/>
  <c r="B59" i="46"/>
  <c r="L58" i="46"/>
  <c r="C58" i="46"/>
  <c r="D58" i="46" s="1"/>
  <c r="BA73" i="29"/>
  <c r="M75" i="29"/>
  <c r="BM75" i="29"/>
  <c r="B70" i="26" s="1"/>
  <c r="BB72" i="29"/>
  <c r="AZ74" i="29"/>
  <c r="N75" i="29"/>
  <c r="AY75" i="29" s="1"/>
  <c r="AP75" i="29"/>
  <c r="O75" i="29"/>
  <c r="AC73" i="29"/>
  <c r="AD73" i="29" s="1"/>
  <c r="S73" i="29"/>
  <c r="T73" i="29" s="1"/>
  <c r="B76" i="29"/>
  <c r="D76" i="29" s="1"/>
  <c r="Q74" i="29"/>
  <c r="P74" i="29"/>
  <c r="BV74" i="29" s="1"/>
  <c r="BW74" i="29" s="1"/>
  <c r="AA74" i="29"/>
  <c r="R74" i="29"/>
  <c r="AB74" i="29"/>
  <c r="O56" i="17"/>
  <c r="N56" i="17"/>
  <c r="M56" i="17"/>
  <c r="C57" i="17"/>
  <c r="D57" i="17" s="1"/>
  <c r="S54" i="17"/>
  <c r="T54" i="17" s="1"/>
  <c r="Q55" i="17"/>
  <c r="P55" i="17"/>
  <c r="R55" i="17"/>
  <c r="B60" i="17"/>
  <c r="L59" i="17"/>
  <c r="P58" i="51" l="1"/>
  <c r="Q58" i="51"/>
  <c r="P58" i="52"/>
  <c r="S58" i="52" s="1"/>
  <c r="T58" i="52" s="1"/>
  <c r="M58" i="51"/>
  <c r="O59" i="51" s="1"/>
  <c r="M58" i="52"/>
  <c r="O59" i="52" s="1"/>
  <c r="R59" i="52" s="1"/>
  <c r="L59" i="52"/>
  <c r="B60" i="52"/>
  <c r="C59" i="52"/>
  <c r="D59" i="52" s="1"/>
  <c r="N59" i="52" s="1"/>
  <c r="Q59" i="52" s="1"/>
  <c r="B60" i="51"/>
  <c r="L59" i="51"/>
  <c r="C59" i="51"/>
  <c r="D59" i="51" s="1"/>
  <c r="N59" i="51" s="1"/>
  <c r="Q59" i="51" s="1"/>
  <c r="O59" i="50"/>
  <c r="R59" i="50" s="1"/>
  <c r="P58" i="50"/>
  <c r="S58" i="50" s="1"/>
  <c r="T58" i="50" s="1"/>
  <c r="P59" i="50"/>
  <c r="S59" i="50" s="1"/>
  <c r="M59" i="50"/>
  <c r="O60" i="50" s="1"/>
  <c r="R60" i="50" s="1"/>
  <c r="L60" i="50"/>
  <c r="B61" i="50"/>
  <c r="C60" i="50"/>
  <c r="D60" i="50" s="1"/>
  <c r="R57" i="45"/>
  <c r="O58" i="45"/>
  <c r="R57" i="44"/>
  <c r="R57" i="43"/>
  <c r="O58" i="46"/>
  <c r="O58" i="43"/>
  <c r="R57" i="46"/>
  <c r="N58" i="44"/>
  <c r="M58" i="44"/>
  <c r="S56" i="46"/>
  <c r="T56" i="46" s="1"/>
  <c r="N58" i="45"/>
  <c r="M58" i="45"/>
  <c r="N58" i="46"/>
  <c r="M58" i="46"/>
  <c r="N58" i="43"/>
  <c r="M58" i="43"/>
  <c r="P57" i="44"/>
  <c r="Q57" i="44"/>
  <c r="S56" i="43"/>
  <c r="T56" i="43" s="1"/>
  <c r="P57" i="46"/>
  <c r="Q57" i="46"/>
  <c r="S56" i="44"/>
  <c r="T56" i="44" s="1"/>
  <c r="S56" i="45"/>
  <c r="T56" i="45" s="1"/>
  <c r="Q57" i="43"/>
  <c r="P57" i="43"/>
  <c r="O58" i="44"/>
  <c r="Q57" i="45"/>
  <c r="P57" i="45"/>
  <c r="L59" i="45"/>
  <c r="C59" i="45"/>
  <c r="D59" i="45" s="1"/>
  <c r="B60" i="45"/>
  <c r="B60" i="46"/>
  <c r="L59" i="46"/>
  <c r="C59" i="46"/>
  <c r="D59" i="46" s="1"/>
  <c r="C59" i="44"/>
  <c r="D59" i="44" s="1"/>
  <c r="B60" i="44"/>
  <c r="L59" i="44"/>
  <c r="B60" i="43"/>
  <c r="L59" i="43"/>
  <c r="C59" i="43"/>
  <c r="D59" i="43" s="1"/>
  <c r="N59" i="43" s="1"/>
  <c r="Q59" i="43" s="1"/>
  <c r="BA74" i="29"/>
  <c r="M76" i="29"/>
  <c r="BM76" i="29"/>
  <c r="B71" i="26" s="1"/>
  <c r="BB73" i="29"/>
  <c r="AZ75" i="29"/>
  <c r="N76" i="29"/>
  <c r="AY76" i="29" s="1"/>
  <c r="AP76" i="29"/>
  <c r="AB75" i="29"/>
  <c r="R75" i="29"/>
  <c r="O76" i="29"/>
  <c r="AA75" i="29"/>
  <c r="P75" i="29"/>
  <c r="BV75" i="29" s="1"/>
  <c r="BW75" i="29" s="1"/>
  <c r="Q75" i="29"/>
  <c r="S74" i="29"/>
  <c r="T74" i="29" s="1"/>
  <c r="AC74" i="29"/>
  <c r="AD74" i="29" s="1"/>
  <c r="B77" i="29"/>
  <c r="D77" i="29" s="1"/>
  <c r="R56" i="17"/>
  <c r="O57" i="17"/>
  <c r="S55" i="17"/>
  <c r="T55" i="17" s="1"/>
  <c r="Q56" i="17"/>
  <c r="P56" i="17"/>
  <c r="N57" i="17"/>
  <c r="M57" i="17"/>
  <c r="C58" i="17"/>
  <c r="D58" i="17" s="1"/>
  <c r="L60" i="17"/>
  <c r="B61" i="17"/>
  <c r="S58" i="51" l="1"/>
  <c r="T58" i="51" s="1"/>
  <c r="R59" i="51"/>
  <c r="M59" i="52"/>
  <c r="O60" i="52" s="1"/>
  <c r="R60" i="52" s="1"/>
  <c r="P59" i="52"/>
  <c r="S59" i="52" s="1"/>
  <c r="T59" i="52" s="1"/>
  <c r="P59" i="51"/>
  <c r="S59" i="51" s="1"/>
  <c r="M59" i="51"/>
  <c r="O60" i="51" s="1"/>
  <c r="R60" i="51" s="1"/>
  <c r="L60" i="51"/>
  <c r="B61" i="51"/>
  <c r="C60" i="51"/>
  <c r="D60" i="51" s="1"/>
  <c r="N60" i="51" s="1"/>
  <c r="Q60" i="51" s="1"/>
  <c r="B61" i="52"/>
  <c r="L60" i="52"/>
  <c r="C60" i="52"/>
  <c r="D60" i="52" s="1"/>
  <c r="N60" i="52" s="1"/>
  <c r="T59" i="50"/>
  <c r="N60" i="50"/>
  <c r="M60" i="50"/>
  <c r="B62" i="50"/>
  <c r="C61" i="50"/>
  <c r="D61" i="50" s="1"/>
  <c r="N61" i="50" s="1"/>
  <c r="L61" i="50"/>
  <c r="R58" i="44"/>
  <c r="R58" i="46"/>
  <c r="O59" i="45"/>
  <c r="R58" i="43"/>
  <c r="R58" i="45"/>
  <c r="O59" i="44"/>
  <c r="O59" i="46"/>
  <c r="S57" i="43"/>
  <c r="T57" i="43" s="1"/>
  <c r="O59" i="43"/>
  <c r="Q58" i="44"/>
  <c r="P58" i="44"/>
  <c r="S57" i="45"/>
  <c r="T57" i="45" s="1"/>
  <c r="N59" i="45"/>
  <c r="M59" i="45"/>
  <c r="N59" i="44"/>
  <c r="M59" i="44"/>
  <c r="N59" i="46"/>
  <c r="M59" i="46"/>
  <c r="P59" i="43"/>
  <c r="S59" i="43" s="1"/>
  <c r="P58" i="46"/>
  <c r="Q58" i="46"/>
  <c r="Q58" i="43"/>
  <c r="P58" i="43"/>
  <c r="M59" i="43"/>
  <c r="O60" i="43" s="1"/>
  <c r="R60" i="43" s="1"/>
  <c r="S57" i="46"/>
  <c r="T57" i="46" s="1"/>
  <c r="S57" i="44"/>
  <c r="T57" i="44" s="1"/>
  <c r="P58" i="45"/>
  <c r="Q58" i="45"/>
  <c r="C60" i="43"/>
  <c r="D60" i="43" s="1"/>
  <c r="B61" i="43"/>
  <c r="L60" i="43"/>
  <c r="B61" i="44"/>
  <c r="C60" i="44"/>
  <c r="D60" i="44" s="1"/>
  <c r="N60" i="44" s="1"/>
  <c r="L60" i="44"/>
  <c r="B61" i="46"/>
  <c r="L60" i="46"/>
  <c r="C60" i="46"/>
  <c r="D60" i="46" s="1"/>
  <c r="N60" i="46" s="1"/>
  <c r="Q60" i="46" s="1"/>
  <c r="B61" i="45"/>
  <c r="L60" i="45"/>
  <c r="C60" i="45"/>
  <c r="D60" i="45" s="1"/>
  <c r="BA75" i="29"/>
  <c r="M77" i="29"/>
  <c r="BM77" i="29"/>
  <c r="B72" i="26" s="1"/>
  <c r="BB74" i="29"/>
  <c r="AZ76" i="29"/>
  <c r="N77" i="29"/>
  <c r="AY77" i="29" s="1"/>
  <c r="AP77" i="29"/>
  <c r="O77" i="29"/>
  <c r="AB76" i="29"/>
  <c r="R76" i="29"/>
  <c r="AA76" i="29"/>
  <c r="P76" i="29"/>
  <c r="BV76" i="29" s="1"/>
  <c r="BW76" i="29" s="1"/>
  <c r="Q76" i="29"/>
  <c r="AC75" i="29"/>
  <c r="AD75" i="29" s="1"/>
  <c r="S75" i="29"/>
  <c r="T75" i="29" s="1"/>
  <c r="B78" i="29"/>
  <c r="D78" i="29" s="1"/>
  <c r="R57" i="17"/>
  <c r="O58" i="17"/>
  <c r="P57" i="17"/>
  <c r="Q57" i="17"/>
  <c r="N58" i="17"/>
  <c r="M58" i="17"/>
  <c r="C59" i="17"/>
  <c r="D59" i="17" s="1"/>
  <c r="S56" i="17"/>
  <c r="T56" i="17" s="1"/>
  <c r="B62" i="17"/>
  <c r="L61" i="17"/>
  <c r="P60" i="52" l="1"/>
  <c r="T59" i="51"/>
  <c r="M60" i="51"/>
  <c r="O61" i="51" s="1"/>
  <c r="R61" i="51" s="1"/>
  <c r="P60" i="51"/>
  <c r="S60" i="51" s="1"/>
  <c r="T60" i="51" s="1"/>
  <c r="Q60" i="52"/>
  <c r="M60" i="52"/>
  <c r="B62" i="52"/>
  <c r="L61" i="52"/>
  <c r="C61" i="52"/>
  <c r="D61" i="52" s="1"/>
  <c r="N61" i="52" s="1"/>
  <c r="Q61" i="52" s="1"/>
  <c r="L61" i="51"/>
  <c r="B62" i="51"/>
  <c r="C61" i="51"/>
  <c r="D61" i="51" s="1"/>
  <c r="N61" i="51" s="1"/>
  <c r="Q61" i="51" s="1"/>
  <c r="O61" i="50"/>
  <c r="Q61" i="50"/>
  <c r="P61" i="50"/>
  <c r="Q60" i="50"/>
  <c r="P60" i="50"/>
  <c r="M61" i="50"/>
  <c r="O62" i="50" s="1"/>
  <c r="B63" i="50"/>
  <c r="L62" i="50"/>
  <c r="C62" i="50"/>
  <c r="D62" i="50" s="1"/>
  <c r="R59" i="44"/>
  <c r="R59" i="45"/>
  <c r="O60" i="44"/>
  <c r="R59" i="43"/>
  <c r="T59" i="43" s="1"/>
  <c r="O60" i="46"/>
  <c r="O60" i="45"/>
  <c r="P60" i="44"/>
  <c r="R59" i="46"/>
  <c r="P60" i="46"/>
  <c r="S60" i="46" s="1"/>
  <c r="M60" i="46"/>
  <c r="O61" i="46" s="1"/>
  <c r="R61" i="46" s="1"/>
  <c r="S58" i="44"/>
  <c r="T58" i="44" s="1"/>
  <c r="S58" i="43"/>
  <c r="T58" i="43" s="1"/>
  <c r="S58" i="46"/>
  <c r="T58" i="46" s="1"/>
  <c r="N60" i="45"/>
  <c r="M60" i="45"/>
  <c r="N60" i="43"/>
  <c r="M60" i="43"/>
  <c r="Q59" i="44"/>
  <c r="P59" i="44"/>
  <c r="Q60" i="44"/>
  <c r="S58" i="45"/>
  <c r="T58" i="45" s="1"/>
  <c r="Q59" i="46"/>
  <c r="P59" i="46"/>
  <c r="M60" i="44"/>
  <c r="O61" i="44" s="1"/>
  <c r="Q59" i="45"/>
  <c r="P59" i="45"/>
  <c r="C61" i="43"/>
  <c r="D61" i="43" s="1"/>
  <c r="L61" i="43"/>
  <c r="B62" i="43"/>
  <c r="L61" i="46"/>
  <c r="C61" i="46"/>
  <c r="D61" i="46" s="1"/>
  <c r="N61" i="46" s="1"/>
  <c r="B62" i="46"/>
  <c r="L61" i="45"/>
  <c r="B62" i="45"/>
  <c r="C61" i="45"/>
  <c r="D61" i="45" s="1"/>
  <c r="B62" i="44"/>
  <c r="L61" i="44"/>
  <c r="C61" i="44"/>
  <c r="D61" i="44" s="1"/>
  <c r="BA76" i="29"/>
  <c r="M78" i="29"/>
  <c r="BM78" i="29"/>
  <c r="B73" i="26" s="1"/>
  <c r="BB75" i="29"/>
  <c r="AZ77" i="29"/>
  <c r="N78" i="29"/>
  <c r="AY78" i="29" s="1"/>
  <c r="AP78" i="29"/>
  <c r="R77" i="29"/>
  <c r="AB77" i="29"/>
  <c r="O78" i="29"/>
  <c r="B79" i="29"/>
  <c r="D79" i="29" s="1"/>
  <c r="AC76" i="29"/>
  <c r="AD76" i="29" s="1"/>
  <c r="S76" i="29"/>
  <c r="T76" i="29" s="1"/>
  <c r="P77" i="29"/>
  <c r="BV77" i="29" s="1"/>
  <c r="BW77" i="29" s="1"/>
  <c r="Q77" i="29"/>
  <c r="AA77" i="29"/>
  <c r="R58" i="17"/>
  <c r="Q58" i="17"/>
  <c r="P58" i="17"/>
  <c r="N59" i="17"/>
  <c r="M59" i="17"/>
  <c r="C60" i="17"/>
  <c r="D60" i="17" s="1"/>
  <c r="O59" i="17"/>
  <c r="S57" i="17"/>
  <c r="T57" i="17" s="1"/>
  <c r="L62" i="17"/>
  <c r="B63" i="17"/>
  <c r="S60" i="52" l="1"/>
  <c r="T60" i="52" s="1"/>
  <c r="P61" i="52"/>
  <c r="S61" i="52" s="1"/>
  <c r="P61" i="51"/>
  <c r="S61" i="51" s="1"/>
  <c r="T61" i="51" s="1"/>
  <c r="M61" i="51"/>
  <c r="O62" i="51" s="1"/>
  <c r="R62" i="51" s="1"/>
  <c r="M61" i="52"/>
  <c r="O62" i="52" s="1"/>
  <c r="R62" i="52" s="1"/>
  <c r="O61" i="52"/>
  <c r="R61" i="52" s="1"/>
  <c r="B63" i="51"/>
  <c r="L62" i="51"/>
  <c r="C62" i="51"/>
  <c r="D62" i="51" s="1"/>
  <c r="N62" i="51" s="1"/>
  <c r="Q62" i="51" s="1"/>
  <c r="B63" i="52"/>
  <c r="L62" i="52"/>
  <c r="C62" i="52"/>
  <c r="D62" i="52" s="1"/>
  <c r="N62" i="52" s="1"/>
  <c r="Q62" i="52" s="1"/>
  <c r="R62" i="50"/>
  <c r="R61" i="50"/>
  <c r="S61" i="50"/>
  <c r="N62" i="50"/>
  <c r="M62" i="50"/>
  <c r="S60" i="50"/>
  <c r="T60" i="50" s="1"/>
  <c r="L63" i="50"/>
  <c r="C63" i="50"/>
  <c r="D63" i="50" s="1"/>
  <c r="B64" i="50"/>
  <c r="P61" i="46"/>
  <c r="O61" i="43"/>
  <c r="O61" i="45"/>
  <c r="R60" i="45"/>
  <c r="R60" i="46"/>
  <c r="T60" i="46" s="1"/>
  <c r="R60" i="44"/>
  <c r="S59" i="46"/>
  <c r="T59" i="46" s="1"/>
  <c r="S60" i="44"/>
  <c r="S59" i="45"/>
  <c r="T59" i="45" s="1"/>
  <c r="N61" i="43"/>
  <c r="M61" i="43"/>
  <c r="N61" i="44"/>
  <c r="M61" i="44"/>
  <c r="N61" i="45"/>
  <c r="M61" i="45"/>
  <c r="P60" i="43"/>
  <c r="Q60" i="43"/>
  <c r="M61" i="46"/>
  <c r="O62" i="46" s="1"/>
  <c r="Q61" i="46"/>
  <c r="R61" i="44"/>
  <c r="S59" i="44"/>
  <c r="T59" i="44" s="1"/>
  <c r="Q60" i="45"/>
  <c r="P60" i="45"/>
  <c r="B63" i="44"/>
  <c r="C62" i="44"/>
  <c r="D62" i="44" s="1"/>
  <c r="N62" i="44" s="1"/>
  <c r="L62" i="44"/>
  <c r="C62" i="45"/>
  <c r="D62" i="45" s="1"/>
  <c r="L62" i="45"/>
  <c r="B63" i="45"/>
  <c r="C62" i="46"/>
  <c r="D62" i="46" s="1"/>
  <c r="B63" i="46"/>
  <c r="L62" i="46"/>
  <c r="L62" i="43"/>
  <c r="C62" i="43"/>
  <c r="D62" i="43" s="1"/>
  <c r="B63" i="43"/>
  <c r="BA77" i="29"/>
  <c r="M79" i="29"/>
  <c r="BM79" i="29"/>
  <c r="B74" i="26" s="1"/>
  <c r="BB76" i="29"/>
  <c r="AZ78" i="29"/>
  <c r="AB78" i="29"/>
  <c r="N79" i="29"/>
  <c r="AY79" i="29" s="1"/>
  <c r="AP79" i="29"/>
  <c r="R78" i="29"/>
  <c r="O79" i="29"/>
  <c r="B80" i="29"/>
  <c r="D80" i="29" s="1"/>
  <c r="S77" i="29"/>
  <c r="T77" i="29" s="1"/>
  <c r="AC77" i="29"/>
  <c r="AD77" i="29" s="1"/>
  <c r="Q78" i="29"/>
  <c r="P78" i="29"/>
  <c r="BV78" i="29" s="1"/>
  <c r="BW78" i="29" s="1"/>
  <c r="AA78" i="29"/>
  <c r="S58" i="17"/>
  <c r="T58" i="17" s="1"/>
  <c r="O60" i="17"/>
  <c r="R59" i="17"/>
  <c r="Q59" i="17"/>
  <c r="P59" i="17"/>
  <c r="N60" i="17"/>
  <c r="M60" i="17"/>
  <c r="C61" i="17"/>
  <c r="D61" i="17" s="1"/>
  <c r="L63" i="17"/>
  <c r="B64" i="17"/>
  <c r="T61" i="52" l="1"/>
  <c r="P62" i="52"/>
  <c r="S62" i="52" s="1"/>
  <c r="T62" i="52" s="1"/>
  <c r="P62" i="51"/>
  <c r="S62" i="51" s="1"/>
  <c r="T62" i="51" s="1"/>
  <c r="M62" i="52"/>
  <c r="O63" i="52" s="1"/>
  <c r="R63" i="52" s="1"/>
  <c r="M62" i="51"/>
  <c r="O63" i="51" s="1"/>
  <c r="R63" i="51" s="1"/>
  <c r="L63" i="52"/>
  <c r="B64" i="52"/>
  <c r="C63" i="52"/>
  <c r="D63" i="52" s="1"/>
  <c r="N63" i="52" s="1"/>
  <c r="B64" i="51"/>
  <c r="L63" i="51"/>
  <c r="C63" i="51"/>
  <c r="D63" i="51" s="1"/>
  <c r="N63" i="51" s="1"/>
  <c r="Q63" i="51" s="1"/>
  <c r="T61" i="50"/>
  <c r="O63" i="50"/>
  <c r="N63" i="50"/>
  <c r="M63" i="50"/>
  <c r="Q62" i="50"/>
  <c r="P62" i="50"/>
  <c r="C64" i="50"/>
  <c r="D64" i="50" s="1"/>
  <c r="N64" i="50" s="1"/>
  <c r="L64" i="50"/>
  <c r="B65" i="50"/>
  <c r="S61" i="46"/>
  <c r="T61" i="46" s="1"/>
  <c r="R61" i="45"/>
  <c r="R61" i="43"/>
  <c r="O62" i="44"/>
  <c r="P62" i="44"/>
  <c r="Q62" i="44"/>
  <c r="O62" i="45"/>
  <c r="T60" i="44"/>
  <c r="N62" i="43"/>
  <c r="M62" i="43"/>
  <c r="N62" i="45"/>
  <c r="M62" i="45"/>
  <c r="N62" i="46"/>
  <c r="M62" i="46"/>
  <c r="Q61" i="43"/>
  <c r="P61" i="43"/>
  <c r="R62" i="46"/>
  <c r="M62" i="44"/>
  <c r="O63" i="44" s="1"/>
  <c r="S60" i="45"/>
  <c r="T60" i="45" s="1"/>
  <c r="P61" i="44"/>
  <c r="Q61" i="44"/>
  <c r="O62" i="43"/>
  <c r="S60" i="43"/>
  <c r="T60" i="43" s="1"/>
  <c r="Q61" i="45"/>
  <c r="P61" i="45"/>
  <c r="L63" i="46"/>
  <c r="C63" i="46"/>
  <c r="D63" i="46" s="1"/>
  <c r="N63" i="46" s="1"/>
  <c r="B64" i="46"/>
  <c r="B64" i="44"/>
  <c r="L63" i="44"/>
  <c r="C63" i="44"/>
  <c r="D63" i="44" s="1"/>
  <c r="L63" i="43"/>
  <c r="C63" i="43"/>
  <c r="D63" i="43" s="1"/>
  <c r="B64" i="43"/>
  <c r="C63" i="45"/>
  <c r="D63" i="45" s="1"/>
  <c r="B64" i="45"/>
  <c r="L63" i="45"/>
  <c r="BA78" i="29"/>
  <c r="M80" i="29"/>
  <c r="BM80" i="29"/>
  <c r="B75" i="26" s="1"/>
  <c r="BB77" i="29"/>
  <c r="AZ79" i="29"/>
  <c r="N80" i="29"/>
  <c r="AY80" i="29" s="1"/>
  <c r="AP80" i="29"/>
  <c r="O80" i="29"/>
  <c r="AA79" i="29"/>
  <c r="P79" i="29"/>
  <c r="BV79" i="29" s="1"/>
  <c r="BW79" i="29" s="1"/>
  <c r="Q79" i="29"/>
  <c r="AB79" i="29"/>
  <c r="R79" i="29"/>
  <c r="AC78" i="29"/>
  <c r="AD78" i="29" s="1"/>
  <c r="S78" i="29"/>
  <c r="T78" i="29" s="1"/>
  <c r="B81" i="29"/>
  <c r="D81" i="29" s="1"/>
  <c r="R60" i="17"/>
  <c r="O61" i="17"/>
  <c r="S59" i="17"/>
  <c r="T59" i="17" s="1"/>
  <c r="Q60" i="17"/>
  <c r="P60" i="17"/>
  <c r="N61" i="17"/>
  <c r="M61" i="17"/>
  <c r="C62" i="17"/>
  <c r="D62" i="17" s="1"/>
  <c r="B65" i="17"/>
  <c r="L64" i="17"/>
  <c r="R63" i="44" l="1"/>
  <c r="P63" i="52"/>
  <c r="P63" i="51"/>
  <c r="S63" i="51" s="1"/>
  <c r="T63" i="51" s="1"/>
  <c r="M63" i="51"/>
  <c r="O64" i="51" s="1"/>
  <c r="R64" i="51" s="1"/>
  <c r="Q63" i="52"/>
  <c r="M63" i="52"/>
  <c r="O64" i="52" s="1"/>
  <c r="B65" i="52"/>
  <c r="L64" i="52"/>
  <c r="C64" i="52"/>
  <c r="D64" i="52" s="1"/>
  <c r="N64" i="52" s="1"/>
  <c r="B65" i="51"/>
  <c r="L64" i="51"/>
  <c r="C64" i="51"/>
  <c r="D64" i="51" s="1"/>
  <c r="N64" i="51" s="1"/>
  <c r="Q64" i="51" s="1"/>
  <c r="R63" i="50"/>
  <c r="P64" i="50"/>
  <c r="O64" i="50"/>
  <c r="Q64" i="50"/>
  <c r="M64" i="50"/>
  <c r="O65" i="50" s="1"/>
  <c r="S62" i="50"/>
  <c r="T62" i="50" s="1"/>
  <c r="Q63" i="50"/>
  <c r="P63" i="50"/>
  <c r="C65" i="50"/>
  <c r="D65" i="50" s="1"/>
  <c r="L65" i="50"/>
  <c r="B66" i="50"/>
  <c r="P63" i="46"/>
  <c r="S62" i="44"/>
  <c r="O63" i="46"/>
  <c r="O63" i="43"/>
  <c r="R62" i="44"/>
  <c r="R62" i="45"/>
  <c r="O63" i="45"/>
  <c r="M63" i="46"/>
  <c r="O64" i="46" s="1"/>
  <c r="R62" i="43"/>
  <c r="S61" i="44"/>
  <c r="T61" i="44" s="1"/>
  <c r="N63" i="44"/>
  <c r="M63" i="44"/>
  <c r="N63" i="43"/>
  <c r="M63" i="43"/>
  <c r="N63" i="45"/>
  <c r="M63" i="45"/>
  <c r="Q63" i="46"/>
  <c r="S61" i="45"/>
  <c r="T61" i="45" s="1"/>
  <c r="Q62" i="45"/>
  <c r="P62" i="45"/>
  <c r="S61" i="43"/>
  <c r="T61" i="43" s="1"/>
  <c r="P62" i="46"/>
  <c r="Q62" i="46"/>
  <c r="P62" i="43"/>
  <c r="Q62" i="43"/>
  <c r="B65" i="43"/>
  <c r="L64" i="43"/>
  <c r="C64" i="43"/>
  <c r="D64" i="43" s="1"/>
  <c r="N64" i="43" s="1"/>
  <c r="Q64" i="43" s="1"/>
  <c r="C64" i="45"/>
  <c r="D64" i="45" s="1"/>
  <c r="N64" i="45" s="1"/>
  <c r="Q64" i="45" s="1"/>
  <c r="L64" i="45"/>
  <c r="B65" i="45"/>
  <c r="B65" i="44"/>
  <c r="L64" i="44"/>
  <c r="C64" i="44"/>
  <c r="D64" i="44" s="1"/>
  <c r="N64" i="44" s="1"/>
  <c r="Q64" i="44" s="1"/>
  <c r="C64" i="46"/>
  <c r="D64" i="46" s="1"/>
  <c r="N64" i="46" s="1"/>
  <c r="Q64" i="46" s="1"/>
  <c r="B65" i="46"/>
  <c r="L64" i="46"/>
  <c r="BA79" i="29"/>
  <c r="M81" i="29"/>
  <c r="BM81" i="29"/>
  <c r="B76" i="26" s="1"/>
  <c r="BB78" i="29"/>
  <c r="AZ80" i="29"/>
  <c r="N81" i="29"/>
  <c r="AY81" i="29" s="1"/>
  <c r="AP81" i="29"/>
  <c r="R80" i="29"/>
  <c r="O81" i="29"/>
  <c r="AB80" i="29"/>
  <c r="B82" i="29"/>
  <c r="D82" i="29" s="1"/>
  <c r="P80" i="29"/>
  <c r="BV80" i="29" s="1"/>
  <c r="BW80" i="29" s="1"/>
  <c r="Q80" i="29"/>
  <c r="AA80" i="29"/>
  <c r="AC79" i="29"/>
  <c r="AD79" i="29" s="1"/>
  <c r="S79" i="29"/>
  <c r="T79" i="29" s="1"/>
  <c r="O62" i="17"/>
  <c r="R61" i="17"/>
  <c r="P61" i="17"/>
  <c r="Q61" i="17"/>
  <c r="N62" i="17"/>
  <c r="M62" i="17"/>
  <c r="C63" i="17"/>
  <c r="D63" i="17" s="1"/>
  <c r="S60" i="17"/>
  <c r="T60" i="17" s="1"/>
  <c r="L65" i="17"/>
  <c r="B66" i="17"/>
  <c r="R63" i="46" l="1"/>
  <c r="R63" i="45"/>
  <c r="S63" i="46"/>
  <c r="P64" i="52"/>
  <c r="S63" i="52"/>
  <c r="T63" i="52" s="1"/>
  <c r="Q64" i="52"/>
  <c r="R64" i="52"/>
  <c r="P64" i="51"/>
  <c r="S64" i="51" s="1"/>
  <c r="T64" i="51" s="1"/>
  <c r="M64" i="51"/>
  <c r="O65" i="51" s="1"/>
  <c r="R65" i="51" s="1"/>
  <c r="M64" i="52"/>
  <c r="O65" i="52" s="1"/>
  <c r="B66" i="51"/>
  <c r="L65" i="51"/>
  <c r="C65" i="51"/>
  <c r="D65" i="51" s="1"/>
  <c r="N65" i="51" s="1"/>
  <c r="Q65" i="51" s="1"/>
  <c r="B66" i="52"/>
  <c r="L65" i="52"/>
  <c r="C65" i="52"/>
  <c r="D65" i="52" s="1"/>
  <c r="N65" i="52" s="1"/>
  <c r="R64" i="50"/>
  <c r="S64" i="50"/>
  <c r="R65" i="50"/>
  <c r="N65" i="50"/>
  <c r="M65" i="50"/>
  <c r="S63" i="50"/>
  <c r="T63" i="50" s="1"/>
  <c r="L66" i="50"/>
  <c r="B67" i="50"/>
  <c r="C66" i="50"/>
  <c r="D66" i="50" s="1"/>
  <c r="N66" i="50" s="1"/>
  <c r="T62" i="44"/>
  <c r="R63" i="43"/>
  <c r="O64" i="45"/>
  <c r="O64" i="44"/>
  <c r="O64" i="43"/>
  <c r="R64" i="46"/>
  <c r="S62" i="43"/>
  <c r="T62" i="43" s="1"/>
  <c r="P64" i="46"/>
  <c r="S64" i="46" s="1"/>
  <c r="M64" i="45"/>
  <c r="O65" i="45" s="1"/>
  <c r="R65" i="45" s="1"/>
  <c r="M64" i="43"/>
  <c r="O65" i="43" s="1"/>
  <c r="R65" i="43" s="1"/>
  <c r="S62" i="46"/>
  <c r="T62" i="46" s="1"/>
  <c r="Q63" i="45"/>
  <c r="P63" i="45"/>
  <c r="P64" i="44"/>
  <c r="S64" i="44" s="1"/>
  <c r="P64" i="45"/>
  <c r="S64" i="45" s="1"/>
  <c r="P64" i="43"/>
  <c r="S64" i="43" s="1"/>
  <c r="S62" i="45"/>
  <c r="T62" i="45" s="1"/>
  <c r="P63" i="43"/>
  <c r="Q63" i="43"/>
  <c r="M64" i="46"/>
  <c r="O65" i="46" s="1"/>
  <c r="R65" i="46" s="1"/>
  <c r="M64" i="44"/>
  <c r="O65" i="44" s="1"/>
  <c r="R65" i="44" s="1"/>
  <c r="P63" i="44"/>
  <c r="Q63" i="44"/>
  <c r="C65" i="44"/>
  <c r="D65" i="44" s="1"/>
  <c r="B66" i="44"/>
  <c r="L65" i="44"/>
  <c r="C65" i="46"/>
  <c r="D65" i="46" s="1"/>
  <c r="L65" i="46"/>
  <c r="B66" i="46"/>
  <c r="L65" i="45"/>
  <c r="C65" i="45"/>
  <c r="D65" i="45" s="1"/>
  <c r="B66" i="45"/>
  <c r="B66" i="43"/>
  <c r="L65" i="43"/>
  <c r="C65" i="43"/>
  <c r="D65" i="43" s="1"/>
  <c r="BA80" i="29"/>
  <c r="M82" i="29"/>
  <c r="BM82" i="29"/>
  <c r="B77" i="26" s="1"/>
  <c r="BB79" i="29"/>
  <c r="AZ81" i="29"/>
  <c r="N82" i="29"/>
  <c r="AY82" i="29" s="1"/>
  <c r="AP82" i="29"/>
  <c r="AB81" i="29"/>
  <c r="O82" i="29"/>
  <c r="R81" i="29"/>
  <c r="AA81" i="29"/>
  <c r="Q81" i="29"/>
  <c r="P81" i="29"/>
  <c r="BV81" i="29" s="1"/>
  <c r="BW81" i="29" s="1"/>
  <c r="S80" i="29"/>
  <c r="T80" i="29" s="1"/>
  <c r="AC80" i="29"/>
  <c r="AD80" i="29" s="1"/>
  <c r="B83" i="29"/>
  <c r="D83" i="29" s="1"/>
  <c r="R62" i="17"/>
  <c r="O63" i="17"/>
  <c r="N63" i="17"/>
  <c r="M63" i="17"/>
  <c r="C64" i="17"/>
  <c r="D64" i="17" s="1"/>
  <c r="S61" i="17"/>
  <c r="T61" i="17" s="1"/>
  <c r="Q62" i="17"/>
  <c r="P62" i="17"/>
  <c r="L66" i="17"/>
  <c r="B67" i="17"/>
  <c r="T63" i="46" l="1"/>
  <c r="R64" i="44"/>
  <c r="T64" i="44" s="1"/>
  <c r="R65" i="52"/>
  <c r="S64" i="52"/>
  <c r="T64" i="52" s="1"/>
  <c r="P65" i="52"/>
  <c r="M65" i="52"/>
  <c r="O66" i="52" s="1"/>
  <c r="P65" i="51"/>
  <c r="S65" i="51" s="1"/>
  <c r="T65" i="51" s="1"/>
  <c r="Q65" i="52"/>
  <c r="M65" i="51"/>
  <c r="O66" i="51" s="1"/>
  <c r="R66" i="51" s="1"/>
  <c r="L66" i="51"/>
  <c r="B67" i="51"/>
  <c r="C66" i="51"/>
  <c r="D66" i="51" s="1"/>
  <c r="N66" i="51" s="1"/>
  <c r="B67" i="52"/>
  <c r="L66" i="52"/>
  <c r="C66" i="52"/>
  <c r="D66" i="52" s="1"/>
  <c r="N66" i="52" s="1"/>
  <c r="P66" i="50"/>
  <c r="T64" i="50"/>
  <c r="O66" i="50"/>
  <c r="Q66" i="50"/>
  <c r="M66" i="50"/>
  <c r="O67" i="50" s="1"/>
  <c r="P65" i="50"/>
  <c r="Q65" i="50"/>
  <c r="L67" i="50"/>
  <c r="C67" i="50"/>
  <c r="D67" i="50" s="1"/>
  <c r="B68" i="50"/>
  <c r="R64" i="45"/>
  <c r="T64" i="45" s="1"/>
  <c r="T64" i="46"/>
  <c r="R64" i="43"/>
  <c r="T64" i="43" s="1"/>
  <c r="S63" i="43"/>
  <c r="T63" i="43" s="1"/>
  <c r="S63" i="45"/>
  <c r="T63" i="45" s="1"/>
  <c r="N65" i="45"/>
  <c r="M65" i="45"/>
  <c r="N65" i="43"/>
  <c r="M65" i="43"/>
  <c r="N65" i="46"/>
  <c r="M65" i="46"/>
  <c r="N65" i="44"/>
  <c r="M65" i="44"/>
  <c r="S63" i="44"/>
  <c r="T63" i="44" s="1"/>
  <c r="L66" i="46"/>
  <c r="C66" i="46"/>
  <c r="D66" i="46" s="1"/>
  <c r="N66" i="46" s="1"/>
  <c r="Q66" i="46" s="1"/>
  <c r="B67" i="46"/>
  <c r="L66" i="44"/>
  <c r="B67" i="44"/>
  <c r="C66" i="44"/>
  <c r="D66" i="44" s="1"/>
  <c r="C66" i="43"/>
  <c r="D66" i="43" s="1"/>
  <c r="L66" i="43"/>
  <c r="B67" i="43"/>
  <c r="C66" i="45"/>
  <c r="D66" i="45" s="1"/>
  <c r="L66" i="45"/>
  <c r="B67" i="45"/>
  <c r="BA81" i="29"/>
  <c r="M83" i="29"/>
  <c r="BM83" i="29"/>
  <c r="B78" i="26" s="1"/>
  <c r="BB80" i="29"/>
  <c r="AZ82" i="29"/>
  <c r="N83" i="29"/>
  <c r="AY83" i="29" s="1"/>
  <c r="AP83" i="29"/>
  <c r="AB82" i="29"/>
  <c r="R82" i="29"/>
  <c r="O83" i="29"/>
  <c r="B84" i="29"/>
  <c r="D84" i="29" s="1"/>
  <c r="AA82" i="29"/>
  <c r="Q82" i="29"/>
  <c r="P82" i="29"/>
  <c r="BV82" i="29" s="1"/>
  <c r="BW82" i="29" s="1"/>
  <c r="AC81" i="29"/>
  <c r="AD81" i="29" s="1"/>
  <c r="S81" i="29"/>
  <c r="T81" i="29" s="1"/>
  <c r="R63" i="17"/>
  <c r="O64" i="17"/>
  <c r="S62" i="17"/>
  <c r="T62" i="17" s="1"/>
  <c r="Q63" i="17"/>
  <c r="P63" i="17"/>
  <c r="N64" i="17"/>
  <c r="M64" i="17"/>
  <c r="C65" i="17"/>
  <c r="D65" i="17" s="1"/>
  <c r="L67" i="17"/>
  <c r="B68" i="17"/>
  <c r="P66" i="52" l="1"/>
  <c r="P66" i="51"/>
  <c r="S65" i="52"/>
  <c r="T65" i="52" s="1"/>
  <c r="Q66" i="52"/>
  <c r="R66" i="52"/>
  <c r="M66" i="52"/>
  <c r="O67" i="52" s="1"/>
  <c r="Q66" i="51"/>
  <c r="M66" i="51"/>
  <c r="O67" i="51" s="1"/>
  <c r="B68" i="52"/>
  <c r="L67" i="52"/>
  <c r="C67" i="52"/>
  <c r="D67" i="52" s="1"/>
  <c r="N67" i="52" s="1"/>
  <c r="B68" i="51"/>
  <c r="L67" i="51"/>
  <c r="C67" i="51"/>
  <c r="D67" i="51" s="1"/>
  <c r="N67" i="51" s="1"/>
  <c r="Q67" i="51" s="1"/>
  <c r="S66" i="50"/>
  <c r="R66" i="50"/>
  <c r="S65" i="50"/>
  <c r="T65" i="50" s="1"/>
  <c r="N67" i="50"/>
  <c r="M67" i="50"/>
  <c r="R67" i="50"/>
  <c r="C68" i="50"/>
  <c r="D68" i="50" s="1"/>
  <c r="N68" i="50" s="1"/>
  <c r="L68" i="50"/>
  <c r="B69" i="50"/>
  <c r="O66" i="46"/>
  <c r="O66" i="44"/>
  <c r="O66" i="43"/>
  <c r="O66" i="45"/>
  <c r="N66" i="43"/>
  <c r="M66" i="43"/>
  <c r="N66" i="45"/>
  <c r="M66" i="45"/>
  <c r="N66" i="44"/>
  <c r="M66" i="44"/>
  <c r="P66" i="46"/>
  <c r="S66" i="46" s="1"/>
  <c r="Q65" i="44"/>
  <c r="P65" i="44"/>
  <c r="Q65" i="43"/>
  <c r="P65" i="43"/>
  <c r="M66" i="46"/>
  <c r="O67" i="46" s="1"/>
  <c r="R67" i="46" s="1"/>
  <c r="Q65" i="46"/>
  <c r="P65" i="46"/>
  <c r="Q65" i="45"/>
  <c r="P65" i="45"/>
  <c r="C67" i="46"/>
  <c r="D67" i="46" s="1"/>
  <c r="N67" i="46" s="1"/>
  <c r="B68" i="46"/>
  <c r="L67" i="46"/>
  <c r="L67" i="45"/>
  <c r="C67" i="45"/>
  <c r="D67" i="45" s="1"/>
  <c r="N67" i="45" s="1"/>
  <c r="Q67" i="45" s="1"/>
  <c r="B68" i="45"/>
  <c r="B68" i="43"/>
  <c r="L67" i="43"/>
  <c r="C67" i="43"/>
  <c r="D67" i="43" s="1"/>
  <c r="C67" i="44"/>
  <c r="D67" i="44" s="1"/>
  <c r="B68" i="44"/>
  <c r="L67" i="44"/>
  <c r="BA82" i="29"/>
  <c r="M84" i="29"/>
  <c r="BM84" i="29"/>
  <c r="B79" i="26" s="1"/>
  <c r="BB81" i="29"/>
  <c r="AZ83" i="29"/>
  <c r="N84" i="29"/>
  <c r="AY84" i="29" s="1"/>
  <c r="AP84" i="29"/>
  <c r="O84" i="29"/>
  <c r="R83" i="29"/>
  <c r="AB83" i="29"/>
  <c r="AC82" i="29"/>
  <c r="AD82" i="29" s="1"/>
  <c r="S82" i="29"/>
  <c r="T82" i="29" s="1"/>
  <c r="P83" i="29"/>
  <c r="BV83" i="29" s="1"/>
  <c r="BW83" i="29" s="1"/>
  <c r="Q83" i="29"/>
  <c r="AA83" i="29"/>
  <c r="B85" i="29"/>
  <c r="D85" i="29" s="1"/>
  <c r="R64" i="17"/>
  <c r="O65" i="17"/>
  <c r="P64" i="17"/>
  <c r="Q64" i="17"/>
  <c r="N65" i="17"/>
  <c r="M65" i="17"/>
  <c r="C66" i="17"/>
  <c r="D66" i="17" s="1"/>
  <c r="S63" i="17"/>
  <c r="T63" i="17" s="1"/>
  <c r="L68" i="17"/>
  <c r="B69" i="17"/>
  <c r="S66" i="52" l="1"/>
  <c r="T66" i="52" s="1"/>
  <c r="R67" i="52"/>
  <c r="P67" i="52"/>
  <c r="S66" i="51"/>
  <c r="T66" i="51" s="1"/>
  <c r="R67" i="51"/>
  <c r="P67" i="51"/>
  <c r="S67" i="51" s="1"/>
  <c r="Q67" i="52"/>
  <c r="M67" i="51"/>
  <c r="O68" i="51" s="1"/>
  <c r="R68" i="51" s="1"/>
  <c r="M67" i="52"/>
  <c r="O68" i="52" s="1"/>
  <c r="L68" i="51"/>
  <c r="B69" i="51"/>
  <c r="C68" i="51"/>
  <c r="D68" i="51" s="1"/>
  <c r="N68" i="51" s="1"/>
  <c r="Q68" i="51" s="1"/>
  <c r="L68" i="52"/>
  <c r="B69" i="52"/>
  <c r="C68" i="52"/>
  <c r="D68" i="52" s="1"/>
  <c r="N68" i="52" s="1"/>
  <c r="T66" i="50"/>
  <c r="P68" i="50"/>
  <c r="O68" i="50"/>
  <c r="Q68" i="50"/>
  <c r="M68" i="50"/>
  <c r="O69" i="50" s="1"/>
  <c r="Q67" i="50"/>
  <c r="P67" i="50"/>
  <c r="L69" i="50"/>
  <c r="B70" i="50"/>
  <c r="C69" i="50"/>
  <c r="D69" i="50" s="1"/>
  <c r="R66" i="46"/>
  <c r="T66" i="46" s="1"/>
  <c r="S65" i="43"/>
  <c r="T65" i="43" s="1"/>
  <c r="R66" i="44"/>
  <c r="P67" i="46"/>
  <c r="R66" i="45"/>
  <c r="R66" i="43"/>
  <c r="O67" i="44"/>
  <c r="O67" i="43"/>
  <c r="P67" i="45"/>
  <c r="S67" i="45" s="1"/>
  <c r="M67" i="45"/>
  <c r="O68" i="45" s="1"/>
  <c r="R68" i="45" s="1"/>
  <c r="Q67" i="46"/>
  <c r="S65" i="45"/>
  <c r="T65" i="45" s="1"/>
  <c r="N67" i="44"/>
  <c r="M67" i="44"/>
  <c r="N67" i="43"/>
  <c r="M67" i="43"/>
  <c r="S65" i="46"/>
  <c r="T65" i="46" s="1"/>
  <c r="S65" i="44"/>
  <c r="T65" i="44" s="1"/>
  <c r="Q66" i="44"/>
  <c r="P66" i="44"/>
  <c r="P66" i="43"/>
  <c r="Q66" i="43"/>
  <c r="P66" i="45"/>
  <c r="Q66" i="45"/>
  <c r="O67" i="45"/>
  <c r="M67" i="46"/>
  <c r="O68" i="46" s="1"/>
  <c r="L68" i="43"/>
  <c r="C68" i="43"/>
  <c r="D68" i="43" s="1"/>
  <c r="N68" i="43" s="1"/>
  <c r="Q68" i="43" s="1"/>
  <c r="B69" i="43"/>
  <c r="C68" i="45"/>
  <c r="D68" i="45" s="1"/>
  <c r="B69" i="45"/>
  <c r="L68" i="45"/>
  <c r="B69" i="44"/>
  <c r="L68" i="44"/>
  <c r="C68" i="44"/>
  <c r="D68" i="44" s="1"/>
  <c r="C68" i="46"/>
  <c r="D68" i="46" s="1"/>
  <c r="L68" i="46"/>
  <c r="B69" i="46"/>
  <c r="BA83" i="29"/>
  <c r="M85" i="29"/>
  <c r="BM85" i="29"/>
  <c r="B80" i="26" s="1"/>
  <c r="BB82" i="29"/>
  <c r="AZ84" i="29"/>
  <c r="N85" i="29"/>
  <c r="AY85" i="29" s="1"/>
  <c r="AP85" i="29"/>
  <c r="R84" i="29"/>
  <c r="AB84" i="29"/>
  <c r="O85" i="29"/>
  <c r="B86" i="29"/>
  <c r="D86" i="29" s="1"/>
  <c r="P84" i="29"/>
  <c r="BV84" i="29" s="1"/>
  <c r="BW84" i="29" s="1"/>
  <c r="Q84" i="29"/>
  <c r="AA84" i="29"/>
  <c r="S83" i="29"/>
  <c r="T83" i="29" s="1"/>
  <c r="AC83" i="29"/>
  <c r="AD83" i="29" s="1"/>
  <c r="R65" i="17"/>
  <c r="O66" i="17"/>
  <c r="Q65" i="17"/>
  <c r="P65" i="17"/>
  <c r="N66" i="17"/>
  <c r="M66" i="17"/>
  <c r="C67" i="17"/>
  <c r="D67" i="17" s="1"/>
  <c r="S64" i="17"/>
  <c r="T64" i="17" s="1"/>
  <c r="B70" i="17"/>
  <c r="L69" i="17"/>
  <c r="S67" i="52" l="1"/>
  <c r="T67" i="52" s="1"/>
  <c r="T67" i="51"/>
  <c r="P68" i="52"/>
  <c r="R68" i="52"/>
  <c r="Q68" i="52"/>
  <c r="P68" i="51"/>
  <c r="S68" i="51" s="1"/>
  <c r="T68" i="51" s="1"/>
  <c r="M68" i="51"/>
  <c r="O69" i="51" s="1"/>
  <c r="R69" i="51" s="1"/>
  <c r="M68" i="52"/>
  <c r="O69" i="52" s="1"/>
  <c r="B70" i="51"/>
  <c r="L69" i="51"/>
  <c r="C69" i="51"/>
  <c r="D69" i="51" s="1"/>
  <c r="N69" i="51" s="1"/>
  <c r="Q69" i="51" s="1"/>
  <c r="L69" i="52"/>
  <c r="B70" i="52"/>
  <c r="C69" i="52"/>
  <c r="D69" i="52" s="1"/>
  <c r="N69" i="52" s="1"/>
  <c r="Q69" i="52" s="1"/>
  <c r="S68" i="50"/>
  <c r="R68" i="50"/>
  <c r="R69" i="50"/>
  <c r="N69" i="50"/>
  <c r="M69" i="50"/>
  <c r="S67" i="50"/>
  <c r="T67" i="50" s="1"/>
  <c r="B71" i="50"/>
  <c r="L70" i="50"/>
  <c r="C70" i="50"/>
  <c r="D70" i="50" s="1"/>
  <c r="R67" i="43"/>
  <c r="S67" i="46"/>
  <c r="T67" i="46" s="1"/>
  <c r="R67" i="44"/>
  <c r="O68" i="43"/>
  <c r="N68" i="45"/>
  <c r="M68" i="45"/>
  <c r="O68" i="44"/>
  <c r="R68" i="46"/>
  <c r="S66" i="44"/>
  <c r="T66" i="44" s="1"/>
  <c r="S66" i="45"/>
  <c r="T66" i="45" s="1"/>
  <c r="N68" i="44"/>
  <c r="M68" i="44"/>
  <c r="N68" i="46"/>
  <c r="M68" i="46"/>
  <c r="P68" i="43"/>
  <c r="S68" i="43" s="1"/>
  <c r="R67" i="45"/>
  <c r="T67" i="45" s="1"/>
  <c r="P67" i="43"/>
  <c r="Q67" i="43"/>
  <c r="P67" i="44"/>
  <c r="Q67" i="44"/>
  <c r="M68" i="43"/>
  <c r="O69" i="43" s="1"/>
  <c r="R69" i="43" s="1"/>
  <c r="S66" i="43"/>
  <c r="T66" i="43" s="1"/>
  <c r="B70" i="44"/>
  <c r="C69" i="44"/>
  <c r="D69" i="44" s="1"/>
  <c r="L69" i="44"/>
  <c r="B70" i="46"/>
  <c r="L69" i="46"/>
  <c r="C69" i="46"/>
  <c r="D69" i="46" s="1"/>
  <c r="N69" i="46" s="1"/>
  <c r="C69" i="43"/>
  <c r="D69" i="43" s="1"/>
  <c r="B70" i="43"/>
  <c r="L69" i="43"/>
  <c r="B70" i="45"/>
  <c r="L69" i="45"/>
  <c r="C69" i="45"/>
  <c r="D69" i="45" s="1"/>
  <c r="BA84" i="29"/>
  <c r="M86" i="29"/>
  <c r="BM86" i="29"/>
  <c r="B81" i="26" s="1"/>
  <c r="BB83" i="29"/>
  <c r="AZ85" i="29"/>
  <c r="N86" i="29"/>
  <c r="AY86" i="29" s="1"/>
  <c r="AP86" i="29"/>
  <c r="AB85" i="29"/>
  <c r="O86" i="29"/>
  <c r="R85" i="29"/>
  <c r="AC84" i="29"/>
  <c r="AD84" i="29" s="1"/>
  <c r="S84" i="29"/>
  <c r="T84" i="29" s="1"/>
  <c r="B87" i="29"/>
  <c r="D87" i="29" s="1"/>
  <c r="AA85" i="29"/>
  <c r="Q85" i="29"/>
  <c r="P85" i="29"/>
  <c r="BV85" i="29" s="1"/>
  <c r="BW85" i="29" s="1"/>
  <c r="O67" i="17"/>
  <c r="R66" i="17"/>
  <c r="Q66" i="17"/>
  <c r="P66" i="17"/>
  <c r="N67" i="17"/>
  <c r="M67" i="17"/>
  <c r="C68" i="17"/>
  <c r="D68" i="17" s="1"/>
  <c r="S65" i="17"/>
  <c r="T65" i="17" s="1"/>
  <c r="L70" i="17"/>
  <c r="B71" i="17"/>
  <c r="S68" i="52" l="1"/>
  <c r="T68" i="52" s="1"/>
  <c r="R69" i="52"/>
  <c r="P69" i="52"/>
  <c r="S69" i="52" s="1"/>
  <c r="P69" i="51"/>
  <c r="S69" i="51" s="1"/>
  <c r="T69" i="51" s="1"/>
  <c r="M69" i="51"/>
  <c r="O70" i="51" s="1"/>
  <c r="R70" i="51" s="1"/>
  <c r="M69" i="52"/>
  <c r="O70" i="52" s="1"/>
  <c r="R70" i="52" s="1"/>
  <c r="B71" i="52"/>
  <c r="L70" i="52"/>
  <c r="C70" i="52"/>
  <c r="D70" i="52" s="1"/>
  <c r="N70" i="52" s="1"/>
  <c r="Q70" i="52" s="1"/>
  <c r="B71" i="51"/>
  <c r="L70" i="51"/>
  <c r="C70" i="51"/>
  <c r="D70" i="51" s="1"/>
  <c r="N70" i="51" s="1"/>
  <c r="Q70" i="51" s="1"/>
  <c r="T68" i="50"/>
  <c r="O70" i="50"/>
  <c r="N70" i="50"/>
  <c r="M70" i="50"/>
  <c r="P69" i="50"/>
  <c r="Q69" i="50"/>
  <c r="L71" i="50"/>
  <c r="C71" i="50"/>
  <c r="D71" i="50" s="1"/>
  <c r="B72" i="50"/>
  <c r="O69" i="46"/>
  <c r="O69" i="45"/>
  <c r="R68" i="43"/>
  <c r="T68" i="43" s="1"/>
  <c r="P69" i="46"/>
  <c r="Q69" i="46"/>
  <c r="N69" i="43"/>
  <c r="M69" i="43"/>
  <c r="N69" i="44"/>
  <c r="M69" i="44"/>
  <c r="M69" i="46"/>
  <c r="O70" i="46" s="1"/>
  <c r="R68" i="44"/>
  <c r="Q68" i="45"/>
  <c r="P68" i="45"/>
  <c r="S67" i="43"/>
  <c r="T67" i="43" s="1"/>
  <c r="N69" i="45"/>
  <c r="M69" i="45"/>
  <c r="Q68" i="44"/>
  <c r="P68" i="44"/>
  <c r="S67" i="44"/>
  <c r="T67" i="44" s="1"/>
  <c r="P68" i="46"/>
  <c r="Q68" i="46"/>
  <c r="O69" i="44"/>
  <c r="B71" i="46"/>
  <c r="L70" i="46"/>
  <c r="C70" i="46"/>
  <c r="D70" i="46" s="1"/>
  <c r="N70" i="46" s="1"/>
  <c r="Q70" i="46" s="1"/>
  <c r="B71" i="44"/>
  <c r="L70" i="44"/>
  <c r="C70" i="44"/>
  <c r="D70" i="44" s="1"/>
  <c r="N70" i="44" s="1"/>
  <c r="Q70" i="44" s="1"/>
  <c r="C70" i="45"/>
  <c r="D70" i="45" s="1"/>
  <c r="B71" i="45"/>
  <c r="L70" i="45"/>
  <c r="L70" i="43"/>
  <c r="C70" i="43"/>
  <c r="D70" i="43" s="1"/>
  <c r="B71" i="43"/>
  <c r="BA85" i="29"/>
  <c r="M87" i="29"/>
  <c r="BM87" i="29"/>
  <c r="B82" i="26" s="1"/>
  <c r="BB84" i="29"/>
  <c r="AZ86" i="29"/>
  <c r="R86" i="29"/>
  <c r="N87" i="29"/>
  <c r="AY87" i="29" s="1"/>
  <c r="AP87" i="29"/>
  <c r="AB86" i="29"/>
  <c r="O87" i="29"/>
  <c r="AC85" i="29"/>
  <c r="AD85" i="29" s="1"/>
  <c r="S85" i="29"/>
  <c r="T85" i="29" s="1"/>
  <c r="AA86" i="29"/>
  <c r="P86" i="29"/>
  <c r="BV86" i="29" s="1"/>
  <c r="BW86" i="29" s="1"/>
  <c r="Q86" i="29"/>
  <c r="B88" i="29"/>
  <c r="D88" i="29" s="1"/>
  <c r="R67" i="17"/>
  <c r="O68" i="17"/>
  <c r="Q67" i="17"/>
  <c r="P67" i="17"/>
  <c r="N68" i="17"/>
  <c r="M68" i="17"/>
  <c r="C69" i="17"/>
  <c r="D69" i="17" s="1"/>
  <c r="S66" i="17"/>
  <c r="T66" i="17" s="1"/>
  <c r="L71" i="17"/>
  <c r="B72" i="17"/>
  <c r="T69" i="52" l="1"/>
  <c r="P70" i="52"/>
  <c r="S70" i="52" s="1"/>
  <c r="T70" i="52" s="1"/>
  <c r="P70" i="51"/>
  <c r="S70" i="51" s="1"/>
  <c r="T70" i="51" s="1"/>
  <c r="M70" i="51"/>
  <c r="O71" i="51" s="1"/>
  <c r="R71" i="51" s="1"/>
  <c r="M70" i="52"/>
  <c r="O71" i="52" s="1"/>
  <c r="R71" i="52" s="1"/>
  <c r="L71" i="51"/>
  <c r="B72" i="51"/>
  <c r="C71" i="51"/>
  <c r="D71" i="51" s="1"/>
  <c r="N71" i="51" s="1"/>
  <c r="Q71" i="51" s="1"/>
  <c r="L71" i="52"/>
  <c r="B72" i="52"/>
  <c r="C71" i="52"/>
  <c r="D71" i="52" s="1"/>
  <c r="N71" i="52" s="1"/>
  <c r="Q71" i="52" s="1"/>
  <c r="R70" i="50"/>
  <c r="O71" i="50"/>
  <c r="S69" i="50"/>
  <c r="T69" i="50" s="1"/>
  <c r="N71" i="50"/>
  <c r="M71" i="50"/>
  <c r="Q70" i="50"/>
  <c r="P70" i="50"/>
  <c r="C72" i="50"/>
  <c r="D72" i="50" s="1"/>
  <c r="B73" i="50"/>
  <c r="L72" i="50"/>
  <c r="R69" i="45"/>
  <c r="R69" i="46"/>
  <c r="S69" i="46"/>
  <c r="O70" i="43"/>
  <c r="R70" i="46"/>
  <c r="O70" i="44"/>
  <c r="S68" i="45"/>
  <c r="T68" i="45" s="1"/>
  <c r="Q69" i="43"/>
  <c r="P69" i="43"/>
  <c r="O70" i="45"/>
  <c r="P69" i="44"/>
  <c r="Q69" i="44"/>
  <c r="R69" i="44"/>
  <c r="S68" i="46"/>
  <c r="T68" i="46" s="1"/>
  <c r="S68" i="44"/>
  <c r="T68" i="44" s="1"/>
  <c r="N70" i="43"/>
  <c r="M70" i="43"/>
  <c r="N70" i="45"/>
  <c r="M70" i="45"/>
  <c r="P70" i="46"/>
  <c r="S70" i="46" s="1"/>
  <c r="P70" i="44"/>
  <c r="S70" i="44" s="1"/>
  <c r="M70" i="46"/>
  <c r="O71" i="46" s="1"/>
  <c r="R71" i="46" s="1"/>
  <c r="Q69" i="45"/>
  <c r="P69" i="45"/>
  <c r="M70" i="44"/>
  <c r="O71" i="44" s="1"/>
  <c r="R71" i="44" s="1"/>
  <c r="C71" i="44"/>
  <c r="D71" i="44" s="1"/>
  <c r="N71" i="44" s="1"/>
  <c r="L71" i="44"/>
  <c r="B72" i="44"/>
  <c r="C71" i="46"/>
  <c r="D71" i="46" s="1"/>
  <c r="N71" i="46" s="1"/>
  <c r="B72" i="46"/>
  <c r="L71" i="46"/>
  <c r="B72" i="45"/>
  <c r="C71" i="45"/>
  <c r="D71" i="45" s="1"/>
  <c r="N71" i="45" s="1"/>
  <c r="Q71" i="45" s="1"/>
  <c r="L71" i="45"/>
  <c r="L71" i="43"/>
  <c r="C71" i="43"/>
  <c r="D71" i="43" s="1"/>
  <c r="B72" i="43"/>
  <c r="BA86" i="29"/>
  <c r="M88" i="29"/>
  <c r="BM88" i="29"/>
  <c r="B83" i="26" s="1"/>
  <c r="BB85" i="29"/>
  <c r="AZ87" i="29"/>
  <c r="N88" i="29"/>
  <c r="AY88" i="29" s="1"/>
  <c r="AP88" i="29"/>
  <c r="R87" i="29"/>
  <c r="AB87" i="29"/>
  <c r="O88" i="29"/>
  <c r="AC86" i="29"/>
  <c r="AD86" i="29" s="1"/>
  <c r="S86" i="29"/>
  <c r="T86" i="29" s="1"/>
  <c r="B89" i="29"/>
  <c r="D89" i="29" s="1"/>
  <c r="Q87" i="29"/>
  <c r="AA87" i="29"/>
  <c r="P87" i="29"/>
  <c r="BV87" i="29" s="1"/>
  <c r="BW87" i="29" s="1"/>
  <c r="O69" i="17"/>
  <c r="Q68" i="17"/>
  <c r="P68" i="17"/>
  <c r="N69" i="17"/>
  <c r="M69" i="17"/>
  <c r="C70" i="17"/>
  <c r="D70" i="17" s="1"/>
  <c r="R68" i="17"/>
  <c r="S67" i="17"/>
  <c r="T67" i="17" s="1"/>
  <c r="L72" i="17"/>
  <c r="B73" i="17"/>
  <c r="P71" i="52" l="1"/>
  <c r="S71" i="52" s="1"/>
  <c r="T71" i="52" s="1"/>
  <c r="P71" i="51"/>
  <c r="S71" i="51" s="1"/>
  <c r="T71" i="51" s="1"/>
  <c r="M71" i="52"/>
  <c r="O72" i="52" s="1"/>
  <c r="R72" i="52" s="1"/>
  <c r="M71" i="51"/>
  <c r="O72" i="51" s="1"/>
  <c r="R72" i="51" s="1"/>
  <c r="L72" i="52"/>
  <c r="B73" i="52"/>
  <c r="C72" i="52"/>
  <c r="D72" i="52" s="1"/>
  <c r="N72" i="52" s="1"/>
  <c r="L72" i="51"/>
  <c r="B73" i="51"/>
  <c r="C72" i="51"/>
  <c r="D72" i="51" s="1"/>
  <c r="N72" i="51" s="1"/>
  <c r="Q72" i="51" s="1"/>
  <c r="R71" i="50"/>
  <c r="O72" i="50"/>
  <c r="S70" i="50"/>
  <c r="T70" i="50" s="1"/>
  <c r="N72" i="50"/>
  <c r="M72" i="50"/>
  <c r="P71" i="50"/>
  <c r="Q71" i="50"/>
  <c r="L73" i="50"/>
  <c r="B74" i="50"/>
  <c r="C73" i="50"/>
  <c r="D73" i="50" s="1"/>
  <c r="T69" i="46"/>
  <c r="T70" i="46"/>
  <c r="R70" i="43"/>
  <c r="R70" i="44"/>
  <c r="T70" i="44" s="1"/>
  <c r="S69" i="43"/>
  <c r="T69" i="43" s="1"/>
  <c r="P71" i="46"/>
  <c r="O71" i="45"/>
  <c r="O71" i="43"/>
  <c r="P71" i="44"/>
  <c r="R70" i="45"/>
  <c r="Q71" i="46"/>
  <c r="S69" i="44"/>
  <c r="T69" i="44" s="1"/>
  <c r="S69" i="45"/>
  <c r="T69" i="45" s="1"/>
  <c r="N71" i="43"/>
  <c r="M71" i="43"/>
  <c r="P71" i="45"/>
  <c r="S71" i="45" s="1"/>
  <c r="M71" i="44"/>
  <c r="O72" i="44" s="1"/>
  <c r="Q71" i="44"/>
  <c r="M71" i="46"/>
  <c r="O72" i="46" s="1"/>
  <c r="Q70" i="43"/>
  <c r="P70" i="43"/>
  <c r="M71" i="45"/>
  <c r="O72" i="45" s="1"/>
  <c r="R72" i="45" s="1"/>
  <c r="P70" i="45"/>
  <c r="Q70" i="45"/>
  <c r="C72" i="43"/>
  <c r="D72" i="43" s="1"/>
  <c r="B73" i="43"/>
  <c r="L72" i="43"/>
  <c r="B73" i="45"/>
  <c r="C72" i="45"/>
  <c r="D72" i="45" s="1"/>
  <c r="N72" i="45" s="1"/>
  <c r="L72" i="45"/>
  <c r="C72" i="44"/>
  <c r="D72" i="44" s="1"/>
  <c r="B73" i="44"/>
  <c r="L72" i="44"/>
  <c r="B73" i="46"/>
  <c r="L72" i="46"/>
  <c r="C72" i="46"/>
  <c r="D72" i="46" s="1"/>
  <c r="N72" i="46" s="1"/>
  <c r="Q72" i="46" s="1"/>
  <c r="BA87" i="29"/>
  <c r="M89" i="29"/>
  <c r="BM89" i="29"/>
  <c r="B84" i="26" s="1"/>
  <c r="BB86" i="29"/>
  <c r="AZ88" i="29"/>
  <c r="N89" i="29"/>
  <c r="AY89" i="29" s="1"/>
  <c r="AP89" i="29"/>
  <c r="O89" i="29"/>
  <c r="AB88" i="29"/>
  <c r="R88" i="29"/>
  <c r="AC87" i="29"/>
  <c r="AD87" i="29" s="1"/>
  <c r="S87" i="29"/>
  <c r="T87" i="29" s="1"/>
  <c r="B90" i="29"/>
  <c r="D90" i="29" s="1"/>
  <c r="AA88" i="29"/>
  <c r="P88" i="29"/>
  <c r="BV88" i="29" s="1"/>
  <c r="BW88" i="29" s="1"/>
  <c r="Q88" i="29"/>
  <c r="R69" i="17"/>
  <c r="O70" i="17"/>
  <c r="S68" i="17"/>
  <c r="T68" i="17" s="1"/>
  <c r="P69" i="17"/>
  <c r="Q69" i="17"/>
  <c r="N70" i="17"/>
  <c r="M70" i="17"/>
  <c r="C71" i="17"/>
  <c r="D71" i="17" s="1"/>
  <c r="B74" i="17"/>
  <c r="L73" i="17"/>
  <c r="P72" i="51" l="1"/>
  <c r="S72" i="51" s="1"/>
  <c r="T72" i="51" s="1"/>
  <c r="M72" i="51"/>
  <c r="O73" i="51" s="1"/>
  <c r="R73" i="51" s="1"/>
  <c r="P72" i="52"/>
  <c r="Q72" i="52"/>
  <c r="M72" i="52"/>
  <c r="O73" i="52" s="1"/>
  <c r="L73" i="52"/>
  <c r="B74" i="52"/>
  <c r="C73" i="52"/>
  <c r="D73" i="52" s="1"/>
  <c r="N73" i="52" s="1"/>
  <c r="Q73" i="52" s="1"/>
  <c r="L73" i="51"/>
  <c r="B74" i="51"/>
  <c r="C73" i="51"/>
  <c r="D73" i="51" s="1"/>
  <c r="N73" i="51" s="1"/>
  <c r="Q73" i="51" s="1"/>
  <c r="O73" i="50"/>
  <c r="R72" i="50"/>
  <c r="N73" i="50"/>
  <c r="M73" i="50"/>
  <c r="S71" i="50"/>
  <c r="T71" i="50" s="1"/>
  <c r="Q72" i="50"/>
  <c r="P72" i="50"/>
  <c r="B75" i="50"/>
  <c r="C74" i="50"/>
  <c r="D74" i="50" s="1"/>
  <c r="N74" i="50" s="1"/>
  <c r="Q74" i="50" s="1"/>
  <c r="L74" i="50"/>
  <c r="R71" i="45"/>
  <c r="T71" i="45" s="1"/>
  <c r="S71" i="46"/>
  <c r="T71" i="46" s="1"/>
  <c r="P72" i="45"/>
  <c r="R72" i="44"/>
  <c r="S71" i="44"/>
  <c r="T71" i="44" s="1"/>
  <c r="R71" i="43"/>
  <c r="R72" i="46"/>
  <c r="O72" i="43"/>
  <c r="N72" i="43"/>
  <c r="M72" i="43"/>
  <c r="Q72" i="45"/>
  <c r="S70" i="43"/>
  <c r="T70" i="43" s="1"/>
  <c r="S70" i="45"/>
  <c r="T70" i="45" s="1"/>
  <c r="N72" i="44"/>
  <c r="M72" i="44"/>
  <c r="P72" i="46"/>
  <c r="S72" i="46" s="1"/>
  <c r="M72" i="46"/>
  <c r="O73" i="46" s="1"/>
  <c r="R73" i="46" s="1"/>
  <c r="M72" i="45"/>
  <c r="O73" i="45" s="1"/>
  <c r="P71" i="43"/>
  <c r="Q71" i="43"/>
  <c r="C73" i="43"/>
  <c r="D73" i="43" s="1"/>
  <c r="N73" i="43" s="1"/>
  <c r="B74" i="43"/>
  <c r="L73" i="43"/>
  <c r="L73" i="46"/>
  <c r="C73" i="46"/>
  <c r="D73" i="46" s="1"/>
  <c r="B74" i="46"/>
  <c r="B74" i="44"/>
  <c r="L73" i="44"/>
  <c r="C73" i="44"/>
  <c r="D73" i="44" s="1"/>
  <c r="N73" i="44" s="1"/>
  <c r="C73" i="45"/>
  <c r="D73" i="45" s="1"/>
  <c r="L73" i="45"/>
  <c r="B74" i="45"/>
  <c r="BA88" i="29"/>
  <c r="M90" i="29"/>
  <c r="BM90" i="29"/>
  <c r="B85" i="26" s="1"/>
  <c r="BB87" i="29"/>
  <c r="AZ89" i="29"/>
  <c r="N90" i="29"/>
  <c r="AY90" i="29" s="1"/>
  <c r="AP90" i="29"/>
  <c r="AB89" i="29"/>
  <c r="R89" i="29"/>
  <c r="O90" i="29"/>
  <c r="B91" i="29"/>
  <c r="D91" i="29" s="1"/>
  <c r="AC88" i="29"/>
  <c r="AD88" i="29" s="1"/>
  <c r="S88" i="29"/>
  <c r="T88" i="29" s="1"/>
  <c r="AA89" i="29"/>
  <c r="Q89" i="29"/>
  <c r="P89" i="29"/>
  <c r="BV89" i="29" s="1"/>
  <c r="BW89" i="29" s="1"/>
  <c r="R70" i="17"/>
  <c r="O71" i="17"/>
  <c r="N71" i="17"/>
  <c r="M71" i="17"/>
  <c r="C72" i="17"/>
  <c r="D72" i="17" s="1"/>
  <c r="S69" i="17"/>
  <c r="T69" i="17" s="1"/>
  <c r="Q70" i="17"/>
  <c r="P70" i="17"/>
  <c r="L74" i="17"/>
  <c r="B75" i="17"/>
  <c r="R72" i="43" l="1"/>
  <c r="P73" i="51"/>
  <c r="S73" i="51" s="1"/>
  <c r="T73" i="51" s="1"/>
  <c r="R73" i="52"/>
  <c r="S72" i="52"/>
  <c r="T72" i="52" s="1"/>
  <c r="P73" i="52"/>
  <c r="S73" i="52" s="1"/>
  <c r="M73" i="51"/>
  <c r="O74" i="51" s="1"/>
  <c r="R74" i="51" s="1"/>
  <c r="M73" i="52"/>
  <c r="O74" i="52" s="1"/>
  <c r="R74" i="52" s="1"/>
  <c r="B75" i="52"/>
  <c r="L74" i="52"/>
  <c r="C74" i="52"/>
  <c r="D74" i="52" s="1"/>
  <c r="N74" i="52" s="1"/>
  <c r="Q74" i="52" s="1"/>
  <c r="L74" i="51"/>
  <c r="B75" i="51"/>
  <c r="C74" i="51"/>
  <c r="D74" i="51" s="1"/>
  <c r="N74" i="51" s="1"/>
  <c r="R73" i="50"/>
  <c r="O74" i="50"/>
  <c r="S72" i="50"/>
  <c r="T72" i="50" s="1"/>
  <c r="M74" i="50"/>
  <c r="O75" i="50" s="1"/>
  <c r="R75" i="50" s="1"/>
  <c r="P74" i="50"/>
  <c r="S74" i="50" s="1"/>
  <c r="Q73" i="50"/>
  <c r="P73" i="50"/>
  <c r="L75" i="50"/>
  <c r="C75" i="50"/>
  <c r="D75" i="50" s="1"/>
  <c r="B76" i="50"/>
  <c r="S72" i="45"/>
  <c r="T72" i="45" s="1"/>
  <c r="P73" i="44"/>
  <c r="T72" i="46"/>
  <c r="O73" i="43"/>
  <c r="O73" i="44"/>
  <c r="P73" i="43"/>
  <c r="M73" i="44"/>
  <c r="O74" i="44" s="1"/>
  <c r="Q73" i="44"/>
  <c r="R73" i="45"/>
  <c r="P72" i="43"/>
  <c r="Q72" i="43"/>
  <c r="N73" i="45"/>
  <c r="M73" i="45"/>
  <c r="N73" i="46"/>
  <c r="M73" i="46"/>
  <c r="M73" i="43"/>
  <c r="O74" i="43" s="1"/>
  <c r="Q73" i="43"/>
  <c r="S71" i="43"/>
  <c r="T71" i="43" s="1"/>
  <c r="Q72" i="44"/>
  <c r="P72" i="44"/>
  <c r="L74" i="44"/>
  <c r="C74" i="44"/>
  <c r="D74" i="44" s="1"/>
  <c r="B75" i="44"/>
  <c r="B75" i="43"/>
  <c r="L74" i="43"/>
  <c r="C74" i="43"/>
  <c r="D74" i="43" s="1"/>
  <c r="C74" i="46"/>
  <c r="D74" i="46" s="1"/>
  <c r="B75" i="46"/>
  <c r="L74" i="46"/>
  <c r="L74" i="45"/>
  <c r="C74" i="45"/>
  <c r="D74" i="45" s="1"/>
  <c r="B75" i="45"/>
  <c r="BA89" i="29"/>
  <c r="M91" i="29"/>
  <c r="BM91" i="29"/>
  <c r="B86" i="26" s="1"/>
  <c r="BB88" i="29"/>
  <c r="AZ90" i="29"/>
  <c r="N91" i="29"/>
  <c r="AY91" i="29" s="1"/>
  <c r="AP91" i="29"/>
  <c r="AB90" i="29"/>
  <c r="R90" i="29"/>
  <c r="AC89" i="29"/>
  <c r="AD89" i="29" s="1"/>
  <c r="S89" i="29"/>
  <c r="T89" i="29" s="1"/>
  <c r="O91" i="29"/>
  <c r="P90" i="29"/>
  <c r="BV90" i="29" s="1"/>
  <c r="BW90" i="29" s="1"/>
  <c r="Q90" i="29"/>
  <c r="AA90" i="29"/>
  <c r="B92" i="29"/>
  <c r="D92" i="29" s="1"/>
  <c r="R71" i="17"/>
  <c r="O72" i="17"/>
  <c r="S70" i="17"/>
  <c r="T70" i="17" s="1"/>
  <c r="P71" i="17"/>
  <c r="Q71" i="17"/>
  <c r="N72" i="17"/>
  <c r="M72" i="17"/>
  <c r="C73" i="17"/>
  <c r="D73" i="17" s="1"/>
  <c r="L75" i="17"/>
  <c r="B76" i="17"/>
  <c r="P74" i="51" l="1"/>
  <c r="T73" i="52"/>
  <c r="Q74" i="51"/>
  <c r="P74" i="52"/>
  <c r="S74" i="52" s="1"/>
  <c r="T74" i="52" s="1"/>
  <c r="M74" i="51"/>
  <c r="O75" i="51" s="1"/>
  <c r="M74" i="52"/>
  <c r="O75" i="52" s="1"/>
  <c r="R75" i="52" s="1"/>
  <c r="B76" i="51"/>
  <c r="L75" i="51"/>
  <c r="C75" i="51"/>
  <c r="D75" i="51" s="1"/>
  <c r="N75" i="51" s="1"/>
  <c r="Q75" i="51" s="1"/>
  <c r="B76" i="52"/>
  <c r="L75" i="52"/>
  <c r="C75" i="52"/>
  <c r="D75" i="52" s="1"/>
  <c r="N75" i="52" s="1"/>
  <c r="R74" i="50"/>
  <c r="T74" i="50" s="1"/>
  <c r="N75" i="50"/>
  <c r="M75" i="50"/>
  <c r="S73" i="50"/>
  <c r="T73" i="50" s="1"/>
  <c r="L76" i="50"/>
  <c r="C76" i="50"/>
  <c r="D76" i="50" s="1"/>
  <c r="B77" i="50"/>
  <c r="O74" i="45"/>
  <c r="R73" i="43"/>
  <c r="S73" i="44"/>
  <c r="R73" i="44"/>
  <c r="O74" i="46"/>
  <c r="R74" i="44"/>
  <c r="S73" i="43"/>
  <c r="N74" i="46"/>
  <c r="M74" i="46"/>
  <c r="S72" i="43"/>
  <c r="T72" i="43" s="1"/>
  <c r="S72" i="44"/>
  <c r="T72" i="44" s="1"/>
  <c r="N74" i="45"/>
  <c r="M74" i="45"/>
  <c r="N74" i="44"/>
  <c r="M74" i="44"/>
  <c r="N74" i="43"/>
  <c r="M74" i="43"/>
  <c r="P73" i="46"/>
  <c r="Q73" i="46"/>
  <c r="R74" i="43"/>
  <c r="Q73" i="45"/>
  <c r="P73" i="45"/>
  <c r="C75" i="44"/>
  <c r="D75" i="44" s="1"/>
  <c r="N75" i="44" s="1"/>
  <c r="Q75" i="44" s="1"/>
  <c r="B76" i="44"/>
  <c r="L75" i="44"/>
  <c r="B76" i="43"/>
  <c r="L75" i="43"/>
  <c r="C75" i="43"/>
  <c r="D75" i="43" s="1"/>
  <c r="N75" i="43" s="1"/>
  <c r="Q75" i="43" s="1"/>
  <c r="B76" i="45"/>
  <c r="L75" i="45"/>
  <c r="C75" i="45"/>
  <c r="D75" i="45" s="1"/>
  <c r="B76" i="46"/>
  <c r="L75" i="46"/>
  <c r="C75" i="46"/>
  <c r="D75" i="46" s="1"/>
  <c r="BA90" i="29"/>
  <c r="M92" i="29"/>
  <c r="BM92" i="29"/>
  <c r="B87" i="26" s="1"/>
  <c r="BB89" i="29"/>
  <c r="AZ91" i="29"/>
  <c r="N92" i="29"/>
  <c r="AY92" i="29" s="1"/>
  <c r="AP92" i="29"/>
  <c r="O92" i="29"/>
  <c r="B93" i="29"/>
  <c r="D93" i="29" s="1"/>
  <c r="S90" i="29"/>
  <c r="T90" i="29" s="1"/>
  <c r="AC90" i="29"/>
  <c r="AD90" i="29" s="1"/>
  <c r="AB91" i="29"/>
  <c r="R91" i="29"/>
  <c r="AA91" i="29"/>
  <c r="P91" i="29"/>
  <c r="Q91" i="29"/>
  <c r="R72" i="17"/>
  <c r="O73" i="17"/>
  <c r="Q72" i="17"/>
  <c r="P72" i="17"/>
  <c r="N73" i="17"/>
  <c r="M73" i="17"/>
  <c r="C74" i="17"/>
  <c r="D74" i="17" s="1"/>
  <c r="S71" i="17"/>
  <c r="T71" i="17" s="1"/>
  <c r="L76" i="17"/>
  <c r="B77" i="17"/>
  <c r="R74" i="45" l="1"/>
  <c r="S74" i="51"/>
  <c r="T74" i="51" s="1"/>
  <c r="R75" i="51"/>
  <c r="P75" i="51"/>
  <c r="S75" i="51" s="1"/>
  <c r="P75" i="52"/>
  <c r="Q75" i="52"/>
  <c r="M75" i="52"/>
  <c r="O76" i="52" s="1"/>
  <c r="M75" i="51"/>
  <c r="O76" i="51" s="1"/>
  <c r="R76" i="51" s="1"/>
  <c r="B77" i="51"/>
  <c r="L76" i="51"/>
  <c r="C76" i="51"/>
  <c r="D76" i="51" s="1"/>
  <c r="N76" i="51" s="1"/>
  <c r="B77" i="52"/>
  <c r="L76" i="52"/>
  <c r="C76" i="52"/>
  <c r="D76" i="52" s="1"/>
  <c r="N76" i="52" s="1"/>
  <c r="O76" i="50"/>
  <c r="N76" i="50"/>
  <c r="M76" i="50"/>
  <c r="P75" i="50"/>
  <c r="Q75" i="50"/>
  <c r="L77" i="50"/>
  <c r="C77" i="50"/>
  <c r="D77" i="50" s="1"/>
  <c r="N77" i="50" s="1"/>
  <c r="Q77" i="50" s="1"/>
  <c r="B78" i="50"/>
  <c r="T73" i="43"/>
  <c r="R74" i="46"/>
  <c r="T73" i="44"/>
  <c r="O75" i="43"/>
  <c r="O75" i="45"/>
  <c r="O75" i="44"/>
  <c r="N75" i="46"/>
  <c r="M75" i="46"/>
  <c r="N75" i="45"/>
  <c r="M75" i="45"/>
  <c r="P74" i="46"/>
  <c r="Q74" i="46"/>
  <c r="M75" i="43"/>
  <c r="O76" i="43" s="1"/>
  <c r="R76" i="43" s="1"/>
  <c r="O75" i="46"/>
  <c r="P75" i="43"/>
  <c r="S75" i="43" s="1"/>
  <c r="P75" i="44"/>
  <c r="S75" i="44" s="1"/>
  <c r="M75" i="44"/>
  <c r="O76" i="44" s="1"/>
  <c r="R76" i="44" s="1"/>
  <c r="P74" i="44"/>
  <c r="Q74" i="44"/>
  <c r="S73" i="45"/>
  <c r="T73" i="45" s="1"/>
  <c r="S73" i="46"/>
  <c r="T73" i="46" s="1"/>
  <c r="P74" i="43"/>
  <c r="Q74" i="43"/>
  <c r="Q74" i="45"/>
  <c r="P74" i="45"/>
  <c r="C76" i="44"/>
  <c r="D76" i="44" s="1"/>
  <c r="B77" i="44"/>
  <c r="L76" i="44"/>
  <c r="B77" i="46"/>
  <c r="L76" i="46"/>
  <c r="C76" i="46"/>
  <c r="D76" i="46" s="1"/>
  <c r="L76" i="45"/>
  <c r="B77" i="45"/>
  <c r="C76" i="45"/>
  <c r="D76" i="45" s="1"/>
  <c r="B77" i="43"/>
  <c r="C76" i="43"/>
  <c r="D76" i="43" s="1"/>
  <c r="N76" i="43" s="1"/>
  <c r="Q76" i="43" s="1"/>
  <c r="L76" i="43"/>
  <c r="BA91" i="29"/>
  <c r="BV91" i="29"/>
  <c r="BW91" i="29" s="1"/>
  <c r="M93" i="29"/>
  <c r="BM93" i="29"/>
  <c r="B88" i="26" s="1"/>
  <c r="BB90" i="29"/>
  <c r="AZ92" i="29"/>
  <c r="N93" i="29"/>
  <c r="AY93" i="29" s="1"/>
  <c r="AP93" i="29"/>
  <c r="AB92" i="29"/>
  <c r="R92" i="29"/>
  <c r="AC91" i="29"/>
  <c r="AD91" i="29" s="1"/>
  <c r="S91" i="29"/>
  <c r="T91" i="29" s="1"/>
  <c r="B94" i="29"/>
  <c r="D94" i="29" s="1"/>
  <c r="P92" i="29"/>
  <c r="Q92" i="29"/>
  <c r="AA92" i="29"/>
  <c r="O93" i="29"/>
  <c r="O74" i="17"/>
  <c r="N74" i="17"/>
  <c r="M74" i="17"/>
  <c r="C75" i="17"/>
  <c r="D75" i="17" s="1"/>
  <c r="S72" i="17"/>
  <c r="T72" i="17" s="1"/>
  <c r="R73" i="17"/>
  <c r="Q73" i="17"/>
  <c r="P73" i="17"/>
  <c r="B78" i="17"/>
  <c r="L77" i="17"/>
  <c r="P76" i="51" l="1"/>
  <c r="T75" i="51"/>
  <c r="S75" i="52"/>
  <c r="T75" i="52" s="1"/>
  <c r="P76" i="52"/>
  <c r="R76" i="52"/>
  <c r="Q76" i="52"/>
  <c r="M76" i="52"/>
  <c r="O77" i="52" s="1"/>
  <c r="M76" i="51"/>
  <c r="O77" i="51" s="1"/>
  <c r="Q76" i="51"/>
  <c r="B78" i="51"/>
  <c r="L77" i="51"/>
  <c r="C77" i="51"/>
  <c r="D77" i="51" s="1"/>
  <c r="N77" i="51" s="1"/>
  <c r="Q77" i="51" s="1"/>
  <c r="B78" i="52"/>
  <c r="L77" i="52"/>
  <c r="C77" i="52"/>
  <c r="D77" i="52" s="1"/>
  <c r="N77" i="52" s="1"/>
  <c r="R76" i="50"/>
  <c r="O77" i="50"/>
  <c r="S75" i="50"/>
  <c r="T75" i="50" s="1"/>
  <c r="M77" i="50"/>
  <c r="O78" i="50" s="1"/>
  <c r="R78" i="50" s="1"/>
  <c r="P77" i="50"/>
  <c r="S77" i="50" s="1"/>
  <c r="P76" i="50"/>
  <c r="Q76" i="50"/>
  <c r="C78" i="50"/>
  <c r="D78" i="50" s="1"/>
  <c r="N78" i="50" s="1"/>
  <c r="L78" i="50"/>
  <c r="B79" i="50"/>
  <c r="R75" i="45"/>
  <c r="R75" i="43"/>
  <c r="T75" i="43" s="1"/>
  <c r="R75" i="44"/>
  <c r="T75" i="44" s="1"/>
  <c r="O76" i="46"/>
  <c r="R75" i="46"/>
  <c r="O76" i="45"/>
  <c r="N76" i="46"/>
  <c r="M76" i="46"/>
  <c r="N76" i="45"/>
  <c r="M76" i="45"/>
  <c r="N76" i="44"/>
  <c r="M76" i="44"/>
  <c r="M76" i="43"/>
  <c r="O77" i="43" s="1"/>
  <c r="R77" i="43" s="1"/>
  <c r="P76" i="43"/>
  <c r="S76" i="43" s="1"/>
  <c r="T76" i="43" s="1"/>
  <c r="Q75" i="45"/>
  <c r="P75" i="45"/>
  <c r="S74" i="46"/>
  <c r="T74" i="46" s="1"/>
  <c r="Q75" i="46"/>
  <c r="P75" i="46"/>
  <c r="S74" i="43"/>
  <c r="T74" i="43" s="1"/>
  <c r="S74" i="45"/>
  <c r="T74" i="45" s="1"/>
  <c r="S74" i="44"/>
  <c r="T74" i="44" s="1"/>
  <c r="B78" i="43"/>
  <c r="L77" i="43"/>
  <c r="C77" i="43"/>
  <c r="D77" i="43" s="1"/>
  <c r="B78" i="45"/>
  <c r="C77" i="45"/>
  <c r="D77" i="45" s="1"/>
  <c r="L77" i="45"/>
  <c r="B78" i="46"/>
  <c r="C77" i="46"/>
  <c r="D77" i="46" s="1"/>
  <c r="N77" i="46" s="1"/>
  <c r="L77" i="46"/>
  <c r="L77" i="44"/>
  <c r="C77" i="44"/>
  <c r="D77" i="44" s="1"/>
  <c r="B78" i="44"/>
  <c r="BA92" i="29"/>
  <c r="BV92" i="29"/>
  <c r="BW92" i="29" s="1"/>
  <c r="M94" i="29"/>
  <c r="BM94" i="29"/>
  <c r="B89" i="26" s="1"/>
  <c r="BB91" i="29"/>
  <c r="AZ93" i="29"/>
  <c r="N94" i="29"/>
  <c r="AY94" i="29" s="1"/>
  <c r="AP94" i="29"/>
  <c r="O94" i="29"/>
  <c r="B95" i="29"/>
  <c r="D95" i="29" s="1"/>
  <c r="Q93" i="29"/>
  <c r="P93" i="29"/>
  <c r="AA93" i="29"/>
  <c r="R93" i="29"/>
  <c r="AB93" i="29"/>
  <c r="S92" i="29"/>
  <c r="T92" i="29" s="1"/>
  <c r="AC92" i="29"/>
  <c r="AD92" i="29" s="1"/>
  <c r="R74" i="17"/>
  <c r="O75" i="17"/>
  <c r="S73" i="17"/>
  <c r="T73" i="17" s="1"/>
  <c r="N75" i="17"/>
  <c r="M75" i="17"/>
  <c r="C76" i="17"/>
  <c r="D76" i="17" s="1"/>
  <c r="P74" i="17"/>
  <c r="Q74" i="17"/>
  <c r="L78" i="17"/>
  <c r="B79" i="17"/>
  <c r="P78" i="50" l="1"/>
  <c r="S76" i="51"/>
  <c r="T76" i="51" s="1"/>
  <c r="S76" i="52"/>
  <c r="T76" i="52" s="1"/>
  <c r="R77" i="51"/>
  <c r="R77" i="52"/>
  <c r="P77" i="52"/>
  <c r="M77" i="52"/>
  <c r="O78" i="52" s="1"/>
  <c r="P77" i="51"/>
  <c r="S77" i="51" s="1"/>
  <c r="Q77" i="52"/>
  <c r="M77" i="51"/>
  <c r="O78" i="51" s="1"/>
  <c r="R78" i="51" s="1"/>
  <c r="L78" i="51"/>
  <c r="B79" i="51"/>
  <c r="C78" i="51"/>
  <c r="D78" i="51" s="1"/>
  <c r="N78" i="51" s="1"/>
  <c r="Q78" i="51" s="1"/>
  <c r="L78" i="52"/>
  <c r="B79" i="52"/>
  <c r="C78" i="52"/>
  <c r="D78" i="52" s="1"/>
  <c r="N78" i="52" s="1"/>
  <c r="R77" i="50"/>
  <c r="T77" i="50" s="1"/>
  <c r="Q78" i="50"/>
  <c r="M78" i="50"/>
  <c r="O79" i="50" s="1"/>
  <c r="S76" i="50"/>
  <c r="T76" i="50" s="1"/>
  <c r="B80" i="50"/>
  <c r="L79" i="50"/>
  <c r="C79" i="50"/>
  <c r="D79" i="50" s="1"/>
  <c r="N79" i="50" s="1"/>
  <c r="R76" i="46"/>
  <c r="P77" i="46"/>
  <c r="R76" i="45"/>
  <c r="O77" i="45"/>
  <c r="O77" i="44"/>
  <c r="O77" i="46"/>
  <c r="S75" i="46"/>
  <c r="T75" i="46" s="1"/>
  <c r="S75" i="45"/>
  <c r="T75" i="45" s="1"/>
  <c r="N77" i="44"/>
  <c r="M77" i="44"/>
  <c r="N77" i="45"/>
  <c r="M77" i="45"/>
  <c r="N77" i="43"/>
  <c r="M77" i="43"/>
  <c r="P76" i="46"/>
  <c r="Q76" i="46"/>
  <c r="P76" i="45"/>
  <c r="Q76" i="45"/>
  <c r="M77" i="46"/>
  <c r="O78" i="46" s="1"/>
  <c r="Q77" i="46"/>
  <c r="Q76" i="44"/>
  <c r="P76" i="44"/>
  <c r="L78" i="44"/>
  <c r="C78" i="44"/>
  <c r="D78" i="44" s="1"/>
  <c r="B79" i="44"/>
  <c r="L78" i="45"/>
  <c r="B79" i="45"/>
  <c r="C78" i="45"/>
  <c r="D78" i="45" s="1"/>
  <c r="B79" i="43"/>
  <c r="C78" i="43"/>
  <c r="D78" i="43" s="1"/>
  <c r="L78" i="43"/>
  <c r="L78" i="46"/>
  <c r="B79" i="46"/>
  <c r="C78" i="46"/>
  <c r="D78" i="46" s="1"/>
  <c r="BA93" i="29"/>
  <c r="BV93" i="29"/>
  <c r="BW93" i="29" s="1"/>
  <c r="M95" i="29"/>
  <c r="BM95" i="29"/>
  <c r="B90" i="26" s="1"/>
  <c r="BB92" i="29"/>
  <c r="AZ94" i="29"/>
  <c r="N95" i="29"/>
  <c r="AY95" i="29" s="1"/>
  <c r="AP95" i="29"/>
  <c r="R94" i="29"/>
  <c r="AB94" i="29"/>
  <c r="O95" i="29"/>
  <c r="S93" i="29"/>
  <c r="T93" i="29" s="1"/>
  <c r="AC93" i="29"/>
  <c r="AD93" i="29" s="1"/>
  <c r="B96" i="29"/>
  <c r="D96" i="29" s="1"/>
  <c r="AA94" i="29"/>
  <c r="Q94" i="29"/>
  <c r="P94" i="29"/>
  <c r="R75" i="17"/>
  <c r="O76" i="17"/>
  <c r="S74" i="17"/>
  <c r="T74" i="17" s="1"/>
  <c r="P75" i="17"/>
  <c r="Q75" i="17"/>
  <c r="N76" i="17"/>
  <c r="M76" i="17"/>
  <c r="C77" i="17"/>
  <c r="D77" i="17" s="1"/>
  <c r="L79" i="17"/>
  <c r="B80" i="17"/>
  <c r="T77" i="51" l="1"/>
  <c r="S78" i="50"/>
  <c r="T78" i="50" s="1"/>
  <c r="S77" i="52"/>
  <c r="T77" i="52" s="1"/>
  <c r="P78" i="52"/>
  <c r="Q78" i="52"/>
  <c r="M78" i="52"/>
  <c r="O79" i="52" s="1"/>
  <c r="R78" i="52"/>
  <c r="P78" i="51"/>
  <c r="S78" i="51" s="1"/>
  <c r="T78" i="51" s="1"/>
  <c r="M78" i="51"/>
  <c r="O79" i="51" s="1"/>
  <c r="R79" i="51" s="1"/>
  <c r="B80" i="51"/>
  <c r="L79" i="51"/>
  <c r="C79" i="51"/>
  <c r="D79" i="51" s="1"/>
  <c r="N79" i="51" s="1"/>
  <c r="Q79" i="51" s="1"/>
  <c r="L79" i="52"/>
  <c r="B80" i="52"/>
  <c r="C79" i="52"/>
  <c r="D79" i="52" s="1"/>
  <c r="N79" i="52" s="1"/>
  <c r="Q79" i="52" s="1"/>
  <c r="P79" i="50"/>
  <c r="R79" i="50"/>
  <c r="M79" i="50"/>
  <c r="O80" i="50" s="1"/>
  <c r="Q79" i="50"/>
  <c r="B81" i="50"/>
  <c r="C80" i="50"/>
  <c r="D80" i="50" s="1"/>
  <c r="L80" i="50"/>
  <c r="R77" i="45"/>
  <c r="S77" i="46"/>
  <c r="O78" i="44"/>
  <c r="R77" i="46"/>
  <c r="S76" i="46"/>
  <c r="T76" i="46" s="1"/>
  <c r="O78" i="45"/>
  <c r="R77" i="44"/>
  <c r="R78" i="46"/>
  <c r="S76" i="44"/>
  <c r="T76" i="44" s="1"/>
  <c r="Q77" i="44"/>
  <c r="P77" i="44"/>
  <c r="N78" i="45"/>
  <c r="M78" i="45"/>
  <c r="N78" i="44"/>
  <c r="M78" i="44"/>
  <c r="N78" i="46"/>
  <c r="M78" i="46"/>
  <c r="N78" i="43"/>
  <c r="M78" i="43"/>
  <c r="P77" i="43"/>
  <c r="Q77" i="43"/>
  <c r="O78" i="43"/>
  <c r="S76" i="45"/>
  <c r="T76" i="45" s="1"/>
  <c r="Q77" i="45"/>
  <c r="P77" i="45"/>
  <c r="B80" i="43"/>
  <c r="C79" i="43"/>
  <c r="D79" i="43" s="1"/>
  <c r="L79" i="43"/>
  <c r="B80" i="46"/>
  <c r="C79" i="46"/>
  <c r="D79" i="46" s="1"/>
  <c r="N79" i="46" s="1"/>
  <c r="Q79" i="46" s="1"/>
  <c r="L79" i="46"/>
  <c r="L79" i="45"/>
  <c r="C79" i="45"/>
  <c r="D79" i="45" s="1"/>
  <c r="B80" i="45"/>
  <c r="B80" i="44"/>
  <c r="L79" i="44"/>
  <c r="C79" i="44"/>
  <c r="D79" i="44" s="1"/>
  <c r="BA94" i="29"/>
  <c r="BV94" i="29"/>
  <c r="BW94" i="29" s="1"/>
  <c r="M96" i="29"/>
  <c r="BM96" i="29"/>
  <c r="B91" i="26" s="1"/>
  <c r="BB93" i="29"/>
  <c r="AZ95" i="29"/>
  <c r="N96" i="29"/>
  <c r="AY96" i="29" s="1"/>
  <c r="AP96" i="29"/>
  <c r="R95" i="29"/>
  <c r="AB95" i="29"/>
  <c r="O96" i="29"/>
  <c r="AA95" i="29"/>
  <c r="Q95" i="29"/>
  <c r="P95" i="29"/>
  <c r="S94" i="29"/>
  <c r="T94" i="29" s="1"/>
  <c r="AC94" i="29"/>
  <c r="AD94" i="29" s="1"/>
  <c r="B97" i="29"/>
  <c r="D97" i="29" s="1"/>
  <c r="R76" i="17"/>
  <c r="O77" i="17"/>
  <c r="P76" i="17"/>
  <c r="Q76" i="17"/>
  <c r="N77" i="17"/>
  <c r="M77" i="17"/>
  <c r="C78" i="17"/>
  <c r="D78" i="17" s="1"/>
  <c r="S75" i="17"/>
  <c r="T75" i="17" s="1"/>
  <c r="L80" i="17"/>
  <c r="B81" i="17"/>
  <c r="S78" i="52" l="1"/>
  <c r="T78" i="52" s="1"/>
  <c r="R79" i="52"/>
  <c r="P79" i="52"/>
  <c r="S79" i="52" s="1"/>
  <c r="M79" i="52"/>
  <c r="O80" i="52" s="1"/>
  <c r="R80" i="52" s="1"/>
  <c r="M79" i="51"/>
  <c r="O80" i="51" s="1"/>
  <c r="R80" i="51" s="1"/>
  <c r="P79" i="51"/>
  <c r="S79" i="51" s="1"/>
  <c r="T79" i="51" s="1"/>
  <c r="B81" i="52"/>
  <c r="L80" i="52"/>
  <c r="C80" i="52"/>
  <c r="D80" i="52" s="1"/>
  <c r="N80" i="52" s="1"/>
  <c r="B81" i="51"/>
  <c r="L80" i="51"/>
  <c r="C80" i="51"/>
  <c r="D80" i="51" s="1"/>
  <c r="N80" i="51" s="1"/>
  <c r="Q80" i="51" s="1"/>
  <c r="S79" i="50"/>
  <c r="T79" i="50" s="1"/>
  <c r="R80" i="50"/>
  <c r="N80" i="50"/>
  <c r="M80" i="50"/>
  <c r="L81" i="50"/>
  <c r="C81" i="50"/>
  <c r="D81" i="50" s="1"/>
  <c r="N81" i="50" s="1"/>
  <c r="B82" i="50"/>
  <c r="T77" i="46"/>
  <c r="R78" i="44"/>
  <c r="O79" i="45"/>
  <c r="O79" i="44"/>
  <c r="R78" i="45"/>
  <c r="O79" i="46"/>
  <c r="S77" i="45"/>
  <c r="T77" i="45" s="1"/>
  <c r="R78" i="43"/>
  <c r="S77" i="44"/>
  <c r="T77" i="44" s="1"/>
  <c r="N79" i="44"/>
  <c r="M79" i="44"/>
  <c r="N79" i="43"/>
  <c r="M79" i="43"/>
  <c r="N79" i="45"/>
  <c r="M79" i="45"/>
  <c r="Q78" i="43"/>
  <c r="P78" i="43"/>
  <c r="P79" i="46"/>
  <c r="S79" i="46" s="1"/>
  <c r="S77" i="43"/>
  <c r="T77" i="43" s="1"/>
  <c r="Q78" i="46"/>
  <c r="P78" i="46"/>
  <c r="P78" i="45"/>
  <c r="Q78" i="45"/>
  <c r="Q78" i="44"/>
  <c r="P78" i="44"/>
  <c r="M79" i="46"/>
  <c r="O80" i="46" s="1"/>
  <c r="R80" i="46" s="1"/>
  <c r="O79" i="43"/>
  <c r="C80" i="44"/>
  <c r="D80" i="44" s="1"/>
  <c r="L80" i="44"/>
  <c r="B81" i="44"/>
  <c r="L80" i="45"/>
  <c r="B81" i="45"/>
  <c r="C80" i="45"/>
  <c r="D80" i="45" s="1"/>
  <c r="L80" i="43"/>
  <c r="B81" i="43"/>
  <c r="C80" i="43"/>
  <c r="D80" i="43" s="1"/>
  <c r="L80" i="46"/>
  <c r="C80" i="46"/>
  <c r="D80" i="46" s="1"/>
  <c r="B81" i="46"/>
  <c r="BA95" i="29"/>
  <c r="BV95" i="29"/>
  <c r="BW95" i="29" s="1"/>
  <c r="M97" i="29"/>
  <c r="BM97" i="29"/>
  <c r="B92" i="26" s="1"/>
  <c r="BB94" i="29"/>
  <c r="AZ96" i="29"/>
  <c r="N97" i="29"/>
  <c r="AY97" i="29" s="1"/>
  <c r="AP97" i="29"/>
  <c r="O97" i="29"/>
  <c r="B98" i="29"/>
  <c r="D98" i="29" s="1"/>
  <c r="AB96" i="29"/>
  <c r="R96" i="29"/>
  <c r="AC95" i="29"/>
  <c r="AD95" i="29" s="1"/>
  <c r="S95" i="29"/>
  <c r="T95" i="29" s="1"/>
  <c r="AA96" i="29"/>
  <c r="P96" i="29"/>
  <c r="Q96" i="29"/>
  <c r="R77" i="17"/>
  <c r="O78" i="17"/>
  <c r="N78" i="17"/>
  <c r="M78" i="17"/>
  <c r="C79" i="17"/>
  <c r="D79" i="17" s="1"/>
  <c r="S76" i="17"/>
  <c r="T76" i="17" s="1"/>
  <c r="Q77" i="17"/>
  <c r="P77" i="17"/>
  <c r="L81" i="17"/>
  <c r="B82" i="17"/>
  <c r="R79" i="44" l="1"/>
  <c r="R79" i="45"/>
  <c r="T79" i="52"/>
  <c r="P80" i="52"/>
  <c r="Q80" i="52"/>
  <c r="M80" i="52"/>
  <c r="O81" i="52" s="1"/>
  <c r="P80" i="51"/>
  <c r="S80" i="51" s="1"/>
  <c r="T80" i="51" s="1"/>
  <c r="M80" i="51"/>
  <c r="O81" i="51" s="1"/>
  <c r="R81" i="51" s="1"/>
  <c r="B82" i="51"/>
  <c r="L81" i="51"/>
  <c r="C81" i="51"/>
  <c r="D81" i="51" s="1"/>
  <c r="N81" i="51" s="1"/>
  <c r="Q81" i="51" s="1"/>
  <c r="B82" i="52"/>
  <c r="L81" i="52"/>
  <c r="C81" i="52"/>
  <c r="D81" i="52" s="1"/>
  <c r="N81" i="52" s="1"/>
  <c r="P81" i="50"/>
  <c r="O81" i="50"/>
  <c r="Q81" i="50"/>
  <c r="M81" i="50"/>
  <c r="O82" i="50" s="1"/>
  <c r="P80" i="50"/>
  <c r="Q80" i="50"/>
  <c r="B83" i="50"/>
  <c r="L82" i="50"/>
  <c r="C82" i="50"/>
  <c r="D82" i="50" s="1"/>
  <c r="R79" i="46"/>
  <c r="T79" i="46" s="1"/>
  <c r="S78" i="44"/>
  <c r="T78" i="44" s="1"/>
  <c r="O80" i="43"/>
  <c r="O80" i="45"/>
  <c r="O80" i="44"/>
  <c r="R79" i="43"/>
  <c r="N80" i="44"/>
  <c r="M80" i="44"/>
  <c r="N80" i="43"/>
  <c r="M80" i="43"/>
  <c r="N80" i="46"/>
  <c r="M80" i="46"/>
  <c r="N80" i="45"/>
  <c r="M80" i="45"/>
  <c r="S78" i="45"/>
  <c r="T78" i="45" s="1"/>
  <c r="Q79" i="43"/>
  <c r="P79" i="43"/>
  <c r="S78" i="46"/>
  <c r="T78" i="46" s="1"/>
  <c r="S78" i="43"/>
  <c r="T78" i="43" s="1"/>
  <c r="P79" i="45"/>
  <c r="Q79" i="45"/>
  <c r="Q79" i="44"/>
  <c r="P79" i="44"/>
  <c r="C81" i="46"/>
  <c r="D81" i="46" s="1"/>
  <c r="L81" i="46"/>
  <c r="B82" i="46"/>
  <c r="B82" i="43"/>
  <c r="C81" i="43"/>
  <c r="D81" i="43" s="1"/>
  <c r="L81" i="43"/>
  <c r="L81" i="44"/>
  <c r="C81" i="44"/>
  <c r="D81" i="44" s="1"/>
  <c r="N81" i="44" s="1"/>
  <c r="B82" i="44"/>
  <c r="C81" i="45"/>
  <c r="D81" i="45" s="1"/>
  <c r="L81" i="45"/>
  <c r="B82" i="45"/>
  <c r="BA96" i="29"/>
  <c r="BV96" i="29"/>
  <c r="BW96" i="29" s="1"/>
  <c r="M98" i="29"/>
  <c r="BM98" i="29"/>
  <c r="B93" i="26" s="1"/>
  <c r="BB95" i="29"/>
  <c r="AZ97" i="29"/>
  <c r="AB97" i="29"/>
  <c r="N98" i="29"/>
  <c r="AY98" i="29" s="1"/>
  <c r="AP98" i="29"/>
  <c r="R97" i="29"/>
  <c r="AC96" i="29"/>
  <c r="AD96" i="29" s="1"/>
  <c r="S96" i="29"/>
  <c r="T96" i="29" s="1"/>
  <c r="B99" i="29"/>
  <c r="D99" i="29" s="1"/>
  <c r="O98" i="29"/>
  <c r="AA97" i="29"/>
  <c r="Q97" i="29"/>
  <c r="P97" i="29"/>
  <c r="R78" i="17"/>
  <c r="O79" i="17"/>
  <c r="S77" i="17"/>
  <c r="T77" i="17" s="1"/>
  <c r="P78" i="17"/>
  <c r="Q78" i="17"/>
  <c r="N79" i="17"/>
  <c r="M79" i="17"/>
  <c r="C80" i="17"/>
  <c r="D80" i="17" s="1"/>
  <c r="B83" i="17"/>
  <c r="L82" i="17"/>
  <c r="R81" i="50" l="1"/>
  <c r="R81" i="52"/>
  <c r="P81" i="52"/>
  <c r="S80" i="52"/>
  <c r="T80" i="52" s="1"/>
  <c r="Q81" i="52"/>
  <c r="M81" i="52"/>
  <c r="O82" i="52" s="1"/>
  <c r="P81" i="51"/>
  <c r="S81" i="51" s="1"/>
  <c r="T81" i="51" s="1"/>
  <c r="M81" i="51"/>
  <c r="O82" i="51" s="1"/>
  <c r="R82" i="51" s="1"/>
  <c r="L82" i="52"/>
  <c r="B83" i="52"/>
  <c r="C82" i="52"/>
  <c r="D82" i="52" s="1"/>
  <c r="N82" i="52" s="1"/>
  <c r="Q82" i="52" s="1"/>
  <c r="B83" i="51"/>
  <c r="L82" i="51"/>
  <c r="C82" i="51"/>
  <c r="D82" i="51" s="1"/>
  <c r="N82" i="51" s="1"/>
  <c r="S81" i="50"/>
  <c r="R82" i="50"/>
  <c r="N82" i="50"/>
  <c r="M82" i="50"/>
  <c r="S80" i="50"/>
  <c r="T80" i="50" s="1"/>
  <c r="C83" i="50"/>
  <c r="D83" i="50" s="1"/>
  <c r="L83" i="50"/>
  <c r="B84" i="50"/>
  <c r="R80" i="43"/>
  <c r="P81" i="44"/>
  <c r="O81" i="44"/>
  <c r="O81" i="46"/>
  <c r="R80" i="45"/>
  <c r="R80" i="44"/>
  <c r="S79" i="44"/>
  <c r="T79" i="44" s="1"/>
  <c r="S79" i="45"/>
  <c r="T79" i="45" s="1"/>
  <c r="N81" i="45"/>
  <c r="M81" i="45"/>
  <c r="N81" i="46"/>
  <c r="M81" i="46"/>
  <c r="N81" i="43"/>
  <c r="M81" i="43"/>
  <c r="Q81" i="44"/>
  <c r="Q80" i="45"/>
  <c r="P80" i="45"/>
  <c r="M81" i="44"/>
  <c r="O82" i="44" s="1"/>
  <c r="S79" i="43"/>
  <c r="T79" i="43" s="1"/>
  <c r="Q80" i="46"/>
  <c r="P80" i="46"/>
  <c r="P80" i="43"/>
  <c r="Q80" i="43"/>
  <c r="O81" i="43"/>
  <c r="O81" i="45"/>
  <c r="P80" i="44"/>
  <c r="Q80" i="44"/>
  <c r="B83" i="45"/>
  <c r="L82" i="45"/>
  <c r="C82" i="45"/>
  <c r="D82" i="45" s="1"/>
  <c r="C82" i="44"/>
  <c r="D82" i="44" s="1"/>
  <c r="L82" i="44"/>
  <c r="B83" i="44"/>
  <c r="B83" i="46"/>
  <c r="C82" i="46"/>
  <c r="D82" i="46" s="1"/>
  <c r="N82" i="46" s="1"/>
  <c r="Q82" i="46" s="1"/>
  <c r="L82" i="46"/>
  <c r="L82" i="43"/>
  <c r="B83" i="43"/>
  <c r="C82" i="43"/>
  <c r="D82" i="43" s="1"/>
  <c r="BA97" i="29"/>
  <c r="BV97" i="29"/>
  <c r="BW97" i="29" s="1"/>
  <c r="M99" i="29"/>
  <c r="BM99" i="29"/>
  <c r="B94" i="26" s="1"/>
  <c r="BB96" i="29"/>
  <c r="AZ98" i="29"/>
  <c r="N99" i="29"/>
  <c r="AY99" i="29" s="1"/>
  <c r="AP99" i="29"/>
  <c r="O99" i="29"/>
  <c r="B100" i="29"/>
  <c r="D100" i="29" s="1"/>
  <c r="AA98" i="29"/>
  <c r="P98" i="29"/>
  <c r="Q98" i="29"/>
  <c r="AC97" i="29"/>
  <c r="AD97" i="29" s="1"/>
  <c r="S97" i="29"/>
  <c r="T97" i="29" s="1"/>
  <c r="AB98" i="29"/>
  <c r="R98" i="29"/>
  <c r="O80" i="17"/>
  <c r="P79" i="17"/>
  <c r="Q79" i="17"/>
  <c r="N80" i="17"/>
  <c r="M80" i="17"/>
  <c r="C81" i="17"/>
  <c r="D81" i="17" s="1"/>
  <c r="S78" i="17"/>
  <c r="T78" i="17" s="1"/>
  <c r="R79" i="17"/>
  <c r="L83" i="17"/>
  <c r="B84" i="17"/>
  <c r="R81" i="46" l="1"/>
  <c r="T81" i="50"/>
  <c r="R81" i="44"/>
  <c r="S81" i="52"/>
  <c r="T81" i="52" s="1"/>
  <c r="R82" i="52"/>
  <c r="P82" i="51"/>
  <c r="Q82" i="51"/>
  <c r="P82" i="52"/>
  <c r="S82" i="52" s="1"/>
  <c r="M82" i="52"/>
  <c r="O83" i="52" s="1"/>
  <c r="R83" i="52" s="1"/>
  <c r="M82" i="51"/>
  <c r="O83" i="51" s="1"/>
  <c r="B84" i="52"/>
  <c r="L83" i="52"/>
  <c r="C83" i="52"/>
  <c r="D83" i="52" s="1"/>
  <c r="N83" i="52" s="1"/>
  <c r="B84" i="51"/>
  <c r="L83" i="51"/>
  <c r="C83" i="51"/>
  <c r="D83" i="51" s="1"/>
  <c r="N83" i="51" s="1"/>
  <c r="Q83" i="51" s="1"/>
  <c r="O83" i="50"/>
  <c r="N83" i="50"/>
  <c r="M83" i="50"/>
  <c r="Q82" i="50"/>
  <c r="P82" i="50"/>
  <c r="C84" i="50"/>
  <c r="D84" i="50" s="1"/>
  <c r="N84" i="50" s="1"/>
  <c r="L84" i="50"/>
  <c r="B85" i="50"/>
  <c r="S81" i="44"/>
  <c r="O82" i="43"/>
  <c r="O82" i="45"/>
  <c r="O82" i="46"/>
  <c r="R81" i="45"/>
  <c r="S80" i="46"/>
  <c r="T80" i="46" s="1"/>
  <c r="S80" i="45"/>
  <c r="T80" i="45" s="1"/>
  <c r="R82" i="44"/>
  <c r="P82" i="46"/>
  <c r="S82" i="46" s="1"/>
  <c r="N82" i="45"/>
  <c r="M82" i="45"/>
  <c r="N82" i="44"/>
  <c r="M82" i="44"/>
  <c r="N82" i="43"/>
  <c r="M82" i="43"/>
  <c r="M82" i="46"/>
  <c r="O83" i="46" s="1"/>
  <c r="R83" i="46" s="1"/>
  <c r="P81" i="43"/>
  <c r="Q81" i="43"/>
  <c r="P81" i="46"/>
  <c r="Q81" i="46"/>
  <c r="S80" i="44"/>
  <c r="T80" i="44" s="1"/>
  <c r="S80" i="43"/>
  <c r="T80" i="43" s="1"/>
  <c r="R81" i="43"/>
  <c r="P81" i="45"/>
  <c r="Q81" i="45"/>
  <c r="C83" i="43"/>
  <c r="D83" i="43" s="1"/>
  <c r="L83" i="43"/>
  <c r="B84" i="43"/>
  <c r="B84" i="46"/>
  <c r="L83" i="46"/>
  <c r="C83" i="46"/>
  <c r="D83" i="46" s="1"/>
  <c r="B84" i="45"/>
  <c r="L83" i="45"/>
  <c r="C83" i="45"/>
  <c r="D83" i="45" s="1"/>
  <c r="C83" i="44"/>
  <c r="D83" i="44" s="1"/>
  <c r="N83" i="44" s="1"/>
  <c r="B84" i="44"/>
  <c r="L83" i="44"/>
  <c r="BA98" i="29"/>
  <c r="BV98" i="29"/>
  <c r="BW98" i="29" s="1"/>
  <c r="M100" i="29"/>
  <c r="BM100" i="29"/>
  <c r="B95" i="26" s="1"/>
  <c r="BB97" i="29"/>
  <c r="AZ99" i="29"/>
  <c r="AB99" i="29"/>
  <c r="N100" i="29"/>
  <c r="AY100" i="29" s="1"/>
  <c r="AP100" i="29"/>
  <c r="R99" i="29"/>
  <c r="O100" i="29"/>
  <c r="AC98" i="29"/>
  <c r="AD98" i="29" s="1"/>
  <c r="S98" i="29"/>
  <c r="T98" i="29" s="1"/>
  <c r="P99" i="29"/>
  <c r="Q99" i="29"/>
  <c r="AA99" i="29"/>
  <c r="B101" i="29"/>
  <c r="D101" i="29" s="1"/>
  <c r="O81" i="17"/>
  <c r="R80" i="17"/>
  <c r="S79" i="17"/>
  <c r="T79" i="17" s="1"/>
  <c r="N81" i="17"/>
  <c r="M81" i="17"/>
  <c r="C82" i="17"/>
  <c r="D82" i="17" s="1"/>
  <c r="Q80" i="17"/>
  <c r="P80" i="17"/>
  <c r="B85" i="17"/>
  <c r="L84" i="17"/>
  <c r="P83" i="52" l="1"/>
  <c r="R100" i="29"/>
  <c r="T81" i="44"/>
  <c r="T82" i="52"/>
  <c r="S82" i="51"/>
  <c r="T82" i="51" s="1"/>
  <c r="R83" i="51"/>
  <c r="M83" i="52"/>
  <c r="O84" i="52" s="1"/>
  <c r="P83" i="51"/>
  <c r="S83" i="51" s="1"/>
  <c r="Q83" i="52"/>
  <c r="M83" i="51"/>
  <c r="O84" i="51" s="1"/>
  <c r="R84" i="51" s="1"/>
  <c r="L84" i="51"/>
  <c r="B85" i="51"/>
  <c r="C84" i="51"/>
  <c r="D84" i="51" s="1"/>
  <c r="N84" i="51" s="1"/>
  <c r="L84" i="52"/>
  <c r="B85" i="52"/>
  <c r="C84" i="52"/>
  <c r="D84" i="52" s="1"/>
  <c r="N84" i="52" s="1"/>
  <c r="Q84" i="52" s="1"/>
  <c r="R83" i="50"/>
  <c r="P84" i="50"/>
  <c r="O84" i="50"/>
  <c r="Q84" i="50"/>
  <c r="M84" i="50"/>
  <c r="O85" i="50" s="1"/>
  <c r="O83" i="43"/>
  <c r="S82" i="50"/>
  <c r="T82" i="50" s="1"/>
  <c r="P83" i="50"/>
  <c r="Q83" i="50"/>
  <c r="L85" i="50"/>
  <c r="B86" i="50"/>
  <c r="C85" i="50"/>
  <c r="D85" i="50" s="1"/>
  <c r="R82" i="45"/>
  <c r="R82" i="43"/>
  <c r="O83" i="44"/>
  <c r="P83" i="44"/>
  <c r="R82" i="46"/>
  <c r="T82" i="46" s="1"/>
  <c r="N83" i="46"/>
  <c r="M83" i="46"/>
  <c r="Q83" i="44"/>
  <c r="S81" i="45"/>
  <c r="T81" i="45" s="1"/>
  <c r="S81" i="46"/>
  <c r="T81" i="46" s="1"/>
  <c r="N83" i="45"/>
  <c r="M83" i="45"/>
  <c r="N83" i="43"/>
  <c r="M83" i="43"/>
  <c r="P82" i="45"/>
  <c r="Q82" i="45"/>
  <c r="Q82" i="44"/>
  <c r="P82" i="44"/>
  <c r="M83" i="44"/>
  <c r="O84" i="44" s="1"/>
  <c r="S81" i="43"/>
  <c r="T81" i="43" s="1"/>
  <c r="Q82" i="43"/>
  <c r="P82" i="43"/>
  <c r="O83" i="45"/>
  <c r="C84" i="44"/>
  <c r="D84" i="44" s="1"/>
  <c r="N84" i="44" s="1"/>
  <c r="B85" i="44"/>
  <c r="L84" i="44"/>
  <c r="B85" i="45"/>
  <c r="C84" i="45"/>
  <c r="D84" i="45" s="1"/>
  <c r="L84" i="45"/>
  <c r="B85" i="46"/>
  <c r="C84" i="46"/>
  <c r="D84" i="46" s="1"/>
  <c r="L84" i="46"/>
  <c r="L84" i="43"/>
  <c r="C84" i="43"/>
  <c r="D84" i="43" s="1"/>
  <c r="B85" i="43"/>
  <c r="BA99" i="29"/>
  <c r="BV99" i="29"/>
  <c r="BW99" i="29" s="1"/>
  <c r="M101" i="29"/>
  <c r="BM101" i="29"/>
  <c r="B96" i="26" s="1"/>
  <c r="BB98" i="29"/>
  <c r="AZ100" i="29"/>
  <c r="N101" i="29"/>
  <c r="AY101" i="29" s="1"/>
  <c r="AP101" i="29"/>
  <c r="AB100" i="29"/>
  <c r="O101" i="29"/>
  <c r="AA100" i="29"/>
  <c r="P100" i="29"/>
  <c r="Q100" i="29"/>
  <c r="B102" i="29"/>
  <c r="D102" i="29" s="1"/>
  <c r="S99" i="29"/>
  <c r="T99" i="29" s="1"/>
  <c r="AC99" i="29"/>
  <c r="AD99" i="29" s="1"/>
  <c r="R81" i="17"/>
  <c r="O82" i="17"/>
  <c r="S80" i="17"/>
  <c r="T80" i="17" s="1"/>
  <c r="P81" i="17"/>
  <c r="Q81" i="17"/>
  <c r="N82" i="17"/>
  <c r="M82" i="17"/>
  <c r="C83" i="17"/>
  <c r="D83" i="17" s="1"/>
  <c r="L85" i="17"/>
  <c r="B86" i="17"/>
  <c r="S83" i="52" l="1"/>
  <c r="T83" i="52" s="1"/>
  <c r="T83" i="51"/>
  <c r="P84" i="51"/>
  <c r="R84" i="52"/>
  <c r="M84" i="51"/>
  <c r="O85" i="51" s="1"/>
  <c r="Q84" i="51"/>
  <c r="M84" i="52"/>
  <c r="O85" i="52" s="1"/>
  <c r="R85" i="52" s="1"/>
  <c r="P84" i="52"/>
  <c r="S84" i="52" s="1"/>
  <c r="B86" i="51"/>
  <c r="L85" i="51"/>
  <c r="C85" i="51"/>
  <c r="D85" i="51" s="1"/>
  <c r="N85" i="51" s="1"/>
  <c r="Q85" i="51" s="1"/>
  <c r="L85" i="52"/>
  <c r="B86" i="52"/>
  <c r="C85" i="52"/>
  <c r="D85" i="52" s="1"/>
  <c r="N85" i="52" s="1"/>
  <c r="R84" i="50"/>
  <c r="S84" i="50"/>
  <c r="R83" i="43"/>
  <c r="R85" i="50"/>
  <c r="S83" i="50"/>
  <c r="T83" i="50" s="1"/>
  <c r="N85" i="50"/>
  <c r="M85" i="50"/>
  <c r="C86" i="50"/>
  <c r="D86" i="50" s="1"/>
  <c r="N86" i="50" s="1"/>
  <c r="Q86" i="50" s="1"/>
  <c r="B87" i="50"/>
  <c r="L86" i="50"/>
  <c r="P84" i="44"/>
  <c r="O84" i="45"/>
  <c r="S83" i="44"/>
  <c r="R83" i="44"/>
  <c r="S82" i="43"/>
  <c r="T82" i="43" s="1"/>
  <c r="S82" i="44"/>
  <c r="T82" i="44" s="1"/>
  <c r="O84" i="43"/>
  <c r="O84" i="46"/>
  <c r="M84" i="44"/>
  <c r="O85" i="44" s="1"/>
  <c r="Q84" i="44"/>
  <c r="R84" i="44"/>
  <c r="P83" i="46"/>
  <c r="Q83" i="46"/>
  <c r="N84" i="43"/>
  <c r="M84" i="43"/>
  <c r="N84" i="45"/>
  <c r="M84" i="45"/>
  <c r="N84" i="46"/>
  <c r="M84" i="46"/>
  <c r="S82" i="45"/>
  <c r="T82" i="45" s="1"/>
  <c r="Q83" i="45"/>
  <c r="P83" i="45"/>
  <c r="R83" i="45"/>
  <c r="P83" i="43"/>
  <c r="Q83" i="43"/>
  <c r="B86" i="43"/>
  <c r="C85" i="43"/>
  <c r="D85" i="43" s="1"/>
  <c r="N85" i="43" s="1"/>
  <c r="Q85" i="43" s="1"/>
  <c r="L85" i="43"/>
  <c r="B86" i="46"/>
  <c r="C85" i="46"/>
  <c r="D85" i="46" s="1"/>
  <c r="N85" i="46" s="1"/>
  <c r="L85" i="46"/>
  <c r="L85" i="44"/>
  <c r="B86" i="44"/>
  <c r="C85" i="44"/>
  <c r="D85" i="44" s="1"/>
  <c r="B86" i="45"/>
  <c r="C85" i="45"/>
  <c r="D85" i="45" s="1"/>
  <c r="L85" i="45"/>
  <c r="BA100" i="29"/>
  <c r="BV100" i="29"/>
  <c r="BW100" i="29" s="1"/>
  <c r="M102" i="29"/>
  <c r="BM102" i="29"/>
  <c r="B97" i="26" s="1"/>
  <c r="BB99" i="29"/>
  <c r="AZ101" i="29"/>
  <c r="N102" i="29"/>
  <c r="AY102" i="29" s="1"/>
  <c r="AP102" i="29"/>
  <c r="R101" i="29"/>
  <c r="AB101" i="29"/>
  <c r="B103" i="29"/>
  <c r="D103" i="29" s="1"/>
  <c r="O102" i="29"/>
  <c r="AC100" i="29"/>
  <c r="AD100" i="29" s="1"/>
  <c r="S100" i="29"/>
  <c r="T100" i="29" s="1"/>
  <c r="AA101" i="29"/>
  <c r="Q101" i="29"/>
  <c r="P101" i="29"/>
  <c r="O83" i="17"/>
  <c r="Q82" i="17"/>
  <c r="P82" i="17"/>
  <c r="N83" i="17"/>
  <c r="M83" i="17"/>
  <c r="C84" i="17"/>
  <c r="D84" i="17" s="1"/>
  <c r="R82" i="17"/>
  <c r="S81" i="17"/>
  <c r="T81" i="17" s="1"/>
  <c r="L86" i="17"/>
  <c r="B87" i="17"/>
  <c r="T84" i="52" l="1"/>
  <c r="P85" i="52"/>
  <c r="S84" i="51"/>
  <c r="T84" i="51" s="1"/>
  <c r="R85" i="51"/>
  <c r="Q85" i="52"/>
  <c r="P85" i="51"/>
  <c r="S85" i="51" s="1"/>
  <c r="M85" i="51"/>
  <c r="O86" i="51" s="1"/>
  <c r="R86" i="51" s="1"/>
  <c r="M85" i="52"/>
  <c r="O86" i="52" s="1"/>
  <c r="L86" i="52"/>
  <c r="B87" i="52"/>
  <c r="C86" i="52"/>
  <c r="D86" i="52" s="1"/>
  <c r="N86" i="52" s="1"/>
  <c r="L86" i="51"/>
  <c r="B87" i="51"/>
  <c r="C86" i="51"/>
  <c r="D86" i="51" s="1"/>
  <c r="N86" i="51" s="1"/>
  <c r="T84" i="50"/>
  <c r="P85" i="50"/>
  <c r="Q85" i="50"/>
  <c r="M86" i="50"/>
  <c r="O87" i="50" s="1"/>
  <c r="R87" i="50" s="1"/>
  <c r="O86" i="50"/>
  <c r="P86" i="50"/>
  <c r="S86" i="50" s="1"/>
  <c r="T83" i="44"/>
  <c r="B88" i="50"/>
  <c r="L87" i="50"/>
  <c r="C87" i="50"/>
  <c r="D87" i="50" s="1"/>
  <c r="S84" i="44"/>
  <c r="T84" i="44" s="1"/>
  <c r="R84" i="45"/>
  <c r="P85" i="46"/>
  <c r="R84" i="46"/>
  <c r="O85" i="43"/>
  <c r="R85" i="44"/>
  <c r="R84" i="43"/>
  <c r="O85" i="45"/>
  <c r="S83" i="45"/>
  <c r="T83" i="45" s="1"/>
  <c r="S83" i="46"/>
  <c r="T83" i="46" s="1"/>
  <c r="P85" i="43"/>
  <c r="S85" i="43" s="1"/>
  <c r="N85" i="45"/>
  <c r="M85" i="45"/>
  <c r="N85" i="44"/>
  <c r="M85" i="44"/>
  <c r="Q85" i="46"/>
  <c r="S83" i="43"/>
  <c r="T83" i="43" s="1"/>
  <c r="Q84" i="46"/>
  <c r="P84" i="46"/>
  <c r="O85" i="46"/>
  <c r="M85" i="46"/>
  <c r="O86" i="46" s="1"/>
  <c r="M85" i="43"/>
  <c r="O86" i="43" s="1"/>
  <c r="R86" i="43" s="1"/>
  <c r="Q84" i="45"/>
  <c r="P84" i="45"/>
  <c r="Q84" i="43"/>
  <c r="P84" i="43"/>
  <c r="L86" i="45"/>
  <c r="C86" i="45"/>
  <c r="D86" i="45" s="1"/>
  <c r="N86" i="45" s="1"/>
  <c r="Q86" i="45" s="1"/>
  <c r="B87" i="45"/>
  <c r="C86" i="46"/>
  <c r="D86" i="46" s="1"/>
  <c r="L86" i="46"/>
  <c r="B87" i="46"/>
  <c r="C86" i="44"/>
  <c r="D86" i="44" s="1"/>
  <c r="N86" i="44" s="1"/>
  <c r="Q86" i="44" s="1"/>
  <c r="B87" i="44"/>
  <c r="L86" i="44"/>
  <c r="L86" i="43"/>
  <c r="B87" i="43"/>
  <c r="C86" i="43"/>
  <c r="D86" i="43" s="1"/>
  <c r="N86" i="43" s="1"/>
  <c r="BA101" i="29"/>
  <c r="BV101" i="29"/>
  <c r="BW101" i="29" s="1"/>
  <c r="M103" i="29"/>
  <c r="BM103" i="29"/>
  <c r="B98" i="26" s="1"/>
  <c r="BB100" i="29"/>
  <c r="AZ102" i="29"/>
  <c r="N103" i="29"/>
  <c r="AY103" i="29" s="1"/>
  <c r="AP103" i="29"/>
  <c r="O103" i="29"/>
  <c r="AC101" i="29"/>
  <c r="AD101" i="29" s="1"/>
  <c r="S101" i="29"/>
  <c r="T101" i="29" s="1"/>
  <c r="AA102" i="29"/>
  <c r="P102" i="29"/>
  <c r="Q102" i="29"/>
  <c r="AB102" i="29"/>
  <c r="R102" i="29"/>
  <c r="B104" i="29"/>
  <c r="D104" i="29" s="1"/>
  <c r="O84" i="17"/>
  <c r="S82" i="17"/>
  <c r="T82" i="17" s="1"/>
  <c r="P83" i="17"/>
  <c r="Q83" i="17"/>
  <c r="N84" i="17"/>
  <c r="M84" i="17"/>
  <c r="C85" i="17"/>
  <c r="D85" i="17" s="1"/>
  <c r="R83" i="17"/>
  <c r="L87" i="17"/>
  <c r="B88" i="17"/>
  <c r="S85" i="52" l="1"/>
  <c r="T85" i="52" s="1"/>
  <c r="T85" i="51"/>
  <c r="P86" i="51"/>
  <c r="R86" i="52"/>
  <c r="Q86" i="51"/>
  <c r="P86" i="52"/>
  <c r="Q86" i="52"/>
  <c r="M86" i="52"/>
  <c r="O87" i="52" s="1"/>
  <c r="M86" i="51"/>
  <c r="O87" i="51" s="1"/>
  <c r="L87" i="51"/>
  <c r="B88" i="51"/>
  <c r="C87" i="51"/>
  <c r="D87" i="51" s="1"/>
  <c r="N87" i="51" s="1"/>
  <c r="L87" i="52"/>
  <c r="B88" i="52"/>
  <c r="C87" i="52"/>
  <c r="D87" i="52" s="1"/>
  <c r="N87" i="52" s="1"/>
  <c r="Q87" i="52" s="1"/>
  <c r="N87" i="50"/>
  <c r="M87" i="50"/>
  <c r="R86" i="50"/>
  <c r="T86" i="50" s="1"/>
  <c r="S85" i="50"/>
  <c r="T85" i="50" s="1"/>
  <c r="B89" i="50"/>
  <c r="C88" i="50"/>
  <c r="D88" i="50" s="1"/>
  <c r="N88" i="50" s="1"/>
  <c r="L88" i="50"/>
  <c r="S85" i="46"/>
  <c r="R85" i="43"/>
  <c r="T85" i="43" s="1"/>
  <c r="P86" i="43"/>
  <c r="S84" i="43"/>
  <c r="T84" i="43" s="1"/>
  <c r="O86" i="44"/>
  <c r="R85" i="45"/>
  <c r="O86" i="45"/>
  <c r="S84" i="45"/>
  <c r="T84" i="45" s="1"/>
  <c r="R86" i="46"/>
  <c r="N86" i="46"/>
  <c r="M86" i="46"/>
  <c r="Q86" i="43"/>
  <c r="M86" i="44"/>
  <c r="O87" i="44" s="1"/>
  <c r="R87" i="44" s="1"/>
  <c r="P86" i="44"/>
  <c r="S86" i="44" s="1"/>
  <c r="P86" i="45"/>
  <c r="S86" i="45" s="1"/>
  <c r="P85" i="45"/>
  <c r="Q85" i="45"/>
  <c r="R85" i="46"/>
  <c r="M86" i="43"/>
  <c r="O87" i="43" s="1"/>
  <c r="M86" i="45"/>
  <c r="O87" i="45" s="1"/>
  <c r="R87" i="45" s="1"/>
  <c r="S84" i="46"/>
  <c r="T84" i="46" s="1"/>
  <c r="P85" i="44"/>
  <c r="Q85" i="44"/>
  <c r="C87" i="46"/>
  <c r="D87" i="46" s="1"/>
  <c r="L87" i="46"/>
  <c r="B88" i="46"/>
  <c r="B88" i="44"/>
  <c r="L87" i="44"/>
  <c r="C87" i="44"/>
  <c r="D87" i="44" s="1"/>
  <c r="B88" i="43"/>
  <c r="L87" i="43"/>
  <c r="C87" i="43"/>
  <c r="D87" i="43" s="1"/>
  <c r="B88" i="45"/>
  <c r="C87" i="45"/>
  <c r="D87" i="45" s="1"/>
  <c r="L87" i="45"/>
  <c r="BA102" i="29"/>
  <c r="BV102" i="29"/>
  <c r="BW102" i="29" s="1"/>
  <c r="M104" i="29"/>
  <c r="BM104" i="29"/>
  <c r="B99" i="26" s="1"/>
  <c r="BB101" i="29"/>
  <c r="AZ103" i="29"/>
  <c r="N104" i="29"/>
  <c r="AY104" i="29" s="1"/>
  <c r="AP104" i="29"/>
  <c r="O104" i="29"/>
  <c r="R103" i="29"/>
  <c r="AB103" i="29"/>
  <c r="B105" i="29"/>
  <c r="D105" i="29" s="1"/>
  <c r="AA103" i="29"/>
  <c r="P103" i="29"/>
  <c r="Q103" i="29"/>
  <c r="AC102" i="29"/>
  <c r="AD102" i="29" s="1"/>
  <c r="S102" i="29"/>
  <c r="T102" i="29" s="1"/>
  <c r="N85" i="17"/>
  <c r="M85" i="17"/>
  <c r="C86" i="17"/>
  <c r="D86" i="17" s="1"/>
  <c r="S83" i="17"/>
  <c r="T83" i="17" s="1"/>
  <c r="O85" i="17"/>
  <c r="R84" i="17"/>
  <c r="Q84" i="17"/>
  <c r="P84" i="17"/>
  <c r="L88" i="17"/>
  <c r="B89" i="17"/>
  <c r="R87" i="51" l="1"/>
  <c r="S86" i="51"/>
  <c r="T86" i="51" s="1"/>
  <c r="S86" i="52"/>
  <c r="T86" i="52" s="1"/>
  <c r="P87" i="52"/>
  <c r="S87" i="52" s="1"/>
  <c r="R87" i="52"/>
  <c r="P87" i="51"/>
  <c r="Q87" i="51"/>
  <c r="M87" i="52"/>
  <c r="M87" i="51"/>
  <c r="O88" i="51" s="1"/>
  <c r="L88" i="52"/>
  <c r="B89" i="52"/>
  <c r="C88" i="52"/>
  <c r="D88" i="52" s="1"/>
  <c r="N88" i="52" s="1"/>
  <c r="Q88" i="52" s="1"/>
  <c r="B89" i="51"/>
  <c r="L88" i="51"/>
  <c r="C88" i="51"/>
  <c r="D88" i="51" s="1"/>
  <c r="N88" i="51" s="1"/>
  <c r="Q88" i="51" s="1"/>
  <c r="P88" i="50"/>
  <c r="O88" i="50"/>
  <c r="Q88" i="50"/>
  <c r="P87" i="50"/>
  <c r="Q87" i="50"/>
  <c r="T85" i="46"/>
  <c r="M88" i="50"/>
  <c r="O89" i="50" s="1"/>
  <c r="L89" i="50"/>
  <c r="C89" i="50"/>
  <c r="D89" i="50" s="1"/>
  <c r="B90" i="50"/>
  <c r="S86" i="43"/>
  <c r="T86" i="43" s="1"/>
  <c r="R86" i="45"/>
  <c r="T86" i="45" s="1"/>
  <c r="R86" i="44"/>
  <c r="T86" i="44" s="1"/>
  <c r="R87" i="43"/>
  <c r="O87" i="46"/>
  <c r="N87" i="46"/>
  <c r="M87" i="46"/>
  <c r="N87" i="44"/>
  <c r="M87" i="44"/>
  <c r="N87" i="43"/>
  <c r="M87" i="43"/>
  <c r="N87" i="45"/>
  <c r="M87" i="45"/>
  <c r="S85" i="44"/>
  <c r="T85" i="44" s="1"/>
  <c r="S85" i="45"/>
  <c r="T85" i="45" s="1"/>
  <c r="Q86" i="46"/>
  <c r="P86" i="46"/>
  <c r="B89" i="45"/>
  <c r="C88" i="45"/>
  <c r="D88" i="45" s="1"/>
  <c r="L88" i="45"/>
  <c r="B89" i="46"/>
  <c r="L88" i="46"/>
  <c r="C88" i="46"/>
  <c r="D88" i="46" s="1"/>
  <c r="N88" i="46" s="1"/>
  <c r="Q88" i="46" s="1"/>
  <c r="L88" i="43"/>
  <c r="B89" i="43"/>
  <c r="C88" i="43"/>
  <c r="D88" i="43" s="1"/>
  <c r="B89" i="44"/>
  <c r="L88" i="44"/>
  <c r="C88" i="44"/>
  <c r="D88" i="44" s="1"/>
  <c r="BA103" i="29"/>
  <c r="BV103" i="29"/>
  <c r="BW103" i="29" s="1"/>
  <c r="M105" i="29"/>
  <c r="BM105" i="29"/>
  <c r="B100" i="26" s="1"/>
  <c r="BB102" i="29"/>
  <c r="AZ104" i="29"/>
  <c r="R104" i="29"/>
  <c r="N105" i="29"/>
  <c r="AY105" i="29" s="1"/>
  <c r="AP105" i="29"/>
  <c r="AB104" i="29"/>
  <c r="O105" i="29"/>
  <c r="B106" i="29"/>
  <c r="D106" i="29" s="1"/>
  <c r="AC103" i="29"/>
  <c r="AD103" i="29" s="1"/>
  <c r="S103" i="29"/>
  <c r="T103" i="29" s="1"/>
  <c r="P104" i="29"/>
  <c r="Q104" i="29"/>
  <c r="AA104" i="29"/>
  <c r="O86" i="17"/>
  <c r="R85" i="17"/>
  <c r="S84" i="17"/>
  <c r="T84" i="17" s="1"/>
  <c r="P85" i="17"/>
  <c r="Q85" i="17"/>
  <c r="N86" i="17"/>
  <c r="M86" i="17"/>
  <c r="C87" i="17"/>
  <c r="D87" i="17" s="1"/>
  <c r="C88" i="17" s="1"/>
  <c r="D88" i="17" s="1"/>
  <c r="B90" i="17"/>
  <c r="L89" i="17"/>
  <c r="T87" i="52" l="1"/>
  <c r="R88" i="51"/>
  <c r="M88" i="52"/>
  <c r="O89" i="52" s="1"/>
  <c r="R89" i="52" s="1"/>
  <c r="S87" i="51"/>
  <c r="T87" i="51" s="1"/>
  <c r="P88" i="51"/>
  <c r="S88" i="51" s="1"/>
  <c r="P88" i="52"/>
  <c r="S88" i="52" s="1"/>
  <c r="O88" i="52"/>
  <c r="R88" i="52" s="1"/>
  <c r="M88" i="51"/>
  <c r="O89" i="51" s="1"/>
  <c r="R89" i="51" s="1"/>
  <c r="L89" i="52"/>
  <c r="B90" i="52"/>
  <c r="C89" i="52"/>
  <c r="D89" i="52" s="1"/>
  <c r="N89" i="52" s="1"/>
  <c r="Q89" i="52" s="1"/>
  <c r="L89" i="51"/>
  <c r="B90" i="51"/>
  <c r="C89" i="51"/>
  <c r="D89" i="51" s="1"/>
  <c r="N89" i="51" s="1"/>
  <c r="S88" i="50"/>
  <c r="R89" i="50"/>
  <c r="R88" i="50"/>
  <c r="N89" i="50"/>
  <c r="M89" i="50"/>
  <c r="S87" i="50"/>
  <c r="T87" i="50" s="1"/>
  <c r="C90" i="50"/>
  <c r="D90" i="50" s="1"/>
  <c r="B91" i="50"/>
  <c r="L90" i="50"/>
  <c r="S86" i="46"/>
  <c r="T86" i="46" s="1"/>
  <c r="O88" i="45"/>
  <c r="O88" i="44"/>
  <c r="O88" i="43"/>
  <c r="O88" i="46"/>
  <c r="N88" i="44"/>
  <c r="M88" i="44"/>
  <c r="R87" i="46"/>
  <c r="N88" i="43"/>
  <c r="M88" i="43"/>
  <c r="N88" i="45"/>
  <c r="M88" i="45"/>
  <c r="P88" i="46"/>
  <c r="S88" i="46" s="1"/>
  <c r="Q87" i="45"/>
  <c r="P87" i="45"/>
  <c r="M88" i="46"/>
  <c r="O89" i="46" s="1"/>
  <c r="R89" i="46" s="1"/>
  <c r="P87" i="44"/>
  <c r="Q87" i="44"/>
  <c r="P87" i="43"/>
  <c r="Q87" i="43"/>
  <c r="Q87" i="46"/>
  <c r="P87" i="46"/>
  <c r="L89" i="44"/>
  <c r="C89" i="44"/>
  <c r="D89" i="44" s="1"/>
  <c r="B90" i="44"/>
  <c r="B90" i="43"/>
  <c r="C89" i="43"/>
  <c r="D89" i="43" s="1"/>
  <c r="L89" i="43"/>
  <c r="B90" i="46"/>
  <c r="C89" i="46"/>
  <c r="D89" i="46" s="1"/>
  <c r="L89" i="46"/>
  <c r="B90" i="45"/>
  <c r="C89" i="45"/>
  <c r="D89" i="45" s="1"/>
  <c r="N89" i="45" s="1"/>
  <c r="L89" i="45"/>
  <c r="BA104" i="29"/>
  <c r="BV104" i="29"/>
  <c r="BW104" i="29" s="1"/>
  <c r="M106" i="29"/>
  <c r="BM106" i="29"/>
  <c r="B101" i="26" s="1"/>
  <c r="BB103" i="29"/>
  <c r="AZ105" i="29"/>
  <c r="N106" i="29"/>
  <c r="AY106" i="29" s="1"/>
  <c r="AP106" i="29"/>
  <c r="O106" i="29"/>
  <c r="AC104" i="29"/>
  <c r="AD104" i="29" s="1"/>
  <c r="S104" i="29"/>
  <c r="T104" i="29" s="1"/>
  <c r="AA105" i="29"/>
  <c r="Q105" i="29"/>
  <c r="P105" i="29"/>
  <c r="AB105" i="29"/>
  <c r="R105" i="29"/>
  <c r="B107" i="29"/>
  <c r="D107" i="29" s="1"/>
  <c r="N88" i="17"/>
  <c r="M88" i="17"/>
  <c r="C89" i="17"/>
  <c r="D89" i="17" s="1"/>
  <c r="C90" i="17" s="1"/>
  <c r="D90" i="17" s="1"/>
  <c r="R86" i="17"/>
  <c r="S85" i="17"/>
  <c r="T85" i="17" s="1"/>
  <c r="O87" i="17"/>
  <c r="P86" i="17"/>
  <c r="Q86" i="17"/>
  <c r="N87" i="17"/>
  <c r="M87" i="17"/>
  <c r="L90" i="17"/>
  <c r="B91" i="17"/>
  <c r="R88" i="46" l="1"/>
  <c r="T88" i="46" s="1"/>
  <c r="T88" i="51"/>
  <c r="M89" i="51"/>
  <c r="O90" i="51" s="1"/>
  <c r="P89" i="51"/>
  <c r="Q89" i="51"/>
  <c r="T88" i="52"/>
  <c r="P89" i="52"/>
  <c r="S89" i="52" s="1"/>
  <c r="T89" i="52" s="1"/>
  <c r="M89" i="52"/>
  <c r="O90" i="52" s="1"/>
  <c r="R90" i="52" s="1"/>
  <c r="L90" i="52"/>
  <c r="B91" i="52"/>
  <c r="C90" i="52"/>
  <c r="D90" i="52" s="1"/>
  <c r="N90" i="52" s="1"/>
  <c r="Q90" i="52" s="1"/>
  <c r="B91" i="51"/>
  <c r="L90" i="51"/>
  <c r="C90" i="51"/>
  <c r="D90" i="51" s="1"/>
  <c r="N90" i="51" s="1"/>
  <c r="Q90" i="51" s="1"/>
  <c r="T88" i="50"/>
  <c r="R88" i="45"/>
  <c r="O90" i="50"/>
  <c r="Q89" i="50"/>
  <c r="P89" i="50"/>
  <c r="N90" i="50"/>
  <c r="M90" i="50"/>
  <c r="B92" i="50"/>
  <c r="C91" i="50"/>
  <c r="D91" i="50" s="1"/>
  <c r="L91" i="50"/>
  <c r="P89" i="45"/>
  <c r="R88" i="44"/>
  <c r="O89" i="44"/>
  <c r="S87" i="44"/>
  <c r="T87" i="44" s="1"/>
  <c r="R88" i="43"/>
  <c r="O89" i="43"/>
  <c r="O89" i="45"/>
  <c r="S87" i="46"/>
  <c r="T87" i="46" s="1"/>
  <c r="S87" i="43"/>
  <c r="T87" i="43" s="1"/>
  <c r="Q88" i="44"/>
  <c r="P88" i="44"/>
  <c r="N89" i="44"/>
  <c r="M89" i="44"/>
  <c r="N89" i="43"/>
  <c r="M89" i="43"/>
  <c r="N89" i="46"/>
  <c r="M89" i="46"/>
  <c r="M89" i="45"/>
  <c r="O90" i="45" s="1"/>
  <c r="Q89" i="45"/>
  <c r="P88" i="45"/>
  <c r="Q88" i="45"/>
  <c r="S87" i="45"/>
  <c r="T87" i="45" s="1"/>
  <c r="Q88" i="43"/>
  <c r="P88" i="43"/>
  <c r="L90" i="45"/>
  <c r="C90" i="45"/>
  <c r="D90" i="45" s="1"/>
  <c r="N90" i="45" s="1"/>
  <c r="Q90" i="45" s="1"/>
  <c r="B91" i="45"/>
  <c r="C90" i="43"/>
  <c r="D90" i="43" s="1"/>
  <c r="B91" i="43"/>
  <c r="L90" i="43"/>
  <c r="L90" i="46"/>
  <c r="B91" i="46"/>
  <c r="C90" i="46"/>
  <c r="D90" i="46" s="1"/>
  <c r="L90" i="44"/>
  <c r="C90" i="44"/>
  <c r="D90" i="44" s="1"/>
  <c r="B91" i="44"/>
  <c r="BA105" i="29"/>
  <c r="BV105" i="29"/>
  <c r="BW105" i="29" s="1"/>
  <c r="M107" i="29"/>
  <c r="BM107" i="29"/>
  <c r="B102" i="26" s="1"/>
  <c r="BB104" i="29"/>
  <c r="AZ106" i="29"/>
  <c r="N107" i="29"/>
  <c r="AY107" i="29" s="1"/>
  <c r="AP107" i="29"/>
  <c r="R106" i="29"/>
  <c r="AB106" i="29"/>
  <c r="B108" i="29"/>
  <c r="D108" i="29" s="1"/>
  <c r="O107" i="29"/>
  <c r="Q106" i="29"/>
  <c r="P106" i="29"/>
  <c r="AA106" i="29"/>
  <c r="AC105" i="29"/>
  <c r="AD105" i="29" s="1"/>
  <c r="S105" i="29"/>
  <c r="T105" i="29" s="1"/>
  <c r="O89" i="17"/>
  <c r="N90" i="17"/>
  <c r="M90" i="17"/>
  <c r="N89" i="17"/>
  <c r="M89" i="17"/>
  <c r="O88" i="17"/>
  <c r="Q88" i="17"/>
  <c r="P88" i="17"/>
  <c r="P87" i="17"/>
  <c r="Q87" i="17"/>
  <c r="R87" i="17"/>
  <c r="S86" i="17"/>
  <c r="T86" i="17" s="1"/>
  <c r="C91" i="17"/>
  <c r="D91" i="17" s="1"/>
  <c r="L91" i="17"/>
  <c r="B92" i="17"/>
  <c r="M90" i="52" l="1"/>
  <c r="R90" i="51"/>
  <c r="P90" i="52"/>
  <c r="S90" i="52" s="1"/>
  <c r="T90" i="52" s="1"/>
  <c r="P90" i="51"/>
  <c r="S90" i="51" s="1"/>
  <c r="S89" i="51"/>
  <c r="T89" i="51" s="1"/>
  <c r="M90" i="51"/>
  <c r="O91" i="51" s="1"/>
  <c r="R91" i="51" s="1"/>
  <c r="L91" i="51"/>
  <c r="B92" i="51"/>
  <c r="C91" i="51"/>
  <c r="D91" i="51" s="1"/>
  <c r="N91" i="51" s="1"/>
  <c r="Q91" i="51" s="1"/>
  <c r="B92" i="52"/>
  <c r="L91" i="52"/>
  <c r="C91" i="52"/>
  <c r="D91" i="52" s="1"/>
  <c r="N91" i="52" s="1"/>
  <c r="Q91" i="52" s="1"/>
  <c r="O91" i="52"/>
  <c r="R91" i="52" s="1"/>
  <c r="R90" i="50"/>
  <c r="O91" i="50"/>
  <c r="S89" i="50"/>
  <c r="T89" i="50" s="1"/>
  <c r="N91" i="50"/>
  <c r="M91" i="50"/>
  <c r="P90" i="50"/>
  <c r="Q90" i="50"/>
  <c r="L92" i="50"/>
  <c r="B93" i="50"/>
  <c r="C92" i="50"/>
  <c r="D92" i="50" s="1"/>
  <c r="S89" i="45"/>
  <c r="O90" i="44"/>
  <c r="R90" i="45"/>
  <c r="R89" i="45"/>
  <c r="R89" i="44"/>
  <c r="R89" i="43"/>
  <c r="N90" i="46"/>
  <c r="Q90" i="46" s="1"/>
  <c r="M90" i="46"/>
  <c r="S88" i="45"/>
  <c r="T88" i="45" s="1"/>
  <c r="S88" i="44"/>
  <c r="T88" i="44" s="1"/>
  <c r="O90" i="46"/>
  <c r="N90" i="44"/>
  <c r="M90" i="44"/>
  <c r="N90" i="43"/>
  <c r="M90" i="43"/>
  <c r="Q89" i="43"/>
  <c r="P89" i="43"/>
  <c r="Q89" i="44"/>
  <c r="P89" i="44"/>
  <c r="P90" i="45"/>
  <c r="S90" i="45" s="1"/>
  <c r="M90" i="45"/>
  <c r="O91" i="45" s="1"/>
  <c r="R91" i="45" s="1"/>
  <c r="S88" i="43"/>
  <c r="T88" i="43" s="1"/>
  <c r="P89" i="46"/>
  <c r="Q89" i="46"/>
  <c r="O90" i="43"/>
  <c r="B92" i="43"/>
  <c r="L91" i="43"/>
  <c r="C91" i="43"/>
  <c r="D91" i="43" s="1"/>
  <c r="C91" i="44"/>
  <c r="D91" i="44" s="1"/>
  <c r="B92" i="44"/>
  <c r="L91" i="44"/>
  <c r="C91" i="45"/>
  <c r="D91" i="45" s="1"/>
  <c r="B92" i="45"/>
  <c r="L91" i="45"/>
  <c r="C91" i="46"/>
  <c r="D91" i="46" s="1"/>
  <c r="L91" i="46"/>
  <c r="B92" i="46"/>
  <c r="BA106" i="29"/>
  <c r="BV106" i="29"/>
  <c r="BW106" i="29" s="1"/>
  <c r="M108" i="29"/>
  <c r="BM108" i="29"/>
  <c r="B103" i="26" s="1"/>
  <c r="BB105" i="29"/>
  <c r="AZ107" i="29"/>
  <c r="N108" i="29"/>
  <c r="AY108" i="29" s="1"/>
  <c r="AP108" i="29"/>
  <c r="S106" i="29"/>
  <c r="T106" i="29" s="1"/>
  <c r="AC106" i="29"/>
  <c r="AD106" i="29" s="1"/>
  <c r="O108" i="29"/>
  <c r="B109" i="29"/>
  <c r="D109" i="29" s="1"/>
  <c r="AB107" i="29"/>
  <c r="R107" i="29"/>
  <c r="AA107" i="29"/>
  <c r="P107" i="29"/>
  <c r="Q107" i="29"/>
  <c r="R88" i="17"/>
  <c r="O91" i="17"/>
  <c r="R89" i="17"/>
  <c r="N91" i="17"/>
  <c r="M91" i="17"/>
  <c r="O90" i="17"/>
  <c r="S88" i="17"/>
  <c r="P89" i="17"/>
  <c r="Q89" i="17"/>
  <c r="Q90" i="17"/>
  <c r="P90" i="17"/>
  <c r="S87" i="17"/>
  <c r="T87" i="17" s="1"/>
  <c r="C92" i="17"/>
  <c r="D92" i="17" s="1"/>
  <c r="L92" i="17"/>
  <c r="B93" i="17"/>
  <c r="T90" i="51" l="1"/>
  <c r="P91" i="51"/>
  <c r="S91" i="51" s="1"/>
  <c r="T91" i="51" s="1"/>
  <c r="P91" i="52"/>
  <c r="S91" i="52" s="1"/>
  <c r="T91" i="52" s="1"/>
  <c r="M91" i="51"/>
  <c r="O92" i="51" s="1"/>
  <c r="R92" i="51" s="1"/>
  <c r="M91" i="52"/>
  <c r="O92" i="52" s="1"/>
  <c r="R92" i="52" s="1"/>
  <c r="L92" i="51"/>
  <c r="B93" i="51"/>
  <c r="C92" i="51"/>
  <c r="D92" i="51" s="1"/>
  <c r="N92" i="51" s="1"/>
  <c r="Q92" i="51" s="1"/>
  <c r="L92" i="52"/>
  <c r="B93" i="52"/>
  <c r="C92" i="52"/>
  <c r="D92" i="52" s="1"/>
  <c r="N92" i="52" s="1"/>
  <c r="Q92" i="52" s="1"/>
  <c r="R91" i="50"/>
  <c r="S90" i="50"/>
  <c r="T90" i="50" s="1"/>
  <c r="T90" i="45"/>
  <c r="O91" i="46"/>
  <c r="R91" i="46" s="1"/>
  <c r="O92" i="50"/>
  <c r="N92" i="50"/>
  <c r="M92" i="50"/>
  <c r="T89" i="45"/>
  <c r="P91" i="50"/>
  <c r="Q91" i="50"/>
  <c r="L93" i="50"/>
  <c r="C93" i="50"/>
  <c r="D93" i="50" s="1"/>
  <c r="B94" i="50"/>
  <c r="S89" i="44"/>
  <c r="T89" i="44" s="1"/>
  <c r="P90" i="46"/>
  <c r="S90" i="46" s="1"/>
  <c r="R90" i="46"/>
  <c r="R90" i="44"/>
  <c r="O91" i="44"/>
  <c r="N91" i="44"/>
  <c r="M91" i="44"/>
  <c r="N91" i="46"/>
  <c r="Q91" i="46" s="1"/>
  <c r="M91" i="46"/>
  <c r="S89" i="46"/>
  <c r="T89" i="46" s="1"/>
  <c r="N91" i="45"/>
  <c r="M91" i="45"/>
  <c r="N91" i="43"/>
  <c r="M91" i="43"/>
  <c r="R90" i="43"/>
  <c r="Q90" i="43"/>
  <c r="P90" i="43"/>
  <c r="O91" i="43"/>
  <c r="S89" i="43"/>
  <c r="T89" i="43" s="1"/>
  <c r="P90" i="44"/>
  <c r="Q90" i="44"/>
  <c r="C92" i="46"/>
  <c r="D92" i="46" s="1"/>
  <c r="L92" i="46"/>
  <c r="B93" i="46"/>
  <c r="L92" i="45"/>
  <c r="B93" i="45"/>
  <c r="C92" i="45"/>
  <c r="D92" i="45" s="1"/>
  <c r="L92" i="43"/>
  <c r="B93" i="43"/>
  <c r="C92" i="43"/>
  <c r="D92" i="43" s="1"/>
  <c r="B93" i="44"/>
  <c r="L92" i="44"/>
  <c r="C92" i="44"/>
  <c r="D92" i="44" s="1"/>
  <c r="N92" i="44" s="1"/>
  <c r="BA107" i="29"/>
  <c r="BV107" i="29"/>
  <c r="BW107" i="29" s="1"/>
  <c r="M109" i="29"/>
  <c r="BM109" i="29"/>
  <c r="B104" i="26" s="1"/>
  <c r="BB106" i="29"/>
  <c r="AZ108" i="29"/>
  <c r="N109" i="29"/>
  <c r="AY109" i="29" s="1"/>
  <c r="AP109" i="29"/>
  <c r="AA108" i="29"/>
  <c r="Q108" i="29"/>
  <c r="P108" i="29"/>
  <c r="AB108" i="29"/>
  <c r="R108" i="29"/>
  <c r="AC107" i="29"/>
  <c r="AD107" i="29" s="1"/>
  <c r="S107" i="29"/>
  <c r="T107" i="29" s="1"/>
  <c r="O109" i="29"/>
  <c r="B110" i="29"/>
  <c r="D110" i="29" s="1"/>
  <c r="T88" i="17"/>
  <c r="R91" i="17"/>
  <c r="O92" i="17"/>
  <c r="S90" i="17"/>
  <c r="N92" i="17"/>
  <c r="M92" i="17"/>
  <c r="P91" i="17"/>
  <c r="Q91" i="17"/>
  <c r="S89" i="17"/>
  <c r="T89" i="17" s="1"/>
  <c r="R90" i="17"/>
  <c r="C93" i="17"/>
  <c r="D93" i="17" s="1"/>
  <c r="B94" i="17"/>
  <c r="L93" i="17"/>
  <c r="P92" i="51" l="1"/>
  <c r="S92" i="51" s="1"/>
  <c r="T92" i="51" s="1"/>
  <c r="P92" i="52"/>
  <c r="S92" i="52" s="1"/>
  <c r="T92" i="52" s="1"/>
  <c r="M92" i="51"/>
  <c r="O93" i="51" s="1"/>
  <c r="R93" i="51" s="1"/>
  <c r="M92" i="52"/>
  <c r="O93" i="52" s="1"/>
  <c r="R93" i="52" s="1"/>
  <c r="B94" i="51"/>
  <c r="L93" i="51"/>
  <c r="C93" i="51"/>
  <c r="D93" i="51" s="1"/>
  <c r="N93" i="51" s="1"/>
  <c r="Q93" i="51" s="1"/>
  <c r="B94" i="52"/>
  <c r="L93" i="52"/>
  <c r="C93" i="52"/>
  <c r="D93" i="52" s="1"/>
  <c r="N93" i="52" s="1"/>
  <c r="Q93" i="52" s="1"/>
  <c r="R92" i="50"/>
  <c r="O93" i="50"/>
  <c r="S91" i="50"/>
  <c r="T91" i="50" s="1"/>
  <c r="N93" i="50"/>
  <c r="M93" i="50"/>
  <c r="P92" i="50"/>
  <c r="Q92" i="50"/>
  <c r="C94" i="50"/>
  <c r="D94" i="50" s="1"/>
  <c r="B95" i="50"/>
  <c r="L94" i="50"/>
  <c r="T90" i="46"/>
  <c r="P92" i="44"/>
  <c r="O92" i="44"/>
  <c r="O92" i="46"/>
  <c r="R92" i="46" s="1"/>
  <c r="O92" i="45"/>
  <c r="R91" i="44"/>
  <c r="P91" i="46"/>
  <c r="S91" i="46" s="1"/>
  <c r="T91" i="46" s="1"/>
  <c r="O92" i="43"/>
  <c r="Q91" i="44"/>
  <c r="P91" i="44"/>
  <c r="N92" i="45"/>
  <c r="M92" i="45"/>
  <c r="N92" i="46"/>
  <c r="M92" i="46"/>
  <c r="N92" i="43"/>
  <c r="M92" i="43"/>
  <c r="S90" i="44"/>
  <c r="T90" i="44" s="1"/>
  <c r="Q91" i="43"/>
  <c r="P91" i="43"/>
  <c r="Q92" i="44"/>
  <c r="M92" i="44"/>
  <c r="O93" i="44" s="1"/>
  <c r="R91" i="43"/>
  <c r="S90" i="43"/>
  <c r="T90" i="43" s="1"/>
  <c r="P91" i="45"/>
  <c r="Q91" i="45"/>
  <c r="L93" i="44"/>
  <c r="B94" i="44"/>
  <c r="C93" i="44"/>
  <c r="D93" i="44" s="1"/>
  <c r="B94" i="43"/>
  <c r="C93" i="43"/>
  <c r="D93" i="43" s="1"/>
  <c r="N93" i="43" s="1"/>
  <c r="Q93" i="43" s="1"/>
  <c r="L93" i="43"/>
  <c r="B94" i="46"/>
  <c r="L93" i="46"/>
  <c r="C93" i="46"/>
  <c r="D93" i="46" s="1"/>
  <c r="L93" i="45"/>
  <c r="C93" i="45"/>
  <c r="D93" i="45" s="1"/>
  <c r="B94" i="45"/>
  <c r="BA108" i="29"/>
  <c r="BV108" i="29"/>
  <c r="BW108" i="29" s="1"/>
  <c r="M110" i="29"/>
  <c r="BM110" i="29"/>
  <c r="B105" i="26" s="1"/>
  <c r="BB107" i="29"/>
  <c r="AZ109" i="29"/>
  <c r="N110" i="29"/>
  <c r="AY110" i="29" s="1"/>
  <c r="AP110" i="29"/>
  <c r="O110" i="29"/>
  <c r="AC108" i="29"/>
  <c r="AD108" i="29" s="1"/>
  <c r="S108" i="29"/>
  <c r="T108" i="29" s="1"/>
  <c r="Q109" i="29"/>
  <c r="P109" i="29"/>
  <c r="AA109" i="29"/>
  <c r="R109" i="29"/>
  <c r="AB109" i="29"/>
  <c r="B111" i="29"/>
  <c r="D111" i="29" s="1"/>
  <c r="T90" i="17"/>
  <c r="R92" i="17"/>
  <c r="O93" i="17"/>
  <c r="N93" i="17"/>
  <c r="M93" i="17"/>
  <c r="S91" i="17"/>
  <c r="T91" i="17" s="1"/>
  <c r="P92" i="17"/>
  <c r="Q92" i="17"/>
  <c r="L94" i="17"/>
  <c r="B95" i="17"/>
  <c r="C94" i="17"/>
  <c r="D94" i="17" s="1"/>
  <c r="R92" i="45" l="1"/>
  <c r="M93" i="51"/>
  <c r="O94" i="51" s="1"/>
  <c r="R94" i="51" s="1"/>
  <c r="P93" i="51"/>
  <c r="S93" i="51" s="1"/>
  <c r="T93" i="51" s="1"/>
  <c r="P93" i="52"/>
  <c r="S93" i="52" s="1"/>
  <c r="T93" i="52" s="1"/>
  <c r="M93" i="52"/>
  <c r="O94" i="52" s="1"/>
  <c r="R94" i="52" s="1"/>
  <c r="B95" i="51"/>
  <c r="L94" i="51"/>
  <c r="C94" i="51"/>
  <c r="D94" i="51" s="1"/>
  <c r="N94" i="51" s="1"/>
  <c r="B95" i="52"/>
  <c r="L94" i="52"/>
  <c r="C94" i="52"/>
  <c r="D94" i="52" s="1"/>
  <c r="N94" i="52" s="1"/>
  <c r="Q94" i="52" s="1"/>
  <c r="R93" i="50"/>
  <c r="O94" i="50"/>
  <c r="N94" i="50"/>
  <c r="M94" i="50"/>
  <c r="S92" i="50"/>
  <c r="T92" i="50" s="1"/>
  <c r="Q93" i="50"/>
  <c r="P93" i="50"/>
  <c r="B96" i="50"/>
  <c r="L95" i="50"/>
  <c r="C95" i="50"/>
  <c r="D95" i="50" s="1"/>
  <c r="S92" i="44"/>
  <c r="R92" i="44"/>
  <c r="O93" i="45"/>
  <c r="O93" i="43"/>
  <c r="S91" i="43"/>
  <c r="T91" i="43" s="1"/>
  <c r="P93" i="43"/>
  <c r="S93" i="43" s="1"/>
  <c r="O93" i="46"/>
  <c r="R93" i="44"/>
  <c r="R92" i="43"/>
  <c r="S91" i="44"/>
  <c r="T91" i="44" s="1"/>
  <c r="N93" i="45"/>
  <c r="M93" i="45"/>
  <c r="N93" i="44"/>
  <c r="M93" i="44"/>
  <c r="N93" i="46"/>
  <c r="M93" i="46"/>
  <c r="S91" i="45"/>
  <c r="T91" i="45" s="1"/>
  <c r="P92" i="46"/>
  <c r="Q92" i="46"/>
  <c r="M93" i="43"/>
  <c r="O94" i="43" s="1"/>
  <c r="R94" i="43" s="1"/>
  <c r="P92" i="43"/>
  <c r="Q92" i="43"/>
  <c r="Q92" i="45"/>
  <c r="P92" i="45"/>
  <c r="C94" i="46"/>
  <c r="D94" i="46" s="1"/>
  <c r="N94" i="46" s="1"/>
  <c r="B95" i="46"/>
  <c r="L94" i="46"/>
  <c r="L94" i="43"/>
  <c r="B95" i="43"/>
  <c r="C94" i="43"/>
  <c r="D94" i="43" s="1"/>
  <c r="L94" i="45"/>
  <c r="B95" i="45"/>
  <c r="C94" i="45"/>
  <c r="D94" i="45" s="1"/>
  <c r="B95" i="44"/>
  <c r="C94" i="44"/>
  <c r="D94" i="44" s="1"/>
  <c r="L94" i="44"/>
  <c r="BA109" i="29"/>
  <c r="BV109" i="29"/>
  <c r="BW109" i="29" s="1"/>
  <c r="M111" i="29"/>
  <c r="BM111" i="29"/>
  <c r="B106" i="26" s="1"/>
  <c r="BB108" i="29"/>
  <c r="AZ110" i="29"/>
  <c r="N111" i="29"/>
  <c r="AY111" i="29" s="1"/>
  <c r="AP111" i="29"/>
  <c r="R110" i="29"/>
  <c r="AB110" i="29"/>
  <c r="Q110" i="29"/>
  <c r="AA110" i="29"/>
  <c r="P110" i="29"/>
  <c r="O111" i="29"/>
  <c r="S109" i="29"/>
  <c r="T109" i="29" s="1"/>
  <c r="AC109" i="29"/>
  <c r="AD109" i="29" s="1"/>
  <c r="B112" i="29"/>
  <c r="D112" i="29" s="1"/>
  <c r="R93" i="17"/>
  <c r="O94" i="17"/>
  <c r="Q93" i="17"/>
  <c r="P93" i="17"/>
  <c r="N94" i="17"/>
  <c r="M94" i="17"/>
  <c r="S92" i="17"/>
  <c r="T92" i="17" s="1"/>
  <c r="B96" i="17"/>
  <c r="C95" i="17"/>
  <c r="D95" i="17" s="1"/>
  <c r="N95" i="17" s="1"/>
  <c r="L95" i="17"/>
  <c r="R93" i="46" l="1"/>
  <c r="R94" i="50"/>
  <c r="P94" i="51"/>
  <c r="P94" i="52"/>
  <c r="S94" i="52" s="1"/>
  <c r="T94" i="52" s="1"/>
  <c r="Q94" i="51"/>
  <c r="M94" i="52"/>
  <c r="O95" i="52" s="1"/>
  <c r="R95" i="52" s="1"/>
  <c r="M94" i="51"/>
  <c r="O95" i="51" s="1"/>
  <c r="B96" i="51"/>
  <c r="L95" i="51"/>
  <c r="C95" i="51"/>
  <c r="D95" i="51" s="1"/>
  <c r="N95" i="51" s="1"/>
  <c r="Q95" i="51" s="1"/>
  <c r="B96" i="52"/>
  <c r="L95" i="52"/>
  <c r="C95" i="52"/>
  <c r="D95" i="52" s="1"/>
  <c r="N95" i="52" s="1"/>
  <c r="Q95" i="52" s="1"/>
  <c r="O95" i="50"/>
  <c r="N95" i="50"/>
  <c r="M95" i="50"/>
  <c r="S93" i="50"/>
  <c r="T93" i="50" s="1"/>
  <c r="Q94" i="50"/>
  <c r="P94" i="50"/>
  <c r="L96" i="50"/>
  <c r="C96" i="50"/>
  <c r="D96" i="50" s="1"/>
  <c r="N96" i="50" s="1"/>
  <c r="B97" i="50"/>
  <c r="T92" i="44"/>
  <c r="R93" i="45"/>
  <c r="R93" i="43"/>
  <c r="T93" i="43" s="1"/>
  <c r="S92" i="46"/>
  <c r="T92" i="46" s="1"/>
  <c r="O94" i="44"/>
  <c r="P94" i="46"/>
  <c r="O94" i="46"/>
  <c r="O94" i="45"/>
  <c r="N94" i="44"/>
  <c r="M94" i="44"/>
  <c r="N94" i="45"/>
  <c r="M94" i="45"/>
  <c r="N94" i="43"/>
  <c r="M94" i="43"/>
  <c r="Q94" i="46"/>
  <c r="M94" i="46"/>
  <c r="O95" i="46" s="1"/>
  <c r="S92" i="43"/>
  <c r="T92" i="43" s="1"/>
  <c r="Q93" i="44"/>
  <c r="P93" i="44"/>
  <c r="P93" i="46"/>
  <c r="Q93" i="46"/>
  <c r="P93" i="45"/>
  <c r="Q93" i="45"/>
  <c r="S92" i="45"/>
  <c r="T92" i="45" s="1"/>
  <c r="B96" i="43"/>
  <c r="L95" i="43"/>
  <c r="C95" i="43"/>
  <c r="D95" i="43" s="1"/>
  <c r="N95" i="43" s="1"/>
  <c r="Q95" i="43" s="1"/>
  <c r="B96" i="46"/>
  <c r="C95" i="46"/>
  <c r="D95" i="46" s="1"/>
  <c r="N95" i="46" s="1"/>
  <c r="L95" i="46"/>
  <c r="C95" i="45"/>
  <c r="D95" i="45" s="1"/>
  <c r="N95" i="45" s="1"/>
  <c r="Q95" i="45" s="1"/>
  <c r="L95" i="45"/>
  <c r="B96" i="45"/>
  <c r="B96" i="44"/>
  <c r="L95" i="44"/>
  <c r="C95" i="44"/>
  <c r="D95" i="44" s="1"/>
  <c r="N95" i="44" s="1"/>
  <c r="Q95" i="44" s="1"/>
  <c r="BA110" i="29"/>
  <c r="BV110" i="29"/>
  <c r="BW110" i="29" s="1"/>
  <c r="M112" i="29"/>
  <c r="BM112" i="29"/>
  <c r="B107" i="26" s="1"/>
  <c r="BB109" i="29"/>
  <c r="AZ111" i="29"/>
  <c r="N112" i="29"/>
  <c r="AY112" i="29" s="1"/>
  <c r="AP112" i="29"/>
  <c r="B113" i="29"/>
  <c r="D113" i="29" s="1"/>
  <c r="O112" i="29"/>
  <c r="AA111" i="29"/>
  <c r="Q111" i="29"/>
  <c r="P111" i="29"/>
  <c r="AB111" i="29"/>
  <c r="R111" i="29"/>
  <c r="AC110" i="29"/>
  <c r="AD110" i="29" s="1"/>
  <c r="S110" i="29"/>
  <c r="T110" i="29" s="1"/>
  <c r="P95" i="17"/>
  <c r="O95" i="17"/>
  <c r="M95" i="17"/>
  <c r="O96" i="17" s="1"/>
  <c r="Q95" i="17"/>
  <c r="R94" i="17"/>
  <c r="S93" i="17"/>
  <c r="T93" i="17" s="1"/>
  <c r="P94" i="17"/>
  <c r="Q94" i="17"/>
  <c r="C96" i="17"/>
  <c r="D96" i="17" s="1"/>
  <c r="N96" i="17" s="1"/>
  <c r="L96" i="17"/>
  <c r="B97" i="17"/>
  <c r="S94" i="51" l="1"/>
  <c r="T94" i="51" s="1"/>
  <c r="R95" i="51"/>
  <c r="P95" i="52"/>
  <c r="S95" i="52" s="1"/>
  <c r="T95" i="52" s="1"/>
  <c r="M95" i="51"/>
  <c r="O96" i="51" s="1"/>
  <c r="R96" i="51" s="1"/>
  <c r="M95" i="52"/>
  <c r="O96" i="52" s="1"/>
  <c r="R96" i="52" s="1"/>
  <c r="P95" i="51"/>
  <c r="S95" i="51" s="1"/>
  <c r="T95" i="51" s="1"/>
  <c r="L96" i="51"/>
  <c r="B97" i="51"/>
  <c r="C96" i="51"/>
  <c r="D96" i="51" s="1"/>
  <c r="N96" i="51" s="1"/>
  <c r="B97" i="52"/>
  <c r="L96" i="52"/>
  <c r="C96" i="52"/>
  <c r="D96" i="52" s="1"/>
  <c r="N96" i="52" s="1"/>
  <c r="Q96" i="52" s="1"/>
  <c r="R95" i="50"/>
  <c r="Q96" i="50"/>
  <c r="P96" i="50"/>
  <c r="O96" i="50"/>
  <c r="M96" i="50"/>
  <c r="O97" i="50" s="1"/>
  <c r="S94" i="50"/>
  <c r="T94" i="50" s="1"/>
  <c r="Q95" i="50"/>
  <c r="P95" i="50"/>
  <c r="C97" i="50"/>
  <c r="D97" i="50" s="1"/>
  <c r="N97" i="50" s="1"/>
  <c r="Q97" i="50" s="1"/>
  <c r="L97" i="50"/>
  <c r="B98" i="50"/>
  <c r="R94" i="45"/>
  <c r="P95" i="46"/>
  <c r="R94" i="44"/>
  <c r="S94" i="46"/>
  <c r="O95" i="43"/>
  <c r="O95" i="44"/>
  <c r="R94" i="46"/>
  <c r="R95" i="46"/>
  <c r="O95" i="45"/>
  <c r="P95" i="44"/>
  <c r="S95" i="44" s="1"/>
  <c r="S93" i="45"/>
  <c r="T93" i="45" s="1"/>
  <c r="P94" i="43"/>
  <c r="Q94" i="43"/>
  <c r="R95" i="43" s="1"/>
  <c r="Q94" i="44"/>
  <c r="P94" i="44"/>
  <c r="M95" i="44"/>
  <c r="O96" i="44" s="1"/>
  <c r="R96" i="44" s="1"/>
  <c r="Q95" i="46"/>
  <c r="P95" i="43"/>
  <c r="S95" i="43" s="1"/>
  <c r="S93" i="46"/>
  <c r="T93" i="46" s="1"/>
  <c r="M95" i="45"/>
  <c r="O96" i="45" s="1"/>
  <c r="R96" i="45" s="1"/>
  <c r="M95" i="46"/>
  <c r="O96" i="46" s="1"/>
  <c r="P95" i="45"/>
  <c r="S95" i="45" s="1"/>
  <c r="M95" i="43"/>
  <c r="O96" i="43" s="1"/>
  <c r="R96" i="43" s="1"/>
  <c r="S93" i="44"/>
  <c r="T93" i="44" s="1"/>
  <c r="P94" i="45"/>
  <c r="Q94" i="45"/>
  <c r="C96" i="45"/>
  <c r="D96" i="45" s="1"/>
  <c r="B97" i="45"/>
  <c r="L96" i="45"/>
  <c r="L96" i="46"/>
  <c r="B97" i="46"/>
  <c r="C96" i="46"/>
  <c r="D96" i="46" s="1"/>
  <c r="B97" i="43"/>
  <c r="C96" i="43"/>
  <c r="D96" i="43" s="1"/>
  <c r="L96" i="43"/>
  <c r="C96" i="44"/>
  <c r="D96" i="44" s="1"/>
  <c r="N96" i="44" s="1"/>
  <c r="B97" i="44"/>
  <c r="L96" i="44"/>
  <c r="BA111" i="29"/>
  <c r="BV111" i="29"/>
  <c r="BW111" i="29" s="1"/>
  <c r="M113" i="29"/>
  <c r="BM113" i="29"/>
  <c r="B108" i="26" s="1"/>
  <c r="BB110" i="29"/>
  <c r="AZ112" i="29"/>
  <c r="N113" i="29"/>
  <c r="AY113" i="29" s="1"/>
  <c r="AP113" i="29"/>
  <c r="O113" i="29"/>
  <c r="AB112" i="29"/>
  <c r="R112" i="29"/>
  <c r="AC111" i="29"/>
  <c r="AD111" i="29" s="1"/>
  <c r="S111" i="29"/>
  <c r="T111" i="29" s="1"/>
  <c r="B114" i="29"/>
  <c r="D114" i="29" s="1"/>
  <c r="B115" i="29" s="1"/>
  <c r="D115" i="29" s="1"/>
  <c r="AA112" i="29"/>
  <c r="Q112" i="29"/>
  <c r="P112" i="29"/>
  <c r="P96" i="17"/>
  <c r="S95" i="17"/>
  <c r="Q96" i="17"/>
  <c r="M96" i="17"/>
  <c r="O97" i="17" s="1"/>
  <c r="R96" i="17"/>
  <c r="R95" i="17"/>
  <c r="S94" i="17"/>
  <c r="T94" i="17" s="1"/>
  <c r="L97" i="17"/>
  <c r="B98" i="17"/>
  <c r="C97" i="17"/>
  <c r="D97" i="17" s="1"/>
  <c r="R96" i="46" l="1"/>
  <c r="P96" i="51"/>
  <c r="P96" i="52"/>
  <c r="S96" i="52" s="1"/>
  <c r="T96" i="52" s="1"/>
  <c r="Q96" i="51"/>
  <c r="M96" i="52"/>
  <c r="O97" i="52" s="1"/>
  <c r="R97" i="52" s="1"/>
  <c r="M96" i="51"/>
  <c r="O97" i="51" s="1"/>
  <c r="L97" i="52"/>
  <c r="B98" i="52"/>
  <c r="C97" i="52"/>
  <c r="D97" i="52" s="1"/>
  <c r="N97" i="52" s="1"/>
  <c r="P97" i="52" s="1"/>
  <c r="B98" i="51"/>
  <c r="L97" i="51"/>
  <c r="C97" i="51"/>
  <c r="D97" i="51" s="1"/>
  <c r="N97" i="51" s="1"/>
  <c r="R95" i="44"/>
  <c r="T95" i="44" s="1"/>
  <c r="R97" i="50"/>
  <c r="R96" i="50"/>
  <c r="S96" i="50"/>
  <c r="M97" i="50"/>
  <c r="O98" i="50" s="1"/>
  <c r="R98" i="50" s="1"/>
  <c r="P97" i="50"/>
  <c r="S97" i="50" s="1"/>
  <c r="S95" i="50"/>
  <c r="T95" i="50" s="1"/>
  <c r="B99" i="50"/>
  <c r="L98" i="50"/>
  <c r="C98" i="50"/>
  <c r="D98" i="50" s="1"/>
  <c r="S95" i="46"/>
  <c r="T95" i="46" s="1"/>
  <c r="T94" i="46"/>
  <c r="S94" i="45"/>
  <c r="T94" i="45" s="1"/>
  <c r="P96" i="44"/>
  <c r="R95" i="45"/>
  <c r="T95" i="45" s="1"/>
  <c r="S94" i="44"/>
  <c r="T94" i="44" s="1"/>
  <c r="Q96" i="44"/>
  <c r="T95" i="43"/>
  <c r="S94" i="43"/>
  <c r="T94" i="43" s="1"/>
  <c r="N96" i="43"/>
  <c r="M96" i="43"/>
  <c r="N96" i="45"/>
  <c r="M96" i="45"/>
  <c r="N96" i="46"/>
  <c r="M96" i="46"/>
  <c r="M96" i="44"/>
  <c r="O97" i="44" s="1"/>
  <c r="L97" i="44"/>
  <c r="C97" i="44"/>
  <c r="D97" i="44" s="1"/>
  <c r="N97" i="44" s="1"/>
  <c r="Q97" i="44" s="1"/>
  <c r="B98" i="44"/>
  <c r="C97" i="46"/>
  <c r="D97" i="46" s="1"/>
  <c r="B98" i="46"/>
  <c r="L97" i="46"/>
  <c r="B98" i="45"/>
  <c r="L97" i="45"/>
  <c r="C97" i="45"/>
  <c r="D97" i="45" s="1"/>
  <c r="N97" i="45" s="1"/>
  <c r="Q97" i="45" s="1"/>
  <c r="C97" i="43"/>
  <c r="D97" i="43" s="1"/>
  <c r="B98" i="43"/>
  <c r="L97" i="43"/>
  <c r="BA112" i="29"/>
  <c r="BV112" i="29"/>
  <c r="BW112" i="29" s="1"/>
  <c r="BM115" i="29"/>
  <c r="B110" i="26" s="1"/>
  <c r="B116" i="29"/>
  <c r="M115" i="29"/>
  <c r="N115" i="29"/>
  <c r="AP115" i="29"/>
  <c r="BM114" i="29"/>
  <c r="B109" i="26" s="1"/>
  <c r="M114" i="29"/>
  <c r="BB111" i="29"/>
  <c r="AZ113" i="29"/>
  <c r="AB113" i="29"/>
  <c r="N114" i="29"/>
  <c r="AY114" i="29" s="1"/>
  <c r="AP114" i="29"/>
  <c r="R113" i="29"/>
  <c r="O114" i="29"/>
  <c r="AC112" i="29"/>
  <c r="AD112" i="29" s="1"/>
  <c r="S112" i="29"/>
  <c r="T112" i="29" s="1"/>
  <c r="AA113" i="29"/>
  <c r="P113" i="29"/>
  <c r="Q113" i="29"/>
  <c r="S96" i="17"/>
  <c r="T96" i="17" s="1"/>
  <c r="T95" i="17"/>
  <c r="R97" i="17"/>
  <c r="N97" i="17"/>
  <c r="M97" i="17"/>
  <c r="C98" i="17"/>
  <c r="D98" i="17" s="1"/>
  <c r="N98" i="17" s="1"/>
  <c r="Q98" i="17" s="1"/>
  <c r="L98" i="17"/>
  <c r="B99" i="17"/>
  <c r="S96" i="51" l="1"/>
  <c r="T96" i="51" s="1"/>
  <c r="P97" i="51"/>
  <c r="R97" i="51"/>
  <c r="Q97" i="52"/>
  <c r="S97" i="52" s="1"/>
  <c r="T97" i="52" s="1"/>
  <c r="M97" i="52"/>
  <c r="O98" i="52" s="1"/>
  <c r="Q97" i="51"/>
  <c r="M97" i="51"/>
  <c r="O98" i="51" s="1"/>
  <c r="L98" i="51"/>
  <c r="B99" i="51"/>
  <c r="C98" i="51"/>
  <c r="D98" i="51" s="1"/>
  <c r="N98" i="51" s="1"/>
  <c r="B99" i="52"/>
  <c r="L98" i="52"/>
  <c r="C98" i="52"/>
  <c r="D98" i="52" s="1"/>
  <c r="N98" i="52" s="1"/>
  <c r="T97" i="50"/>
  <c r="T96" i="50"/>
  <c r="N98" i="50"/>
  <c r="M98" i="50"/>
  <c r="B100" i="50"/>
  <c r="C99" i="50"/>
  <c r="D99" i="50" s="1"/>
  <c r="L99" i="50"/>
  <c r="S96" i="44"/>
  <c r="T96" i="44" s="1"/>
  <c r="O97" i="45"/>
  <c r="O97" i="43"/>
  <c r="R97" i="44"/>
  <c r="N97" i="43"/>
  <c r="M97" i="43"/>
  <c r="P97" i="45"/>
  <c r="S97" i="45" s="1"/>
  <c r="M97" i="45"/>
  <c r="O98" i="45" s="1"/>
  <c r="R98" i="45" s="1"/>
  <c r="N97" i="46"/>
  <c r="M97" i="46"/>
  <c r="P96" i="46"/>
  <c r="Q96" i="46"/>
  <c r="P97" i="44"/>
  <c r="S97" i="44" s="1"/>
  <c r="M97" i="44"/>
  <c r="O98" i="44" s="1"/>
  <c r="R98" i="44" s="1"/>
  <c r="Q96" i="45"/>
  <c r="P96" i="45"/>
  <c r="P96" i="43"/>
  <c r="Q96" i="43"/>
  <c r="O97" i="46"/>
  <c r="L98" i="43"/>
  <c r="C98" i="43"/>
  <c r="D98" i="43" s="1"/>
  <c r="B99" i="43"/>
  <c r="C98" i="46"/>
  <c r="D98" i="46" s="1"/>
  <c r="L98" i="46"/>
  <c r="B99" i="46"/>
  <c r="L98" i="44"/>
  <c r="B99" i="44"/>
  <c r="C98" i="44"/>
  <c r="D98" i="44" s="1"/>
  <c r="C98" i="45"/>
  <c r="D98" i="45" s="1"/>
  <c r="N98" i="45" s="1"/>
  <c r="Q98" i="45" s="1"/>
  <c r="B99" i="45"/>
  <c r="L98" i="45"/>
  <c r="BA113" i="29"/>
  <c r="BB113" i="29" s="1"/>
  <c r="BV113" i="29"/>
  <c r="BW113" i="29" s="1"/>
  <c r="D116" i="29"/>
  <c r="AP116" i="29" s="1"/>
  <c r="O116" i="29"/>
  <c r="O115" i="29"/>
  <c r="AY115" i="29"/>
  <c r="P115" i="29"/>
  <c r="Q115" i="29"/>
  <c r="AA115" i="29"/>
  <c r="BB112" i="29"/>
  <c r="AZ114" i="29"/>
  <c r="AA114" i="29"/>
  <c r="Q114" i="29"/>
  <c r="P114" i="29"/>
  <c r="AC113" i="29"/>
  <c r="AD113" i="29" s="1"/>
  <c r="S113" i="29"/>
  <c r="T113" i="29" s="1"/>
  <c r="AB114" i="29"/>
  <c r="R114" i="29"/>
  <c r="O98" i="17"/>
  <c r="P98" i="17"/>
  <c r="M98" i="17"/>
  <c r="O99" i="17" s="1"/>
  <c r="R99" i="17" s="1"/>
  <c r="P97" i="17"/>
  <c r="Q97" i="17"/>
  <c r="L99" i="17"/>
  <c r="C99" i="17"/>
  <c r="D99" i="17" s="1"/>
  <c r="B100" i="17"/>
  <c r="S97" i="51" l="1"/>
  <c r="T97" i="51" s="1"/>
  <c r="P98" i="51"/>
  <c r="R98" i="52"/>
  <c r="P98" i="52"/>
  <c r="M98" i="52"/>
  <c r="O99" i="52" s="1"/>
  <c r="R98" i="51"/>
  <c r="Q98" i="52"/>
  <c r="M98" i="51"/>
  <c r="O99" i="51" s="1"/>
  <c r="Q98" i="51"/>
  <c r="B100" i="51"/>
  <c r="L99" i="51"/>
  <c r="C99" i="51"/>
  <c r="D99" i="51" s="1"/>
  <c r="N99" i="51" s="1"/>
  <c r="L99" i="52"/>
  <c r="B100" i="52"/>
  <c r="C99" i="52"/>
  <c r="D99" i="52" s="1"/>
  <c r="N99" i="52" s="1"/>
  <c r="Q99" i="52" s="1"/>
  <c r="O99" i="50"/>
  <c r="N99" i="50"/>
  <c r="M99" i="50"/>
  <c r="Q98" i="50"/>
  <c r="P98" i="50"/>
  <c r="L100" i="50"/>
  <c r="C100" i="50"/>
  <c r="D100" i="50" s="1"/>
  <c r="B101" i="50"/>
  <c r="R97" i="43"/>
  <c r="T97" i="44"/>
  <c r="R97" i="45"/>
  <c r="T97" i="45" s="1"/>
  <c r="R97" i="46"/>
  <c r="O98" i="46"/>
  <c r="O98" i="43"/>
  <c r="N98" i="46"/>
  <c r="Q98" i="46" s="1"/>
  <c r="M98" i="46"/>
  <c r="M116" i="29"/>
  <c r="P97" i="43"/>
  <c r="Q97" i="43"/>
  <c r="N98" i="43"/>
  <c r="M98" i="43"/>
  <c r="N98" i="44"/>
  <c r="M98" i="44"/>
  <c r="M98" i="45"/>
  <c r="O99" i="45" s="1"/>
  <c r="R99" i="45" s="1"/>
  <c r="P98" i="45"/>
  <c r="S98" i="45" s="1"/>
  <c r="T98" i="45" s="1"/>
  <c r="S96" i="43"/>
  <c r="T96" i="43" s="1"/>
  <c r="B117" i="29"/>
  <c r="D117" i="29" s="1"/>
  <c r="AP117" i="29" s="1"/>
  <c r="S96" i="45"/>
  <c r="T96" i="45" s="1"/>
  <c r="S96" i="46"/>
  <c r="T96" i="46" s="1"/>
  <c r="P97" i="46"/>
  <c r="Q97" i="46"/>
  <c r="C99" i="46"/>
  <c r="D99" i="46" s="1"/>
  <c r="N99" i="46" s="1"/>
  <c r="B100" i="46"/>
  <c r="L99" i="46"/>
  <c r="B100" i="44"/>
  <c r="L99" i="44"/>
  <c r="C99" i="44"/>
  <c r="D99" i="44" s="1"/>
  <c r="L99" i="45"/>
  <c r="B100" i="45"/>
  <c r="C99" i="45"/>
  <c r="D99" i="45" s="1"/>
  <c r="N99" i="45" s="1"/>
  <c r="Q99" i="45" s="1"/>
  <c r="B100" i="43"/>
  <c r="L99" i="43"/>
  <c r="C99" i="43"/>
  <c r="D99" i="43" s="1"/>
  <c r="BM116" i="29"/>
  <c r="B111" i="26" s="1"/>
  <c r="BV115" i="29"/>
  <c r="BW115" i="29" s="1"/>
  <c r="BA114" i="29"/>
  <c r="BB114" i="29" s="1"/>
  <c r="BV114" i="29"/>
  <c r="BW114" i="29" s="1"/>
  <c r="N116" i="29"/>
  <c r="P116" i="29" s="1"/>
  <c r="BV116" i="29" s="1"/>
  <c r="BW116" i="29" s="1"/>
  <c r="AZ116" i="29"/>
  <c r="AB116" i="29"/>
  <c r="R116" i="29"/>
  <c r="N99" i="17"/>
  <c r="M99" i="17"/>
  <c r="BA115" i="29"/>
  <c r="S115" i="29"/>
  <c r="AC115" i="29"/>
  <c r="AZ115" i="29"/>
  <c r="R115" i="29"/>
  <c r="AB115" i="29"/>
  <c r="AC114" i="29"/>
  <c r="AD114" i="29" s="1"/>
  <c r="S114" i="29"/>
  <c r="T114" i="29" s="1"/>
  <c r="R98" i="17"/>
  <c r="S98" i="17"/>
  <c r="S97" i="17"/>
  <c r="T97" i="17" s="1"/>
  <c r="C100" i="17"/>
  <c r="D100" i="17" s="1"/>
  <c r="B101" i="17"/>
  <c r="L100" i="17"/>
  <c r="S98" i="51" l="1"/>
  <c r="P99" i="51"/>
  <c r="R99" i="52"/>
  <c r="S98" i="52"/>
  <c r="T98" i="52" s="1"/>
  <c r="T98" i="51"/>
  <c r="R99" i="51"/>
  <c r="Q99" i="51"/>
  <c r="M99" i="52"/>
  <c r="O100" i="52" s="1"/>
  <c r="R100" i="52" s="1"/>
  <c r="P99" i="52"/>
  <c r="S99" i="52" s="1"/>
  <c r="M99" i="51"/>
  <c r="O100" i="51" s="1"/>
  <c r="B101" i="52"/>
  <c r="L100" i="52"/>
  <c r="C100" i="52"/>
  <c r="D100" i="52" s="1"/>
  <c r="N100" i="52" s="1"/>
  <c r="B101" i="51"/>
  <c r="L100" i="51"/>
  <c r="C100" i="51"/>
  <c r="D100" i="51" s="1"/>
  <c r="N100" i="51" s="1"/>
  <c r="Q100" i="51" s="1"/>
  <c r="R99" i="50"/>
  <c r="O100" i="50"/>
  <c r="N100" i="50"/>
  <c r="M100" i="50"/>
  <c r="S98" i="50"/>
  <c r="T98" i="50" s="1"/>
  <c r="Q99" i="50"/>
  <c r="P99" i="50"/>
  <c r="L101" i="50"/>
  <c r="C101" i="50"/>
  <c r="D101" i="50" s="1"/>
  <c r="B102" i="50"/>
  <c r="R98" i="46"/>
  <c r="P98" i="46"/>
  <c r="S98" i="46" s="1"/>
  <c r="O99" i="44"/>
  <c r="P99" i="46"/>
  <c r="R98" i="43"/>
  <c r="M117" i="29"/>
  <c r="AA116" i="29"/>
  <c r="O99" i="46"/>
  <c r="R99" i="46" s="1"/>
  <c r="O117" i="29"/>
  <c r="B118" i="29"/>
  <c r="D118" i="29" s="1"/>
  <c r="N118" i="29" s="1"/>
  <c r="O99" i="43"/>
  <c r="Q116" i="29"/>
  <c r="S116" i="29" s="1"/>
  <c r="T116" i="29" s="1"/>
  <c r="S97" i="43"/>
  <c r="T97" i="43" s="1"/>
  <c r="N99" i="43"/>
  <c r="M99" i="43"/>
  <c r="N99" i="44"/>
  <c r="M99" i="44"/>
  <c r="P99" i="45"/>
  <c r="S99" i="45" s="1"/>
  <c r="T99" i="45" s="1"/>
  <c r="Q99" i="46"/>
  <c r="M99" i="46"/>
  <c r="O100" i="46" s="1"/>
  <c r="P98" i="43"/>
  <c r="Q98" i="43"/>
  <c r="N117" i="29"/>
  <c r="P117" i="29" s="1"/>
  <c r="BM117" i="29"/>
  <c r="B112" i="26" s="1"/>
  <c r="S97" i="46"/>
  <c r="T97" i="46" s="1"/>
  <c r="M99" i="45"/>
  <c r="O100" i="45" s="1"/>
  <c r="R100" i="45" s="1"/>
  <c r="Q98" i="44"/>
  <c r="R99" i="44" s="1"/>
  <c r="P98" i="44"/>
  <c r="C100" i="45"/>
  <c r="D100" i="45" s="1"/>
  <c r="N100" i="45" s="1"/>
  <c r="Q100" i="45" s="1"/>
  <c r="B101" i="45"/>
  <c r="L100" i="45"/>
  <c r="B101" i="44"/>
  <c r="C100" i="44"/>
  <c r="D100" i="44" s="1"/>
  <c r="L100" i="44"/>
  <c r="B101" i="46"/>
  <c r="L100" i="46"/>
  <c r="C100" i="46"/>
  <c r="D100" i="46" s="1"/>
  <c r="C100" i="43"/>
  <c r="D100" i="43" s="1"/>
  <c r="B101" i="43"/>
  <c r="L100" i="43"/>
  <c r="AY116" i="29"/>
  <c r="AZ117" i="29" s="1"/>
  <c r="O100" i="17"/>
  <c r="AD115" i="29"/>
  <c r="BB115" i="29"/>
  <c r="N100" i="17"/>
  <c r="M100" i="17"/>
  <c r="T115" i="29"/>
  <c r="Q99" i="17"/>
  <c r="P99" i="17"/>
  <c r="T98" i="17"/>
  <c r="B102" i="17"/>
  <c r="C101" i="17"/>
  <c r="D101" i="17" s="1"/>
  <c r="L101" i="17"/>
  <c r="S99" i="51" l="1"/>
  <c r="T99" i="51" s="1"/>
  <c r="P100" i="52"/>
  <c r="T99" i="52"/>
  <c r="R100" i="51"/>
  <c r="P100" i="51"/>
  <c r="S100" i="51" s="1"/>
  <c r="M100" i="51"/>
  <c r="O101" i="51" s="1"/>
  <c r="R101" i="51" s="1"/>
  <c r="Q100" i="52"/>
  <c r="M100" i="52"/>
  <c r="O101" i="52" s="1"/>
  <c r="L101" i="51"/>
  <c r="B102" i="51"/>
  <c r="C101" i="51"/>
  <c r="D101" i="51" s="1"/>
  <c r="N101" i="51" s="1"/>
  <c r="Q101" i="51" s="1"/>
  <c r="L101" i="52"/>
  <c r="B102" i="52"/>
  <c r="C101" i="52"/>
  <c r="D101" i="52" s="1"/>
  <c r="N101" i="52" s="1"/>
  <c r="Q101" i="52" s="1"/>
  <c r="R100" i="50"/>
  <c r="O101" i="50"/>
  <c r="N101" i="50"/>
  <c r="M101" i="50"/>
  <c r="S99" i="50"/>
  <c r="T99" i="50" s="1"/>
  <c r="Q100" i="50"/>
  <c r="P100" i="50"/>
  <c r="B103" i="50"/>
  <c r="L102" i="50"/>
  <c r="C102" i="50"/>
  <c r="D102" i="50" s="1"/>
  <c r="N102" i="50" s="1"/>
  <c r="Q102" i="50" s="1"/>
  <c r="BM118" i="29"/>
  <c r="B113" i="26" s="1"/>
  <c r="T98" i="46"/>
  <c r="S99" i="46"/>
  <c r="T99" i="46" s="1"/>
  <c r="BV117" i="29"/>
  <c r="BW117" i="29" s="1"/>
  <c r="R99" i="43"/>
  <c r="R117" i="29"/>
  <c r="B119" i="29"/>
  <c r="D119" i="29" s="1"/>
  <c r="BM119" i="29" s="1"/>
  <c r="B114" i="26" s="1"/>
  <c r="O100" i="43"/>
  <c r="AB117" i="29"/>
  <c r="AP118" i="29"/>
  <c r="M118" i="29"/>
  <c r="O119" i="29" s="1"/>
  <c r="AC116" i="29"/>
  <c r="AD116" i="29" s="1"/>
  <c r="AA117" i="29"/>
  <c r="AC117" i="29" s="1"/>
  <c r="S98" i="43"/>
  <c r="T98" i="43" s="1"/>
  <c r="O100" i="44"/>
  <c r="O118" i="29"/>
  <c r="Q117" i="29"/>
  <c r="S117" i="29" s="1"/>
  <c r="R100" i="46"/>
  <c r="N100" i="46"/>
  <c r="M100" i="46"/>
  <c r="P100" i="45"/>
  <c r="S100" i="45" s="1"/>
  <c r="T100" i="45" s="1"/>
  <c r="N100" i="43"/>
  <c r="M100" i="43"/>
  <c r="N100" i="44"/>
  <c r="M100" i="44"/>
  <c r="Q99" i="44"/>
  <c r="P99" i="44"/>
  <c r="AY117" i="29"/>
  <c r="BA117" i="29" s="1"/>
  <c r="BB117" i="29" s="1"/>
  <c r="M100" i="45"/>
  <c r="O101" i="45" s="1"/>
  <c r="R101" i="45" s="1"/>
  <c r="S98" i="44"/>
  <c r="T98" i="44" s="1"/>
  <c r="P99" i="43"/>
  <c r="Q99" i="43"/>
  <c r="C101" i="45"/>
  <c r="D101" i="45" s="1"/>
  <c r="L101" i="45"/>
  <c r="B102" i="45"/>
  <c r="C101" i="46"/>
  <c r="D101" i="46" s="1"/>
  <c r="N101" i="46" s="1"/>
  <c r="Q101" i="46" s="1"/>
  <c r="B102" i="46"/>
  <c r="L101" i="46"/>
  <c r="C101" i="43"/>
  <c r="D101" i="43" s="1"/>
  <c r="N101" i="43" s="1"/>
  <c r="B102" i="43"/>
  <c r="L101" i="43"/>
  <c r="L101" i="44"/>
  <c r="C101" i="44"/>
  <c r="D101" i="44" s="1"/>
  <c r="N101" i="44" s="1"/>
  <c r="Q101" i="44" s="1"/>
  <c r="B102" i="44"/>
  <c r="BA116" i="29"/>
  <c r="BB116" i="29" s="1"/>
  <c r="R100" i="17"/>
  <c r="O101" i="17"/>
  <c r="N101" i="17"/>
  <c r="M101" i="17"/>
  <c r="AY118" i="29"/>
  <c r="Q118" i="29"/>
  <c r="AA118" i="29"/>
  <c r="P118" i="29"/>
  <c r="S99" i="17"/>
  <c r="T99" i="17" s="1"/>
  <c r="P100" i="17"/>
  <c r="Q100" i="17"/>
  <c r="L102" i="17"/>
  <c r="B103" i="17"/>
  <c r="C102" i="17"/>
  <c r="D102" i="17" s="1"/>
  <c r="R100" i="43" l="1"/>
  <c r="R101" i="50"/>
  <c r="S100" i="52"/>
  <c r="T100" i="52" s="1"/>
  <c r="T100" i="51"/>
  <c r="R101" i="52"/>
  <c r="P101" i="52"/>
  <c r="S101" i="52" s="1"/>
  <c r="P101" i="51"/>
  <c r="S101" i="51" s="1"/>
  <c r="T101" i="51" s="1"/>
  <c r="M101" i="52"/>
  <c r="M101" i="51"/>
  <c r="O102" i="51" s="1"/>
  <c r="R102" i="51" s="1"/>
  <c r="L102" i="52"/>
  <c r="B103" i="52"/>
  <c r="C102" i="52"/>
  <c r="D102" i="52" s="1"/>
  <c r="N102" i="52" s="1"/>
  <c r="Q102" i="52" s="1"/>
  <c r="B103" i="51"/>
  <c r="L102" i="51"/>
  <c r="C102" i="51"/>
  <c r="D102" i="51" s="1"/>
  <c r="N102" i="51" s="1"/>
  <c r="O102" i="50"/>
  <c r="P102" i="50"/>
  <c r="S102" i="50" s="1"/>
  <c r="S100" i="50"/>
  <c r="T100" i="50" s="1"/>
  <c r="M102" i="50"/>
  <c r="O103" i="50" s="1"/>
  <c r="R103" i="50" s="1"/>
  <c r="Q101" i="50"/>
  <c r="P101" i="50"/>
  <c r="B104" i="50"/>
  <c r="C103" i="50"/>
  <c r="D103" i="50" s="1"/>
  <c r="L103" i="50"/>
  <c r="T117" i="29"/>
  <c r="AD117" i="29"/>
  <c r="N119" i="29"/>
  <c r="P119" i="29" s="1"/>
  <c r="BV119" i="29" s="1"/>
  <c r="BW119" i="29" s="1"/>
  <c r="M119" i="29"/>
  <c r="B120" i="29"/>
  <c r="D120" i="29" s="1"/>
  <c r="B121" i="29" s="1"/>
  <c r="D121" i="29" s="1"/>
  <c r="P101" i="43"/>
  <c r="AP119" i="29"/>
  <c r="O101" i="46"/>
  <c r="M101" i="46"/>
  <c r="O102" i="46" s="1"/>
  <c r="R102" i="46" s="1"/>
  <c r="AZ118" i="29"/>
  <c r="R118" i="29"/>
  <c r="AB118" i="29"/>
  <c r="BV118" i="29"/>
  <c r="BW118" i="29" s="1"/>
  <c r="R100" i="44"/>
  <c r="O101" i="43"/>
  <c r="O101" i="44"/>
  <c r="Q100" i="46"/>
  <c r="P100" i="46"/>
  <c r="N101" i="45"/>
  <c r="M101" i="45"/>
  <c r="P101" i="44"/>
  <c r="S101" i="44" s="1"/>
  <c r="Q101" i="43"/>
  <c r="P101" i="46"/>
  <c r="S101" i="46" s="1"/>
  <c r="S99" i="43"/>
  <c r="T99" i="43" s="1"/>
  <c r="P100" i="44"/>
  <c r="Q100" i="44"/>
  <c r="M101" i="44"/>
  <c r="O102" i="44" s="1"/>
  <c r="R102" i="44" s="1"/>
  <c r="M101" i="43"/>
  <c r="O102" i="43" s="1"/>
  <c r="S99" i="44"/>
  <c r="T99" i="44" s="1"/>
  <c r="P100" i="43"/>
  <c r="Q100" i="43"/>
  <c r="R101" i="43" s="1"/>
  <c r="L102" i="45"/>
  <c r="B103" i="45"/>
  <c r="C102" i="45"/>
  <c r="D102" i="45" s="1"/>
  <c r="L102" i="46"/>
  <c r="C102" i="46"/>
  <c r="D102" i="46" s="1"/>
  <c r="N102" i="46" s="1"/>
  <c r="Q102" i="46" s="1"/>
  <c r="B103" i="46"/>
  <c r="L102" i="44"/>
  <c r="C102" i="44"/>
  <c r="D102" i="44" s="1"/>
  <c r="B103" i="44"/>
  <c r="L102" i="43"/>
  <c r="C102" i="43"/>
  <c r="D102" i="43" s="1"/>
  <c r="B103" i="43"/>
  <c r="R101" i="17"/>
  <c r="O102" i="17"/>
  <c r="N102" i="17"/>
  <c r="M102" i="17"/>
  <c r="Q101" i="17"/>
  <c r="P101" i="17"/>
  <c r="BA118" i="29"/>
  <c r="AC118" i="29"/>
  <c r="S118" i="29"/>
  <c r="S100" i="17"/>
  <c r="T100" i="17" s="1"/>
  <c r="AZ119" i="29"/>
  <c r="R119" i="29"/>
  <c r="AB119" i="29"/>
  <c r="B104" i="17"/>
  <c r="C103" i="17"/>
  <c r="D103" i="17" s="1"/>
  <c r="L103" i="17"/>
  <c r="S101" i="43" l="1"/>
  <c r="T101" i="43" s="1"/>
  <c r="P102" i="51"/>
  <c r="T101" i="52"/>
  <c r="P102" i="52"/>
  <c r="S102" i="52" s="1"/>
  <c r="Q102" i="51"/>
  <c r="M102" i="51"/>
  <c r="O103" i="51" s="1"/>
  <c r="O102" i="52"/>
  <c r="R102" i="52" s="1"/>
  <c r="M102" i="52"/>
  <c r="O103" i="52" s="1"/>
  <c r="R103" i="52" s="1"/>
  <c r="L103" i="52"/>
  <c r="B104" i="52"/>
  <c r="C103" i="52"/>
  <c r="D103" i="52" s="1"/>
  <c r="N103" i="52" s="1"/>
  <c r="B104" i="51"/>
  <c r="L103" i="51"/>
  <c r="C103" i="51"/>
  <c r="D103" i="51" s="1"/>
  <c r="N103" i="51" s="1"/>
  <c r="R102" i="50"/>
  <c r="T102" i="50" s="1"/>
  <c r="N103" i="50"/>
  <c r="M103" i="50"/>
  <c r="O120" i="29"/>
  <c r="S101" i="50"/>
  <c r="T101" i="50" s="1"/>
  <c r="L104" i="50"/>
  <c r="B105" i="50"/>
  <c r="C104" i="50"/>
  <c r="D104" i="50" s="1"/>
  <c r="N104" i="50" s="1"/>
  <c r="Q119" i="29"/>
  <c r="S119" i="29" s="1"/>
  <c r="T119" i="29" s="1"/>
  <c r="AA119" i="29"/>
  <c r="AC119" i="29" s="1"/>
  <c r="AD119" i="29" s="1"/>
  <c r="AY119" i="29"/>
  <c r="BM120" i="29"/>
  <c r="B115" i="26" s="1"/>
  <c r="M120" i="29"/>
  <c r="AP120" i="29"/>
  <c r="R101" i="46"/>
  <c r="T101" i="46" s="1"/>
  <c r="AD118" i="29"/>
  <c r="N120" i="29"/>
  <c r="P120" i="29" s="1"/>
  <c r="BB118" i="29"/>
  <c r="R101" i="44"/>
  <c r="T101" i="44" s="1"/>
  <c r="O102" i="45"/>
  <c r="T118" i="29"/>
  <c r="S100" i="46"/>
  <c r="T100" i="46" s="1"/>
  <c r="N102" i="44"/>
  <c r="P102" i="44" s="1"/>
  <c r="M102" i="44"/>
  <c r="R102" i="43"/>
  <c r="N102" i="45"/>
  <c r="M102" i="45"/>
  <c r="N102" i="43"/>
  <c r="M102" i="43"/>
  <c r="M102" i="46"/>
  <c r="O103" i="46" s="1"/>
  <c r="R103" i="46" s="1"/>
  <c r="S100" i="43"/>
  <c r="T100" i="43" s="1"/>
  <c r="P102" i="46"/>
  <c r="S102" i="46" s="1"/>
  <c r="T102" i="46" s="1"/>
  <c r="S100" i="44"/>
  <c r="T100" i="44" s="1"/>
  <c r="P101" i="45"/>
  <c r="Q101" i="45"/>
  <c r="L103" i="43"/>
  <c r="C103" i="43"/>
  <c r="D103" i="43" s="1"/>
  <c r="B104" i="43"/>
  <c r="B104" i="44"/>
  <c r="L103" i="44"/>
  <c r="C103" i="44"/>
  <c r="D103" i="44" s="1"/>
  <c r="B104" i="46"/>
  <c r="L103" i="46"/>
  <c r="C103" i="46"/>
  <c r="D103" i="46" s="1"/>
  <c r="B104" i="45"/>
  <c r="L103" i="45"/>
  <c r="C103" i="45"/>
  <c r="D103" i="45" s="1"/>
  <c r="R102" i="17"/>
  <c r="O103" i="17"/>
  <c r="N103" i="17"/>
  <c r="M103" i="17"/>
  <c r="BM121" i="29"/>
  <c r="B116" i="26" s="1"/>
  <c r="M121" i="29"/>
  <c r="B122" i="29"/>
  <c r="D122" i="29" s="1"/>
  <c r="AP121" i="29"/>
  <c r="N121" i="29"/>
  <c r="S101" i="17"/>
  <c r="T101" i="17" s="1"/>
  <c r="Q102" i="17"/>
  <c r="P102" i="17"/>
  <c r="L104" i="17"/>
  <c r="B105" i="17"/>
  <c r="C104" i="17"/>
  <c r="D104" i="17" s="1"/>
  <c r="N104" i="17" s="1"/>
  <c r="Q102" i="44" l="1"/>
  <c r="S102" i="44" s="1"/>
  <c r="T102" i="44" s="1"/>
  <c r="R103" i="51"/>
  <c r="S102" i="51"/>
  <c r="T102" i="51" s="1"/>
  <c r="P103" i="52"/>
  <c r="P103" i="51"/>
  <c r="Q103" i="51"/>
  <c r="T102" i="52"/>
  <c r="Q103" i="52"/>
  <c r="M103" i="52"/>
  <c r="O104" i="52" s="1"/>
  <c r="M103" i="51"/>
  <c r="B105" i="51"/>
  <c r="L104" i="51"/>
  <c r="C104" i="51"/>
  <c r="D104" i="51" s="1"/>
  <c r="N104" i="51" s="1"/>
  <c r="Q104" i="51" s="1"/>
  <c r="L104" i="52"/>
  <c r="B105" i="52"/>
  <c r="C104" i="52"/>
  <c r="D104" i="52" s="1"/>
  <c r="N104" i="52" s="1"/>
  <c r="R120" i="29"/>
  <c r="P104" i="50"/>
  <c r="O104" i="50"/>
  <c r="AZ120" i="29"/>
  <c r="BV120" i="29"/>
  <c r="BW120" i="29" s="1"/>
  <c r="BA119" i="29"/>
  <c r="BB119" i="29" s="1"/>
  <c r="Q104" i="50"/>
  <c r="M104" i="50"/>
  <c r="O105" i="50" s="1"/>
  <c r="Q103" i="50"/>
  <c r="P103" i="50"/>
  <c r="L105" i="50"/>
  <c r="C105" i="50"/>
  <c r="D105" i="50" s="1"/>
  <c r="B106" i="50"/>
  <c r="AB120" i="29"/>
  <c r="O121" i="29"/>
  <c r="AA120" i="29"/>
  <c r="AC120" i="29" s="1"/>
  <c r="Q120" i="29"/>
  <c r="S120" i="29" s="1"/>
  <c r="AY120" i="29"/>
  <c r="O103" i="43"/>
  <c r="R102" i="45"/>
  <c r="O103" i="44"/>
  <c r="O103" i="45"/>
  <c r="N103" i="44"/>
  <c r="M103" i="44"/>
  <c r="N103" i="45"/>
  <c r="M103" i="45"/>
  <c r="N103" i="43"/>
  <c r="M103" i="43"/>
  <c r="N103" i="46"/>
  <c r="M103" i="46"/>
  <c r="S101" i="45"/>
  <c r="T101" i="45" s="1"/>
  <c r="Q102" i="45"/>
  <c r="P102" i="45"/>
  <c r="P102" i="43"/>
  <c r="Q102" i="43"/>
  <c r="B105" i="45"/>
  <c r="C104" i="45"/>
  <c r="D104" i="45" s="1"/>
  <c r="L104" i="45"/>
  <c r="L104" i="46"/>
  <c r="C104" i="46"/>
  <c r="D104" i="46" s="1"/>
  <c r="N104" i="46" s="1"/>
  <c r="B105" i="46"/>
  <c r="B105" i="43"/>
  <c r="L104" i="43"/>
  <c r="C104" i="43"/>
  <c r="D104" i="43" s="1"/>
  <c r="B105" i="44"/>
  <c r="L104" i="44"/>
  <c r="C104" i="44"/>
  <c r="D104" i="44" s="1"/>
  <c r="P104" i="17"/>
  <c r="R103" i="17"/>
  <c r="O104" i="17"/>
  <c r="Q104" i="17"/>
  <c r="BM122" i="29"/>
  <c r="B117" i="26" s="1"/>
  <c r="M122" i="29"/>
  <c r="B123" i="29"/>
  <c r="D123" i="29" s="1"/>
  <c r="AP122" i="29"/>
  <c r="N122" i="29"/>
  <c r="O122" i="29"/>
  <c r="S102" i="17"/>
  <c r="T102" i="17" s="1"/>
  <c r="AY121" i="29"/>
  <c r="AA121" i="29"/>
  <c r="Q121" i="29"/>
  <c r="P121" i="29"/>
  <c r="M104" i="17"/>
  <c r="O105" i="17" s="1"/>
  <c r="Q103" i="17"/>
  <c r="P103" i="17"/>
  <c r="L105" i="17"/>
  <c r="B106" i="17"/>
  <c r="C105" i="17"/>
  <c r="D105" i="17" s="1"/>
  <c r="N105" i="17" s="1"/>
  <c r="Q105" i="17" s="1"/>
  <c r="R103" i="44" l="1"/>
  <c r="S103" i="52"/>
  <c r="T103" i="52" s="1"/>
  <c r="P104" i="52"/>
  <c r="S103" i="51"/>
  <c r="T103" i="51" s="1"/>
  <c r="M104" i="51"/>
  <c r="O105" i="51" s="1"/>
  <c r="R105" i="51" s="1"/>
  <c r="P104" i="51"/>
  <c r="S104" i="51" s="1"/>
  <c r="R104" i="52"/>
  <c r="Q104" i="52"/>
  <c r="O104" i="51"/>
  <c r="R104" i="51" s="1"/>
  <c r="M104" i="52"/>
  <c r="O105" i="52" s="1"/>
  <c r="B106" i="52"/>
  <c r="L105" i="52"/>
  <c r="C105" i="52"/>
  <c r="D105" i="52" s="1"/>
  <c r="N105" i="52" s="1"/>
  <c r="Q105" i="52" s="1"/>
  <c r="L105" i="51"/>
  <c r="B106" i="51"/>
  <c r="C105" i="51"/>
  <c r="D105" i="51" s="1"/>
  <c r="N105" i="51" s="1"/>
  <c r="T120" i="29"/>
  <c r="S104" i="50"/>
  <c r="BV121" i="29"/>
  <c r="BW121" i="29" s="1"/>
  <c r="R104" i="50"/>
  <c r="S103" i="50"/>
  <c r="T103" i="50" s="1"/>
  <c r="N105" i="50"/>
  <c r="M105" i="50"/>
  <c r="R121" i="29"/>
  <c r="R105" i="50"/>
  <c r="L106" i="50"/>
  <c r="C106" i="50"/>
  <c r="D106" i="50" s="1"/>
  <c r="N106" i="50" s="1"/>
  <c r="B107" i="50"/>
  <c r="AD120" i="29"/>
  <c r="AB121" i="29"/>
  <c r="AZ121" i="29"/>
  <c r="BA120" i="29"/>
  <c r="BB120" i="29" s="1"/>
  <c r="R103" i="43"/>
  <c r="O104" i="43"/>
  <c r="P104" i="46"/>
  <c r="R103" i="45"/>
  <c r="O104" i="44"/>
  <c r="O104" i="46"/>
  <c r="O104" i="45"/>
  <c r="N104" i="44"/>
  <c r="M104" i="44"/>
  <c r="N104" i="45"/>
  <c r="M104" i="45"/>
  <c r="N104" i="43"/>
  <c r="M104" i="43"/>
  <c r="Q103" i="45"/>
  <c r="P103" i="45"/>
  <c r="M104" i="46"/>
  <c r="O105" i="46" s="1"/>
  <c r="Q104" i="46"/>
  <c r="Q103" i="46"/>
  <c r="P103" i="46"/>
  <c r="S102" i="43"/>
  <c r="T102" i="43" s="1"/>
  <c r="S102" i="45"/>
  <c r="T102" i="45" s="1"/>
  <c r="P103" i="43"/>
  <c r="Q103" i="43"/>
  <c r="P103" i="44"/>
  <c r="Q103" i="44"/>
  <c r="L105" i="46"/>
  <c r="C105" i="46"/>
  <c r="D105" i="46" s="1"/>
  <c r="B106" i="46"/>
  <c r="C105" i="44"/>
  <c r="D105" i="44" s="1"/>
  <c r="B106" i="44"/>
  <c r="L105" i="44"/>
  <c r="C105" i="45"/>
  <c r="D105" i="45" s="1"/>
  <c r="L105" i="45"/>
  <c r="B106" i="45"/>
  <c r="L105" i="43"/>
  <c r="C105" i="43"/>
  <c r="D105" i="43" s="1"/>
  <c r="N105" i="43" s="1"/>
  <c r="B106" i="43"/>
  <c r="S104" i="17"/>
  <c r="R105" i="17"/>
  <c r="R104" i="17"/>
  <c r="P105" i="17"/>
  <c r="S105" i="17" s="1"/>
  <c r="M105" i="17"/>
  <c r="O106" i="17" s="1"/>
  <c r="R106" i="17" s="1"/>
  <c r="BA121" i="29"/>
  <c r="AC121" i="29"/>
  <c r="S121" i="29"/>
  <c r="BM123" i="29"/>
  <c r="B118" i="26" s="1"/>
  <c r="M123" i="29"/>
  <c r="B124" i="29"/>
  <c r="D124" i="29" s="1"/>
  <c r="AP123" i="29"/>
  <c r="N123" i="29"/>
  <c r="O123" i="29"/>
  <c r="S103" i="17"/>
  <c r="T103" i="17" s="1"/>
  <c r="AZ122" i="29"/>
  <c r="R122" i="29"/>
  <c r="AB122" i="29"/>
  <c r="AY122" i="29"/>
  <c r="Q122" i="29"/>
  <c r="P122" i="29"/>
  <c r="BV122" i="29" s="1"/>
  <c r="BW122" i="29" s="1"/>
  <c r="AA122" i="29"/>
  <c r="B107" i="17"/>
  <c r="C106" i="17"/>
  <c r="D106" i="17" s="1"/>
  <c r="L106" i="17"/>
  <c r="R104" i="46" l="1"/>
  <c r="R104" i="44"/>
  <c r="P105" i="51"/>
  <c r="S104" i="52"/>
  <c r="T104" i="52" s="1"/>
  <c r="Q105" i="51"/>
  <c r="P105" i="52"/>
  <c r="S105" i="52" s="1"/>
  <c r="T104" i="51"/>
  <c r="M105" i="51"/>
  <c r="O106" i="51" s="1"/>
  <c r="M105" i="52"/>
  <c r="O106" i="52" s="1"/>
  <c r="R106" i="52" s="1"/>
  <c r="R105" i="52"/>
  <c r="L106" i="51"/>
  <c r="B107" i="51"/>
  <c r="C106" i="51"/>
  <c r="D106" i="51" s="1"/>
  <c r="N106" i="51" s="1"/>
  <c r="Q106" i="51" s="1"/>
  <c r="L106" i="52"/>
  <c r="B107" i="52"/>
  <c r="C106" i="52"/>
  <c r="D106" i="52" s="1"/>
  <c r="N106" i="52" s="1"/>
  <c r="Q106" i="52" s="1"/>
  <c r="P106" i="50"/>
  <c r="T104" i="50"/>
  <c r="T121" i="29"/>
  <c r="O106" i="50"/>
  <c r="Q106" i="50"/>
  <c r="M106" i="50"/>
  <c r="O107" i="50" s="1"/>
  <c r="Q105" i="50"/>
  <c r="P105" i="50"/>
  <c r="L107" i="50"/>
  <c r="C107" i="50"/>
  <c r="D107" i="50" s="1"/>
  <c r="B108" i="50"/>
  <c r="BB121" i="29"/>
  <c r="AD121" i="29"/>
  <c r="R104" i="43"/>
  <c r="S104" i="46"/>
  <c r="T104" i="46" s="1"/>
  <c r="R104" i="45"/>
  <c r="O105" i="44"/>
  <c r="O105" i="43"/>
  <c r="R105" i="46"/>
  <c r="S103" i="46"/>
  <c r="T103" i="46" s="1"/>
  <c r="O105" i="45"/>
  <c r="P105" i="43"/>
  <c r="S103" i="45"/>
  <c r="T103" i="45" s="1"/>
  <c r="N105" i="44"/>
  <c r="M105" i="44"/>
  <c r="N105" i="45"/>
  <c r="M105" i="45"/>
  <c r="N105" i="46"/>
  <c r="M105" i="46"/>
  <c r="M105" i="43"/>
  <c r="O106" i="43" s="1"/>
  <c r="Q105" i="43"/>
  <c r="S103" i="44"/>
  <c r="T103" i="44" s="1"/>
  <c r="Q104" i="43"/>
  <c r="P104" i="43"/>
  <c r="Q104" i="45"/>
  <c r="P104" i="45"/>
  <c r="S103" i="43"/>
  <c r="T103" i="43" s="1"/>
  <c r="Q104" i="44"/>
  <c r="P104" i="44"/>
  <c r="C106" i="46"/>
  <c r="D106" i="46" s="1"/>
  <c r="B107" i="46"/>
  <c r="L106" i="46"/>
  <c r="B107" i="44"/>
  <c r="L106" i="44"/>
  <c r="C106" i="44"/>
  <c r="D106" i="44" s="1"/>
  <c r="C106" i="43"/>
  <c r="D106" i="43" s="1"/>
  <c r="N106" i="43" s="1"/>
  <c r="Q106" i="43" s="1"/>
  <c r="L106" i="43"/>
  <c r="B107" i="43"/>
  <c r="C106" i="45"/>
  <c r="D106" i="45" s="1"/>
  <c r="B107" i="45"/>
  <c r="L106" i="45"/>
  <c r="T104" i="17"/>
  <c r="T105" i="17"/>
  <c r="O124" i="29"/>
  <c r="N106" i="17"/>
  <c r="M106" i="17"/>
  <c r="BA122" i="29"/>
  <c r="BB122" i="29" s="1"/>
  <c r="S122" i="29"/>
  <c r="T122" i="29" s="1"/>
  <c r="AC122" i="29"/>
  <c r="AD122" i="29" s="1"/>
  <c r="AZ123" i="29"/>
  <c r="AB123" i="29"/>
  <c r="R123" i="29"/>
  <c r="BM124" i="29"/>
  <c r="B119" i="26" s="1"/>
  <c r="M124" i="29"/>
  <c r="B125" i="29"/>
  <c r="D125" i="29" s="1"/>
  <c r="N124" i="29"/>
  <c r="AP124" i="29"/>
  <c r="AY123" i="29"/>
  <c r="Q123" i="29"/>
  <c r="P123" i="29"/>
  <c r="BV123" i="29" s="1"/>
  <c r="BW123" i="29" s="1"/>
  <c r="AA123" i="29"/>
  <c r="L107" i="17"/>
  <c r="C107" i="17"/>
  <c r="D107" i="17" s="1"/>
  <c r="B108" i="17"/>
  <c r="O107" i="17" l="1"/>
  <c r="N107" i="17"/>
  <c r="M107" i="17"/>
  <c r="N107" i="50"/>
  <c r="M107" i="50"/>
  <c r="S105" i="51"/>
  <c r="T105" i="51" s="1"/>
  <c r="R106" i="51"/>
  <c r="M106" i="51"/>
  <c r="O107" i="51" s="1"/>
  <c r="R107" i="51" s="1"/>
  <c r="P106" i="52"/>
  <c r="S106" i="52" s="1"/>
  <c r="T106" i="52" s="1"/>
  <c r="P106" i="51"/>
  <c r="S106" i="51" s="1"/>
  <c r="T105" i="52"/>
  <c r="M106" i="52"/>
  <c r="O107" i="52" s="1"/>
  <c r="R107" i="52" s="1"/>
  <c r="L107" i="51"/>
  <c r="B108" i="51"/>
  <c r="C107" i="51"/>
  <c r="D107" i="51" s="1"/>
  <c r="L107" i="52"/>
  <c r="C107" i="52"/>
  <c r="D107" i="52" s="1"/>
  <c r="B108" i="52"/>
  <c r="S106" i="50"/>
  <c r="R107" i="50"/>
  <c r="R106" i="50"/>
  <c r="S105" i="50"/>
  <c r="T105" i="50" s="1"/>
  <c r="C108" i="50"/>
  <c r="D108" i="50" s="1"/>
  <c r="N108" i="50" s="1"/>
  <c r="L108" i="50"/>
  <c r="B109" i="50"/>
  <c r="R105" i="43"/>
  <c r="R105" i="44"/>
  <c r="O106" i="45"/>
  <c r="S105" i="43"/>
  <c r="R105" i="45"/>
  <c r="S104" i="45"/>
  <c r="T104" i="45" s="1"/>
  <c r="O106" i="44"/>
  <c r="N106" i="46"/>
  <c r="M106" i="46"/>
  <c r="S104" i="44"/>
  <c r="T104" i="44" s="1"/>
  <c r="O106" i="46"/>
  <c r="P106" i="43"/>
  <c r="S106" i="43" s="1"/>
  <c r="N106" i="45"/>
  <c r="M106" i="45"/>
  <c r="N106" i="44"/>
  <c r="M106" i="44"/>
  <c r="R106" i="43"/>
  <c r="P105" i="44"/>
  <c r="Q105" i="44"/>
  <c r="Q105" i="46"/>
  <c r="P105" i="46"/>
  <c r="M106" i="43"/>
  <c r="O107" i="43" s="1"/>
  <c r="R107" i="43" s="1"/>
  <c r="Q105" i="45"/>
  <c r="P105" i="45"/>
  <c r="S104" i="43"/>
  <c r="T104" i="43" s="1"/>
  <c r="L107" i="45"/>
  <c r="C107" i="45"/>
  <c r="D107" i="45" s="1"/>
  <c r="B108" i="45"/>
  <c r="C107" i="44"/>
  <c r="D107" i="44" s="1"/>
  <c r="N107" i="44" s="1"/>
  <c r="Q107" i="44" s="1"/>
  <c r="L107" i="44"/>
  <c r="B108" i="44"/>
  <c r="C107" i="46"/>
  <c r="D107" i="46" s="1"/>
  <c r="L107" i="46"/>
  <c r="B108" i="46"/>
  <c r="L107" i="43"/>
  <c r="B108" i="43"/>
  <c r="C107" i="43"/>
  <c r="D107" i="43" s="1"/>
  <c r="B146" i="26"/>
  <c r="AZ124" i="29"/>
  <c r="R124" i="29"/>
  <c r="AB124" i="29"/>
  <c r="O125" i="29"/>
  <c r="BA123" i="29"/>
  <c r="BB123" i="29" s="1"/>
  <c r="AC123" i="29"/>
  <c r="AD123" i="29" s="1"/>
  <c r="S123" i="29"/>
  <c r="T123" i="29" s="1"/>
  <c r="AY124" i="29"/>
  <c r="AA124" i="29"/>
  <c r="Q124" i="29"/>
  <c r="P124" i="29"/>
  <c r="BV124" i="29" s="1"/>
  <c r="BW124" i="29" s="1"/>
  <c r="BM125" i="29"/>
  <c r="B120" i="26" s="1"/>
  <c r="M125" i="29"/>
  <c r="B126" i="29"/>
  <c r="D126" i="29" s="1"/>
  <c r="B127" i="29" s="1"/>
  <c r="D127" i="29" s="1"/>
  <c r="N125" i="29"/>
  <c r="AP125" i="29"/>
  <c r="Q106" i="17"/>
  <c r="P106" i="17"/>
  <c r="L108" i="17"/>
  <c r="B109" i="17"/>
  <c r="C108" i="17"/>
  <c r="D108" i="17" s="1"/>
  <c r="R107" i="17" l="1"/>
  <c r="AZ125" i="29"/>
  <c r="O108" i="17"/>
  <c r="O108" i="50"/>
  <c r="O107" i="45"/>
  <c r="O107" i="44"/>
  <c r="O107" i="46"/>
  <c r="P108" i="50"/>
  <c r="P107" i="17"/>
  <c r="Q107" i="17"/>
  <c r="N107" i="51"/>
  <c r="M107" i="51"/>
  <c r="N107" i="52"/>
  <c r="M107" i="52"/>
  <c r="N107" i="43"/>
  <c r="M107" i="43"/>
  <c r="N107" i="45"/>
  <c r="M107" i="45"/>
  <c r="N107" i="46"/>
  <c r="M107" i="46"/>
  <c r="M108" i="50"/>
  <c r="O109" i="50" s="1"/>
  <c r="Q108" i="50"/>
  <c r="P107" i="44"/>
  <c r="S107" i="44" s="1"/>
  <c r="M107" i="44"/>
  <c r="O108" i="44" s="1"/>
  <c r="R108" i="44" s="1"/>
  <c r="P107" i="50"/>
  <c r="Q107" i="50"/>
  <c r="R106" i="44"/>
  <c r="T106" i="51"/>
  <c r="L108" i="52"/>
  <c r="C108" i="52"/>
  <c r="D108" i="52" s="1"/>
  <c r="N108" i="52" s="1"/>
  <c r="B109" i="52"/>
  <c r="C108" i="51"/>
  <c r="D108" i="51" s="1"/>
  <c r="N108" i="51" s="1"/>
  <c r="P108" i="51" s="1"/>
  <c r="L108" i="51"/>
  <c r="B109" i="51"/>
  <c r="T106" i="50"/>
  <c r="T105" i="43"/>
  <c r="L109" i="50"/>
  <c r="C109" i="50"/>
  <c r="D109" i="50" s="1"/>
  <c r="B110" i="50"/>
  <c r="R106" i="45"/>
  <c r="S105" i="46"/>
  <c r="T105" i="46" s="1"/>
  <c r="S105" i="44"/>
  <c r="T105" i="44" s="1"/>
  <c r="S105" i="45"/>
  <c r="T105" i="45" s="1"/>
  <c r="R106" i="46"/>
  <c r="P106" i="46"/>
  <c r="Q106" i="46"/>
  <c r="P106" i="44"/>
  <c r="Q106" i="44"/>
  <c r="Q106" i="45"/>
  <c r="P106" i="45"/>
  <c r="T106" i="43"/>
  <c r="C108" i="45"/>
  <c r="D108" i="45" s="1"/>
  <c r="B109" i="45"/>
  <c r="L108" i="45"/>
  <c r="L108" i="46"/>
  <c r="B109" i="46"/>
  <c r="C108" i="46"/>
  <c r="D108" i="46" s="1"/>
  <c r="B109" i="44"/>
  <c r="C108" i="44"/>
  <c r="D108" i="44" s="1"/>
  <c r="N108" i="44" s="1"/>
  <c r="L108" i="44"/>
  <c r="L108" i="43"/>
  <c r="C108" i="43"/>
  <c r="D108" i="43" s="1"/>
  <c r="N108" i="43" s="1"/>
  <c r="B109" i="43"/>
  <c r="N108" i="17"/>
  <c r="M108" i="17"/>
  <c r="BM127" i="29"/>
  <c r="B122" i="26" s="1"/>
  <c r="B128" i="29"/>
  <c r="D128" i="29" s="1"/>
  <c r="M127" i="29"/>
  <c r="N127" i="29"/>
  <c r="AP127" i="29"/>
  <c r="AB125" i="29"/>
  <c r="R125" i="29"/>
  <c r="S106" i="17"/>
  <c r="T106" i="17" s="1"/>
  <c r="AY125" i="29"/>
  <c r="P125" i="29"/>
  <c r="BV125" i="29" s="1"/>
  <c r="BW125" i="29" s="1"/>
  <c r="Q125" i="29"/>
  <c r="AA125" i="29"/>
  <c r="BM126" i="29"/>
  <c r="B121" i="26" s="1"/>
  <c r="M126" i="29"/>
  <c r="AP126" i="29"/>
  <c r="N126" i="29"/>
  <c r="BA124" i="29"/>
  <c r="BB124" i="29" s="1"/>
  <c r="AC124" i="29"/>
  <c r="AD124" i="29" s="1"/>
  <c r="S124" i="29"/>
  <c r="T124" i="29" s="1"/>
  <c r="O126" i="29"/>
  <c r="C109" i="17"/>
  <c r="D109" i="17" s="1"/>
  <c r="B110" i="17"/>
  <c r="L109" i="17"/>
  <c r="R107" i="45" l="1"/>
  <c r="P108" i="43"/>
  <c r="R108" i="17"/>
  <c r="R108" i="50"/>
  <c r="O108" i="45"/>
  <c r="O108" i="52"/>
  <c r="P108" i="44"/>
  <c r="O108" i="43"/>
  <c r="O109" i="17"/>
  <c r="R107" i="44"/>
  <c r="T107" i="44" s="1"/>
  <c r="O108" i="46"/>
  <c r="O108" i="51"/>
  <c r="R107" i="46"/>
  <c r="S108" i="50"/>
  <c r="S107" i="17"/>
  <c r="T107" i="17" s="1"/>
  <c r="O128" i="29"/>
  <c r="P108" i="52"/>
  <c r="O127" i="29"/>
  <c r="R109" i="50"/>
  <c r="N108" i="46"/>
  <c r="M108" i="46"/>
  <c r="N108" i="45"/>
  <c r="M108" i="45"/>
  <c r="N109" i="50"/>
  <c r="M109" i="50"/>
  <c r="Q108" i="43"/>
  <c r="S108" i="43" s="1"/>
  <c r="Q108" i="44"/>
  <c r="M108" i="44"/>
  <c r="O109" i="44" s="1"/>
  <c r="Q108" i="51"/>
  <c r="S108" i="51" s="1"/>
  <c r="Q108" i="52"/>
  <c r="S107" i="50"/>
  <c r="T107" i="50" s="1"/>
  <c r="Q107" i="45"/>
  <c r="P107" i="45"/>
  <c r="M108" i="43"/>
  <c r="O109" i="43" s="1"/>
  <c r="Q107" i="52"/>
  <c r="P107" i="52"/>
  <c r="M108" i="52"/>
  <c r="O109" i="52" s="1"/>
  <c r="P107" i="46"/>
  <c r="Q107" i="46"/>
  <c r="M108" i="51"/>
  <c r="O109" i="51" s="1"/>
  <c r="Q107" i="43"/>
  <c r="P107" i="43"/>
  <c r="Q107" i="51"/>
  <c r="P107" i="51"/>
  <c r="B110" i="52"/>
  <c r="C109" i="52"/>
  <c r="D109" i="52" s="1"/>
  <c r="N109" i="52" s="1"/>
  <c r="Q109" i="52" s="1"/>
  <c r="L109" i="52"/>
  <c r="L109" i="51"/>
  <c r="C109" i="51"/>
  <c r="D109" i="51" s="1"/>
  <c r="N109" i="51" s="1"/>
  <c r="Q109" i="51" s="1"/>
  <c r="B110" i="51"/>
  <c r="B111" i="50"/>
  <c r="L110" i="50"/>
  <c r="C110" i="50"/>
  <c r="D110" i="50" s="1"/>
  <c r="S106" i="46"/>
  <c r="T106" i="46" s="1"/>
  <c r="S106" i="44"/>
  <c r="T106" i="44" s="1"/>
  <c r="S106" i="45"/>
  <c r="T106" i="45" s="1"/>
  <c r="C109" i="44"/>
  <c r="D109" i="44" s="1"/>
  <c r="N109" i="44" s="1"/>
  <c r="Q109" i="44" s="1"/>
  <c r="L109" i="44"/>
  <c r="B110" i="44"/>
  <c r="L109" i="46"/>
  <c r="B110" i="46"/>
  <c r="C109" i="46"/>
  <c r="D109" i="46" s="1"/>
  <c r="C109" i="43"/>
  <c r="D109" i="43" s="1"/>
  <c r="B110" i="43"/>
  <c r="L109" i="43"/>
  <c r="B110" i="45"/>
  <c r="L109" i="45"/>
  <c r="C109" i="45"/>
  <c r="D109" i="45" s="1"/>
  <c r="N109" i="17"/>
  <c r="M109" i="17"/>
  <c r="AY127" i="29"/>
  <c r="Q127" i="29"/>
  <c r="AA127" i="29"/>
  <c r="P127" i="29"/>
  <c r="BM128" i="29"/>
  <c r="B123" i="26" s="1"/>
  <c r="B129" i="29"/>
  <c r="D129" i="29" s="1"/>
  <c r="B130" i="29" s="1"/>
  <c r="D130" i="29" s="1"/>
  <c r="M128" i="29"/>
  <c r="N128" i="29"/>
  <c r="AP128" i="29"/>
  <c r="P108" i="17"/>
  <c r="Q108" i="17"/>
  <c r="AZ126" i="29"/>
  <c r="AB126" i="29"/>
  <c r="R126" i="29"/>
  <c r="BA125" i="29"/>
  <c r="BB125" i="29" s="1"/>
  <c r="S125" i="29"/>
  <c r="T125" i="29" s="1"/>
  <c r="AC125" i="29"/>
  <c r="AD125" i="29" s="1"/>
  <c r="AY126" i="29"/>
  <c r="AA126" i="29"/>
  <c r="Q126" i="29"/>
  <c r="P126" i="29"/>
  <c r="BV126" i="29" s="1"/>
  <c r="BW126" i="29" s="1"/>
  <c r="C110" i="17"/>
  <c r="D110" i="17" s="1"/>
  <c r="L110" i="17"/>
  <c r="B111" i="17"/>
  <c r="T108" i="50" l="1"/>
  <c r="AZ127" i="29"/>
  <c r="S108" i="44"/>
  <c r="T108" i="44" s="1"/>
  <c r="R108" i="52"/>
  <c r="R108" i="45"/>
  <c r="R108" i="51"/>
  <c r="T108" i="51" s="1"/>
  <c r="AB128" i="29"/>
  <c r="R128" i="29"/>
  <c r="O110" i="50"/>
  <c r="R108" i="43"/>
  <c r="T108" i="43" s="1"/>
  <c r="O109" i="46"/>
  <c r="O109" i="45"/>
  <c r="R109" i="17"/>
  <c r="R108" i="46"/>
  <c r="O110" i="17"/>
  <c r="AZ128" i="29"/>
  <c r="R109" i="44"/>
  <c r="S108" i="52"/>
  <c r="R127" i="29"/>
  <c r="AB127" i="29"/>
  <c r="S107" i="52"/>
  <c r="T107" i="52" s="1"/>
  <c r="R109" i="52"/>
  <c r="S107" i="43"/>
  <c r="T107" i="43" s="1"/>
  <c r="R109" i="43"/>
  <c r="S107" i="46"/>
  <c r="T107" i="46" s="1"/>
  <c r="R109" i="51"/>
  <c r="N110" i="50"/>
  <c r="M110" i="50"/>
  <c r="N110" i="17"/>
  <c r="M110" i="17"/>
  <c r="N109" i="45"/>
  <c r="M109" i="45"/>
  <c r="N109" i="43"/>
  <c r="M109" i="43"/>
  <c r="N109" i="46"/>
  <c r="M109" i="46"/>
  <c r="O129" i="29"/>
  <c r="P109" i="44"/>
  <c r="S109" i="44" s="1"/>
  <c r="P109" i="51"/>
  <c r="S109" i="51" s="1"/>
  <c r="P109" i="52"/>
  <c r="S109" i="52" s="1"/>
  <c r="S107" i="45"/>
  <c r="T107" i="45" s="1"/>
  <c r="Q108" i="45"/>
  <c r="P108" i="45"/>
  <c r="BM130" i="29"/>
  <c r="B125" i="26" s="1"/>
  <c r="B131" i="29"/>
  <c r="D131" i="29" s="1"/>
  <c r="M130" i="29"/>
  <c r="AP130" i="29"/>
  <c r="N130" i="29"/>
  <c r="M109" i="52"/>
  <c r="O110" i="52" s="1"/>
  <c r="R110" i="52" s="1"/>
  <c r="S107" i="51"/>
  <c r="T107" i="51" s="1"/>
  <c r="M109" i="44"/>
  <c r="O110" i="44" s="1"/>
  <c r="R110" i="44" s="1"/>
  <c r="M109" i="51"/>
  <c r="O110" i="51" s="1"/>
  <c r="R110" i="51" s="1"/>
  <c r="Q109" i="50"/>
  <c r="P109" i="50"/>
  <c r="Q108" i="46"/>
  <c r="P108" i="46"/>
  <c r="B111" i="52"/>
  <c r="C110" i="52"/>
  <c r="D110" i="52" s="1"/>
  <c r="L110" i="52"/>
  <c r="B111" i="51"/>
  <c r="C110" i="51"/>
  <c r="D110" i="51" s="1"/>
  <c r="L110" i="51"/>
  <c r="B112" i="50"/>
  <c r="C111" i="50"/>
  <c r="D111" i="50" s="1"/>
  <c r="N111" i="50" s="1"/>
  <c r="L111" i="50"/>
  <c r="L110" i="45"/>
  <c r="B111" i="45"/>
  <c r="C110" i="45"/>
  <c r="D110" i="45" s="1"/>
  <c r="N110" i="45" s="1"/>
  <c r="Q110" i="45" s="1"/>
  <c r="C110" i="44"/>
  <c r="D110" i="44" s="1"/>
  <c r="L110" i="44"/>
  <c r="B111" i="44"/>
  <c r="L110" i="43"/>
  <c r="B111" i="43"/>
  <c r="C110" i="43"/>
  <c r="D110" i="43" s="1"/>
  <c r="L110" i="46"/>
  <c r="C110" i="46"/>
  <c r="D110" i="46" s="1"/>
  <c r="B111" i="46"/>
  <c r="S108" i="17"/>
  <c r="T108" i="17" s="1"/>
  <c r="BM129" i="29"/>
  <c r="B124" i="26" s="1"/>
  <c r="M129" i="29"/>
  <c r="N129" i="29"/>
  <c r="AP129" i="29"/>
  <c r="BA127" i="29"/>
  <c r="S127" i="29"/>
  <c r="AC127" i="29"/>
  <c r="BV127" i="29"/>
  <c r="BW127" i="29" s="1"/>
  <c r="AY128" i="29"/>
  <c r="Q128" i="29"/>
  <c r="P128" i="29"/>
  <c r="AA128" i="29"/>
  <c r="P109" i="17"/>
  <c r="Q109" i="17"/>
  <c r="BA126" i="29"/>
  <c r="BB126" i="29" s="1"/>
  <c r="AC126" i="29"/>
  <c r="AD126" i="29" s="1"/>
  <c r="S126" i="29"/>
  <c r="T126" i="29" s="1"/>
  <c r="L111" i="17"/>
  <c r="B112" i="17"/>
  <c r="C111" i="17"/>
  <c r="D111" i="17" s="1"/>
  <c r="BB127" i="29" l="1"/>
  <c r="R109" i="45"/>
  <c r="T108" i="52"/>
  <c r="R110" i="17"/>
  <c r="R129" i="29"/>
  <c r="T127" i="29"/>
  <c r="R109" i="46"/>
  <c r="R110" i="50"/>
  <c r="T109" i="51"/>
  <c r="T109" i="52"/>
  <c r="O110" i="46"/>
  <c r="O110" i="45"/>
  <c r="O111" i="50"/>
  <c r="O110" i="43"/>
  <c r="O111" i="17"/>
  <c r="AZ129" i="29"/>
  <c r="AB129" i="29"/>
  <c r="T109" i="44"/>
  <c r="AD127" i="29"/>
  <c r="N110" i="46"/>
  <c r="M110" i="46"/>
  <c r="P111" i="50"/>
  <c r="O130" i="29"/>
  <c r="S108" i="45"/>
  <c r="T108" i="45" s="1"/>
  <c r="N110" i="51"/>
  <c r="M110" i="51"/>
  <c r="N111" i="17"/>
  <c r="M111" i="17"/>
  <c r="N110" i="52"/>
  <c r="M110" i="52"/>
  <c r="N110" i="44"/>
  <c r="M110" i="44"/>
  <c r="N110" i="43"/>
  <c r="M110" i="43"/>
  <c r="S108" i="46"/>
  <c r="T108" i="46" s="1"/>
  <c r="S109" i="50"/>
  <c r="T109" i="50" s="1"/>
  <c r="BM131" i="29"/>
  <c r="B126" i="26" s="1"/>
  <c r="M131" i="29"/>
  <c r="B132" i="29"/>
  <c r="D132" i="29" s="1"/>
  <c r="AP131" i="29"/>
  <c r="N131" i="29"/>
  <c r="P110" i="45"/>
  <c r="S110" i="45" s="1"/>
  <c r="AY130" i="29"/>
  <c r="Q130" i="29"/>
  <c r="AA130" i="29"/>
  <c r="P130" i="29"/>
  <c r="P109" i="43"/>
  <c r="Q109" i="43"/>
  <c r="Q110" i="17"/>
  <c r="P110" i="17"/>
  <c r="M110" i="45"/>
  <c r="O111" i="45" s="1"/>
  <c r="R111" i="45" s="1"/>
  <c r="M111" i="50"/>
  <c r="O112" i="50" s="1"/>
  <c r="P110" i="50"/>
  <c r="Q110" i="50"/>
  <c r="Q111" i="50"/>
  <c r="O131" i="29"/>
  <c r="P109" i="46"/>
  <c r="Q109" i="46"/>
  <c r="P109" i="45"/>
  <c r="Q109" i="45"/>
  <c r="R110" i="45" s="1"/>
  <c r="L111" i="51"/>
  <c r="C111" i="51"/>
  <c r="D111" i="51" s="1"/>
  <c r="B112" i="51"/>
  <c r="C111" i="52"/>
  <c r="D111" i="52" s="1"/>
  <c r="L111" i="52"/>
  <c r="B112" i="52"/>
  <c r="L112" i="50"/>
  <c r="C112" i="50"/>
  <c r="D112" i="50" s="1"/>
  <c r="B113" i="50"/>
  <c r="L111" i="44"/>
  <c r="C111" i="44"/>
  <c r="D111" i="44" s="1"/>
  <c r="B112" i="44"/>
  <c r="B112" i="46"/>
  <c r="L111" i="46"/>
  <c r="C111" i="46"/>
  <c r="D111" i="46" s="1"/>
  <c r="C111" i="45"/>
  <c r="D111" i="45" s="1"/>
  <c r="N111" i="45" s="1"/>
  <c r="B112" i="45"/>
  <c r="L111" i="45"/>
  <c r="B112" i="43"/>
  <c r="L111" i="43"/>
  <c r="C111" i="43"/>
  <c r="D111" i="43" s="1"/>
  <c r="N111" i="43" s="1"/>
  <c r="BA128" i="29"/>
  <c r="BB128" i="29" s="1"/>
  <c r="S128" i="29"/>
  <c r="T128" i="29" s="1"/>
  <c r="AC128" i="29"/>
  <c r="AD128" i="29" s="1"/>
  <c r="BV128" i="29"/>
  <c r="BW128" i="29" s="1"/>
  <c r="S109" i="17"/>
  <c r="T109" i="17" s="1"/>
  <c r="AY129" i="29"/>
  <c r="Q129" i="29"/>
  <c r="AA129" i="29"/>
  <c r="P129" i="29"/>
  <c r="L112" i="17"/>
  <c r="C112" i="17"/>
  <c r="D112" i="17" s="1"/>
  <c r="B113" i="17"/>
  <c r="R111" i="50" l="1"/>
  <c r="P111" i="43"/>
  <c r="R110" i="46"/>
  <c r="R111" i="17"/>
  <c r="R110" i="43"/>
  <c r="O111" i="46"/>
  <c r="O111" i="43"/>
  <c r="S111" i="50"/>
  <c r="S109" i="45"/>
  <c r="T109" i="45" s="1"/>
  <c r="O111" i="44"/>
  <c r="O112" i="17"/>
  <c r="AB130" i="29"/>
  <c r="M111" i="43"/>
  <c r="O112" i="43" s="1"/>
  <c r="O132" i="29"/>
  <c r="O111" i="52"/>
  <c r="O111" i="51"/>
  <c r="P111" i="45"/>
  <c r="Q111" i="45"/>
  <c r="N112" i="50"/>
  <c r="M112" i="50"/>
  <c r="N111" i="52"/>
  <c r="M111" i="52"/>
  <c r="AZ130" i="29"/>
  <c r="Q111" i="43"/>
  <c r="S111" i="43" s="1"/>
  <c r="R130" i="29"/>
  <c r="Q110" i="46"/>
  <c r="P110" i="46"/>
  <c r="R112" i="50"/>
  <c r="S110" i="17"/>
  <c r="T110" i="17" s="1"/>
  <c r="S109" i="43"/>
  <c r="T109" i="43" s="1"/>
  <c r="N111" i="51"/>
  <c r="M111" i="51"/>
  <c r="N112" i="17"/>
  <c r="M112" i="17"/>
  <c r="N111" i="46"/>
  <c r="M111" i="46"/>
  <c r="N111" i="44"/>
  <c r="M111" i="44"/>
  <c r="AZ131" i="29"/>
  <c r="R131" i="29"/>
  <c r="AB131" i="29"/>
  <c r="AY131" i="29"/>
  <c r="P131" i="29"/>
  <c r="Q131" i="29"/>
  <c r="AA131" i="29"/>
  <c r="Q110" i="44"/>
  <c r="P110" i="44"/>
  <c r="P111" i="17"/>
  <c r="Q111" i="17"/>
  <c r="P110" i="43"/>
  <c r="Q110" i="43"/>
  <c r="M111" i="45"/>
  <c r="O112" i="45" s="1"/>
  <c r="BA130" i="29"/>
  <c r="AC130" i="29"/>
  <c r="S130" i="29"/>
  <c r="BV130" i="29"/>
  <c r="BW130" i="29" s="1"/>
  <c r="BM132" i="29"/>
  <c r="B127" i="26" s="1"/>
  <c r="M132" i="29"/>
  <c r="B133" i="29"/>
  <c r="D133" i="29" s="1"/>
  <c r="N132" i="29"/>
  <c r="AP132" i="29"/>
  <c r="P110" i="52"/>
  <c r="Q110" i="52"/>
  <c r="S109" i="46"/>
  <c r="T109" i="46" s="1"/>
  <c r="T110" i="45"/>
  <c r="S110" i="50"/>
  <c r="T110" i="50" s="1"/>
  <c r="Q110" i="51"/>
  <c r="P110" i="51"/>
  <c r="L112" i="52"/>
  <c r="B113" i="52"/>
  <c r="C112" i="52"/>
  <c r="D112" i="52" s="1"/>
  <c r="C112" i="51"/>
  <c r="D112" i="51" s="1"/>
  <c r="N112" i="51" s="1"/>
  <c r="B113" i="51"/>
  <c r="L112" i="51"/>
  <c r="B114" i="50"/>
  <c r="C113" i="50"/>
  <c r="D113" i="50" s="1"/>
  <c r="N113" i="50" s="1"/>
  <c r="L113" i="50"/>
  <c r="L112" i="44"/>
  <c r="C112" i="44"/>
  <c r="D112" i="44" s="1"/>
  <c r="B113" i="44"/>
  <c r="L112" i="43"/>
  <c r="C112" i="43"/>
  <c r="D112" i="43" s="1"/>
  <c r="B113" i="43"/>
  <c r="C112" i="46"/>
  <c r="D112" i="46" s="1"/>
  <c r="N112" i="46" s="1"/>
  <c r="Q112" i="46" s="1"/>
  <c r="B113" i="46"/>
  <c r="L112" i="46"/>
  <c r="C112" i="45"/>
  <c r="D112" i="45" s="1"/>
  <c r="L112" i="45"/>
  <c r="B113" i="45"/>
  <c r="BA129" i="29"/>
  <c r="BB129" i="29" s="1"/>
  <c r="S129" i="29"/>
  <c r="T129" i="29" s="1"/>
  <c r="AC129" i="29"/>
  <c r="AD129" i="29" s="1"/>
  <c r="BV129" i="29"/>
  <c r="BW129" i="29" s="1"/>
  <c r="C113" i="17"/>
  <c r="D113" i="17" s="1"/>
  <c r="N113" i="17" s="1"/>
  <c r="Q113" i="17" s="1"/>
  <c r="B114" i="17"/>
  <c r="L113" i="17"/>
  <c r="R111" i="46" l="1"/>
  <c r="T111" i="50"/>
  <c r="AB132" i="29"/>
  <c r="S111" i="45"/>
  <c r="T111" i="45" s="1"/>
  <c r="R111" i="51"/>
  <c r="O112" i="46"/>
  <c r="O112" i="51"/>
  <c r="R112" i="45"/>
  <c r="R132" i="29"/>
  <c r="R111" i="44"/>
  <c r="O112" i="44"/>
  <c r="O113" i="50"/>
  <c r="O112" i="52"/>
  <c r="R111" i="43"/>
  <c r="T111" i="43" s="1"/>
  <c r="AD130" i="29"/>
  <c r="R112" i="17"/>
  <c r="R112" i="43"/>
  <c r="O113" i="17"/>
  <c r="AZ132" i="29"/>
  <c r="P112" i="51"/>
  <c r="R111" i="52"/>
  <c r="T130" i="29"/>
  <c r="S110" i="46"/>
  <c r="T110" i="46" s="1"/>
  <c r="N112" i="44"/>
  <c r="Q112" i="44" s="1"/>
  <c r="M112" i="44"/>
  <c r="Q113" i="50"/>
  <c r="P113" i="50"/>
  <c r="P112" i="46"/>
  <c r="S112" i="46" s="1"/>
  <c r="P112" i="50"/>
  <c r="Q112" i="50"/>
  <c r="BB130" i="29"/>
  <c r="Q111" i="52"/>
  <c r="P111" i="52"/>
  <c r="N112" i="45"/>
  <c r="M112" i="45"/>
  <c r="N112" i="52"/>
  <c r="M112" i="52"/>
  <c r="N112" i="43"/>
  <c r="M112" i="43"/>
  <c r="P113" i="17"/>
  <c r="S113" i="17" s="1"/>
  <c r="M113" i="17"/>
  <c r="O114" i="17" s="1"/>
  <c r="R114" i="17" s="1"/>
  <c r="M112" i="46"/>
  <c r="O113" i="46" s="1"/>
  <c r="R113" i="46" s="1"/>
  <c r="M113" i="50"/>
  <c r="O114" i="50" s="1"/>
  <c r="Q112" i="51"/>
  <c r="S110" i="51"/>
  <c r="T110" i="51" s="1"/>
  <c r="S110" i="52"/>
  <c r="T110" i="52" s="1"/>
  <c r="O133" i="29"/>
  <c r="S110" i="44"/>
  <c r="T110" i="44" s="1"/>
  <c r="BA131" i="29"/>
  <c r="BB131" i="29" s="1"/>
  <c r="S131" i="29"/>
  <c r="T131" i="29" s="1"/>
  <c r="AC131" i="29"/>
  <c r="AD131" i="29" s="1"/>
  <c r="BV131" i="29"/>
  <c r="BW131" i="29" s="1"/>
  <c r="Q111" i="44"/>
  <c r="P111" i="44"/>
  <c r="P111" i="46"/>
  <c r="Q111" i="46"/>
  <c r="M112" i="51"/>
  <c r="O113" i="51" s="1"/>
  <c r="AY132" i="29"/>
  <c r="P132" i="29"/>
  <c r="AA132" i="29"/>
  <c r="Q132" i="29"/>
  <c r="P112" i="17"/>
  <c r="Q112" i="17"/>
  <c r="Q111" i="51"/>
  <c r="P111" i="51"/>
  <c r="BM133" i="29"/>
  <c r="B128" i="26" s="1"/>
  <c r="M133" i="29"/>
  <c r="B134" i="29"/>
  <c r="D134" i="29" s="1"/>
  <c r="AP133" i="29"/>
  <c r="N133" i="29"/>
  <c r="S110" i="43"/>
  <c r="T110" i="43" s="1"/>
  <c r="S111" i="17"/>
  <c r="T111" i="17" s="1"/>
  <c r="C113" i="51"/>
  <c r="D113" i="51" s="1"/>
  <c r="N113" i="51" s="1"/>
  <c r="L113" i="51"/>
  <c r="B114" i="51"/>
  <c r="C113" i="52"/>
  <c r="D113" i="52" s="1"/>
  <c r="N113" i="52" s="1"/>
  <c r="B114" i="52"/>
  <c r="L113" i="52"/>
  <c r="C114" i="50"/>
  <c r="D114" i="50" s="1"/>
  <c r="L114" i="50"/>
  <c r="B115" i="50"/>
  <c r="C113" i="46"/>
  <c r="D113" i="46" s="1"/>
  <c r="B114" i="46"/>
  <c r="L113" i="46"/>
  <c r="C113" i="44"/>
  <c r="D113" i="44" s="1"/>
  <c r="L113" i="44"/>
  <c r="B114" i="44"/>
  <c r="B114" i="43"/>
  <c r="C113" i="43"/>
  <c r="D113" i="43" s="1"/>
  <c r="L113" i="43"/>
  <c r="L113" i="45"/>
  <c r="B114" i="45"/>
  <c r="C113" i="45"/>
  <c r="D113" i="45" s="1"/>
  <c r="L114" i="17"/>
  <c r="C114" i="17"/>
  <c r="D114" i="17" s="1"/>
  <c r="N114" i="17" s="1"/>
  <c r="B115" i="17"/>
  <c r="R112" i="51" l="1"/>
  <c r="P114" i="17"/>
  <c r="S112" i="51"/>
  <c r="T112" i="51" s="1"/>
  <c r="P112" i="44"/>
  <c r="S112" i="44" s="1"/>
  <c r="O113" i="44"/>
  <c r="R113" i="44" s="1"/>
  <c r="R112" i="46"/>
  <c r="T112" i="46" s="1"/>
  <c r="O113" i="43"/>
  <c r="O113" i="52"/>
  <c r="R112" i="52"/>
  <c r="R112" i="44"/>
  <c r="R113" i="50"/>
  <c r="S113" i="50"/>
  <c r="R113" i="17"/>
  <c r="T113" i="17" s="1"/>
  <c r="O113" i="45"/>
  <c r="R114" i="50"/>
  <c r="S111" i="52"/>
  <c r="T111" i="52" s="1"/>
  <c r="P113" i="52"/>
  <c r="Q113" i="52"/>
  <c r="S112" i="17"/>
  <c r="T112" i="17" s="1"/>
  <c r="S111" i="46"/>
  <c r="T111" i="46" s="1"/>
  <c r="P113" i="51"/>
  <c r="S112" i="50"/>
  <c r="T112" i="50" s="1"/>
  <c r="R113" i="51"/>
  <c r="N113" i="43"/>
  <c r="M113" i="43"/>
  <c r="N113" i="46"/>
  <c r="M113" i="46"/>
  <c r="N113" i="44"/>
  <c r="M113" i="44"/>
  <c r="N113" i="45"/>
  <c r="M113" i="45"/>
  <c r="N114" i="50"/>
  <c r="M114" i="50"/>
  <c r="O134" i="29"/>
  <c r="M114" i="17"/>
  <c r="M113" i="52"/>
  <c r="Q113" i="51"/>
  <c r="AY133" i="29"/>
  <c r="P133" i="29"/>
  <c r="AA133" i="29"/>
  <c r="Q133" i="29"/>
  <c r="S111" i="51"/>
  <c r="T111" i="51" s="1"/>
  <c r="BA132" i="29"/>
  <c r="BB132" i="29" s="1"/>
  <c r="AC132" i="29"/>
  <c r="AD132" i="29" s="1"/>
  <c r="S132" i="29"/>
  <c r="T132" i="29" s="1"/>
  <c r="BV132" i="29"/>
  <c r="BW132" i="29" s="1"/>
  <c r="Q112" i="43"/>
  <c r="P112" i="43"/>
  <c r="P112" i="45"/>
  <c r="Q112" i="45"/>
  <c r="M113" i="51"/>
  <c r="O114" i="51" s="1"/>
  <c r="Q114" i="17"/>
  <c r="BM134" i="29"/>
  <c r="B129" i="26" s="1"/>
  <c r="M134" i="29"/>
  <c r="B135" i="29"/>
  <c r="D135" i="29" s="1"/>
  <c r="AP134" i="29"/>
  <c r="N134" i="29"/>
  <c r="S111" i="44"/>
  <c r="T111" i="44" s="1"/>
  <c r="AZ133" i="29"/>
  <c r="AB133" i="29"/>
  <c r="R133" i="29"/>
  <c r="P112" i="52"/>
  <c r="Q112" i="52"/>
  <c r="C114" i="52"/>
  <c r="D114" i="52" s="1"/>
  <c r="L114" i="52"/>
  <c r="O114" i="52"/>
  <c r="B115" i="52"/>
  <c r="B115" i="51"/>
  <c r="L114" i="51"/>
  <c r="C114" i="51"/>
  <c r="D114" i="51" s="1"/>
  <c r="N114" i="51" s="1"/>
  <c r="Q114" i="51" s="1"/>
  <c r="B116" i="50"/>
  <c r="L115" i="50"/>
  <c r="C115" i="50"/>
  <c r="D115" i="50" s="1"/>
  <c r="B115" i="44"/>
  <c r="L114" i="44"/>
  <c r="C114" i="44"/>
  <c r="D114" i="44" s="1"/>
  <c r="N114" i="44" s="1"/>
  <c r="Q114" i="44" s="1"/>
  <c r="C114" i="43"/>
  <c r="D114" i="43" s="1"/>
  <c r="L114" i="43"/>
  <c r="B115" i="43"/>
  <c r="L114" i="46"/>
  <c r="C114" i="46"/>
  <c r="D114" i="46" s="1"/>
  <c r="B115" i="46"/>
  <c r="B115" i="45"/>
  <c r="C114" i="45"/>
  <c r="D114" i="45" s="1"/>
  <c r="N114" i="45" s="1"/>
  <c r="L114" i="45"/>
  <c r="C115" i="17"/>
  <c r="D115" i="17" s="1"/>
  <c r="O115" i="17"/>
  <c r="B116" i="17"/>
  <c r="L115" i="17"/>
  <c r="S114" i="17" l="1"/>
  <c r="T114" i="17" s="1"/>
  <c r="T112" i="44"/>
  <c r="R113" i="43"/>
  <c r="R113" i="52"/>
  <c r="O114" i="45"/>
  <c r="T113" i="50"/>
  <c r="P114" i="45"/>
  <c r="O114" i="43"/>
  <c r="O115" i="50"/>
  <c r="O114" i="44"/>
  <c r="R113" i="45"/>
  <c r="S113" i="52"/>
  <c r="O114" i="46"/>
  <c r="R115" i="17"/>
  <c r="R114" i="52"/>
  <c r="S113" i="51"/>
  <c r="T113" i="51" s="1"/>
  <c r="N115" i="50"/>
  <c r="Q115" i="50" s="1"/>
  <c r="M115" i="50"/>
  <c r="O135" i="29"/>
  <c r="S112" i="43"/>
  <c r="T112" i="43" s="1"/>
  <c r="S112" i="52"/>
  <c r="T112" i="52" s="1"/>
  <c r="R114" i="51"/>
  <c r="N114" i="52"/>
  <c r="M114" i="52"/>
  <c r="N115" i="17"/>
  <c r="M115" i="17"/>
  <c r="N114" i="46"/>
  <c r="M114" i="46"/>
  <c r="N114" i="43"/>
  <c r="M114" i="43"/>
  <c r="Q114" i="45"/>
  <c r="S114" i="45" s="1"/>
  <c r="M114" i="44"/>
  <c r="O115" i="44" s="1"/>
  <c r="R115" i="44" s="1"/>
  <c r="P114" i="51"/>
  <c r="S114" i="51" s="1"/>
  <c r="AZ134" i="29"/>
  <c r="AB134" i="29"/>
  <c r="R134" i="29"/>
  <c r="P114" i="44"/>
  <c r="S114" i="44" s="1"/>
  <c r="M114" i="51"/>
  <c r="O115" i="51" s="1"/>
  <c r="R115" i="51" s="1"/>
  <c r="AY134" i="29"/>
  <c r="AA134" i="29"/>
  <c r="P134" i="29"/>
  <c r="Q134" i="29"/>
  <c r="BA133" i="29"/>
  <c r="BB133" i="29" s="1"/>
  <c r="AC133" i="29"/>
  <c r="AD133" i="29" s="1"/>
  <c r="S133" i="29"/>
  <c r="T133" i="29" s="1"/>
  <c r="BV133" i="29"/>
  <c r="BW133" i="29" s="1"/>
  <c r="P113" i="45"/>
  <c r="Q113" i="45"/>
  <c r="Q113" i="46"/>
  <c r="P113" i="46"/>
  <c r="M114" i="45"/>
  <c r="O115" i="45" s="1"/>
  <c r="T113" i="52"/>
  <c r="BM135" i="29"/>
  <c r="B130" i="26" s="1"/>
  <c r="M135" i="29"/>
  <c r="B136" i="29"/>
  <c r="D136" i="29" s="1"/>
  <c r="AP135" i="29"/>
  <c r="N135" i="29"/>
  <c r="S112" i="45"/>
  <c r="T112" i="45" s="1"/>
  <c r="P114" i="50"/>
  <c r="Q114" i="50"/>
  <c r="P113" i="44"/>
  <c r="Q113" i="44"/>
  <c r="Q113" i="43"/>
  <c r="P113" i="43"/>
  <c r="C115" i="51"/>
  <c r="D115" i="51" s="1"/>
  <c r="N115" i="51" s="1"/>
  <c r="Q115" i="51" s="1"/>
  <c r="B116" i="51"/>
  <c r="L115" i="51"/>
  <c r="B116" i="52"/>
  <c r="L115" i="52"/>
  <c r="C115" i="52"/>
  <c r="D115" i="52" s="1"/>
  <c r="B117" i="50"/>
  <c r="C116" i="50"/>
  <c r="D116" i="50" s="1"/>
  <c r="L116" i="50"/>
  <c r="L115" i="43"/>
  <c r="B116" i="43"/>
  <c r="C115" i="43"/>
  <c r="D115" i="43" s="1"/>
  <c r="N115" i="43" s="1"/>
  <c r="Q115" i="43" s="1"/>
  <c r="B116" i="44"/>
  <c r="L115" i="44"/>
  <c r="C115" i="44"/>
  <c r="D115" i="44" s="1"/>
  <c r="C115" i="46"/>
  <c r="D115" i="46" s="1"/>
  <c r="N115" i="46" s="1"/>
  <c r="Q115" i="46" s="1"/>
  <c r="B116" i="46"/>
  <c r="L115" i="46"/>
  <c r="C115" i="45"/>
  <c r="D115" i="45" s="1"/>
  <c r="L115" i="45"/>
  <c r="B116" i="45"/>
  <c r="B117" i="17"/>
  <c r="C116" i="17"/>
  <c r="D116" i="17" s="1"/>
  <c r="L116" i="17"/>
  <c r="R114" i="46" l="1"/>
  <c r="O115" i="43"/>
  <c r="R114" i="44"/>
  <c r="T114" i="44" s="1"/>
  <c r="R115" i="50"/>
  <c r="R114" i="45"/>
  <c r="T114" i="45" s="1"/>
  <c r="R135" i="29"/>
  <c r="R114" i="43"/>
  <c r="T114" i="51"/>
  <c r="O116" i="17"/>
  <c r="O115" i="46"/>
  <c r="O115" i="52"/>
  <c r="O116" i="50"/>
  <c r="R116" i="50" s="1"/>
  <c r="P115" i="50"/>
  <c r="S115" i="50" s="1"/>
  <c r="S113" i="46"/>
  <c r="T113" i="46" s="1"/>
  <c r="AB135" i="29"/>
  <c r="AZ135" i="29"/>
  <c r="S113" i="44"/>
  <c r="T113" i="44" s="1"/>
  <c r="S113" i="45"/>
  <c r="T113" i="45" s="1"/>
  <c r="S114" i="50"/>
  <c r="T114" i="50" s="1"/>
  <c r="R115" i="45"/>
  <c r="N115" i="52"/>
  <c r="M115" i="52"/>
  <c r="N115" i="44"/>
  <c r="M115" i="44"/>
  <c r="N116" i="50"/>
  <c r="M116" i="50"/>
  <c r="N116" i="17"/>
  <c r="M116" i="17"/>
  <c r="N115" i="45"/>
  <c r="M115" i="45"/>
  <c r="AY135" i="29"/>
  <c r="AA135" i="29"/>
  <c r="Q135" i="29"/>
  <c r="P135" i="29"/>
  <c r="M115" i="46"/>
  <c r="O116" i="46" s="1"/>
  <c r="R116" i="46" s="1"/>
  <c r="P115" i="46"/>
  <c r="S115" i="46" s="1"/>
  <c r="M115" i="51"/>
  <c r="O116" i="51" s="1"/>
  <c r="R116" i="51" s="1"/>
  <c r="S113" i="43"/>
  <c r="T113" i="43" s="1"/>
  <c r="BA134" i="29"/>
  <c r="BB134" i="29" s="1"/>
  <c r="S134" i="29"/>
  <c r="T134" i="29" s="1"/>
  <c r="AC134" i="29"/>
  <c r="AD134" i="29" s="1"/>
  <c r="BV134" i="29"/>
  <c r="BW134" i="29" s="1"/>
  <c r="P114" i="46"/>
  <c r="Q114" i="46"/>
  <c r="P115" i="43"/>
  <c r="S115" i="43" s="1"/>
  <c r="P115" i="51"/>
  <c r="S115" i="51" s="1"/>
  <c r="T115" i="51" s="1"/>
  <c r="BM136" i="29"/>
  <c r="B131" i="26" s="1"/>
  <c r="M136" i="29"/>
  <c r="B137" i="29"/>
  <c r="D137" i="29" s="1"/>
  <c r="N136" i="29"/>
  <c r="AP136" i="29"/>
  <c r="Q114" i="43"/>
  <c r="P114" i="43"/>
  <c r="M115" i="43"/>
  <c r="O116" i="43" s="1"/>
  <c r="R116" i="43" s="1"/>
  <c r="O136" i="29"/>
  <c r="Q115" i="17"/>
  <c r="P115" i="17"/>
  <c r="P114" i="52"/>
  <c r="Q114" i="52"/>
  <c r="C116" i="51"/>
  <c r="D116" i="51" s="1"/>
  <c r="N116" i="51" s="1"/>
  <c r="B117" i="51"/>
  <c r="L116" i="51"/>
  <c r="C116" i="52"/>
  <c r="D116" i="52" s="1"/>
  <c r="L116" i="52"/>
  <c r="B117" i="52"/>
  <c r="C117" i="50"/>
  <c r="D117" i="50" s="1"/>
  <c r="N117" i="50" s="1"/>
  <c r="B118" i="50"/>
  <c r="L117" i="50"/>
  <c r="L116" i="45"/>
  <c r="C116" i="45"/>
  <c r="D116" i="45" s="1"/>
  <c r="B117" i="45"/>
  <c r="B117" i="46"/>
  <c r="C116" i="46"/>
  <c r="D116" i="46" s="1"/>
  <c r="L116" i="46"/>
  <c r="B117" i="44"/>
  <c r="L116" i="44"/>
  <c r="C116" i="44"/>
  <c r="D116" i="44" s="1"/>
  <c r="C116" i="43"/>
  <c r="D116" i="43" s="1"/>
  <c r="B117" i="43"/>
  <c r="L116" i="43"/>
  <c r="B118" i="17"/>
  <c r="L117" i="17"/>
  <c r="C117" i="17"/>
  <c r="D117" i="17" s="1"/>
  <c r="T115" i="50" l="1"/>
  <c r="R115" i="43"/>
  <c r="R115" i="46"/>
  <c r="T115" i="46" s="1"/>
  <c r="R115" i="52"/>
  <c r="O117" i="50"/>
  <c r="O116" i="52"/>
  <c r="R116" i="17"/>
  <c r="O116" i="45"/>
  <c r="P116" i="51"/>
  <c r="T115" i="43"/>
  <c r="O137" i="29"/>
  <c r="O117" i="17"/>
  <c r="O116" i="44"/>
  <c r="P117" i="50"/>
  <c r="Q117" i="50"/>
  <c r="N116" i="45"/>
  <c r="M116" i="45"/>
  <c r="N116" i="43"/>
  <c r="M116" i="43"/>
  <c r="N116" i="46"/>
  <c r="M116" i="46"/>
  <c r="N116" i="52"/>
  <c r="M116" i="52"/>
  <c r="N117" i="17"/>
  <c r="M117" i="17"/>
  <c r="N116" i="44"/>
  <c r="M116" i="44"/>
  <c r="M116" i="51"/>
  <c r="O117" i="51" s="1"/>
  <c r="S115" i="17"/>
  <c r="T115" i="17" s="1"/>
  <c r="AZ136" i="29"/>
  <c r="AB136" i="29"/>
  <c r="R136" i="29"/>
  <c r="BM137" i="29"/>
  <c r="B132" i="26" s="1"/>
  <c r="M137" i="29"/>
  <c r="B138" i="29"/>
  <c r="D138" i="29" s="1"/>
  <c r="AP137" i="29"/>
  <c r="N137" i="29"/>
  <c r="BA135" i="29"/>
  <c r="BB135" i="29" s="1"/>
  <c r="AC135" i="29"/>
  <c r="AD135" i="29" s="1"/>
  <c r="S135" i="29"/>
  <c r="T135" i="29" s="1"/>
  <c r="BV135" i="29"/>
  <c r="BW135" i="29" s="1"/>
  <c r="P115" i="45"/>
  <c r="Q115" i="45"/>
  <c r="P115" i="44"/>
  <c r="Q115" i="44"/>
  <c r="M117" i="50"/>
  <c r="O118" i="50" s="1"/>
  <c r="Q116" i="51"/>
  <c r="Q116" i="50"/>
  <c r="P116" i="50"/>
  <c r="S114" i="52"/>
  <c r="T114" i="52" s="1"/>
  <c r="S114" i="43"/>
  <c r="T114" i="43" s="1"/>
  <c r="AY136" i="29"/>
  <c r="AA136" i="29"/>
  <c r="Q136" i="29"/>
  <c r="P136" i="29"/>
  <c r="S114" i="46"/>
  <c r="T114" i="46" s="1"/>
  <c r="P116" i="17"/>
  <c r="Q116" i="17"/>
  <c r="Q115" i="52"/>
  <c r="P115" i="52"/>
  <c r="L117" i="52"/>
  <c r="C117" i="52"/>
  <c r="D117" i="52" s="1"/>
  <c r="N117" i="52" s="1"/>
  <c r="B118" i="52"/>
  <c r="B118" i="51"/>
  <c r="C117" i="51"/>
  <c r="D117" i="51" s="1"/>
  <c r="L117" i="51"/>
  <c r="B119" i="50"/>
  <c r="L118" i="50"/>
  <c r="C118" i="50"/>
  <c r="D118" i="50" s="1"/>
  <c r="B118" i="44"/>
  <c r="C117" i="44"/>
  <c r="D117" i="44" s="1"/>
  <c r="L117" i="44"/>
  <c r="C117" i="43"/>
  <c r="D117" i="43" s="1"/>
  <c r="N117" i="43" s="1"/>
  <c r="Q117" i="43" s="1"/>
  <c r="B118" i="43"/>
  <c r="L117" i="43"/>
  <c r="C117" i="45"/>
  <c r="D117" i="45" s="1"/>
  <c r="B118" i="45"/>
  <c r="L117" i="45"/>
  <c r="C117" i="46"/>
  <c r="D117" i="46" s="1"/>
  <c r="N117" i="46" s="1"/>
  <c r="B118" i="46"/>
  <c r="L117" i="46"/>
  <c r="L118" i="17"/>
  <c r="B119" i="17"/>
  <c r="C118" i="17"/>
  <c r="D118" i="17" s="1"/>
  <c r="R137" i="29" l="1"/>
  <c r="R117" i="50"/>
  <c r="AZ137" i="29"/>
  <c r="R116" i="45"/>
  <c r="R116" i="52"/>
  <c r="R116" i="44"/>
  <c r="O117" i="52"/>
  <c r="O117" i="43"/>
  <c r="O117" i="44"/>
  <c r="AB137" i="29"/>
  <c r="P117" i="52"/>
  <c r="S117" i="50"/>
  <c r="R118" i="50"/>
  <c r="S116" i="51"/>
  <c r="T116" i="51" s="1"/>
  <c r="P117" i="46"/>
  <c r="Q117" i="46"/>
  <c r="R117" i="17"/>
  <c r="O118" i="17"/>
  <c r="O117" i="46"/>
  <c r="O117" i="45"/>
  <c r="M117" i="52"/>
  <c r="O118" i="52" s="1"/>
  <c r="Q116" i="45"/>
  <c r="P116" i="45"/>
  <c r="S115" i="52"/>
  <c r="T115" i="52" s="1"/>
  <c r="S116" i="50"/>
  <c r="T116" i="50" s="1"/>
  <c r="N117" i="51"/>
  <c r="M117" i="51"/>
  <c r="N117" i="44"/>
  <c r="M117" i="44"/>
  <c r="N118" i="17"/>
  <c r="M118" i="17"/>
  <c r="N117" i="45"/>
  <c r="M117" i="45"/>
  <c r="N118" i="50"/>
  <c r="M118" i="50"/>
  <c r="M117" i="46"/>
  <c r="O118" i="46" s="1"/>
  <c r="Q117" i="52"/>
  <c r="BA136" i="29"/>
  <c r="BB136" i="29" s="1"/>
  <c r="AC136" i="29"/>
  <c r="AD136" i="29" s="1"/>
  <c r="S136" i="29"/>
  <c r="T136" i="29" s="1"/>
  <c r="BV136" i="29"/>
  <c r="BW136" i="29" s="1"/>
  <c r="S115" i="45"/>
  <c r="T115" i="45" s="1"/>
  <c r="P117" i="43"/>
  <c r="S117" i="43" s="1"/>
  <c r="R117" i="51"/>
  <c r="BM138" i="29"/>
  <c r="B133" i="26" s="1"/>
  <c r="M138" i="29"/>
  <c r="B139" i="29"/>
  <c r="D139" i="29" s="1"/>
  <c r="N138" i="29"/>
  <c r="AP138" i="29"/>
  <c r="Q117" i="17"/>
  <c r="R118" i="17" s="1"/>
  <c r="P117" i="17"/>
  <c r="P116" i="46"/>
  <c r="Q116" i="46"/>
  <c r="M117" i="43"/>
  <c r="O118" i="43" s="1"/>
  <c r="R118" i="43" s="1"/>
  <c r="S116" i="17"/>
  <c r="T116" i="17" s="1"/>
  <c r="S115" i="44"/>
  <c r="T115" i="44" s="1"/>
  <c r="O138" i="29"/>
  <c r="Q116" i="44"/>
  <c r="P116" i="44"/>
  <c r="T117" i="50"/>
  <c r="AY137" i="29"/>
  <c r="AA137" i="29"/>
  <c r="P137" i="29"/>
  <c r="Q137" i="29"/>
  <c r="Q116" i="52"/>
  <c r="P116" i="52"/>
  <c r="P116" i="43"/>
  <c r="Q116" i="43"/>
  <c r="L118" i="51"/>
  <c r="B119" i="51"/>
  <c r="C118" i="51"/>
  <c r="D118" i="51" s="1"/>
  <c r="B119" i="52"/>
  <c r="C118" i="52"/>
  <c r="D118" i="52" s="1"/>
  <c r="L118" i="52"/>
  <c r="B120" i="50"/>
  <c r="L119" i="50"/>
  <c r="C119" i="50"/>
  <c r="D119" i="50" s="1"/>
  <c r="B119" i="43"/>
  <c r="L118" i="43"/>
  <c r="C118" i="43"/>
  <c r="D118" i="43" s="1"/>
  <c r="N118" i="43" s="1"/>
  <c r="Q118" i="43" s="1"/>
  <c r="C118" i="44"/>
  <c r="D118" i="44" s="1"/>
  <c r="N118" i="44" s="1"/>
  <c r="L118" i="44"/>
  <c r="B119" i="44"/>
  <c r="B119" i="46"/>
  <c r="C118" i="46"/>
  <c r="D118" i="46" s="1"/>
  <c r="L118" i="46"/>
  <c r="L118" i="45"/>
  <c r="C118" i="45"/>
  <c r="D118" i="45" s="1"/>
  <c r="B119" i="45"/>
  <c r="C119" i="17"/>
  <c r="D119" i="17" s="1"/>
  <c r="N119" i="17" s="1"/>
  <c r="L119" i="17"/>
  <c r="B120" i="17"/>
  <c r="P119" i="17" l="1"/>
  <c r="R117" i="43"/>
  <c r="T117" i="43" s="1"/>
  <c r="R118" i="46"/>
  <c r="S117" i="52"/>
  <c r="R117" i="52"/>
  <c r="O118" i="44"/>
  <c r="R117" i="44"/>
  <c r="O118" i="45"/>
  <c r="P118" i="44"/>
  <c r="O139" i="29"/>
  <c r="S117" i="46"/>
  <c r="R117" i="45"/>
  <c r="R117" i="46"/>
  <c r="O119" i="50"/>
  <c r="O119" i="17"/>
  <c r="O118" i="51"/>
  <c r="S116" i="45"/>
  <c r="T116" i="45" s="1"/>
  <c r="R118" i="52"/>
  <c r="S116" i="44"/>
  <c r="T116" i="44" s="1"/>
  <c r="S116" i="46"/>
  <c r="T116" i="46" s="1"/>
  <c r="N118" i="51"/>
  <c r="M118" i="51"/>
  <c r="N118" i="45"/>
  <c r="M118" i="45"/>
  <c r="N118" i="52"/>
  <c r="M118" i="52"/>
  <c r="N118" i="46"/>
  <c r="M118" i="46"/>
  <c r="N119" i="50"/>
  <c r="M119" i="50"/>
  <c r="BM139" i="29"/>
  <c r="B134" i="26" s="1"/>
  <c r="M139" i="29"/>
  <c r="B140" i="29"/>
  <c r="D140" i="29" s="1"/>
  <c r="AP139" i="29"/>
  <c r="N139" i="29"/>
  <c r="Q119" i="17"/>
  <c r="M119" i="17"/>
  <c r="O120" i="17" s="1"/>
  <c r="M118" i="44"/>
  <c r="O119" i="44" s="1"/>
  <c r="P118" i="43"/>
  <c r="S118" i="43" s="1"/>
  <c r="T118" i="43" s="1"/>
  <c r="Q117" i="45"/>
  <c r="P117" i="45"/>
  <c r="Q118" i="44"/>
  <c r="S116" i="43"/>
  <c r="T116" i="43" s="1"/>
  <c r="BA137" i="29"/>
  <c r="BB137" i="29" s="1"/>
  <c r="S137" i="29"/>
  <c r="T137" i="29" s="1"/>
  <c r="AC137" i="29"/>
  <c r="AD137" i="29" s="1"/>
  <c r="BV137" i="29"/>
  <c r="BW137" i="29" s="1"/>
  <c r="Q117" i="44"/>
  <c r="P117" i="44"/>
  <c r="M118" i="43"/>
  <c r="O119" i="43" s="1"/>
  <c r="R119" i="43" s="1"/>
  <c r="S116" i="52"/>
  <c r="T116" i="52" s="1"/>
  <c r="AZ138" i="29"/>
  <c r="R138" i="29"/>
  <c r="AB138" i="29"/>
  <c r="S117" i="17"/>
  <c r="T117" i="17" s="1"/>
  <c r="AY138" i="29"/>
  <c r="AZ139" i="29" s="1"/>
  <c r="P138" i="29"/>
  <c r="Q138" i="29"/>
  <c r="AA138" i="29"/>
  <c r="Q118" i="50"/>
  <c r="R119" i="50" s="1"/>
  <c r="P118" i="50"/>
  <c r="P118" i="17"/>
  <c r="Q118" i="17"/>
  <c r="Q117" i="51"/>
  <c r="P117" i="51"/>
  <c r="L119" i="51"/>
  <c r="B120" i="51"/>
  <c r="C119" i="51"/>
  <c r="D119" i="51" s="1"/>
  <c r="L119" i="52"/>
  <c r="B120" i="52"/>
  <c r="C119" i="52"/>
  <c r="D119" i="52" s="1"/>
  <c r="L120" i="50"/>
  <c r="C120" i="50"/>
  <c r="D120" i="50" s="1"/>
  <c r="B121" i="50"/>
  <c r="B120" i="45"/>
  <c r="L119" i="45"/>
  <c r="C119" i="45"/>
  <c r="D119" i="45" s="1"/>
  <c r="B120" i="44"/>
  <c r="C119" i="44"/>
  <c r="D119" i="44" s="1"/>
  <c r="L119" i="44"/>
  <c r="C119" i="43"/>
  <c r="D119" i="43" s="1"/>
  <c r="N119" i="43" s="1"/>
  <c r="B120" i="43"/>
  <c r="L119" i="43"/>
  <c r="L119" i="46"/>
  <c r="B120" i="46"/>
  <c r="C119" i="46"/>
  <c r="D119" i="46" s="1"/>
  <c r="N119" i="46" s="1"/>
  <c r="B121" i="17"/>
  <c r="C120" i="17"/>
  <c r="D120" i="17" s="1"/>
  <c r="L120" i="17"/>
  <c r="S119" i="17" l="1"/>
  <c r="T117" i="52"/>
  <c r="R118" i="44"/>
  <c r="R118" i="45"/>
  <c r="O119" i="46"/>
  <c r="P119" i="46"/>
  <c r="R139" i="29"/>
  <c r="S118" i="44"/>
  <c r="AB139" i="29"/>
  <c r="T117" i="46"/>
  <c r="O120" i="50"/>
  <c r="O119" i="52"/>
  <c r="R118" i="51"/>
  <c r="R119" i="44"/>
  <c r="O119" i="51"/>
  <c r="R119" i="17"/>
  <c r="P119" i="43"/>
  <c r="O119" i="45"/>
  <c r="R120" i="17"/>
  <c r="S117" i="45"/>
  <c r="T117" i="45" s="1"/>
  <c r="N119" i="51"/>
  <c r="M119" i="51"/>
  <c r="N120" i="17"/>
  <c r="M120" i="17"/>
  <c r="N120" i="50"/>
  <c r="M120" i="50"/>
  <c r="N119" i="45"/>
  <c r="M119" i="45"/>
  <c r="N119" i="44"/>
  <c r="M119" i="44"/>
  <c r="N119" i="52"/>
  <c r="M119" i="52"/>
  <c r="Q119" i="46"/>
  <c r="M119" i="46"/>
  <c r="O120" i="46" s="1"/>
  <c r="Q119" i="43"/>
  <c r="S117" i="51"/>
  <c r="T117" i="51" s="1"/>
  <c r="S118" i="50"/>
  <c r="T118" i="50" s="1"/>
  <c r="O140" i="29"/>
  <c r="P119" i="50"/>
  <c r="Q119" i="50"/>
  <c r="Q118" i="46"/>
  <c r="P118" i="46"/>
  <c r="BA138" i="29"/>
  <c r="BB138" i="29" s="1"/>
  <c r="S138" i="29"/>
  <c r="T138" i="29" s="1"/>
  <c r="AC138" i="29"/>
  <c r="AD138" i="29" s="1"/>
  <c r="BV138" i="29"/>
  <c r="BW138" i="29" s="1"/>
  <c r="AY139" i="29"/>
  <c r="AA139" i="29"/>
  <c r="Q139" i="29"/>
  <c r="P139" i="29"/>
  <c r="Q118" i="45"/>
  <c r="P118" i="45"/>
  <c r="S117" i="44"/>
  <c r="T117" i="44" s="1"/>
  <c r="P118" i="52"/>
  <c r="Q118" i="52"/>
  <c r="M119" i="43"/>
  <c r="O120" i="43" s="1"/>
  <c r="S118" i="17"/>
  <c r="T118" i="17" s="1"/>
  <c r="BM140" i="29"/>
  <c r="B135" i="26" s="1"/>
  <c r="B141" i="29"/>
  <c r="D141" i="29" s="1"/>
  <c r="M140" i="29"/>
  <c r="N140" i="29"/>
  <c r="AP140" i="29"/>
  <c r="P118" i="51"/>
  <c r="Q118" i="51"/>
  <c r="L120" i="51"/>
  <c r="C120" i="51"/>
  <c r="D120" i="51" s="1"/>
  <c r="B121" i="51"/>
  <c r="C120" i="52"/>
  <c r="D120" i="52" s="1"/>
  <c r="B121" i="52"/>
  <c r="L120" i="52"/>
  <c r="B122" i="50"/>
  <c r="L121" i="50"/>
  <c r="C121" i="50"/>
  <c r="D121" i="50" s="1"/>
  <c r="C120" i="44"/>
  <c r="D120" i="44" s="1"/>
  <c r="L120" i="44"/>
  <c r="B121" i="44"/>
  <c r="C120" i="46"/>
  <c r="D120" i="46" s="1"/>
  <c r="L120" i="46"/>
  <c r="B121" i="46"/>
  <c r="B121" i="43"/>
  <c r="L120" i="43"/>
  <c r="C120" i="43"/>
  <c r="D120" i="43" s="1"/>
  <c r="B121" i="45"/>
  <c r="C120" i="45"/>
  <c r="D120" i="45" s="1"/>
  <c r="N120" i="45" s="1"/>
  <c r="L120" i="45"/>
  <c r="B122" i="17"/>
  <c r="C121" i="17"/>
  <c r="D121" i="17" s="1"/>
  <c r="L121" i="17"/>
  <c r="R119" i="46" l="1"/>
  <c r="T119" i="17"/>
  <c r="T118" i="44"/>
  <c r="S119" i="46"/>
  <c r="T119" i="46" s="1"/>
  <c r="R120" i="50"/>
  <c r="R119" i="52"/>
  <c r="O120" i="52"/>
  <c r="R119" i="45"/>
  <c r="P120" i="45"/>
  <c r="R119" i="51"/>
  <c r="O120" i="51"/>
  <c r="S119" i="43"/>
  <c r="T119" i="43" s="1"/>
  <c r="O120" i="45"/>
  <c r="O121" i="17"/>
  <c r="R120" i="46"/>
  <c r="O120" i="44"/>
  <c r="O121" i="50"/>
  <c r="R120" i="43"/>
  <c r="S118" i="52"/>
  <c r="T118" i="52" s="1"/>
  <c r="N120" i="46"/>
  <c r="M120" i="46"/>
  <c r="N120" i="44"/>
  <c r="M120" i="44"/>
  <c r="N121" i="17"/>
  <c r="M121" i="17"/>
  <c r="N121" i="50"/>
  <c r="M121" i="50"/>
  <c r="N120" i="51"/>
  <c r="M120" i="51"/>
  <c r="N120" i="43"/>
  <c r="M120" i="43"/>
  <c r="N120" i="52"/>
  <c r="M120" i="52"/>
  <c r="AY140" i="29"/>
  <c r="Q140" i="29"/>
  <c r="P140" i="29"/>
  <c r="AA140" i="29"/>
  <c r="Q119" i="44"/>
  <c r="P119" i="44"/>
  <c r="Q120" i="50"/>
  <c r="P120" i="50"/>
  <c r="P120" i="17"/>
  <c r="Q120" i="17"/>
  <c r="Q120" i="45"/>
  <c r="O141" i="29"/>
  <c r="BA139" i="29"/>
  <c r="BB139" i="29" s="1"/>
  <c r="AC139" i="29"/>
  <c r="AD139" i="29" s="1"/>
  <c r="S139" i="29"/>
  <c r="T139" i="29" s="1"/>
  <c r="BV139" i="29"/>
  <c r="BW139" i="29" s="1"/>
  <c r="S118" i="51"/>
  <c r="T118" i="51" s="1"/>
  <c r="BM141" i="29"/>
  <c r="B136" i="26" s="1"/>
  <c r="M141" i="29"/>
  <c r="B142" i="29"/>
  <c r="D142" i="29" s="1"/>
  <c r="N141" i="29"/>
  <c r="AP141" i="29"/>
  <c r="S119" i="50"/>
  <c r="T119" i="50" s="1"/>
  <c r="P119" i="52"/>
  <c r="Q119" i="52"/>
  <c r="P119" i="45"/>
  <c r="Q119" i="45"/>
  <c r="M120" i="45"/>
  <c r="O121" i="45" s="1"/>
  <c r="S118" i="45"/>
  <c r="T118" i="45" s="1"/>
  <c r="S118" i="46"/>
  <c r="T118" i="46" s="1"/>
  <c r="AZ140" i="29"/>
  <c r="AB140" i="29"/>
  <c r="R140" i="29"/>
  <c r="P119" i="51"/>
  <c r="Q119" i="51"/>
  <c r="L121" i="51"/>
  <c r="C121" i="51"/>
  <c r="D121" i="51" s="1"/>
  <c r="B122" i="51"/>
  <c r="C121" i="52"/>
  <c r="D121" i="52" s="1"/>
  <c r="B122" i="52"/>
  <c r="L121" i="52"/>
  <c r="B123" i="50"/>
  <c r="L122" i="50"/>
  <c r="C122" i="50"/>
  <c r="D122" i="50" s="1"/>
  <c r="N122" i="50" s="1"/>
  <c r="B122" i="44"/>
  <c r="L121" i="44"/>
  <c r="C121" i="44"/>
  <c r="D121" i="44" s="1"/>
  <c r="B122" i="45"/>
  <c r="C121" i="45"/>
  <c r="D121" i="45" s="1"/>
  <c r="L121" i="45"/>
  <c r="C121" i="46"/>
  <c r="D121" i="46" s="1"/>
  <c r="N121" i="46" s="1"/>
  <c r="B122" i="46"/>
  <c r="L121" i="46"/>
  <c r="L121" i="43"/>
  <c r="C121" i="43"/>
  <c r="D121" i="43" s="1"/>
  <c r="B122" i="43"/>
  <c r="C122" i="17"/>
  <c r="D122" i="17" s="1"/>
  <c r="N122" i="17" s="1"/>
  <c r="L122" i="17"/>
  <c r="B123" i="17"/>
  <c r="R120" i="45" l="1"/>
  <c r="S120" i="45"/>
  <c r="R121" i="50"/>
  <c r="R120" i="52"/>
  <c r="P121" i="46"/>
  <c r="R121" i="17"/>
  <c r="P122" i="17"/>
  <c r="O121" i="43"/>
  <c r="O122" i="50"/>
  <c r="O121" i="44"/>
  <c r="R120" i="51"/>
  <c r="P122" i="50"/>
  <c r="R120" i="44"/>
  <c r="O121" i="52"/>
  <c r="O121" i="51"/>
  <c r="O122" i="17"/>
  <c r="O121" i="46"/>
  <c r="Q122" i="50"/>
  <c r="M122" i="50"/>
  <c r="O123" i="50" s="1"/>
  <c r="S119" i="51"/>
  <c r="T119" i="51" s="1"/>
  <c r="S119" i="45"/>
  <c r="T119" i="45" s="1"/>
  <c r="S120" i="17"/>
  <c r="T120" i="17" s="1"/>
  <c r="R121" i="45"/>
  <c r="S120" i="50"/>
  <c r="T120" i="50" s="1"/>
  <c r="N121" i="43"/>
  <c r="M121" i="43"/>
  <c r="N121" i="44"/>
  <c r="M121" i="44"/>
  <c r="N121" i="51"/>
  <c r="M121" i="51"/>
  <c r="N121" i="45"/>
  <c r="M121" i="45"/>
  <c r="N121" i="52"/>
  <c r="M121" i="52"/>
  <c r="Q121" i="46"/>
  <c r="Q121" i="50"/>
  <c r="P121" i="50"/>
  <c r="Q122" i="17"/>
  <c r="AY141" i="29"/>
  <c r="Q141" i="29"/>
  <c r="P141" i="29"/>
  <c r="AA141" i="29"/>
  <c r="AZ141" i="29"/>
  <c r="R141" i="29"/>
  <c r="AB141" i="29"/>
  <c r="P120" i="43"/>
  <c r="Q120" i="43"/>
  <c r="P120" i="51"/>
  <c r="Q120" i="51"/>
  <c r="P120" i="44"/>
  <c r="Q120" i="44"/>
  <c r="M121" i="46"/>
  <c r="O122" i="46" s="1"/>
  <c r="S119" i="52"/>
  <c r="T119" i="52" s="1"/>
  <c r="BM142" i="29"/>
  <c r="B137" i="26" s="1"/>
  <c r="M142" i="29"/>
  <c r="B143" i="29"/>
  <c r="D143" i="29" s="1"/>
  <c r="N142" i="29"/>
  <c r="AP142" i="29"/>
  <c r="P121" i="17"/>
  <c r="Q121" i="17"/>
  <c r="M122" i="17"/>
  <c r="O123" i="17" s="1"/>
  <c r="O142" i="29"/>
  <c r="S119" i="44"/>
  <c r="T119" i="44" s="1"/>
  <c r="BA140" i="29"/>
  <c r="BB140" i="29" s="1"/>
  <c r="AC140" i="29"/>
  <c r="AD140" i="29" s="1"/>
  <c r="S140" i="29"/>
  <c r="T140" i="29" s="1"/>
  <c r="BV140" i="29"/>
  <c r="BW140" i="29" s="1"/>
  <c r="P120" i="52"/>
  <c r="Q120" i="52"/>
  <c r="Q120" i="46"/>
  <c r="P120" i="46"/>
  <c r="C122" i="52"/>
  <c r="D122" i="52" s="1"/>
  <c r="L122" i="52"/>
  <c r="B123" i="52"/>
  <c r="C122" i="51"/>
  <c r="D122" i="51" s="1"/>
  <c r="N122" i="51" s="1"/>
  <c r="Q122" i="51" s="1"/>
  <c r="B123" i="51"/>
  <c r="L122" i="51"/>
  <c r="B124" i="50"/>
  <c r="L123" i="50"/>
  <c r="C123" i="50"/>
  <c r="D123" i="50" s="1"/>
  <c r="L122" i="43"/>
  <c r="C122" i="43"/>
  <c r="D122" i="43" s="1"/>
  <c r="B123" i="43"/>
  <c r="C122" i="45"/>
  <c r="D122" i="45" s="1"/>
  <c r="N122" i="45" s="1"/>
  <c r="B123" i="45"/>
  <c r="L122" i="45"/>
  <c r="C122" i="46"/>
  <c r="D122" i="46" s="1"/>
  <c r="N122" i="46" s="1"/>
  <c r="L122" i="46"/>
  <c r="B123" i="46"/>
  <c r="L122" i="44"/>
  <c r="C122" i="44"/>
  <c r="D122" i="44" s="1"/>
  <c r="B123" i="44"/>
  <c r="L123" i="17"/>
  <c r="C123" i="17"/>
  <c r="D123" i="17" s="1"/>
  <c r="N123" i="17" s="1"/>
  <c r="Q123" i="17" s="1"/>
  <c r="B124" i="17"/>
  <c r="R121" i="52" l="1"/>
  <c r="R121" i="43"/>
  <c r="S122" i="17"/>
  <c r="T120" i="45"/>
  <c r="R121" i="44"/>
  <c r="R122" i="50"/>
  <c r="S121" i="46"/>
  <c r="S122" i="50"/>
  <c r="O122" i="44"/>
  <c r="O122" i="52"/>
  <c r="O122" i="51"/>
  <c r="O122" i="43"/>
  <c r="R123" i="50"/>
  <c r="P122" i="46"/>
  <c r="P122" i="45"/>
  <c r="R121" i="51"/>
  <c r="R121" i="46"/>
  <c r="R122" i="17"/>
  <c r="O122" i="45"/>
  <c r="N122" i="44"/>
  <c r="M122" i="44"/>
  <c r="O143" i="29"/>
  <c r="P122" i="51"/>
  <c r="S122" i="51" s="1"/>
  <c r="R123" i="17"/>
  <c r="S120" i="46"/>
  <c r="T120" i="46" s="1"/>
  <c r="S120" i="44"/>
  <c r="T120" i="44" s="1"/>
  <c r="S120" i="43"/>
  <c r="T120" i="43" s="1"/>
  <c r="R122" i="46"/>
  <c r="S120" i="52"/>
  <c r="T120" i="52" s="1"/>
  <c r="S121" i="17"/>
  <c r="T121" i="17" s="1"/>
  <c r="N123" i="50"/>
  <c r="M123" i="50"/>
  <c r="N122" i="43"/>
  <c r="M122" i="43"/>
  <c r="N122" i="52"/>
  <c r="M122" i="52"/>
  <c r="S121" i="50"/>
  <c r="T121" i="50" s="1"/>
  <c r="P121" i="52"/>
  <c r="Q121" i="52"/>
  <c r="M123" i="17"/>
  <c r="O124" i="17" s="1"/>
  <c r="R124" i="17" s="1"/>
  <c r="M122" i="46"/>
  <c r="O123" i="46" s="1"/>
  <c r="Q122" i="46"/>
  <c r="M122" i="45"/>
  <c r="O123" i="45" s="1"/>
  <c r="AZ142" i="29"/>
  <c r="AB142" i="29"/>
  <c r="R142" i="29"/>
  <c r="P121" i="51"/>
  <c r="Q121" i="51"/>
  <c r="P123" i="17"/>
  <c r="S123" i="17" s="1"/>
  <c r="Q122" i="45"/>
  <c r="AY142" i="29"/>
  <c r="AA142" i="29"/>
  <c r="P142" i="29"/>
  <c r="Q142" i="29"/>
  <c r="S120" i="51"/>
  <c r="T120" i="51" s="1"/>
  <c r="BA141" i="29"/>
  <c r="BB141" i="29" s="1"/>
  <c r="S141" i="29"/>
  <c r="T141" i="29" s="1"/>
  <c r="AC141" i="29"/>
  <c r="AD141" i="29" s="1"/>
  <c r="BV141" i="29"/>
  <c r="BW141" i="29" s="1"/>
  <c r="P121" i="45"/>
  <c r="Q121" i="45"/>
  <c r="M122" i="51"/>
  <c r="O123" i="51" s="1"/>
  <c r="R123" i="51" s="1"/>
  <c r="BM143" i="29"/>
  <c r="B138" i="26" s="1"/>
  <c r="M143" i="29"/>
  <c r="B144" i="29"/>
  <c r="D144" i="29" s="1"/>
  <c r="N143" i="29"/>
  <c r="AP143" i="29"/>
  <c r="P121" i="44"/>
  <c r="Q121" i="44"/>
  <c r="P121" i="43"/>
  <c r="Q121" i="43"/>
  <c r="L123" i="51"/>
  <c r="B124" i="51"/>
  <c r="C123" i="51"/>
  <c r="D123" i="51" s="1"/>
  <c r="C123" i="52"/>
  <c r="D123" i="52" s="1"/>
  <c r="L123" i="52"/>
  <c r="B124" i="52"/>
  <c r="B125" i="50"/>
  <c r="L124" i="50"/>
  <c r="C124" i="50"/>
  <c r="D124" i="50" s="1"/>
  <c r="B124" i="44"/>
  <c r="C123" i="44"/>
  <c r="D123" i="44" s="1"/>
  <c r="N123" i="44" s="1"/>
  <c r="Q123" i="44" s="1"/>
  <c r="L123" i="44"/>
  <c r="C123" i="46"/>
  <c r="D123" i="46" s="1"/>
  <c r="L123" i="46"/>
  <c r="B124" i="46"/>
  <c r="C123" i="43"/>
  <c r="D123" i="43" s="1"/>
  <c r="B124" i="43"/>
  <c r="L123" i="43"/>
  <c r="B124" i="45"/>
  <c r="L123" i="45"/>
  <c r="C123" i="45"/>
  <c r="D123" i="45" s="1"/>
  <c r="C124" i="17"/>
  <c r="D124" i="17" s="1"/>
  <c r="B125" i="17"/>
  <c r="L124" i="17"/>
  <c r="T122" i="17" l="1"/>
  <c r="O123" i="52"/>
  <c r="T122" i="50"/>
  <c r="R122" i="44"/>
  <c r="R122" i="43"/>
  <c r="S122" i="46"/>
  <c r="T121" i="46"/>
  <c r="AB143" i="29"/>
  <c r="R122" i="45"/>
  <c r="AZ143" i="29"/>
  <c r="R143" i="29"/>
  <c r="R122" i="52"/>
  <c r="O124" i="50"/>
  <c r="O123" i="44"/>
  <c r="S122" i="45"/>
  <c r="R122" i="51"/>
  <c r="T122" i="51" s="1"/>
  <c r="T123" i="17"/>
  <c r="T122" i="46"/>
  <c r="O123" i="43"/>
  <c r="N123" i="46"/>
  <c r="P123" i="46" s="1"/>
  <c r="M123" i="46"/>
  <c r="R123" i="46"/>
  <c r="P122" i="44"/>
  <c r="Q122" i="44"/>
  <c r="S121" i="45"/>
  <c r="T121" i="45" s="1"/>
  <c r="R123" i="45"/>
  <c r="S121" i="43"/>
  <c r="T121" i="43" s="1"/>
  <c r="N123" i="52"/>
  <c r="M123" i="52"/>
  <c r="N123" i="45"/>
  <c r="M123" i="45"/>
  <c r="N123" i="43"/>
  <c r="M123" i="43"/>
  <c r="N124" i="17"/>
  <c r="M124" i="17"/>
  <c r="N124" i="50"/>
  <c r="M124" i="50"/>
  <c r="N123" i="51"/>
  <c r="M123" i="51"/>
  <c r="P123" i="44"/>
  <c r="S123" i="44" s="1"/>
  <c r="O144" i="29"/>
  <c r="P123" i="50"/>
  <c r="Q123" i="50"/>
  <c r="M123" i="44"/>
  <c r="O124" i="44" s="1"/>
  <c r="R124" i="44" s="1"/>
  <c r="BA142" i="29"/>
  <c r="BB142" i="29" s="1"/>
  <c r="AC142" i="29"/>
  <c r="AD142" i="29" s="1"/>
  <c r="S142" i="29"/>
  <c r="T142" i="29" s="1"/>
  <c r="BV142" i="29"/>
  <c r="BW142" i="29" s="1"/>
  <c r="S121" i="51"/>
  <c r="T121" i="51" s="1"/>
  <c r="AY143" i="29"/>
  <c r="AA143" i="29"/>
  <c r="Q143" i="29"/>
  <c r="P143" i="29"/>
  <c r="S121" i="52"/>
  <c r="T121" i="52" s="1"/>
  <c r="P122" i="52"/>
  <c r="Q122" i="52"/>
  <c r="R123" i="52" s="1"/>
  <c r="P122" i="43"/>
  <c r="Q122" i="43"/>
  <c r="S121" i="44"/>
  <c r="T121" i="44" s="1"/>
  <c r="BM144" i="29"/>
  <c r="B139" i="26" s="1"/>
  <c r="M144" i="29"/>
  <c r="B145" i="29"/>
  <c r="D145" i="29" s="1"/>
  <c r="N144" i="29"/>
  <c r="AP144" i="29"/>
  <c r="C124" i="52"/>
  <c r="D124" i="52" s="1"/>
  <c r="L124" i="52"/>
  <c r="B125" i="52"/>
  <c r="L124" i="51"/>
  <c r="C124" i="51"/>
  <c r="D124" i="51" s="1"/>
  <c r="B125" i="51"/>
  <c r="L125" i="50"/>
  <c r="C125" i="50"/>
  <c r="D125" i="50" s="1"/>
  <c r="N125" i="50" s="1"/>
  <c r="Q125" i="50" s="1"/>
  <c r="B126" i="50"/>
  <c r="C124" i="46"/>
  <c r="D124" i="46" s="1"/>
  <c r="N124" i="46" s="1"/>
  <c r="L124" i="46"/>
  <c r="B125" i="46"/>
  <c r="L124" i="45"/>
  <c r="B125" i="45"/>
  <c r="C124" i="45"/>
  <c r="D124" i="45" s="1"/>
  <c r="L124" i="43"/>
  <c r="C124" i="43"/>
  <c r="D124" i="43" s="1"/>
  <c r="B125" i="43"/>
  <c r="C124" i="44"/>
  <c r="D124" i="44" s="1"/>
  <c r="L124" i="44"/>
  <c r="B125" i="44"/>
  <c r="B126" i="17"/>
  <c r="C125" i="17"/>
  <c r="D125" i="17" s="1"/>
  <c r="L125" i="17"/>
  <c r="T122" i="45" l="1"/>
  <c r="R123" i="44"/>
  <c r="R124" i="50"/>
  <c r="R123" i="43"/>
  <c r="P124" i="46"/>
  <c r="O124" i="51"/>
  <c r="O124" i="45"/>
  <c r="O124" i="46"/>
  <c r="O125" i="50"/>
  <c r="O124" i="43"/>
  <c r="O124" i="52"/>
  <c r="Q123" i="46"/>
  <c r="S123" i="46" s="1"/>
  <c r="T123" i="46" s="1"/>
  <c r="O125" i="17"/>
  <c r="T123" i="44"/>
  <c r="S122" i="44"/>
  <c r="T122" i="44" s="1"/>
  <c r="S122" i="43"/>
  <c r="T122" i="43" s="1"/>
  <c r="N124" i="51"/>
  <c r="M124" i="51"/>
  <c r="N125" i="17"/>
  <c r="M125" i="17"/>
  <c r="N124" i="52"/>
  <c r="M124" i="52"/>
  <c r="N124" i="43"/>
  <c r="M124" i="43"/>
  <c r="N124" i="45"/>
  <c r="M124" i="45"/>
  <c r="N124" i="44"/>
  <c r="M124" i="44"/>
  <c r="AY144" i="29"/>
  <c r="AA144" i="29"/>
  <c r="P144" i="29"/>
  <c r="Q144" i="29"/>
  <c r="Q124" i="50"/>
  <c r="R125" i="50" s="1"/>
  <c r="P124" i="50"/>
  <c r="P124" i="17"/>
  <c r="Q124" i="17"/>
  <c r="P123" i="52"/>
  <c r="Q123" i="52"/>
  <c r="BM145" i="29"/>
  <c r="B140" i="26" s="1"/>
  <c r="M145" i="29"/>
  <c r="B146" i="29"/>
  <c r="D146" i="29" s="1"/>
  <c r="N145" i="29"/>
  <c r="AP145" i="29"/>
  <c r="AZ144" i="29"/>
  <c r="AB144" i="29"/>
  <c r="R144" i="29"/>
  <c r="Q123" i="45"/>
  <c r="R124" i="45" s="1"/>
  <c r="P123" i="45"/>
  <c r="Q124" i="46"/>
  <c r="P125" i="50"/>
  <c r="S125" i="50" s="1"/>
  <c r="M125" i="50"/>
  <c r="O126" i="50" s="1"/>
  <c r="R126" i="50" s="1"/>
  <c r="O145" i="29"/>
  <c r="S122" i="52"/>
  <c r="T122" i="52" s="1"/>
  <c r="BA143" i="29"/>
  <c r="BB143" i="29" s="1"/>
  <c r="AC143" i="29"/>
  <c r="AD143" i="29" s="1"/>
  <c r="S143" i="29"/>
  <c r="T143" i="29" s="1"/>
  <c r="BV143" i="29"/>
  <c r="BW143" i="29" s="1"/>
  <c r="S123" i="50"/>
  <c r="T123" i="50" s="1"/>
  <c r="Q123" i="51"/>
  <c r="P123" i="51"/>
  <c r="M124" i="46"/>
  <c r="O125" i="46" s="1"/>
  <c r="Q123" i="43"/>
  <c r="P123" i="43"/>
  <c r="B126" i="51"/>
  <c r="C125" i="51"/>
  <c r="D125" i="51" s="1"/>
  <c r="L125" i="51"/>
  <c r="L125" i="52"/>
  <c r="C125" i="52"/>
  <c r="D125" i="52" s="1"/>
  <c r="B126" i="52"/>
  <c r="C126" i="50"/>
  <c r="D126" i="50" s="1"/>
  <c r="N126" i="50" s="1"/>
  <c r="Q126" i="50" s="1"/>
  <c r="B127" i="50"/>
  <c r="L126" i="50"/>
  <c r="C125" i="46"/>
  <c r="D125" i="46" s="1"/>
  <c r="B126" i="46"/>
  <c r="L125" i="46"/>
  <c r="C125" i="44"/>
  <c r="D125" i="44" s="1"/>
  <c r="N125" i="44" s="1"/>
  <c r="Q125" i="44" s="1"/>
  <c r="B126" i="44"/>
  <c r="L125" i="44"/>
  <c r="L125" i="45"/>
  <c r="C125" i="45"/>
  <c r="D125" i="45" s="1"/>
  <c r="B126" i="45"/>
  <c r="C125" i="43"/>
  <c r="D125" i="43" s="1"/>
  <c r="N125" i="43" s="1"/>
  <c r="Q125" i="43" s="1"/>
  <c r="B126" i="43"/>
  <c r="L125" i="43"/>
  <c r="C126" i="17"/>
  <c r="D126" i="17" s="1"/>
  <c r="L126" i="17"/>
  <c r="B127" i="17"/>
  <c r="R124" i="43" l="1"/>
  <c r="S124" i="46"/>
  <c r="O125" i="52"/>
  <c r="O125" i="45"/>
  <c r="R125" i="17"/>
  <c r="R124" i="51"/>
  <c r="O125" i="51"/>
  <c r="O126" i="17"/>
  <c r="R124" i="52"/>
  <c r="R124" i="46"/>
  <c r="T124" i="46" s="1"/>
  <c r="O146" i="29"/>
  <c r="O125" i="44"/>
  <c r="O125" i="43"/>
  <c r="S123" i="43"/>
  <c r="T123" i="43" s="1"/>
  <c r="N126" i="17"/>
  <c r="M126" i="17"/>
  <c r="N125" i="52"/>
  <c r="M125" i="52"/>
  <c r="S123" i="45"/>
  <c r="T123" i="45" s="1"/>
  <c r="T125" i="50"/>
  <c r="R125" i="46"/>
  <c r="S123" i="52"/>
  <c r="T123" i="52" s="1"/>
  <c r="S123" i="51"/>
  <c r="T123" i="51" s="1"/>
  <c r="N125" i="46"/>
  <c r="M125" i="46"/>
  <c r="N125" i="51"/>
  <c r="M125" i="51"/>
  <c r="N125" i="45"/>
  <c r="M125" i="45"/>
  <c r="P125" i="43"/>
  <c r="S125" i="43" s="1"/>
  <c r="P125" i="44"/>
  <c r="S125" i="44" s="1"/>
  <c r="P126" i="50"/>
  <c r="S126" i="50" s="1"/>
  <c r="T126" i="50" s="1"/>
  <c r="M126" i="50"/>
  <c r="O127" i="50" s="1"/>
  <c r="R127" i="50" s="1"/>
  <c r="AY145" i="29"/>
  <c r="AA145" i="29"/>
  <c r="AB146" i="29" s="1"/>
  <c r="P145" i="29"/>
  <c r="Q145" i="29"/>
  <c r="S124" i="17"/>
  <c r="T124" i="17" s="1"/>
  <c r="M125" i="43"/>
  <c r="O126" i="43" s="1"/>
  <c r="R126" i="43" s="1"/>
  <c r="M125" i="44"/>
  <c r="O126" i="44" s="1"/>
  <c r="R126" i="44" s="1"/>
  <c r="BM146" i="29"/>
  <c r="B141" i="26" s="1"/>
  <c r="M146" i="29"/>
  <c r="B147" i="29"/>
  <c r="D147" i="29" s="1"/>
  <c r="AP146" i="29"/>
  <c r="N146" i="29"/>
  <c r="S124" i="50"/>
  <c r="T124" i="50" s="1"/>
  <c r="BA144" i="29"/>
  <c r="BB144" i="29" s="1"/>
  <c r="AC144" i="29"/>
  <c r="AD144" i="29" s="1"/>
  <c r="S144" i="29"/>
  <c r="T144" i="29" s="1"/>
  <c r="BV144" i="29"/>
  <c r="BW144" i="29" s="1"/>
  <c r="P124" i="43"/>
  <c r="Q124" i="43"/>
  <c r="P125" i="17"/>
  <c r="Q125" i="17"/>
  <c r="P124" i="45"/>
  <c r="Q124" i="45"/>
  <c r="R125" i="45" s="1"/>
  <c r="AZ145" i="29"/>
  <c r="AB145" i="29"/>
  <c r="R145" i="29"/>
  <c r="P124" i="44"/>
  <c r="Q124" i="44"/>
  <c r="P124" i="52"/>
  <c r="Q124" i="52"/>
  <c r="R125" i="52" s="1"/>
  <c r="P124" i="51"/>
  <c r="Q124" i="51"/>
  <c r="L126" i="51"/>
  <c r="C126" i="51"/>
  <c r="D126" i="51" s="1"/>
  <c r="B127" i="51"/>
  <c r="C126" i="52"/>
  <c r="D126" i="52" s="1"/>
  <c r="N126" i="52" s="1"/>
  <c r="Q126" i="52" s="1"/>
  <c r="L126" i="52"/>
  <c r="B127" i="52"/>
  <c r="B128" i="50"/>
  <c r="L127" i="50"/>
  <c r="C127" i="50"/>
  <c r="D127" i="50" s="1"/>
  <c r="N127" i="50" s="1"/>
  <c r="Q127" i="50" s="1"/>
  <c r="C126" i="45"/>
  <c r="D126" i="45" s="1"/>
  <c r="L126" i="45"/>
  <c r="B127" i="45"/>
  <c r="C126" i="43"/>
  <c r="D126" i="43" s="1"/>
  <c r="N126" i="43" s="1"/>
  <c r="Q126" i="43" s="1"/>
  <c r="L126" i="43"/>
  <c r="B127" i="43"/>
  <c r="B127" i="46"/>
  <c r="C126" i="46"/>
  <c r="D126" i="46" s="1"/>
  <c r="L126" i="46"/>
  <c r="C126" i="44"/>
  <c r="D126" i="44" s="1"/>
  <c r="N126" i="44" s="1"/>
  <c r="Q126" i="44" s="1"/>
  <c r="B127" i="44"/>
  <c r="L126" i="44"/>
  <c r="C127" i="17"/>
  <c r="D127" i="17" s="1"/>
  <c r="N127" i="17" s="1"/>
  <c r="Q127" i="17" s="1"/>
  <c r="L127" i="17"/>
  <c r="B128" i="17"/>
  <c r="R146" i="29" l="1"/>
  <c r="R125" i="51"/>
  <c r="R126" i="17"/>
  <c r="O126" i="52"/>
  <c r="O127" i="17"/>
  <c r="O126" i="45"/>
  <c r="O126" i="46"/>
  <c r="R125" i="44"/>
  <c r="T125" i="44" s="1"/>
  <c r="AZ146" i="29"/>
  <c r="O126" i="51"/>
  <c r="R125" i="43"/>
  <c r="T125" i="43" s="1"/>
  <c r="P126" i="43"/>
  <c r="S126" i="43" s="1"/>
  <c r="T126" i="43" s="1"/>
  <c r="P125" i="52"/>
  <c r="Q125" i="52"/>
  <c r="Q126" i="17"/>
  <c r="P126" i="17"/>
  <c r="S124" i="52"/>
  <c r="T124" i="52" s="1"/>
  <c r="S124" i="43"/>
  <c r="T124" i="43" s="1"/>
  <c r="S124" i="51"/>
  <c r="T124" i="51" s="1"/>
  <c r="S124" i="44"/>
  <c r="T124" i="44" s="1"/>
  <c r="N126" i="46"/>
  <c r="M126" i="46"/>
  <c r="N126" i="45"/>
  <c r="M126" i="45"/>
  <c r="N126" i="51"/>
  <c r="M126" i="51"/>
  <c r="P127" i="17"/>
  <c r="S127" i="17" s="1"/>
  <c r="M127" i="50"/>
  <c r="P126" i="52"/>
  <c r="S126" i="52" s="1"/>
  <c r="M127" i="17"/>
  <c r="O128" i="17" s="1"/>
  <c r="R128" i="17" s="1"/>
  <c r="P126" i="44"/>
  <c r="S126" i="44" s="1"/>
  <c r="T126" i="44" s="1"/>
  <c r="M126" i="43"/>
  <c r="O127" i="43" s="1"/>
  <c r="R127" i="43" s="1"/>
  <c r="BM147" i="29"/>
  <c r="B142" i="26" s="1"/>
  <c r="B148" i="29"/>
  <c r="D148" i="29" s="1"/>
  <c r="M147" i="29"/>
  <c r="AP147" i="29"/>
  <c r="N147" i="29"/>
  <c r="BA145" i="29"/>
  <c r="BB145" i="29" s="1"/>
  <c r="S145" i="29"/>
  <c r="T145" i="29" s="1"/>
  <c r="AC145" i="29"/>
  <c r="AD145" i="29" s="1"/>
  <c r="BV145" i="29"/>
  <c r="BW145" i="29" s="1"/>
  <c r="P125" i="45"/>
  <c r="Q125" i="45"/>
  <c r="P125" i="51"/>
  <c r="Q125" i="51"/>
  <c r="O147" i="29"/>
  <c r="M126" i="44"/>
  <c r="O127" i="44" s="1"/>
  <c r="R127" i="44" s="1"/>
  <c r="P127" i="50"/>
  <c r="S127" i="50" s="1"/>
  <c r="T127" i="50" s="1"/>
  <c r="M126" i="52"/>
  <c r="S124" i="45"/>
  <c r="T124" i="45" s="1"/>
  <c r="S125" i="17"/>
  <c r="T125" i="17" s="1"/>
  <c r="AY146" i="29"/>
  <c r="P146" i="29"/>
  <c r="AA146" i="29"/>
  <c r="Q146" i="29"/>
  <c r="Q125" i="46"/>
  <c r="P125" i="46"/>
  <c r="C127" i="52"/>
  <c r="D127" i="52" s="1"/>
  <c r="L127" i="52"/>
  <c r="B128" i="52"/>
  <c r="C127" i="51"/>
  <c r="D127" i="51" s="1"/>
  <c r="N127" i="51" s="1"/>
  <c r="L127" i="51"/>
  <c r="B128" i="51"/>
  <c r="O128" i="50"/>
  <c r="R128" i="50" s="1"/>
  <c r="B129" i="50"/>
  <c r="C128" i="50"/>
  <c r="D128" i="50" s="1"/>
  <c r="L128" i="50"/>
  <c r="C127" i="44"/>
  <c r="D127" i="44" s="1"/>
  <c r="L127" i="44"/>
  <c r="B128" i="44"/>
  <c r="C127" i="45"/>
  <c r="D127" i="45" s="1"/>
  <c r="L127" i="45"/>
  <c r="B128" i="45"/>
  <c r="C127" i="46"/>
  <c r="D127" i="46" s="1"/>
  <c r="L127" i="46"/>
  <c r="B128" i="46"/>
  <c r="C127" i="43"/>
  <c r="D127" i="43" s="1"/>
  <c r="L127" i="43"/>
  <c r="B128" i="43"/>
  <c r="B129" i="17"/>
  <c r="C128" i="17"/>
  <c r="D128" i="17" s="1"/>
  <c r="L128" i="17"/>
  <c r="R126" i="51" l="1"/>
  <c r="R126" i="45"/>
  <c r="R127" i="17"/>
  <c r="T127" i="17" s="1"/>
  <c r="R126" i="52"/>
  <c r="T126" i="52" s="1"/>
  <c r="R126" i="46"/>
  <c r="O127" i="45"/>
  <c r="O127" i="51"/>
  <c r="O127" i="46"/>
  <c r="N127" i="52"/>
  <c r="Q127" i="52" s="1"/>
  <c r="M127" i="52"/>
  <c r="P127" i="51"/>
  <c r="Q127" i="51"/>
  <c r="N128" i="50"/>
  <c r="M128" i="50"/>
  <c r="S126" i="17"/>
  <c r="T126" i="17" s="1"/>
  <c r="S125" i="52"/>
  <c r="T125" i="52" s="1"/>
  <c r="P127" i="52"/>
  <c r="S125" i="45"/>
  <c r="T125" i="45" s="1"/>
  <c r="N127" i="45"/>
  <c r="M127" i="45"/>
  <c r="N127" i="43"/>
  <c r="M127" i="43"/>
  <c r="N128" i="17"/>
  <c r="M128" i="17"/>
  <c r="N127" i="46"/>
  <c r="M127" i="46"/>
  <c r="N127" i="44"/>
  <c r="M127" i="44"/>
  <c r="AZ147" i="29"/>
  <c r="R147" i="29"/>
  <c r="AB147" i="29"/>
  <c r="AY147" i="29"/>
  <c r="P147" i="29"/>
  <c r="Q147" i="29"/>
  <c r="AA147" i="29"/>
  <c r="Q126" i="51"/>
  <c r="P126" i="51"/>
  <c r="O127" i="52"/>
  <c r="R127" i="52" s="1"/>
  <c r="S125" i="51"/>
  <c r="T125" i="51" s="1"/>
  <c r="S125" i="46"/>
  <c r="T125" i="46" s="1"/>
  <c r="BA146" i="29"/>
  <c r="BB146" i="29" s="1"/>
  <c r="AC146" i="29"/>
  <c r="AD146" i="29" s="1"/>
  <c r="S146" i="29"/>
  <c r="T146" i="29" s="1"/>
  <c r="BV146" i="29"/>
  <c r="BW146" i="29" s="1"/>
  <c r="O148" i="29"/>
  <c r="P126" i="45"/>
  <c r="Q126" i="45"/>
  <c r="M127" i="51"/>
  <c r="O128" i="51" s="1"/>
  <c r="BM148" i="29"/>
  <c r="B143" i="26" s="1"/>
  <c r="M148" i="29"/>
  <c r="B149" i="29"/>
  <c r="D149" i="29" s="1"/>
  <c r="AP148" i="29"/>
  <c r="N148" i="29"/>
  <c r="Q126" i="46"/>
  <c r="P126" i="46"/>
  <c r="C128" i="52"/>
  <c r="D128" i="52" s="1"/>
  <c r="L128" i="52"/>
  <c r="B129" i="52"/>
  <c r="C128" i="51"/>
  <c r="D128" i="51" s="1"/>
  <c r="B129" i="51"/>
  <c r="L128" i="51"/>
  <c r="C129" i="50"/>
  <c r="D129" i="50" s="1"/>
  <c r="L129" i="50"/>
  <c r="B130" i="50"/>
  <c r="L128" i="45"/>
  <c r="B129" i="45"/>
  <c r="C128" i="45"/>
  <c r="D128" i="45" s="1"/>
  <c r="B129" i="43"/>
  <c r="C128" i="43"/>
  <c r="D128" i="43" s="1"/>
  <c r="L128" i="43"/>
  <c r="C128" i="46"/>
  <c r="D128" i="46" s="1"/>
  <c r="B129" i="46"/>
  <c r="L128" i="46"/>
  <c r="L128" i="44"/>
  <c r="B129" i="44"/>
  <c r="C128" i="44"/>
  <c r="D128" i="44" s="1"/>
  <c r="C129" i="17"/>
  <c r="D129" i="17" s="1"/>
  <c r="N129" i="17" s="1"/>
  <c r="Q129" i="17" s="1"/>
  <c r="B130" i="17"/>
  <c r="L129" i="17"/>
  <c r="R127" i="51" l="1"/>
  <c r="S127" i="52"/>
  <c r="R127" i="46"/>
  <c r="O128" i="43"/>
  <c r="S127" i="51"/>
  <c r="T127" i="51" s="1"/>
  <c r="S126" i="46"/>
  <c r="T126" i="46" s="1"/>
  <c r="R127" i="45"/>
  <c r="O128" i="44"/>
  <c r="O129" i="17"/>
  <c r="O128" i="45"/>
  <c r="O128" i="52"/>
  <c r="R128" i="52" s="1"/>
  <c r="O129" i="50"/>
  <c r="O128" i="46"/>
  <c r="R128" i="51"/>
  <c r="N129" i="50"/>
  <c r="Q129" i="50" s="1"/>
  <c r="M129" i="50"/>
  <c r="Q128" i="50"/>
  <c r="P128" i="50"/>
  <c r="S126" i="45"/>
  <c r="T126" i="45" s="1"/>
  <c r="N128" i="46"/>
  <c r="M128" i="46"/>
  <c r="N128" i="44"/>
  <c r="M128" i="44"/>
  <c r="N128" i="45"/>
  <c r="M128" i="45"/>
  <c r="N128" i="43"/>
  <c r="M128" i="43"/>
  <c r="N128" i="52"/>
  <c r="M128" i="52"/>
  <c r="N128" i="51"/>
  <c r="M128" i="51"/>
  <c r="M129" i="17"/>
  <c r="O130" i="17" s="1"/>
  <c r="R130" i="17" s="1"/>
  <c r="AY148" i="29"/>
  <c r="P148" i="29"/>
  <c r="Q148" i="29"/>
  <c r="AA148" i="29"/>
  <c r="P128" i="17"/>
  <c r="Q128" i="17"/>
  <c r="AZ148" i="29"/>
  <c r="R148" i="29"/>
  <c r="AB148" i="29"/>
  <c r="P127" i="46"/>
  <c r="Q127" i="46"/>
  <c r="Q127" i="45"/>
  <c r="P127" i="45"/>
  <c r="BM149" i="29"/>
  <c r="B144" i="26" s="1"/>
  <c r="M149" i="29"/>
  <c r="B150" i="29"/>
  <c r="D150" i="29" s="1"/>
  <c r="N149" i="29"/>
  <c r="AP149" i="29"/>
  <c r="T127" i="52"/>
  <c r="P129" i="17"/>
  <c r="S129" i="17" s="1"/>
  <c r="O149" i="29"/>
  <c r="S126" i="51"/>
  <c r="T126" i="51" s="1"/>
  <c r="BA147" i="29"/>
  <c r="BB147" i="29" s="1"/>
  <c r="S147" i="29"/>
  <c r="T147" i="29" s="1"/>
  <c r="AC147" i="29"/>
  <c r="AD147" i="29" s="1"/>
  <c r="BV147" i="29"/>
  <c r="BW147" i="29" s="1"/>
  <c r="P127" i="44"/>
  <c r="Q127" i="44"/>
  <c r="Q127" i="43"/>
  <c r="P127" i="43"/>
  <c r="B130" i="51"/>
  <c r="C129" i="51"/>
  <c r="D129" i="51" s="1"/>
  <c r="L129" i="51"/>
  <c r="L129" i="52"/>
  <c r="C129" i="52"/>
  <c r="D129" i="52" s="1"/>
  <c r="N129" i="52" s="1"/>
  <c r="B130" i="52"/>
  <c r="L130" i="50"/>
  <c r="C130" i="50"/>
  <c r="D130" i="50" s="1"/>
  <c r="B6" i="50"/>
  <c r="B130" i="44"/>
  <c r="L129" i="44"/>
  <c r="C129" i="44"/>
  <c r="D129" i="44" s="1"/>
  <c r="L129" i="45"/>
  <c r="C129" i="45"/>
  <c r="D129" i="45" s="1"/>
  <c r="B130" i="45"/>
  <c r="L129" i="46"/>
  <c r="C129" i="46"/>
  <c r="D129" i="46" s="1"/>
  <c r="B130" i="46"/>
  <c r="L129" i="43"/>
  <c r="C129" i="43"/>
  <c r="D129" i="43" s="1"/>
  <c r="N129" i="43" s="1"/>
  <c r="B130" i="43"/>
  <c r="C130" i="17"/>
  <c r="D130" i="17" s="1"/>
  <c r="N130" i="17" s="1"/>
  <c r="Q130" i="17" s="1"/>
  <c r="L130" i="17"/>
  <c r="B6" i="17"/>
  <c r="R128" i="43" l="1"/>
  <c r="R128" i="45"/>
  <c r="R129" i="17"/>
  <c r="R128" i="46"/>
  <c r="O129" i="51"/>
  <c r="O129" i="45"/>
  <c r="P129" i="50"/>
  <c r="S129" i="50" s="1"/>
  <c r="R128" i="44"/>
  <c r="R129" i="50"/>
  <c r="P129" i="52"/>
  <c r="O129" i="52"/>
  <c r="O129" i="46"/>
  <c r="O129" i="43"/>
  <c r="O129" i="44"/>
  <c r="O130" i="50"/>
  <c r="R130" i="50" s="1"/>
  <c r="S128" i="50"/>
  <c r="T128" i="50" s="1"/>
  <c r="P129" i="43"/>
  <c r="O150" i="29"/>
  <c r="T129" i="17"/>
  <c r="H4" i="17"/>
  <c r="S128" i="17"/>
  <c r="T128" i="17" s="1"/>
  <c r="S127" i="44"/>
  <c r="T127" i="44" s="1"/>
  <c r="N129" i="45"/>
  <c r="M129" i="45"/>
  <c r="N129" i="46"/>
  <c r="M129" i="46"/>
  <c r="N129" i="44"/>
  <c r="M129" i="44"/>
  <c r="N130" i="50"/>
  <c r="M130" i="50"/>
  <c r="N129" i="51"/>
  <c r="M129" i="51"/>
  <c r="P130" i="17"/>
  <c r="S130" i="17" s="1"/>
  <c r="T130" i="17" s="1"/>
  <c r="Q129" i="43"/>
  <c r="Q129" i="52"/>
  <c r="M129" i="52"/>
  <c r="O130" i="52" s="1"/>
  <c r="S127" i="43"/>
  <c r="T127" i="43" s="1"/>
  <c r="S127" i="45"/>
  <c r="T127" i="45" s="1"/>
  <c r="P128" i="51"/>
  <c r="Q128" i="51"/>
  <c r="Q128" i="43"/>
  <c r="P128" i="43"/>
  <c r="P128" i="44"/>
  <c r="Q128" i="44"/>
  <c r="H4" i="50"/>
  <c r="M130" i="17"/>
  <c r="AZ149" i="29"/>
  <c r="R149" i="29"/>
  <c r="AB149" i="29"/>
  <c r="AY149" i="29"/>
  <c r="AZ150" i="29" s="1"/>
  <c r="AA149" i="29"/>
  <c r="Q149" i="29"/>
  <c r="P149" i="29"/>
  <c r="BA148" i="29"/>
  <c r="BB148" i="29" s="1"/>
  <c r="S148" i="29"/>
  <c r="T148" i="29" s="1"/>
  <c r="AC148" i="29"/>
  <c r="AD148" i="29" s="1"/>
  <c r="BV148" i="29"/>
  <c r="BW148" i="29" s="1"/>
  <c r="P128" i="52"/>
  <c r="Q128" i="52"/>
  <c r="R129" i="52" s="1"/>
  <c r="M129" i="43"/>
  <c r="O130" i="43" s="1"/>
  <c r="BM150" i="29"/>
  <c r="B145" i="26" s="1"/>
  <c r="M150" i="29"/>
  <c r="AP150" i="29"/>
  <c r="AP25" i="29" s="1"/>
  <c r="BM3" i="29" s="1"/>
  <c r="N150" i="29"/>
  <c r="D25" i="29"/>
  <c r="BL3" i="29" s="1"/>
  <c r="S127" i="46"/>
  <c r="T127" i="46" s="1"/>
  <c r="P128" i="45"/>
  <c r="Q128" i="45"/>
  <c r="P128" i="46"/>
  <c r="Q128" i="46"/>
  <c r="C130" i="52"/>
  <c r="D130" i="52" s="1"/>
  <c r="L130" i="52"/>
  <c r="B6" i="52"/>
  <c r="L130" i="51"/>
  <c r="C130" i="51"/>
  <c r="D130" i="51" s="1"/>
  <c r="B6" i="51"/>
  <c r="C130" i="43"/>
  <c r="D130" i="43" s="1"/>
  <c r="L130" i="43"/>
  <c r="B6" i="43"/>
  <c r="C130" i="46"/>
  <c r="D130" i="46" s="1"/>
  <c r="N130" i="46" s="1"/>
  <c r="L130" i="46"/>
  <c r="B6" i="46"/>
  <c r="C130" i="45"/>
  <c r="D130" i="45" s="1"/>
  <c r="L130" i="45"/>
  <c r="B6" i="45"/>
  <c r="C130" i="44"/>
  <c r="D130" i="44" s="1"/>
  <c r="N130" i="44" s="1"/>
  <c r="Q130" i="44" s="1"/>
  <c r="L130" i="44"/>
  <c r="B6" i="44"/>
  <c r="R129" i="46" l="1"/>
  <c r="R129" i="51"/>
  <c r="R129" i="45"/>
  <c r="O130" i="46"/>
  <c r="S129" i="52"/>
  <c r="T129" i="50"/>
  <c r="R150" i="29"/>
  <c r="R129" i="44"/>
  <c r="S129" i="43"/>
  <c r="AB150" i="29"/>
  <c r="R129" i="43"/>
  <c r="O130" i="51"/>
  <c r="O130" i="44"/>
  <c r="O130" i="45"/>
  <c r="R130" i="52"/>
  <c r="Q130" i="46"/>
  <c r="P130" i="46"/>
  <c r="H4" i="46"/>
  <c r="R130" i="43"/>
  <c r="H4" i="44"/>
  <c r="T129" i="52"/>
  <c r="S128" i="45"/>
  <c r="T128" i="45" s="1"/>
  <c r="S128" i="52"/>
  <c r="T128" i="52" s="1"/>
  <c r="S128" i="46"/>
  <c r="T128" i="46" s="1"/>
  <c r="S128" i="44"/>
  <c r="T128" i="44" s="1"/>
  <c r="S128" i="51"/>
  <c r="T128" i="51" s="1"/>
  <c r="N130" i="43"/>
  <c r="M130" i="43"/>
  <c r="N130" i="51"/>
  <c r="M130" i="51"/>
  <c r="N130" i="52"/>
  <c r="M130" i="52"/>
  <c r="N130" i="45"/>
  <c r="M130" i="45"/>
  <c r="H4" i="45"/>
  <c r="AY150" i="29"/>
  <c r="AA150" i="29"/>
  <c r="Q150" i="29"/>
  <c r="P150" i="29"/>
  <c r="H4" i="52"/>
  <c r="L220" i="23"/>
  <c r="L219" i="38"/>
  <c r="S128" i="43"/>
  <c r="T128" i="43" s="1"/>
  <c r="Q129" i="51"/>
  <c r="P129" i="51"/>
  <c r="P130" i="50"/>
  <c r="Q130" i="50"/>
  <c r="Q129" i="46"/>
  <c r="R130" i="46" s="1"/>
  <c r="P129" i="46"/>
  <c r="M130" i="46"/>
  <c r="H4" i="51"/>
  <c r="BA149" i="29"/>
  <c r="BB149" i="29" s="1"/>
  <c r="AC149" i="29"/>
  <c r="AD149" i="29" s="1"/>
  <c r="S149" i="29"/>
  <c r="T149" i="29" s="1"/>
  <c r="BV149" i="29"/>
  <c r="BW149" i="29" s="1"/>
  <c r="P130" i="44"/>
  <c r="S130" i="44" s="1"/>
  <c r="M130" i="44"/>
  <c r="H4" i="43"/>
  <c r="BN3" i="29"/>
  <c r="B13" i="28" s="1"/>
  <c r="L220" i="38"/>
  <c r="L221" i="38" s="1"/>
  <c r="L202" i="38" s="1"/>
  <c r="L221" i="23"/>
  <c r="L222" i="23" s="1"/>
  <c r="L203" i="23" s="1"/>
  <c r="Q129" i="44"/>
  <c r="P129" i="44"/>
  <c r="Q129" i="45"/>
  <c r="P129" i="45"/>
  <c r="AL11" i="33"/>
  <c r="T129" i="43" l="1"/>
  <c r="R130" i="45"/>
  <c r="R130" i="44"/>
  <c r="T130" i="44" s="1"/>
  <c r="R130" i="51"/>
  <c r="S130" i="46"/>
  <c r="T130" i="46" s="1"/>
  <c r="S129" i="46"/>
  <c r="T129" i="46" s="1"/>
  <c r="S129" i="51"/>
  <c r="T129" i="51" s="1"/>
  <c r="S129" i="44"/>
  <c r="T129" i="44" s="1"/>
  <c r="S130" i="50"/>
  <c r="T130" i="50" s="1"/>
  <c r="S129" i="45"/>
  <c r="T129" i="45" s="1"/>
  <c r="BA150" i="29"/>
  <c r="BB150" i="29" s="1"/>
  <c r="AC150" i="29"/>
  <c r="AD150" i="29" s="1"/>
  <c r="S150" i="29"/>
  <c r="T150" i="29" s="1"/>
  <c r="BV150" i="29"/>
  <c r="BW150" i="29" s="1"/>
  <c r="P130" i="52"/>
  <c r="Q130" i="52"/>
  <c r="P130" i="51"/>
  <c r="Q130" i="51"/>
  <c r="P130" i="45"/>
  <c r="Q130" i="45"/>
  <c r="P130" i="43"/>
  <c r="Q130" i="43"/>
  <c r="AP11" i="33"/>
  <c r="AR11" i="33" s="1"/>
  <c r="S130" i="45" l="1"/>
  <c r="T130" i="45" s="1"/>
  <c r="S130" i="43"/>
  <c r="T130" i="43" s="1"/>
  <c r="S130" i="51"/>
  <c r="T130" i="51" s="1"/>
  <c r="S130" i="52"/>
  <c r="T130" i="52" s="1"/>
  <c r="AQ11" i="33"/>
  <c r="AS11" i="33"/>
  <c r="AL18" i="33"/>
  <c r="AP18" i="33" s="1"/>
  <c r="AQ18" i="33" l="1"/>
  <c r="AV18" i="33" s="1"/>
  <c r="AR18" i="33"/>
  <c r="E11" i="33"/>
  <c r="G11" i="33"/>
  <c r="AS18" i="33"/>
  <c r="H11" i="33"/>
  <c r="C11" i="33"/>
  <c r="F11" i="33"/>
  <c r="I11" i="33"/>
  <c r="B11" i="33"/>
  <c r="D11" i="33"/>
  <c r="G18" i="33" l="1"/>
  <c r="AL12" i="33"/>
  <c r="AL15" i="33"/>
  <c r="AL13" i="33"/>
  <c r="AL16" i="33"/>
  <c r="AP16" i="33" s="1"/>
  <c r="AR16" i="33" s="1"/>
  <c r="AL14" i="33"/>
  <c r="AQ16" i="33" l="1"/>
  <c r="AV16" i="33" s="1"/>
  <c r="B18" i="33"/>
  <c r="F18" i="33"/>
  <c r="C18" i="33"/>
  <c r="D18" i="33"/>
  <c r="H18" i="33"/>
  <c r="E18" i="33"/>
  <c r="I18" i="33"/>
  <c r="AP12" i="33"/>
  <c r="AR12" i="33" s="1"/>
  <c r="AP15" i="33"/>
  <c r="AR15" i="33" s="1"/>
  <c r="AP14" i="33"/>
  <c r="AR14" i="33" s="1"/>
  <c r="AS16" i="33"/>
  <c r="AP13" i="33"/>
  <c r="AR13" i="33" s="1"/>
  <c r="AQ12" i="33" l="1"/>
  <c r="G16" i="33"/>
  <c r="AS12" i="33"/>
  <c r="AQ15" i="33"/>
  <c r="AV15" i="33" s="1"/>
  <c r="AS15" i="33"/>
  <c r="AQ14" i="33"/>
  <c r="AV14" i="33" s="1"/>
  <c r="AS14" i="33"/>
  <c r="E16" i="33"/>
  <c r="I16" i="33"/>
  <c r="B16" i="33"/>
  <c r="F16" i="33"/>
  <c r="D16" i="33"/>
  <c r="C16" i="33"/>
  <c r="H16" i="33"/>
  <c r="AS13" i="33"/>
  <c r="AQ13" i="33"/>
  <c r="AV13" i="33" s="1"/>
  <c r="G14" i="33" l="1"/>
  <c r="G13" i="33"/>
  <c r="H12" i="33"/>
  <c r="F12" i="33"/>
  <c r="I12" i="33"/>
  <c r="B12" i="33"/>
  <c r="E12" i="33"/>
  <c r="D12" i="33"/>
  <c r="C12" i="33"/>
  <c r="G12" i="33"/>
  <c r="B15" i="33"/>
  <c r="G15" i="33"/>
  <c r="C15" i="33"/>
  <c r="F15" i="33"/>
  <c r="D15" i="33"/>
  <c r="I15" i="33"/>
  <c r="H15" i="33"/>
  <c r="E15" i="33"/>
  <c r="H14" i="33" l="1"/>
  <c r="B14" i="33"/>
  <c r="E13" i="33"/>
  <c r="C13" i="33"/>
  <c r="D13" i="33"/>
  <c r="I14" i="33"/>
  <c r="B13" i="33"/>
  <c r="C14" i="33"/>
  <c r="I13" i="33"/>
  <c r="D14" i="33"/>
  <c r="E14" i="33"/>
  <c r="F13" i="33"/>
  <c r="H13" i="33"/>
  <c r="F14" i="33"/>
  <c r="AO39" i="33" l="1"/>
  <c r="AP39" i="33" s="1"/>
  <c r="AS19" i="33"/>
  <c r="AS39" i="33" l="1"/>
  <c r="AW39" i="33" s="1"/>
  <c r="AQ39" i="33"/>
  <c r="AV39" i="33" s="1"/>
  <c r="AR39" i="33"/>
  <c r="AR19" i="33"/>
  <c r="AQ19" i="33"/>
  <c r="AV19" i="33" s="1"/>
  <c r="AV5" i="33" l="1"/>
  <c r="AA39" i="33"/>
  <c r="AX39" i="33"/>
  <c r="AU39" i="33" s="1"/>
  <c r="B39" i="33"/>
  <c r="F39" i="33"/>
  <c r="D39" i="33"/>
  <c r="I39" i="33"/>
  <c r="E39" i="33"/>
  <c r="C39" i="33"/>
  <c r="G39" i="33"/>
  <c r="H39" i="33"/>
  <c r="C19" i="33"/>
  <c r="I19" i="33"/>
  <c r="B19" i="33"/>
  <c r="E19" i="33"/>
  <c r="G19" i="33"/>
  <c r="H19" i="33"/>
  <c r="F19" i="33"/>
  <c r="D19" i="33"/>
  <c r="P3" i="5" l="1"/>
  <c r="J30" i="29" l="1"/>
  <c r="AU30" i="29"/>
  <c r="I8" i="6"/>
  <c r="T12" i="6" s="1"/>
  <c r="W6" i="5" l="1"/>
  <c r="AK4" i="33"/>
  <c r="B7" i="28"/>
  <c r="AK5" i="33"/>
  <c r="B7" i="29"/>
  <c r="AN7" i="29" s="1"/>
  <c r="B26" i="29" l="1"/>
  <c r="AN26" i="29" s="1"/>
  <c r="B30" i="28"/>
  <c r="H222" i="23" l="1"/>
  <c r="H203" i="23" s="1"/>
  <c r="AG28" i="29" l="1"/>
  <c r="E5" i="25"/>
  <c r="H11" i="5" l="1"/>
  <c r="H12" i="5"/>
  <c r="H10" i="5"/>
  <c r="H13" i="5"/>
  <c r="H8" i="5" l="1"/>
  <c r="H3" i="5"/>
  <c r="D3" i="45" l="1"/>
  <c r="D1" i="45" s="1"/>
  <c r="D3" i="43"/>
  <c r="D1" i="43" s="1"/>
  <c r="D3" i="51"/>
  <c r="D1" i="51" s="1"/>
  <c r="D3" i="52"/>
  <c r="D1" i="52" s="1"/>
  <c r="D3" i="50"/>
  <c r="D1" i="50" s="1"/>
  <c r="D3" i="44"/>
  <c r="D1" i="44" s="1"/>
  <c r="H2" i="5"/>
  <c r="D3" i="46"/>
  <c r="D1" i="46" s="1"/>
  <c r="H4" i="7"/>
  <c r="D3" i="17"/>
  <c r="D1" i="17" s="1"/>
  <c r="U107" i="43" l="1"/>
  <c r="AD107" i="43"/>
  <c r="AD108" i="43"/>
  <c r="U108" i="43"/>
  <c r="U109" i="43"/>
  <c r="AD109" i="43"/>
  <c r="U110" i="43"/>
  <c r="AD110" i="43"/>
  <c r="AD111" i="43"/>
  <c r="U111" i="43"/>
  <c r="U112" i="43"/>
  <c r="AD112" i="43"/>
  <c r="AD113" i="43"/>
  <c r="U113" i="43"/>
  <c r="AD114" i="43"/>
  <c r="U114" i="43"/>
  <c r="AD115" i="43"/>
  <c r="U115" i="43"/>
  <c r="U116" i="43"/>
  <c r="AD116" i="43"/>
  <c r="AD117" i="43"/>
  <c r="U117" i="43"/>
  <c r="U118" i="43"/>
  <c r="AD118" i="43"/>
  <c r="U119" i="43"/>
  <c r="AD119" i="43"/>
  <c r="U120" i="43"/>
  <c r="AD120" i="43"/>
  <c r="U121" i="43"/>
  <c r="AD121" i="43"/>
  <c r="AD122" i="43"/>
  <c r="U122" i="43"/>
  <c r="U123" i="43"/>
  <c r="AD123" i="43"/>
  <c r="U124" i="43"/>
  <c r="AD124" i="43"/>
  <c r="U125" i="43"/>
  <c r="AD125" i="43"/>
  <c r="U126" i="43"/>
  <c r="AD126" i="43"/>
  <c r="AD127" i="43"/>
  <c r="U127" i="43"/>
  <c r="U128" i="43"/>
  <c r="AD128" i="43"/>
  <c r="AD129" i="43"/>
  <c r="U129" i="43"/>
  <c r="U130" i="43"/>
  <c r="AD130" i="43"/>
  <c r="AD107" i="50"/>
  <c r="U107" i="50"/>
  <c r="U108" i="50"/>
  <c r="AD108" i="50"/>
  <c r="AD109" i="50"/>
  <c r="U109" i="50"/>
  <c r="U110" i="50"/>
  <c r="AD110" i="50"/>
  <c r="AD111" i="50"/>
  <c r="U111" i="50"/>
  <c r="U112" i="50"/>
  <c r="AD112" i="50"/>
  <c r="U113" i="50"/>
  <c r="AD113" i="50"/>
  <c r="AD114" i="50"/>
  <c r="U114" i="50"/>
  <c r="U115" i="50"/>
  <c r="AD115" i="50"/>
  <c r="AD116" i="50"/>
  <c r="U116" i="50"/>
  <c r="U117" i="50"/>
  <c r="AD117" i="50"/>
  <c r="AD118" i="50"/>
  <c r="U118" i="50"/>
  <c r="U119" i="50"/>
  <c r="AD119" i="50"/>
  <c r="AD120" i="50"/>
  <c r="U120" i="50"/>
  <c r="AD121" i="50"/>
  <c r="U121" i="50"/>
  <c r="U122" i="50"/>
  <c r="AD122" i="50"/>
  <c r="U123" i="50"/>
  <c r="AD123" i="50"/>
  <c r="AD124" i="50"/>
  <c r="U124" i="50"/>
  <c r="AD125" i="50"/>
  <c r="U125" i="50"/>
  <c r="AD126" i="50"/>
  <c r="U126" i="50"/>
  <c r="AD127" i="50"/>
  <c r="U127" i="50"/>
  <c r="U128" i="50"/>
  <c r="AD128" i="50"/>
  <c r="U129" i="50"/>
  <c r="AD129" i="50"/>
  <c r="AD130" i="50"/>
  <c r="U130" i="50"/>
  <c r="AD107" i="46"/>
  <c r="U107" i="46"/>
  <c r="U108" i="46"/>
  <c r="AD108" i="46"/>
  <c r="U109" i="46"/>
  <c r="AD109" i="46"/>
  <c r="AD110" i="46"/>
  <c r="U110" i="46"/>
  <c r="AD111" i="46"/>
  <c r="U111" i="46"/>
  <c r="AD112" i="46"/>
  <c r="U112" i="46"/>
  <c r="AD113" i="46"/>
  <c r="U113" i="46"/>
  <c r="U114" i="46"/>
  <c r="AD114" i="46"/>
  <c r="AD115" i="46"/>
  <c r="U115" i="46"/>
  <c r="AD116" i="46"/>
  <c r="U116" i="46"/>
  <c r="U117" i="46"/>
  <c r="AD117" i="46"/>
  <c r="AD118" i="46"/>
  <c r="U118" i="46"/>
  <c r="U119" i="46"/>
  <c r="AD119" i="46"/>
  <c r="AD120" i="46"/>
  <c r="U120" i="46"/>
  <c r="AD121" i="46"/>
  <c r="U121" i="46"/>
  <c r="AD122" i="46"/>
  <c r="U122" i="46"/>
  <c r="U123" i="46"/>
  <c r="AD123" i="46"/>
  <c r="AD124" i="46"/>
  <c r="U124" i="46"/>
  <c r="U125" i="46"/>
  <c r="AD125" i="46"/>
  <c r="AD126" i="46"/>
  <c r="U126" i="46"/>
  <c r="U127" i="46"/>
  <c r="AD127" i="46"/>
  <c r="AD128" i="46"/>
  <c r="U128" i="46"/>
  <c r="U129" i="46"/>
  <c r="AD129" i="46"/>
  <c r="AD130" i="46"/>
  <c r="U130" i="46"/>
  <c r="AD107" i="17"/>
  <c r="U107" i="17"/>
  <c r="U110" i="17"/>
  <c r="AD110" i="17"/>
  <c r="AD108" i="17"/>
  <c r="U111" i="17"/>
  <c r="AD111" i="17"/>
  <c r="AD109" i="17"/>
  <c r="U112" i="17"/>
  <c r="U108" i="17"/>
  <c r="AD112" i="17"/>
  <c r="U109" i="17"/>
  <c r="AD113" i="17"/>
  <c r="U113" i="17"/>
  <c r="U114" i="17"/>
  <c r="AD114" i="17"/>
  <c r="U115" i="17"/>
  <c r="AD115" i="17"/>
  <c r="AD116" i="17"/>
  <c r="U116" i="17"/>
  <c r="U117" i="17"/>
  <c r="AD117" i="17"/>
  <c r="U118" i="17"/>
  <c r="AD118" i="17"/>
  <c r="AD119" i="17"/>
  <c r="U119" i="17"/>
  <c r="U120" i="17"/>
  <c r="AD120" i="17"/>
  <c r="AD121" i="17"/>
  <c r="U121" i="17"/>
  <c r="U122" i="17"/>
  <c r="AD122" i="17"/>
  <c r="AD123" i="17"/>
  <c r="U123" i="17"/>
  <c r="U124" i="17"/>
  <c r="AD124" i="17"/>
  <c r="U125" i="17"/>
  <c r="AD125" i="17"/>
  <c r="AD126" i="17"/>
  <c r="U126" i="17"/>
  <c r="U127" i="17"/>
  <c r="AD127" i="17"/>
  <c r="U128" i="17"/>
  <c r="AD128" i="17"/>
  <c r="AD129" i="17"/>
  <c r="U129" i="17"/>
  <c r="U130" i="17"/>
  <c r="AD130" i="17"/>
  <c r="U107" i="52"/>
  <c r="AD107" i="52"/>
  <c r="AD108" i="52"/>
  <c r="U108" i="52"/>
  <c r="AD109" i="52"/>
  <c r="U109" i="52"/>
  <c r="U110" i="52"/>
  <c r="AD110" i="52"/>
  <c r="U111" i="52"/>
  <c r="AD111" i="52"/>
  <c r="U112" i="52"/>
  <c r="AD112" i="52"/>
  <c r="U113" i="52"/>
  <c r="AD113" i="52"/>
  <c r="U114" i="52"/>
  <c r="AD114" i="52"/>
  <c r="AD115" i="52"/>
  <c r="U115" i="52"/>
  <c r="U116" i="52"/>
  <c r="AD116" i="52"/>
  <c r="U117" i="52"/>
  <c r="AD117" i="52"/>
  <c r="AD118" i="52"/>
  <c r="U118" i="52"/>
  <c r="U119" i="52"/>
  <c r="AD119" i="52"/>
  <c r="U120" i="52"/>
  <c r="AD120" i="52"/>
  <c r="U121" i="52"/>
  <c r="AD121" i="52"/>
  <c r="AD122" i="52"/>
  <c r="U122" i="52"/>
  <c r="U123" i="52"/>
  <c r="AD123" i="52"/>
  <c r="U124" i="52"/>
  <c r="AD124" i="52"/>
  <c r="U125" i="52"/>
  <c r="AD125" i="52"/>
  <c r="U126" i="52"/>
  <c r="AD126" i="52"/>
  <c r="AD127" i="52"/>
  <c r="U127" i="52"/>
  <c r="U128" i="52"/>
  <c r="AD128" i="52"/>
  <c r="U129" i="52"/>
  <c r="AD129" i="52"/>
  <c r="AD130" i="52"/>
  <c r="U130" i="52"/>
  <c r="AD107" i="45"/>
  <c r="U107" i="45"/>
  <c r="U108" i="45"/>
  <c r="AD108" i="45"/>
  <c r="U109" i="45"/>
  <c r="AD109" i="45"/>
  <c r="AD110" i="45"/>
  <c r="U110" i="45"/>
  <c r="U111" i="45"/>
  <c r="AD111" i="45"/>
  <c r="U112" i="45"/>
  <c r="AD112" i="45"/>
  <c r="U113" i="45"/>
  <c r="AD113" i="45"/>
  <c r="AD114" i="45"/>
  <c r="U114" i="45"/>
  <c r="U115" i="45"/>
  <c r="AD115" i="45"/>
  <c r="AD116" i="45"/>
  <c r="U116" i="45"/>
  <c r="AD117" i="45"/>
  <c r="U117" i="45"/>
  <c r="AD118" i="45"/>
  <c r="U118" i="45"/>
  <c r="AD119" i="45"/>
  <c r="U119" i="45"/>
  <c r="AD120" i="45"/>
  <c r="U120" i="45"/>
  <c r="AD121" i="45"/>
  <c r="U121" i="45"/>
  <c r="AD122" i="45"/>
  <c r="U122" i="45"/>
  <c r="U123" i="45"/>
  <c r="AD123" i="45"/>
  <c r="AD124" i="45"/>
  <c r="U124" i="45"/>
  <c r="AD125" i="45"/>
  <c r="U125" i="45"/>
  <c r="AD126" i="45"/>
  <c r="U126" i="45"/>
  <c r="AD127" i="45"/>
  <c r="U127" i="45"/>
  <c r="U128" i="45"/>
  <c r="AD128" i="45"/>
  <c r="U129" i="45"/>
  <c r="AD129" i="45"/>
  <c r="AD130" i="45"/>
  <c r="U130" i="45"/>
  <c r="U107" i="44"/>
  <c r="AD107" i="44"/>
  <c r="AD108" i="44"/>
  <c r="U108" i="44"/>
  <c r="U109" i="44"/>
  <c r="AD109" i="44"/>
  <c r="AD110" i="44"/>
  <c r="U110" i="44"/>
  <c r="U111" i="44"/>
  <c r="AD111" i="44"/>
  <c r="AD112" i="44"/>
  <c r="U112" i="44"/>
  <c r="U113" i="44"/>
  <c r="AD113" i="44"/>
  <c r="AD114" i="44"/>
  <c r="U114" i="44"/>
  <c r="U115" i="44"/>
  <c r="AD115" i="44"/>
  <c r="U116" i="44"/>
  <c r="AD116" i="44"/>
  <c r="U117" i="44"/>
  <c r="AD117" i="44"/>
  <c r="U118" i="44"/>
  <c r="AD118" i="44"/>
  <c r="AD119" i="44"/>
  <c r="U119" i="44"/>
  <c r="U120" i="44"/>
  <c r="AD120" i="44"/>
  <c r="AD121" i="44"/>
  <c r="U121" i="44"/>
  <c r="U122" i="44"/>
  <c r="AD122" i="44"/>
  <c r="AD123" i="44"/>
  <c r="U123" i="44"/>
  <c r="U124" i="44"/>
  <c r="AD124" i="44"/>
  <c r="AD125" i="44"/>
  <c r="U125" i="44"/>
  <c r="U126" i="44"/>
  <c r="AD126" i="44"/>
  <c r="U127" i="44"/>
  <c r="AD127" i="44"/>
  <c r="AD128" i="44"/>
  <c r="U128" i="44"/>
  <c r="AD129" i="44"/>
  <c r="U129" i="44"/>
  <c r="AD130" i="44"/>
  <c r="U130" i="44"/>
  <c r="F8" i="51"/>
  <c r="U107" i="51"/>
  <c r="AD107" i="51"/>
  <c r="AD108" i="51"/>
  <c r="U108" i="51"/>
  <c r="U109" i="51"/>
  <c r="AD109" i="51"/>
  <c r="AD110" i="51"/>
  <c r="U110" i="51"/>
  <c r="U111" i="51"/>
  <c r="AD111" i="51"/>
  <c r="U112" i="51"/>
  <c r="AD112" i="51"/>
  <c r="U113" i="51"/>
  <c r="AD113" i="51"/>
  <c r="AD114" i="51"/>
  <c r="U114" i="51"/>
  <c r="U115" i="51"/>
  <c r="AD115" i="51"/>
  <c r="AD116" i="51"/>
  <c r="U116" i="51"/>
  <c r="AD117" i="51"/>
  <c r="U117" i="51"/>
  <c r="U118" i="51"/>
  <c r="AD118" i="51"/>
  <c r="AD119" i="51"/>
  <c r="U119" i="51"/>
  <c r="U120" i="51"/>
  <c r="AD120" i="51"/>
  <c r="U121" i="51"/>
  <c r="AD121" i="51"/>
  <c r="U122" i="51"/>
  <c r="AD122" i="51"/>
  <c r="U123" i="51"/>
  <c r="AD123" i="51"/>
  <c r="AD124" i="51"/>
  <c r="U124" i="51"/>
  <c r="AD125" i="51"/>
  <c r="U125" i="51"/>
  <c r="U126" i="51"/>
  <c r="AD126" i="51"/>
  <c r="AD127" i="51"/>
  <c r="U127" i="51"/>
  <c r="U128" i="51"/>
  <c r="AD128" i="51"/>
  <c r="U129" i="51"/>
  <c r="AD129" i="51"/>
  <c r="U130" i="51"/>
  <c r="AD130" i="51"/>
  <c r="U101" i="51"/>
  <c r="U85" i="51"/>
  <c r="U97" i="51"/>
  <c r="U81" i="51"/>
  <c r="AD93" i="51"/>
  <c r="AD77" i="51"/>
  <c r="U105" i="51"/>
  <c r="AD89" i="51"/>
  <c r="AD99" i="51"/>
  <c r="AD91" i="51"/>
  <c r="U83" i="51"/>
  <c r="AD75" i="51"/>
  <c r="U65" i="51"/>
  <c r="U103" i="51"/>
  <c r="AD95" i="51"/>
  <c r="AD87" i="51"/>
  <c r="U79" i="51"/>
  <c r="U106" i="51"/>
  <c r="AD102" i="51"/>
  <c r="U98" i="51"/>
  <c r="U94" i="51"/>
  <c r="AD90" i="51"/>
  <c r="AD86" i="51"/>
  <c r="U82" i="51"/>
  <c r="U78" i="51"/>
  <c r="U73" i="51"/>
  <c r="AD104" i="51"/>
  <c r="U100" i="51"/>
  <c r="AD96" i="51"/>
  <c r="AD92" i="51"/>
  <c r="AD88" i="51"/>
  <c r="U84" i="51"/>
  <c r="U80" i="51"/>
  <c r="U76" i="51"/>
  <c r="AD106" i="51"/>
  <c r="U104" i="51"/>
  <c r="U102" i="51"/>
  <c r="AD100" i="51"/>
  <c r="AD98" i="51"/>
  <c r="U96" i="51"/>
  <c r="AD94" i="51"/>
  <c r="U92" i="51"/>
  <c r="U90" i="51"/>
  <c r="U88" i="51"/>
  <c r="U86" i="51"/>
  <c r="AD84" i="51"/>
  <c r="AD82" i="51"/>
  <c r="AD80" i="51"/>
  <c r="AD78" i="51"/>
  <c r="AD76" i="51"/>
  <c r="AD71" i="51"/>
  <c r="U63" i="51"/>
  <c r="AD69" i="51"/>
  <c r="U55" i="51"/>
  <c r="AD105" i="51"/>
  <c r="AD103" i="51"/>
  <c r="AD101" i="51"/>
  <c r="U99" i="51"/>
  <c r="AD97" i="51"/>
  <c r="U95" i="51"/>
  <c r="U93" i="51"/>
  <c r="U91" i="51"/>
  <c r="U89" i="51"/>
  <c r="U87" i="51"/>
  <c r="AD85" i="51"/>
  <c r="AD83" i="51"/>
  <c r="AD81" i="51"/>
  <c r="AD79" i="51"/>
  <c r="U77" i="51"/>
  <c r="U74" i="51"/>
  <c r="AD67" i="51"/>
  <c r="AD59" i="51"/>
  <c r="AD74" i="51"/>
  <c r="AD70" i="51"/>
  <c r="U66" i="51"/>
  <c r="U62" i="51"/>
  <c r="U58" i="51"/>
  <c r="U53" i="51"/>
  <c r="U61" i="51"/>
  <c r="U57" i="51"/>
  <c r="AD52" i="51"/>
  <c r="U75" i="51"/>
  <c r="U72" i="51"/>
  <c r="U68" i="51"/>
  <c r="AD64" i="51"/>
  <c r="AD60" i="51"/>
  <c r="U56" i="51"/>
  <c r="AD51" i="51"/>
  <c r="U49" i="51"/>
  <c r="U27" i="51"/>
  <c r="AD48" i="51"/>
  <c r="AD47" i="51"/>
  <c r="AD39" i="51"/>
  <c r="AD45" i="51"/>
  <c r="AD36" i="51"/>
  <c r="AD22" i="51"/>
  <c r="AD44" i="51"/>
  <c r="AD33" i="51"/>
  <c r="U15" i="51"/>
  <c r="U41" i="51"/>
  <c r="AD29" i="51"/>
  <c r="U18" i="51"/>
  <c r="AD43" i="51"/>
  <c r="AD34" i="51"/>
  <c r="AD25" i="51"/>
  <c r="AD13" i="51"/>
  <c r="AD20" i="51"/>
  <c r="AD11" i="51"/>
  <c r="U38" i="51"/>
  <c r="U31" i="51"/>
  <c r="AD23" i="51"/>
  <c r="AD17" i="51"/>
  <c r="AD73" i="51"/>
  <c r="U71" i="51"/>
  <c r="U69" i="51"/>
  <c r="U67" i="51"/>
  <c r="AD65" i="51"/>
  <c r="AD63" i="51"/>
  <c r="AD61" i="51"/>
  <c r="U59" i="51"/>
  <c r="AD57" i="51"/>
  <c r="U54" i="51"/>
  <c r="U51" i="51"/>
  <c r="AD49" i="51"/>
  <c r="U46" i="51"/>
  <c r="U43" i="51"/>
  <c r="AD41" i="51"/>
  <c r="U37" i="51"/>
  <c r="U33" i="51"/>
  <c r="AD30" i="51"/>
  <c r="U26" i="51"/>
  <c r="U23" i="51"/>
  <c r="AD19" i="51"/>
  <c r="AD15" i="51"/>
  <c r="AD12" i="51"/>
  <c r="AD72" i="51"/>
  <c r="U70" i="51"/>
  <c r="AD68" i="51"/>
  <c r="AD66" i="51"/>
  <c r="U64" i="51"/>
  <c r="AD62" i="51"/>
  <c r="U60" i="51"/>
  <c r="AD58" i="51"/>
  <c r="AD55" i="51"/>
  <c r="AD53" i="51"/>
  <c r="AD50" i="51"/>
  <c r="U47" i="51"/>
  <c r="U45" i="51"/>
  <c r="AD42" i="51"/>
  <c r="U39" i="51"/>
  <c r="U35" i="51"/>
  <c r="AD31" i="51"/>
  <c r="AD28" i="51"/>
  <c r="U25" i="51"/>
  <c r="AD21" i="51"/>
  <c r="U17" i="51"/>
  <c r="AD14" i="51"/>
  <c r="AD40" i="51"/>
  <c r="AD37" i="51"/>
  <c r="AD35" i="51"/>
  <c r="AD32" i="51"/>
  <c r="U29" i="51"/>
  <c r="AD27" i="51"/>
  <c r="AD24" i="51"/>
  <c r="U21" i="51"/>
  <c r="U19" i="51"/>
  <c r="AD16" i="51"/>
  <c r="U13" i="51"/>
  <c r="U11" i="51"/>
  <c r="AD56" i="51"/>
  <c r="AD54" i="51"/>
  <c r="U52" i="51"/>
  <c r="U50" i="51"/>
  <c r="U48" i="51"/>
  <c r="AD46" i="51"/>
  <c r="U44" i="51"/>
  <c r="U42" i="51"/>
  <c r="U40" i="51"/>
  <c r="AD38" i="51"/>
  <c r="U36" i="51"/>
  <c r="U34" i="51"/>
  <c r="U32" i="51"/>
  <c r="U30" i="51"/>
  <c r="U28" i="51"/>
  <c r="AD26" i="51"/>
  <c r="U24" i="51"/>
  <c r="U22" i="51"/>
  <c r="U20" i="51"/>
  <c r="AD18" i="51"/>
  <c r="U16" i="51"/>
  <c r="U14" i="51"/>
  <c r="U12" i="51"/>
  <c r="F8" i="52"/>
  <c r="AD11" i="52"/>
  <c r="U11" i="52"/>
  <c r="U12" i="52"/>
  <c r="AD12" i="52"/>
  <c r="AD13" i="52"/>
  <c r="U13" i="52"/>
  <c r="AD14" i="52"/>
  <c r="U14" i="52"/>
  <c r="AD15" i="52"/>
  <c r="U15" i="52"/>
  <c r="U16" i="52"/>
  <c r="AD16" i="52"/>
  <c r="AD17" i="52"/>
  <c r="U17" i="52"/>
  <c r="AD18" i="52"/>
  <c r="U18" i="52"/>
  <c r="U19" i="52"/>
  <c r="AD19" i="52"/>
  <c r="AD20" i="52"/>
  <c r="U20" i="52"/>
  <c r="U21" i="52"/>
  <c r="AD21" i="52"/>
  <c r="U22" i="52"/>
  <c r="AD22" i="52"/>
  <c r="AD23" i="52"/>
  <c r="U23" i="52"/>
  <c r="U24" i="52"/>
  <c r="AD24" i="52"/>
  <c r="AD25" i="52"/>
  <c r="U25" i="52"/>
  <c r="AD26" i="52"/>
  <c r="U26" i="52"/>
  <c r="AD27" i="52"/>
  <c r="U27" i="52"/>
  <c r="U28" i="52"/>
  <c r="AD28" i="52"/>
  <c r="U29" i="52"/>
  <c r="AD29" i="52"/>
  <c r="AD30" i="52"/>
  <c r="U30" i="52"/>
  <c r="AD31" i="52"/>
  <c r="U31" i="52"/>
  <c r="AD32" i="52"/>
  <c r="U32" i="52"/>
  <c r="AD33" i="52"/>
  <c r="U33" i="52"/>
  <c r="U34" i="52"/>
  <c r="AD34" i="52"/>
  <c r="AD35" i="52"/>
  <c r="U35" i="52"/>
  <c r="AD36" i="52"/>
  <c r="U36" i="52"/>
  <c r="U37" i="52"/>
  <c r="AD37" i="52"/>
  <c r="AD38" i="52"/>
  <c r="U38" i="52"/>
  <c r="AD39" i="52"/>
  <c r="U39" i="52"/>
  <c r="AD40" i="52"/>
  <c r="U40" i="52"/>
  <c r="AD41" i="52"/>
  <c r="U41" i="52"/>
  <c r="U42" i="52"/>
  <c r="AD42" i="52"/>
  <c r="AD43" i="52"/>
  <c r="U43" i="52"/>
  <c r="U44" i="52"/>
  <c r="AD44" i="52"/>
  <c r="AD45" i="52"/>
  <c r="U45" i="52"/>
  <c r="AD46" i="52"/>
  <c r="U46" i="52"/>
  <c r="U47" i="52"/>
  <c r="AD47" i="52"/>
  <c r="AD48" i="52"/>
  <c r="U48" i="52"/>
  <c r="AD49" i="52"/>
  <c r="U49" i="52"/>
  <c r="AD50" i="52"/>
  <c r="U50" i="52"/>
  <c r="U51" i="52"/>
  <c r="AD51" i="52"/>
  <c r="AD52" i="52"/>
  <c r="U52" i="52"/>
  <c r="U53" i="52"/>
  <c r="AD53" i="52"/>
  <c r="U54" i="52"/>
  <c r="AD54" i="52"/>
  <c r="AD55" i="52"/>
  <c r="U55" i="52"/>
  <c r="U56" i="52"/>
  <c r="AD56" i="52"/>
  <c r="AD57" i="52"/>
  <c r="U57" i="52"/>
  <c r="U58" i="52"/>
  <c r="AD58" i="52"/>
  <c r="U59" i="52"/>
  <c r="AD59" i="52"/>
  <c r="AD60" i="52"/>
  <c r="U60" i="52"/>
  <c r="AD61" i="52"/>
  <c r="U61" i="52"/>
  <c r="U62" i="52"/>
  <c r="AD62" i="52"/>
  <c r="U63" i="52"/>
  <c r="AD63" i="52"/>
  <c r="AD64" i="52"/>
  <c r="U64" i="52"/>
  <c r="AD65" i="52"/>
  <c r="U65" i="52"/>
  <c r="AD66" i="52"/>
  <c r="U66" i="52"/>
  <c r="AD67" i="52"/>
  <c r="U67" i="52"/>
  <c r="U68" i="52"/>
  <c r="AD68" i="52"/>
  <c r="U69" i="52"/>
  <c r="AD69" i="52"/>
  <c r="U70" i="52"/>
  <c r="AD70" i="52"/>
  <c r="AD71" i="52"/>
  <c r="U71" i="52"/>
  <c r="AD72" i="52"/>
  <c r="U72" i="52"/>
  <c r="U73" i="52"/>
  <c r="AD73" i="52"/>
  <c r="AD74" i="52"/>
  <c r="U74" i="52"/>
  <c r="AD75" i="52"/>
  <c r="U75" i="52"/>
  <c r="AD76" i="52"/>
  <c r="U76" i="52"/>
  <c r="AD77" i="52"/>
  <c r="U77" i="52"/>
  <c r="AD78" i="52"/>
  <c r="U78" i="52"/>
  <c r="U79" i="52"/>
  <c r="AD79" i="52"/>
  <c r="AD80" i="52"/>
  <c r="U80" i="52"/>
  <c r="AD81" i="52"/>
  <c r="U81" i="52"/>
  <c r="AD82" i="52"/>
  <c r="U82" i="52"/>
  <c r="U83" i="52"/>
  <c r="AD83" i="52"/>
  <c r="U84" i="52"/>
  <c r="AD84" i="52"/>
  <c r="AD85" i="52"/>
  <c r="U85" i="52"/>
  <c r="AD86" i="52"/>
  <c r="U86" i="52"/>
  <c r="U87" i="52"/>
  <c r="AD87" i="52"/>
  <c r="AD88" i="52"/>
  <c r="U88" i="52"/>
  <c r="AD89" i="52"/>
  <c r="U89" i="52"/>
  <c r="AD90" i="52"/>
  <c r="U90" i="52"/>
  <c r="AD91" i="52"/>
  <c r="U91" i="52"/>
  <c r="AD92" i="52"/>
  <c r="U92" i="52"/>
  <c r="U93" i="52"/>
  <c r="AD93" i="52"/>
  <c r="U94" i="52"/>
  <c r="AD94" i="52"/>
  <c r="AD95" i="52"/>
  <c r="U95" i="52"/>
  <c r="AD96" i="52"/>
  <c r="U96" i="52"/>
  <c r="AD97" i="52"/>
  <c r="U97" i="52"/>
  <c r="AD98" i="52"/>
  <c r="U98" i="52"/>
  <c r="U99" i="52"/>
  <c r="AD99" i="52"/>
  <c r="AD100" i="52"/>
  <c r="U100" i="52"/>
  <c r="AD101" i="52"/>
  <c r="U101" i="52"/>
  <c r="U102" i="52"/>
  <c r="AD102" i="52"/>
  <c r="U103" i="52"/>
  <c r="AD103" i="52"/>
  <c r="U104" i="52"/>
  <c r="AD104" i="52"/>
  <c r="AD105" i="52"/>
  <c r="U105" i="52"/>
  <c r="U106" i="52"/>
  <c r="AD106" i="52"/>
  <c r="U99" i="46"/>
  <c r="U103" i="46"/>
  <c r="AD102" i="46"/>
  <c r="U93" i="46"/>
  <c r="U97" i="46"/>
  <c r="AD82" i="46"/>
  <c r="U78" i="46"/>
  <c r="AD97" i="46"/>
  <c r="AD93" i="46"/>
  <c r="AD98" i="46"/>
  <c r="AD94" i="46"/>
  <c r="U86" i="46"/>
  <c r="AD87" i="46"/>
  <c r="AD91" i="46"/>
  <c r="AD86" i="46"/>
  <c r="U83" i="46"/>
  <c r="U87" i="46"/>
  <c r="AD106" i="46"/>
  <c r="AD77" i="46"/>
  <c r="U81" i="46"/>
  <c r="U80" i="46"/>
  <c r="AD80" i="46"/>
  <c r="AD81" i="46"/>
  <c r="U77" i="46"/>
  <c r="AD88" i="46"/>
  <c r="U88" i="46"/>
  <c r="U106" i="46"/>
  <c r="AD95" i="46"/>
  <c r="U84" i="46"/>
  <c r="AD99" i="46"/>
  <c r="U79" i="46"/>
  <c r="U98" i="46"/>
  <c r="U105" i="46"/>
  <c r="U102" i="46"/>
  <c r="AD101" i="46"/>
  <c r="U90" i="46"/>
  <c r="AD83" i="46"/>
  <c r="AD100" i="46"/>
  <c r="U95" i="46"/>
  <c r="AD85" i="46"/>
  <c r="AD96" i="46"/>
  <c r="AD89" i="46"/>
  <c r="AD104" i="46"/>
  <c r="AD79" i="46"/>
  <c r="AD84" i="46"/>
  <c r="U92" i="46"/>
  <c r="U101" i="46"/>
  <c r="AD78" i="46"/>
  <c r="AD105" i="46"/>
  <c r="U94" i="46"/>
  <c r="U82" i="46"/>
  <c r="AD103" i="46"/>
  <c r="U91" i="46"/>
  <c r="AD92" i="46"/>
  <c r="U89" i="46"/>
  <c r="U96" i="46"/>
  <c r="U85" i="46"/>
  <c r="U104" i="46"/>
  <c r="U100" i="46"/>
  <c r="AD90" i="46"/>
  <c r="AD77" i="50"/>
  <c r="AD79" i="50"/>
  <c r="AD81" i="50"/>
  <c r="U83" i="50"/>
  <c r="U85" i="50"/>
  <c r="U87" i="50"/>
  <c r="AD89" i="50"/>
  <c r="AD91" i="50"/>
  <c r="AD93" i="50"/>
  <c r="U95" i="50"/>
  <c r="U97" i="50"/>
  <c r="AD99" i="50"/>
  <c r="U101" i="50"/>
  <c r="AD103" i="50"/>
  <c r="AD105" i="50"/>
  <c r="U90" i="50"/>
  <c r="U96" i="50"/>
  <c r="U100" i="50"/>
  <c r="U104" i="50"/>
  <c r="U77" i="50"/>
  <c r="U79" i="50"/>
  <c r="U81" i="50"/>
  <c r="AD83" i="50"/>
  <c r="AD85" i="50"/>
  <c r="AD87" i="50"/>
  <c r="U89" i="50"/>
  <c r="U91" i="50"/>
  <c r="U93" i="50"/>
  <c r="AD95" i="50"/>
  <c r="AD97" i="50"/>
  <c r="U99" i="50"/>
  <c r="AD101" i="50"/>
  <c r="U103" i="50"/>
  <c r="U105" i="50"/>
  <c r="AD78" i="50"/>
  <c r="U80" i="50"/>
  <c r="AD82" i="50"/>
  <c r="U84" i="50"/>
  <c r="U86" i="50"/>
  <c r="U88" i="50"/>
  <c r="AD90" i="50"/>
  <c r="AD92" i="50"/>
  <c r="U94" i="50"/>
  <c r="AD96" i="50"/>
  <c r="AD98" i="50"/>
  <c r="AD100" i="50"/>
  <c r="U102" i="50"/>
  <c r="AD104" i="50"/>
  <c r="AD106" i="50"/>
  <c r="U78" i="50"/>
  <c r="AD80" i="50"/>
  <c r="U82" i="50"/>
  <c r="AD84" i="50"/>
  <c r="AD86" i="50"/>
  <c r="AD88" i="50"/>
  <c r="U92" i="50"/>
  <c r="AD94" i="50"/>
  <c r="U98" i="50"/>
  <c r="AD102" i="50"/>
  <c r="U106" i="50"/>
  <c r="U82" i="17"/>
  <c r="U86" i="17"/>
  <c r="AD106" i="17"/>
  <c r="U85" i="17"/>
  <c r="AD101" i="17"/>
  <c r="U104" i="17"/>
  <c r="AD104" i="17"/>
  <c r="U98" i="17"/>
  <c r="U105" i="17"/>
  <c r="U101" i="17"/>
  <c r="AD88" i="17"/>
  <c r="AD83" i="17"/>
  <c r="U99" i="17"/>
  <c r="U83" i="17"/>
  <c r="AD103" i="17"/>
  <c r="AD99" i="17"/>
  <c r="U102" i="17"/>
  <c r="AD85" i="17"/>
  <c r="U84" i="17"/>
  <c r="U88" i="17"/>
  <c r="U96" i="17"/>
  <c r="AD105" i="17"/>
  <c r="AD90" i="17"/>
  <c r="AD86" i="17"/>
  <c r="U103" i="17"/>
  <c r="U95" i="17"/>
  <c r="U78" i="17"/>
  <c r="AD87" i="17"/>
  <c r="U106" i="17"/>
  <c r="U89" i="17"/>
  <c r="U91" i="17"/>
  <c r="AD94" i="17"/>
  <c r="AD82" i="17"/>
  <c r="AD89" i="17"/>
  <c r="AD78" i="17"/>
  <c r="U80" i="17"/>
  <c r="AD93" i="17"/>
  <c r="AD100" i="17"/>
  <c r="U79" i="17"/>
  <c r="U100" i="17"/>
  <c r="AD98" i="17"/>
  <c r="U93" i="17"/>
  <c r="AD95" i="17"/>
  <c r="U77" i="17"/>
  <c r="AD84" i="17"/>
  <c r="AD96" i="17"/>
  <c r="U94" i="17"/>
  <c r="AD91" i="17"/>
  <c r="AD80" i="17"/>
  <c r="AD81" i="17"/>
  <c r="U87" i="17"/>
  <c r="AD79" i="17"/>
  <c r="AD77" i="17"/>
  <c r="U90" i="17"/>
  <c r="U92" i="17"/>
  <c r="U81" i="17"/>
  <c r="AD97" i="17"/>
  <c r="U97" i="17"/>
  <c r="AD102" i="17"/>
  <c r="AD92" i="17"/>
  <c r="U83" i="44"/>
  <c r="U87" i="44"/>
  <c r="AD106" i="44"/>
  <c r="U101" i="44"/>
  <c r="AD105" i="44"/>
  <c r="U105" i="44"/>
  <c r="AD92" i="44"/>
  <c r="U96" i="44"/>
  <c r="AD96" i="44"/>
  <c r="AD87" i="44"/>
  <c r="U78" i="44"/>
  <c r="AD84" i="44"/>
  <c r="AD101" i="44"/>
  <c r="AD102" i="44"/>
  <c r="AD90" i="44"/>
  <c r="AD91" i="44"/>
  <c r="AD95" i="44"/>
  <c r="AD77" i="44"/>
  <c r="AD81" i="44"/>
  <c r="AD79" i="44"/>
  <c r="U84" i="44"/>
  <c r="U102" i="44"/>
  <c r="AD82" i="44"/>
  <c r="U94" i="44"/>
  <c r="AD85" i="44"/>
  <c r="AD80" i="44"/>
  <c r="AD103" i="44"/>
  <c r="U80" i="44"/>
  <c r="U88" i="44"/>
  <c r="U89" i="44"/>
  <c r="AD99" i="44"/>
  <c r="U103" i="44"/>
  <c r="U85" i="44"/>
  <c r="AD89" i="44"/>
  <c r="AD83" i="44"/>
  <c r="AD104" i="44"/>
  <c r="U98" i="44"/>
  <c r="U77" i="44"/>
  <c r="U86" i="44"/>
  <c r="U97" i="44"/>
  <c r="U106" i="44"/>
  <c r="U81" i="44"/>
  <c r="U100" i="44"/>
  <c r="U104" i="44"/>
  <c r="U90" i="44"/>
  <c r="U79" i="44"/>
  <c r="U92" i="44"/>
  <c r="AD93" i="44"/>
  <c r="AD97" i="44"/>
  <c r="U93" i="44"/>
  <c r="AD78" i="44"/>
  <c r="AD86" i="44"/>
  <c r="U99" i="44"/>
  <c r="U82" i="44"/>
  <c r="AD88" i="44"/>
  <c r="U95" i="44"/>
  <c r="U91" i="44"/>
  <c r="AD98" i="44"/>
  <c r="AD94" i="44"/>
  <c r="AD100" i="44"/>
  <c r="AD99" i="45"/>
  <c r="U92" i="45"/>
  <c r="U102" i="45"/>
  <c r="AD85" i="45"/>
  <c r="U85" i="45"/>
  <c r="U96" i="45"/>
  <c r="AD82" i="45"/>
  <c r="U97" i="45"/>
  <c r="AD97" i="45"/>
  <c r="U86" i="45"/>
  <c r="AD86" i="45"/>
  <c r="AD90" i="45"/>
  <c r="U103" i="45"/>
  <c r="AD87" i="45"/>
  <c r="U79" i="45"/>
  <c r="U83" i="45"/>
  <c r="AD91" i="45"/>
  <c r="U80" i="45"/>
  <c r="AD102" i="45"/>
  <c r="AD83" i="45"/>
  <c r="AD106" i="45"/>
  <c r="U77" i="45"/>
  <c r="U106" i="45"/>
  <c r="U81" i="45"/>
  <c r="AD89" i="45"/>
  <c r="AD92" i="45"/>
  <c r="U95" i="45"/>
  <c r="AD103" i="45"/>
  <c r="AD100" i="45"/>
  <c r="AD96" i="45"/>
  <c r="AD80" i="45"/>
  <c r="AD81" i="45"/>
  <c r="AD95" i="45"/>
  <c r="U87" i="45"/>
  <c r="U99" i="45"/>
  <c r="AD77" i="45"/>
  <c r="U93" i="45"/>
  <c r="AD84" i="45"/>
  <c r="U89" i="45"/>
  <c r="AD105" i="45"/>
  <c r="AD98" i="45"/>
  <c r="AD78" i="45"/>
  <c r="U82" i="45"/>
  <c r="U104" i="45"/>
  <c r="U94" i="45"/>
  <c r="AD93" i="45"/>
  <c r="AD101" i="45"/>
  <c r="U100" i="45"/>
  <c r="U105" i="45"/>
  <c r="AD88" i="45"/>
  <c r="U98" i="45"/>
  <c r="U84" i="45"/>
  <c r="AD79" i="45"/>
  <c r="U78" i="45"/>
  <c r="U91" i="45"/>
  <c r="U101" i="45"/>
  <c r="U90" i="45"/>
  <c r="AD104" i="45"/>
  <c r="U88" i="45"/>
  <c r="AD94" i="45"/>
  <c r="AD99" i="43"/>
  <c r="AD92" i="43"/>
  <c r="U94" i="43"/>
  <c r="AD85" i="43"/>
  <c r="U86" i="43"/>
  <c r="U96" i="43"/>
  <c r="AD98" i="43"/>
  <c r="U89" i="43"/>
  <c r="AD90" i="43"/>
  <c r="AD104" i="43"/>
  <c r="U106" i="43"/>
  <c r="AD96" i="43"/>
  <c r="AD91" i="43"/>
  <c r="AD84" i="43"/>
  <c r="AD86" i="43"/>
  <c r="AD83" i="43"/>
  <c r="U92" i="43"/>
  <c r="AD101" i="43"/>
  <c r="U99" i="43"/>
  <c r="U101" i="43"/>
  <c r="U102" i="43"/>
  <c r="U105" i="43"/>
  <c r="AD103" i="43"/>
  <c r="AD105" i="43"/>
  <c r="AD106" i="43"/>
  <c r="AD97" i="43"/>
  <c r="AD95" i="43"/>
  <c r="AD102" i="43"/>
  <c r="U104" i="43"/>
  <c r="U88" i="43"/>
  <c r="U85" i="43"/>
  <c r="AD93" i="43"/>
  <c r="AD89" i="43"/>
  <c r="U97" i="43"/>
  <c r="AD81" i="43"/>
  <c r="U77" i="43"/>
  <c r="U87" i="43"/>
  <c r="U81" i="43"/>
  <c r="U93" i="43"/>
  <c r="U91" i="43"/>
  <c r="AD78" i="43"/>
  <c r="U78" i="43"/>
  <c r="AD82" i="43"/>
  <c r="U82" i="43"/>
  <c r="U90" i="43"/>
  <c r="U79" i="43"/>
  <c r="U100" i="43"/>
  <c r="U84" i="43"/>
  <c r="U83" i="43"/>
  <c r="AD94" i="43"/>
  <c r="AD87" i="43"/>
  <c r="U98" i="43"/>
  <c r="AD79" i="43"/>
  <c r="U103" i="43"/>
  <c r="U80" i="43"/>
  <c r="AD100" i="43"/>
  <c r="AD77" i="43"/>
  <c r="AD80" i="43"/>
  <c r="AD88" i="43"/>
  <c r="U95" i="43"/>
  <c r="AD20" i="45"/>
  <c r="AD42" i="45"/>
  <c r="U36" i="45"/>
  <c r="AD59" i="45"/>
  <c r="AD37" i="45"/>
  <c r="U75" i="45"/>
  <c r="AD47" i="45"/>
  <c r="U46" i="45"/>
  <c r="U71" i="45"/>
  <c r="U35" i="45"/>
  <c r="U48" i="45"/>
  <c r="U40" i="45"/>
  <c r="U38" i="45"/>
  <c r="U66" i="45"/>
  <c r="U44" i="45"/>
  <c r="U73" i="45"/>
  <c r="U29" i="45"/>
  <c r="AD31" i="45"/>
  <c r="AD30" i="45"/>
  <c r="AD53" i="45"/>
  <c r="AD12" i="45"/>
  <c r="U52" i="45"/>
  <c r="AD55" i="45"/>
  <c r="U64" i="45"/>
  <c r="AD56" i="45"/>
  <c r="AD33" i="45"/>
  <c r="AD76" i="45"/>
  <c r="U12" i="45"/>
  <c r="AD40" i="45"/>
  <c r="AD11" i="45"/>
  <c r="U37" i="45"/>
  <c r="AD68" i="45"/>
  <c r="U28" i="45"/>
  <c r="AD44" i="45"/>
  <c r="AD25" i="45"/>
  <c r="AD62" i="45"/>
  <c r="U51" i="45"/>
  <c r="AD24" i="45"/>
  <c r="AD18" i="45"/>
  <c r="AD74" i="45"/>
  <c r="U24" i="45"/>
  <c r="AD48" i="45"/>
  <c r="U19" i="45"/>
  <c r="U18" i="45"/>
  <c r="U31" i="45"/>
  <c r="U69" i="45"/>
  <c r="U57" i="45"/>
  <c r="U45" i="45"/>
  <c r="U43" i="45"/>
  <c r="AD61" i="45"/>
  <c r="AD27" i="45"/>
  <c r="U58" i="45"/>
  <c r="AD26" i="45"/>
  <c r="U32" i="45"/>
  <c r="AD13" i="45"/>
  <c r="AD15" i="45"/>
  <c r="U55" i="45"/>
  <c r="AD57" i="45"/>
  <c r="AD60" i="45"/>
  <c r="U15" i="45"/>
  <c r="AD66" i="45"/>
  <c r="AD22" i="45"/>
  <c r="AD23" i="45"/>
  <c r="U22" i="45"/>
  <c r="U65" i="45"/>
  <c r="U68" i="45"/>
  <c r="F8" i="45"/>
  <c r="AD72" i="45"/>
  <c r="U33" i="45"/>
  <c r="U56" i="45"/>
  <c r="U62" i="45"/>
  <c r="U72" i="45"/>
  <c r="U70" i="45"/>
  <c r="AD73" i="45"/>
  <c r="U54" i="45"/>
  <c r="AD28" i="45"/>
  <c r="AD50" i="45"/>
  <c r="U25" i="45"/>
  <c r="AD52" i="45"/>
  <c r="U61" i="45"/>
  <c r="AD63" i="45"/>
  <c r="U20" i="45"/>
  <c r="U41" i="45"/>
  <c r="U17" i="45"/>
  <c r="AD36" i="45"/>
  <c r="U34" i="45"/>
  <c r="AD38" i="45"/>
  <c r="AD19" i="45"/>
  <c r="U53" i="45"/>
  <c r="AD58" i="45"/>
  <c r="U49" i="45"/>
  <c r="AD39" i="45"/>
  <c r="AD35" i="45"/>
  <c r="AD54" i="45"/>
  <c r="U21" i="45"/>
  <c r="AD43" i="45"/>
  <c r="U16" i="45"/>
  <c r="AD64" i="45"/>
  <c r="AD70" i="45"/>
  <c r="U42" i="45"/>
  <c r="AD17" i="45"/>
  <c r="U23" i="45"/>
  <c r="U63" i="45"/>
  <c r="AD67" i="45"/>
  <c r="AD29" i="45"/>
  <c r="AD16" i="45"/>
  <c r="AD71" i="45"/>
  <c r="U74" i="45"/>
  <c r="AD34" i="45"/>
  <c r="U27" i="45"/>
  <c r="U59" i="45"/>
  <c r="AD41" i="45"/>
  <c r="AD21" i="45"/>
  <c r="AD14" i="45"/>
  <c r="U47" i="45"/>
  <c r="AD45" i="45"/>
  <c r="U60" i="45"/>
  <c r="U14" i="45"/>
  <c r="U76" i="45"/>
  <c r="AD69" i="45"/>
  <c r="U39" i="45"/>
  <c r="U67" i="45"/>
  <c r="U30" i="45"/>
  <c r="AD46" i="45"/>
  <c r="AD75" i="45"/>
  <c r="AD51" i="45"/>
  <c r="U13" i="45"/>
  <c r="AD49" i="45"/>
  <c r="U50" i="45"/>
  <c r="AD65" i="45"/>
  <c r="AD32" i="45"/>
  <c r="U26" i="45"/>
  <c r="U11" i="45"/>
  <c r="U44" i="46"/>
  <c r="U26" i="46"/>
  <c r="U37" i="46"/>
  <c r="AD55" i="46"/>
  <c r="AD31" i="46"/>
  <c r="U68" i="46"/>
  <c r="AD60" i="46"/>
  <c r="U13" i="46"/>
  <c r="F8" i="46"/>
  <c r="AD26" i="46"/>
  <c r="U46" i="46"/>
  <c r="AD49" i="46"/>
  <c r="U74" i="46"/>
  <c r="U31" i="46"/>
  <c r="U48" i="46"/>
  <c r="U75" i="46"/>
  <c r="AD45" i="46"/>
  <c r="AD19" i="46"/>
  <c r="AD68" i="46"/>
  <c r="U52" i="46"/>
  <c r="U29" i="46"/>
  <c r="AD65" i="46"/>
  <c r="U47" i="46"/>
  <c r="U32" i="46"/>
  <c r="U22" i="46"/>
  <c r="U14" i="46"/>
  <c r="AD12" i="46"/>
  <c r="AD43" i="46"/>
  <c r="U18" i="46"/>
  <c r="U20" i="46"/>
  <c r="AD74" i="46"/>
  <c r="U19" i="46"/>
  <c r="AD71" i="46"/>
  <c r="AD67" i="46"/>
  <c r="U62" i="46"/>
  <c r="AD36" i="46"/>
  <c r="U21" i="46"/>
  <c r="AD62" i="46"/>
  <c r="AD66" i="46"/>
  <c r="AD35" i="46"/>
  <c r="AD56" i="46"/>
  <c r="U33" i="46"/>
  <c r="U25" i="46"/>
  <c r="U53" i="46"/>
  <c r="AD20" i="46"/>
  <c r="U15" i="46"/>
  <c r="AD58" i="46"/>
  <c r="U35" i="46"/>
  <c r="AD52" i="46"/>
  <c r="U27" i="46"/>
  <c r="AD23" i="46"/>
  <c r="AD38" i="46"/>
  <c r="U76" i="46"/>
  <c r="AD27" i="46"/>
  <c r="U59" i="46"/>
  <c r="AD39" i="46"/>
  <c r="AD25" i="46"/>
  <c r="U40" i="46"/>
  <c r="AD59" i="46"/>
  <c r="AD13" i="46"/>
  <c r="U63" i="46"/>
  <c r="AD73" i="46"/>
  <c r="U39" i="46"/>
  <c r="AD53" i="46"/>
  <c r="AD50" i="46"/>
  <c r="AD28" i="46"/>
  <c r="U43" i="46"/>
  <c r="U42" i="46"/>
  <c r="U12" i="46"/>
  <c r="AD42" i="46"/>
  <c r="AD21" i="46"/>
  <c r="U56" i="46"/>
  <c r="AD40" i="46"/>
  <c r="AD54" i="46"/>
  <c r="AD37" i="46"/>
  <c r="U71" i="46"/>
  <c r="AD15" i="46"/>
  <c r="AD33" i="46"/>
  <c r="U34" i="46"/>
  <c r="AD17" i="46"/>
  <c r="U17" i="46"/>
  <c r="AD30" i="46"/>
  <c r="AD47" i="46"/>
  <c r="U51" i="46"/>
  <c r="AD16" i="46"/>
  <c r="AD34" i="46"/>
  <c r="AD14" i="46"/>
  <c r="U24" i="46"/>
  <c r="U49" i="46"/>
  <c r="U54" i="46"/>
  <c r="U50" i="46"/>
  <c r="AD76" i="46"/>
  <c r="AD32" i="46"/>
  <c r="U23" i="46"/>
  <c r="U28" i="46"/>
  <c r="U57" i="46"/>
  <c r="U58" i="46"/>
  <c r="AD70" i="46"/>
  <c r="U38" i="46"/>
  <c r="AD46" i="46"/>
  <c r="AD63" i="46"/>
  <c r="AD22" i="46"/>
  <c r="AD44" i="46"/>
  <c r="AD64" i="46"/>
  <c r="U30" i="46"/>
  <c r="U66" i="46"/>
  <c r="AD57" i="46"/>
  <c r="AD51" i="46"/>
  <c r="U73" i="46"/>
  <c r="U65" i="46"/>
  <c r="AD72" i="46"/>
  <c r="U16" i="46"/>
  <c r="AD69" i="46"/>
  <c r="U61" i="46"/>
  <c r="AD61" i="46"/>
  <c r="U45" i="46"/>
  <c r="U55" i="46"/>
  <c r="U69" i="46"/>
  <c r="U67" i="46"/>
  <c r="AD24" i="46"/>
  <c r="U41" i="46"/>
  <c r="AD41" i="46"/>
  <c r="U70" i="46"/>
  <c r="U60" i="46"/>
  <c r="AD48" i="46"/>
  <c r="U72" i="46"/>
  <c r="U36" i="46"/>
  <c r="AD18" i="46"/>
  <c r="AD29" i="46"/>
  <c r="AD75" i="46"/>
  <c r="U64" i="46"/>
  <c r="AD11" i="46"/>
  <c r="U11" i="46"/>
  <c r="AD42" i="44"/>
  <c r="AD31" i="44"/>
  <c r="AD71" i="44"/>
  <c r="U56" i="44"/>
  <c r="AD12" i="44"/>
  <c r="U12" i="44"/>
  <c r="U52" i="44"/>
  <c r="U55" i="44"/>
  <c r="AD59" i="44"/>
  <c r="U58" i="44"/>
  <c r="U59" i="44"/>
  <c r="U31" i="44"/>
  <c r="AD14" i="44"/>
  <c r="AD51" i="44"/>
  <c r="U70" i="44"/>
  <c r="U76" i="44"/>
  <c r="U33" i="44"/>
  <c r="AD20" i="44"/>
  <c r="AD68" i="44"/>
  <c r="AD21" i="44"/>
  <c r="AD53" i="44"/>
  <c r="U57" i="44"/>
  <c r="U51" i="44"/>
  <c r="U60" i="44"/>
  <c r="AD61" i="44"/>
  <c r="U39" i="44"/>
  <c r="U46" i="44"/>
  <c r="AD54" i="44"/>
  <c r="U54" i="44"/>
  <c r="AD47" i="44"/>
  <c r="AD40" i="44"/>
  <c r="AD72" i="44"/>
  <c r="AD46" i="44"/>
  <c r="U69" i="44"/>
  <c r="U13" i="44"/>
  <c r="AD73" i="44"/>
  <c r="U28" i="44"/>
  <c r="U37" i="44"/>
  <c r="U25" i="44"/>
  <c r="U34" i="44"/>
  <c r="AD18" i="44"/>
  <c r="AD58" i="44"/>
  <c r="U49" i="44"/>
  <c r="AD75" i="44"/>
  <c r="U75" i="44"/>
  <c r="AD43" i="44"/>
  <c r="U72" i="44"/>
  <c r="U48" i="44"/>
  <c r="F8" i="44"/>
  <c r="U38" i="44"/>
  <c r="AD37" i="44"/>
  <c r="U22" i="44"/>
  <c r="U23" i="44"/>
  <c r="U63" i="44"/>
  <c r="AD48" i="44"/>
  <c r="U43" i="44"/>
  <c r="AD67" i="44"/>
  <c r="AD33" i="44"/>
  <c r="U14" i="44"/>
  <c r="U36" i="44"/>
  <c r="AD56" i="44"/>
  <c r="AD24" i="44"/>
  <c r="U42" i="44"/>
  <c r="U45" i="44"/>
  <c r="AD49" i="44"/>
  <c r="AD60" i="44"/>
  <c r="U66" i="44"/>
  <c r="U16" i="44"/>
  <c r="U17" i="44"/>
  <c r="AD39" i="44"/>
  <c r="AD69" i="44"/>
  <c r="U41" i="44"/>
  <c r="AD44" i="44"/>
  <c r="U61" i="44"/>
  <c r="U32" i="44"/>
  <c r="U30" i="44"/>
  <c r="AD57" i="44"/>
  <c r="U73" i="44"/>
  <c r="AD55" i="44"/>
  <c r="AD66" i="44"/>
  <c r="AD41" i="44"/>
  <c r="AD17" i="44"/>
  <c r="U62" i="44"/>
  <c r="U68" i="44"/>
  <c r="U47" i="44"/>
  <c r="U26" i="44"/>
  <c r="U15" i="44"/>
  <c r="AD63" i="44"/>
  <c r="AD28" i="44"/>
  <c r="AD13" i="44"/>
  <c r="AD27" i="44"/>
  <c r="AD35" i="44"/>
  <c r="AD25" i="44"/>
  <c r="U35" i="44"/>
  <c r="U24" i="44"/>
  <c r="U18" i="44"/>
  <c r="U67" i="44"/>
  <c r="AD29" i="44"/>
  <c r="U71" i="44"/>
  <c r="AD26" i="44"/>
  <c r="AD70" i="44"/>
  <c r="AD22" i="44"/>
  <c r="AD74" i="44"/>
  <c r="U29" i="44"/>
  <c r="AD19" i="44"/>
  <c r="AD15" i="44"/>
  <c r="U11" i="44"/>
  <c r="AD11" i="44"/>
  <c r="U20" i="44"/>
  <c r="AD36" i="44"/>
  <c r="U64" i="44"/>
  <c r="AD32" i="44"/>
  <c r="AD45" i="44"/>
  <c r="U27" i="44"/>
  <c r="AD23" i="44"/>
  <c r="U44" i="44"/>
  <c r="AD76" i="44"/>
  <c r="AD52" i="44"/>
  <c r="AD30" i="44"/>
  <c r="AD64" i="44"/>
  <c r="U74" i="44"/>
  <c r="U19" i="44"/>
  <c r="AD62" i="44"/>
  <c r="AD65" i="44"/>
  <c r="U65" i="44"/>
  <c r="U40" i="44"/>
  <c r="AD38" i="44"/>
  <c r="U21" i="44"/>
  <c r="AD50" i="44"/>
  <c r="AD16" i="44"/>
  <c r="AD34" i="44"/>
  <c r="U50" i="44"/>
  <c r="U53" i="44"/>
  <c r="AD52" i="17"/>
  <c r="AD26" i="17"/>
  <c r="AD65" i="17"/>
  <c r="AD32" i="17"/>
  <c r="U38" i="17"/>
  <c r="AD74" i="17"/>
  <c r="AD54" i="17"/>
  <c r="U16" i="17"/>
  <c r="U30" i="17"/>
  <c r="U53" i="17"/>
  <c r="U61" i="17"/>
  <c r="AD23" i="17"/>
  <c r="AD27" i="17"/>
  <c r="U25" i="17"/>
  <c r="U15" i="17"/>
  <c r="AD50" i="17"/>
  <c r="U46" i="17"/>
  <c r="AD36" i="17"/>
  <c r="AD42" i="17"/>
  <c r="U35" i="17"/>
  <c r="AD63" i="17"/>
  <c r="U76" i="17"/>
  <c r="AD41" i="17"/>
  <c r="U39" i="17"/>
  <c r="AD34" i="17"/>
  <c r="AD66" i="17"/>
  <c r="U73" i="17"/>
  <c r="AD60" i="17"/>
  <c r="U33" i="17"/>
  <c r="U17" i="17"/>
  <c r="U71" i="17"/>
  <c r="U48" i="17"/>
  <c r="U22" i="17"/>
  <c r="U29" i="17"/>
  <c r="U26" i="17"/>
  <c r="U44" i="17"/>
  <c r="AD46" i="17"/>
  <c r="AD29" i="17"/>
  <c r="AD58" i="17"/>
  <c r="AD43" i="17"/>
  <c r="AD25" i="17"/>
  <c r="AD22" i="17"/>
  <c r="AD13" i="17"/>
  <c r="U14" i="17"/>
  <c r="AD44" i="17"/>
  <c r="U20" i="17"/>
  <c r="U13" i="17"/>
  <c r="AD33" i="17"/>
  <c r="AD48" i="17"/>
  <c r="U37" i="17"/>
  <c r="U74" i="17"/>
  <c r="AD64" i="17"/>
  <c r="AD68" i="17"/>
  <c r="AD49" i="17"/>
  <c r="AD61" i="17"/>
  <c r="AD21" i="17"/>
  <c r="AD73" i="17"/>
  <c r="AD70" i="17"/>
  <c r="U12" i="17"/>
  <c r="AD62" i="17"/>
  <c r="U70" i="17"/>
  <c r="AD31" i="17"/>
  <c r="U72" i="17"/>
  <c r="AD30" i="17"/>
  <c r="U62" i="17"/>
  <c r="AD56" i="17"/>
  <c r="AD15" i="17"/>
  <c r="U23" i="17"/>
  <c r="AD40" i="17"/>
  <c r="U69" i="17"/>
  <c r="AD53" i="17"/>
  <c r="AD47" i="17"/>
  <c r="U58" i="17"/>
  <c r="AD57" i="17"/>
  <c r="U31" i="17"/>
  <c r="U65" i="17"/>
  <c r="U57" i="17"/>
  <c r="AD24" i="17"/>
  <c r="AD67" i="17"/>
  <c r="AD19" i="17"/>
  <c r="U63" i="17"/>
  <c r="U41" i="17"/>
  <c r="AD75" i="17"/>
  <c r="AD38" i="17"/>
  <c r="U19" i="17"/>
  <c r="AD12" i="17"/>
  <c r="AD14" i="17"/>
  <c r="U49" i="17"/>
  <c r="U45" i="17"/>
  <c r="U42" i="17"/>
  <c r="U34" i="17"/>
  <c r="U59" i="17"/>
  <c r="AD76" i="17"/>
  <c r="AD51" i="17"/>
  <c r="U52" i="17"/>
  <c r="F8" i="17"/>
  <c r="AD28" i="17"/>
  <c r="U68" i="17"/>
  <c r="U56" i="17"/>
  <c r="AD17" i="17"/>
  <c r="U40" i="17"/>
  <c r="U60" i="17"/>
  <c r="U67" i="17"/>
  <c r="AD37" i="17"/>
  <c r="U24" i="17"/>
  <c r="U64" i="17"/>
  <c r="AD69" i="17"/>
  <c r="U47" i="17"/>
  <c r="U43" i="17"/>
  <c r="U50" i="17"/>
  <c r="AD55" i="17"/>
  <c r="U75" i="17"/>
  <c r="AD45" i="17"/>
  <c r="AD59" i="17"/>
  <c r="U11" i="17"/>
  <c r="U18" i="17"/>
  <c r="U32" i="17"/>
  <c r="AD71" i="17"/>
  <c r="AD18" i="17"/>
  <c r="U28" i="17"/>
  <c r="U54" i="17"/>
  <c r="U51" i="17"/>
  <c r="AD35" i="17"/>
  <c r="U21" i="17"/>
  <c r="AD39" i="17"/>
  <c r="AD72" i="17"/>
  <c r="AD20" i="17"/>
  <c r="U36" i="17"/>
  <c r="AD16" i="17"/>
  <c r="U66" i="17"/>
  <c r="U27" i="17"/>
  <c r="U55" i="17"/>
  <c r="AD11" i="17"/>
  <c r="U19" i="43"/>
  <c r="U23" i="43"/>
  <c r="AD22" i="43"/>
  <c r="AD45" i="43"/>
  <c r="U70" i="43"/>
  <c r="U17" i="43"/>
  <c r="U66" i="43"/>
  <c r="AD54" i="43"/>
  <c r="U50" i="43"/>
  <c r="AD31" i="43"/>
  <c r="U36" i="43"/>
  <c r="U44" i="43"/>
  <c r="AD39" i="43"/>
  <c r="AD12" i="43"/>
  <c r="AD32" i="43"/>
  <c r="U46" i="43"/>
  <c r="U34" i="43"/>
  <c r="U15" i="43"/>
  <c r="AD34" i="43"/>
  <c r="U55" i="43"/>
  <c r="AD30" i="43"/>
  <c r="U58" i="43"/>
  <c r="U26" i="43"/>
  <c r="AD55" i="43"/>
  <c r="U30" i="43"/>
  <c r="AD19" i="43"/>
  <c r="U67" i="43"/>
  <c r="AD73" i="43"/>
  <c r="AD17" i="43"/>
  <c r="U40" i="43"/>
  <c r="AD29" i="43"/>
  <c r="AD38" i="43"/>
  <c r="AD71" i="43"/>
  <c r="AD41" i="43"/>
  <c r="U41" i="43"/>
  <c r="U42" i="43"/>
  <c r="U25" i="43"/>
  <c r="U32" i="43"/>
  <c r="AD50" i="43"/>
  <c r="AD48" i="43"/>
  <c r="U22" i="43"/>
  <c r="AD72" i="43"/>
  <c r="U28" i="43"/>
  <c r="U65" i="43"/>
  <c r="AD63" i="43"/>
  <c r="AD68" i="43"/>
  <c r="U73" i="43"/>
  <c r="U62" i="43"/>
  <c r="U31" i="43"/>
  <c r="AD44" i="43"/>
  <c r="U64" i="43"/>
  <c r="U49" i="43"/>
  <c r="AD51" i="43"/>
  <c r="U63" i="43"/>
  <c r="U27" i="43"/>
  <c r="U35" i="43"/>
  <c r="AD42" i="43"/>
  <c r="AD69" i="43"/>
  <c r="U37" i="43"/>
  <c r="AD59" i="43"/>
  <c r="AD28" i="43"/>
  <c r="AD76" i="43"/>
  <c r="U45" i="43"/>
  <c r="AD15" i="43"/>
  <c r="U57" i="43"/>
  <c r="U14" i="43"/>
  <c r="AD18" i="43"/>
  <c r="AD57" i="43"/>
  <c r="AD64" i="43"/>
  <c r="AD35" i="43"/>
  <c r="AD14" i="43"/>
  <c r="U16" i="43"/>
  <c r="AD70" i="43"/>
  <c r="U76" i="43"/>
  <c r="U38" i="43"/>
  <c r="AD21" i="43"/>
  <c r="U20" i="43"/>
  <c r="U61" i="43"/>
  <c r="AD61" i="43"/>
  <c r="U52" i="43"/>
  <c r="AD74" i="43"/>
  <c r="U18" i="43"/>
  <c r="AD43" i="43"/>
  <c r="AD47" i="43"/>
  <c r="U51" i="43"/>
  <c r="AD40" i="43"/>
  <c r="U11" i="43"/>
  <c r="AD11" i="43"/>
  <c r="U59" i="43"/>
  <c r="U75" i="43"/>
  <c r="AD75" i="43"/>
  <c r="AD26" i="43"/>
  <c r="U21" i="43"/>
  <c r="AD65" i="43"/>
  <c r="U39" i="43"/>
  <c r="U53" i="43"/>
  <c r="AD62" i="43"/>
  <c r="U12" i="43"/>
  <c r="AD46" i="43"/>
  <c r="AD24" i="43"/>
  <c r="U43" i="43"/>
  <c r="AD58" i="43"/>
  <c r="AD20" i="43"/>
  <c r="AD13" i="43"/>
  <c r="AD60" i="43"/>
  <c r="U47" i="43"/>
  <c r="AD67" i="43"/>
  <c r="AD16" i="43"/>
  <c r="U29" i="43"/>
  <c r="AD27" i="43"/>
  <c r="U24" i="43"/>
  <c r="U74" i="43"/>
  <c r="F8" i="43"/>
  <c r="AD53" i="43"/>
  <c r="AD66" i="43"/>
  <c r="AD36" i="43"/>
  <c r="U72" i="43"/>
  <c r="U56" i="43"/>
  <c r="AD23" i="43"/>
  <c r="AD25" i="43"/>
  <c r="U13" i="43"/>
  <c r="U71" i="43"/>
  <c r="AD33" i="43"/>
  <c r="U33" i="43"/>
  <c r="U48" i="43"/>
  <c r="AD49" i="43"/>
  <c r="U68" i="43"/>
  <c r="AD52" i="43"/>
  <c r="AD37" i="43"/>
  <c r="AD56" i="43"/>
  <c r="U69" i="43"/>
  <c r="U60" i="43"/>
  <c r="U54" i="43"/>
  <c r="K19" i="7"/>
  <c r="K7" i="7"/>
  <c r="N13" i="6" s="1"/>
  <c r="U70" i="50"/>
  <c r="U51" i="50"/>
  <c r="AD70" i="50"/>
  <c r="U76" i="50"/>
  <c r="U30" i="50"/>
  <c r="U48" i="50"/>
  <c r="AD48" i="50"/>
  <c r="U13" i="50"/>
  <c r="AD76" i="50"/>
  <c r="AD55" i="50"/>
  <c r="AD63" i="50"/>
  <c r="AD58" i="50"/>
  <c r="AD59" i="50"/>
  <c r="U36" i="50"/>
  <c r="U27" i="50"/>
  <c r="U37" i="50"/>
  <c r="AD71" i="50"/>
  <c r="AD40" i="50"/>
  <c r="AD44" i="50"/>
  <c r="AD57" i="50"/>
  <c r="U68" i="50"/>
  <c r="AD33" i="50"/>
  <c r="U52" i="50"/>
  <c r="AD32" i="50"/>
  <c r="AD15" i="50"/>
  <c r="U14" i="50"/>
  <c r="U56" i="50"/>
  <c r="AD69" i="50"/>
  <c r="AD45" i="50"/>
  <c r="AD47" i="50"/>
  <c r="U31" i="50"/>
  <c r="U67" i="50"/>
  <c r="AD62" i="50"/>
  <c r="AD56" i="50"/>
  <c r="U20" i="50"/>
  <c r="AD42" i="50"/>
  <c r="AD29" i="50"/>
  <c r="U23" i="50"/>
  <c r="AD73" i="50"/>
  <c r="AD37" i="50"/>
  <c r="AD24" i="50"/>
  <c r="AD74" i="50"/>
  <c r="AD31" i="50"/>
  <c r="AD54" i="50"/>
  <c r="AD38" i="50"/>
  <c r="U74" i="50"/>
  <c r="U59" i="50"/>
  <c r="AD53" i="50"/>
  <c r="AD13" i="50"/>
  <c r="AD28" i="50"/>
  <c r="U49" i="50"/>
  <c r="AD51" i="50"/>
  <c r="AD61" i="50"/>
  <c r="AD21" i="50"/>
  <c r="U57" i="50"/>
  <c r="U50" i="50"/>
  <c r="U55" i="50"/>
  <c r="AD36" i="50"/>
  <c r="U16" i="50"/>
  <c r="U53" i="50"/>
  <c r="AD25" i="50"/>
  <c r="AD20" i="50"/>
  <c r="U62" i="50"/>
  <c r="U73" i="50"/>
  <c r="U35" i="50"/>
  <c r="U47" i="50"/>
  <c r="U69" i="50"/>
  <c r="U72" i="50"/>
  <c r="AD35" i="50"/>
  <c r="AD23" i="50"/>
  <c r="AD46" i="50"/>
  <c r="U29" i="50"/>
  <c r="U26" i="50"/>
  <c r="AD34" i="50"/>
  <c r="U44" i="50"/>
  <c r="U61" i="50"/>
  <c r="U18" i="50"/>
  <c r="U21" i="50"/>
  <c r="U34" i="50"/>
  <c r="U42" i="50"/>
  <c r="U40" i="50"/>
  <c r="AD72" i="50"/>
  <c r="U19" i="50"/>
  <c r="AD19" i="50"/>
  <c r="U43" i="50"/>
  <c r="AD50" i="50"/>
  <c r="AD27" i="50"/>
  <c r="U33" i="50"/>
  <c r="U58" i="50"/>
  <c r="U38" i="50"/>
  <c r="AD14" i="50"/>
  <c r="U60" i="50"/>
  <c r="AD22" i="50"/>
  <c r="U22" i="50"/>
  <c r="U64" i="50"/>
  <c r="AD30" i="50"/>
  <c r="U24" i="50"/>
  <c r="AD18" i="50"/>
  <c r="U17" i="50"/>
  <c r="U28" i="50"/>
  <c r="AD75" i="50"/>
  <c r="U63" i="50"/>
  <c r="U66" i="50"/>
  <c r="U45" i="50"/>
  <c r="AD17" i="50"/>
  <c r="U25" i="50"/>
  <c r="AD41" i="50"/>
  <c r="U54" i="50"/>
  <c r="U65" i="50"/>
  <c r="AD49" i="50"/>
  <c r="U32" i="50"/>
  <c r="U12" i="50"/>
  <c r="AD12" i="50"/>
  <c r="AD16" i="50"/>
  <c r="AD66" i="50"/>
  <c r="AD65" i="50"/>
  <c r="AD26" i="50"/>
  <c r="U75" i="50"/>
  <c r="AD68" i="50"/>
  <c r="AD43" i="50"/>
  <c r="F8" i="50"/>
  <c r="AD39" i="50"/>
  <c r="U41" i="50"/>
  <c r="U11" i="50"/>
  <c r="U39" i="50"/>
  <c r="AD52" i="50"/>
  <c r="U71" i="50"/>
  <c r="AD64" i="50"/>
  <c r="U46" i="50"/>
  <c r="AD60" i="50"/>
  <c r="AD67" i="50"/>
  <c r="U15" i="50"/>
  <c r="AD11" i="50"/>
  <c r="V107" i="17" l="1"/>
  <c r="V110" i="17"/>
  <c r="V111" i="17"/>
  <c r="V109" i="17"/>
  <c r="V108" i="17"/>
  <c r="V112" i="17"/>
  <c r="V113" i="17"/>
  <c r="V114" i="17"/>
  <c r="V115" i="17"/>
  <c r="V116" i="17"/>
  <c r="V117" i="17"/>
  <c r="V118" i="17"/>
  <c r="V119" i="17"/>
  <c r="V120" i="17"/>
  <c r="V121" i="17"/>
  <c r="V122" i="17"/>
  <c r="V123" i="17"/>
  <c r="V124" i="17"/>
  <c r="V125" i="17"/>
  <c r="V126" i="17"/>
  <c r="V127" i="17"/>
  <c r="V128" i="17"/>
  <c r="V129" i="17"/>
  <c r="V130" i="17"/>
  <c r="AE107" i="44"/>
  <c r="AE108" i="44"/>
  <c r="AE109" i="44"/>
  <c r="AE110" i="44"/>
  <c r="AE111" i="44"/>
  <c r="AE112" i="44"/>
  <c r="AE113" i="44"/>
  <c r="AE114" i="44"/>
  <c r="AE115" i="44"/>
  <c r="AE116" i="44"/>
  <c r="AE117" i="44"/>
  <c r="AE118" i="44"/>
  <c r="AE119" i="44"/>
  <c r="AE120" i="44"/>
  <c r="AE121" i="44"/>
  <c r="AE122" i="44"/>
  <c r="AE123" i="44"/>
  <c r="AE124" i="44"/>
  <c r="AE125" i="44"/>
  <c r="AE126" i="44"/>
  <c r="AE127" i="44"/>
  <c r="AE128" i="44"/>
  <c r="AE129" i="44"/>
  <c r="AE130" i="44"/>
  <c r="V107" i="46"/>
  <c r="V108" i="46"/>
  <c r="V109" i="46"/>
  <c r="V110" i="46"/>
  <c r="V111" i="46"/>
  <c r="V112" i="46"/>
  <c r="V113" i="46"/>
  <c r="V114" i="46"/>
  <c r="V115" i="46"/>
  <c r="V116" i="46"/>
  <c r="V117" i="46"/>
  <c r="V118" i="46"/>
  <c r="V119" i="46"/>
  <c r="V120" i="46"/>
  <c r="V121" i="46"/>
  <c r="V122" i="46"/>
  <c r="V123" i="46"/>
  <c r="V124" i="46"/>
  <c r="V125" i="46"/>
  <c r="V126" i="46"/>
  <c r="V127" i="46"/>
  <c r="V128" i="46"/>
  <c r="V129" i="46"/>
  <c r="V130" i="46"/>
  <c r="AE107" i="45"/>
  <c r="AE108" i="45"/>
  <c r="AE109" i="45"/>
  <c r="AE110" i="45"/>
  <c r="AE111" i="45"/>
  <c r="AE112" i="45"/>
  <c r="AE113" i="45"/>
  <c r="AE114" i="45"/>
  <c r="AE115" i="45"/>
  <c r="AE116" i="45"/>
  <c r="AE117" i="45"/>
  <c r="AE118" i="45"/>
  <c r="AE119" i="45"/>
  <c r="AE120" i="45"/>
  <c r="AE121" i="45"/>
  <c r="AE122" i="45"/>
  <c r="AE123" i="45"/>
  <c r="AE124" i="45"/>
  <c r="AE125" i="45"/>
  <c r="AE126" i="45"/>
  <c r="AE127" i="45"/>
  <c r="AE128" i="45"/>
  <c r="AE129" i="45"/>
  <c r="AE130" i="45"/>
  <c r="V107" i="52"/>
  <c r="V108" i="52"/>
  <c r="V109" i="52"/>
  <c r="V110" i="52"/>
  <c r="V111" i="52"/>
  <c r="V112" i="52"/>
  <c r="V113" i="52"/>
  <c r="V114" i="52"/>
  <c r="V115" i="52"/>
  <c r="V116" i="52"/>
  <c r="V117" i="52"/>
  <c r="V118" i="52"/>
  <c r="V119" i="52"/>
  <c r="V120" i="52"/>
  <c r="V121" i="52"/>
  <c r="V122" i="52"/>
  <c r="V123" i="52"/>
  <c r="V124" i="52"/>
  <c r="V125" i="52"/>
  <c r="V126" i="52"/>
  <c r="V127" i="52"/>
  <c r="V128" i="52"/>
  <c r="V129" i="52"/>
  <c r="V130" i="52"/>
  <c r="AE107" i="50"/>
  <c r="AE108" i="50"/>
  <c r="AE109" i="50"/>
  <c r="AE110" i="50"/>
  <c r="AE111" i="50"/>
  <c r="AE112" i="50"/>
  <c r="AE113" i="50"/>
  <c r="AE114" i="50"/>
  <c r="AE115" i="50"/>
  <c r="AE116" i="50"/>
  <c r="AE117" i="50"/>
  <c r="AE118" i="50"/>
  <c r="AE119" i="50"/>
  <c r="AE120" i="50"/>
  <c r="AE121" i="50"/>
  <c r="AE122" i="50"/>
  <c r="AE123" i="50"/>
  <c r="AE124" i="50"/>
  <c r="AE125" i="50"/>
  <c r="AE126" i="50"/>
  <c r="AE127" i="50"/>
  <c r="AE128" i="50"/>
  <c r="AE129" i="50"/>
  <c r="AE130" i="50"/>
  <c r="V107" i="44"/>
  <c r="V108" i="44"/>
  <c r="V109" i="44"/>
  <c r="V110" i="44"/>
  <c r="V111" i="44"/>
  <c r="V112" i="44"/>
  <c r="V113" i="44"/>
  <c r="V114" i="44"/>
  <c r="V115" i="44"/>
  <c r="V116" i="44"/>
  <c r="V117" i="44"/>
  <c r="V118" i="44"/>
  <c r="V119" i="44"/>
  <c r="V120" i="44"/>
  <c r="V121" i="44"/>
  <c r="V122" i="44"/>
  <c r="V123" i="44"/>
  <c r="V124" i="44"/>
  <c r="V125" i="44"/>
  <c r="V126" i="44"/>
  <c r="V127" i="44"/>
  <c r="V128" i="44"/>
  <c r="V129" i="44"/>
  <c r="V130" i="44"/>
  <c r="AE107" i="46"/>
  <c r="AE108" i="46"/>
  <c r="AE109" i="46"/>
  <c r="AE110" i="46"/>
  <c r="AE111" i="46"/>
  <c r="AE112" i="46"/>
  <c r="AE113" i="46"/>
  <c r="AE114" i="46"/>
  <c r="AE115" i="46"/>
  <c r="AE116" i="46"/>
  <c r="AE117" i="46"/>
  <c r="AE118" i="46"/>
  <c r="AE119" i="46"/>
  <c r="AE120" i="46"/>
  <c r="AE121" i="46"/>
  <c r="AE122" i="46"/>
  <c r="AE123" i="46"/>
  <c r="AE124" i="46"/>
  <c r="AE125" i="46"/>
  <c r="AE126" i="46"/>
  <c r="AE127" i="46"/>
  <c r="AE128" i="46"/>
  <c r="AE129" i="46"/>
  <c r="AE130" i="46"/>
  <c r="V107" i="45"/>
  <c r="V108" i="45"/>
  <c r="V109" i="45"/>
  <c r="V110" i="45"/>
  <c r="V111" i="45"/>
  <c r="V112" i="45"/>
  <c r="V113" i="45"/>
  <c r="V114" i="45"/>
  <c r="V115" i="45"/>
  <c r="V116" i="45"/>
  <c r="V117" i="45"/>
  <c r="V118" i="45"/>
  <c r="V119" i="45"/>
  <c r="V120" i="45"/>
  <c r="V121" i="45"/>
  <c r="V122" i="45"/>
  <c r="V123" i="45"/>
  <c r="V124" i="45"/>
  <c r="V125" i="45"/>
  <c r="V126" i="45"/>
  <c r="V127" i="45"/>
  <c r="V128" i="45"/>
  <c r="V129" i="45"/>
  <c r="V130" i="45"/>
  <c r="AE107" i="52"/>
  <c r="AE108" i="52"/>
  <c r="AE109" i="52"/>
  <c r="AE110" i="52"/>
  <c r="AE111" i="52"/>
  <c r="AE112" i="52"/>
  <c r="AE113" i="52"/>
  <c r="AE114" i="52"/>
  <c r="AE115" i="52"/>
  <c r="AE116" i="52"/>
  <c r="AE117" i="52"/>
  <c r="AE118" i="52"/>
  <c r="AE119" i="52"/>
  <c r="AE120" i="52"/>
  <c r="AE121" i="52"/>
  <c r="AE122" i="52"/>
  <c r="AE123" i="52"/>
  <c r="AE124" i="52"/>
  <c r="AE125" i="52"/>
  <c r="AE126" i="52"/>
  <c r="AE127" i="52"/>
  <c r="AE128" i="52"/>
  <c r="AE129" i="52"/>
  <c r="AE130" i="52"/>
  <c r="AE107" i="43"/>
  <c r="AE108" i="43"/>
  <c r="AE109" i="43"/>
  <c r="AE110" i="43"/>
  <c r="AE111" i="43"/>
  <c r="AE112" i="43"/>
  <c r="AE113" i="43"/>
  <c r="AE114" i="43"/>
  <c r="AE115" i="43"/>
  <c r="AE116" i="43"/>
  <c r="AE117" i="43"/>
  <c r="AE118" i="43"/>
  <c r="AE119" i="43"/>
  <c r="AE120" i="43"/>
  <c r="AE121" i="43"/>
  <c r="AE122" i="43"/>
  <c r="AE123" i="43"/>
  <c r="AE124" i="43"/>
  <c r="AE125" i="43"/>
  <c r="AE126" i="43"/>
  <c r="AE127" i="43"/>
  <c r="AE128" i="43"/>
  <c r="AE129" i="43"/>
  <c r="AE130" i="43"/>
  <c r="AE107" i="17"/>
  <c r="AE110" i="17"/>
  <c r="AE111" i="17"/>
  <c r="AE112" i="17"/>
  <c r="AE108" i="17"/>
  <c r="AE109" i="17"/>
  <c r="AE113" i="17"/>
  <c r="AE114" i="17"/>
  <c r="AE115" i="17"/>
  <c r="AE116" i="17"/>
  <c r="AE117" i="17"/>
  <c r="AE118" i="17"/>
  <c r="AE119" i="17"/>
  <c r="AE120" i="17"/>
  <c r="AE121" i="17"/>
  <c r="AE122" i="17"/>
  <c r="AE123" i="17"/>
  <c r="AE124" i="17"/>
  <c r="AE125" i="17"/>
  <c r="AE126" i="17"/>
  <c r="AE127" i="17"/>
  <c r="AE128" i="17"/>
  <c r="AE129" i="17"/>
  <c r="AE130" i="17"/>
  <c r="V11" i="51"/>
  <c r="V107" i="51"/>
  <c r="V108" i="51"/>
  <c r="V109" i="51"/>
  <c r="V110" i="51"/>
  <c r="V111" i="51"/>
  <c r="V112" i="51"/>
  <c r="V113" i="51"/>
  <c r="V114" i="51"/>
  <c r="V115" i="51"/>
  <c r="V116" i="51"/>
  <c r="V117" i="51"/>
  <c r="V118" i="51"/>
  <c r="V119" i="51"/>
  <c r="V120" i="51"/>
  <c r="V121" i="51"/>
  <c r="V122" i="51"/>
  <c r="V123" i="51"/>
  <c r="V124" i="51"/>
  <c r="V125" i="51"/>
  <c r="V126" i="51"/>
  <c r="V127" i="51"/>
  <c r="V128" i="51"/>
  <c r="V129" i="51"/>
  <c r="V130" i="51"/>
  <c r="V107" i="50"/>
  <c r="V108" i="50"/>
  <c r="V109" i="50"/>
  <c r="V110" i="50"/>
  <c r="V111" i="50"/>
  <c r="V112" i="50"/>
  <c r="V113" i="50"/>
  <c r="V114" i="50"/>
  <c r="V115" i="50"/>
  <c r="V116" i="50"/>
  <c r="V117" i="50"/>
  <c r="V118" i="50"/>
  <c r="V119" i="50"/>
  <c r="V120" i="50"/>
  <c r="V121" i="50"/>
  <c r="V122" i="50"/>
  <c r="V123" i="50"/>
  <c r="V124" i="50"/>
  <c r="V125" i="50"/>
  <c r="V126" i="50"/>
  <c r="V127" i="50"/>
  <c r="V128" i="50"/>
  <c r="V129" i="50"/>
  <c r="V130" i="50"/>
  <c r="V107" i="43"/>
  <c r="V108" i="43"/>
  <c r="V109" i="43"/>
  <c r="V110" i="43"/>
  <c r="V111" i="43"/>
  <c r="V112" i="43"/>
  <c r="V113" i="43"/>
  <c r="V114" i="43"/>
  <c r="V115" i="43"/>
  <c r="V116" i="43"/>
  <c r="V117" i="43"/>
  <c r="V118" i="43"/>
  <c r="V119" i="43"/>
  <c r="V120" i="43"/>
  <c r="V121" i="43"/>
  <c r="V122" i="43"/>
  <c r="V123" i="43"/>
  <c r="V124" i="43"/>
  <c r="V125" i="43"/>
  <c r="V126" i="43"/>
  <c r="V127" i="43"/>
  <c r="V128" i="43"/>
  <c r="V129" i="43"/>
  <c r="V130" i="43"/>
  <c r="AE107" i="51"/>
  <c r="AE108" i="51"/>
  <c r="AE109" i="51"/>
  <c r="AE110" i="51"/>
  <c r="AE111" i="51"/>
  <c r="AE112" i="51"/>
  <c r="AE113" i="51"/>
  <c r="AE114" i="51"/>
  <c r="AE115" i="51"/>
  <c r="AE116" i="51"/>
  <c r="AE117" i="51"/>
  <c r="AE118" i="51"/>
  <c r="AE119" i="51"/>
  <c r="AE120" i="51"/>
  <c r="AE121" i="51"/>
  <c r="AE122" i="51"/>
  <c r="AE123" i="51"/>
  <c r="AE124" i="51"/>
  <c r="AE125" i="51"/>
  <c r="AE126" i="51"/>
  <c r="AE127" i="51"/>
  <c r="AE128" i="51"/>
  <c r="AE129" i="51"/>
  <c r="AE130" i="51"/>
  <c r="AE12" i="51"/>
  <c r="AE11" i="51"/>
  <c r="AE16" i="51"/>
  <c r="AE14" i="51"/>
  <c r="AE17" i="51"/>
  <c r="AE13" i="51"/>
  <c r="AE15" i="51"/>
  <c r="AE19" i="51"/>
  <c r="V15" i="51"/>
  <c r="V33" i="51"/>
  <c r="V37" i="51"/>
  <c r="V22" i="51"/>
  <c r="AE102" i="51"/>
  <c r="V17" i="51"/>
  <c r="AE38" i="51"/>
  <c r="V46" i="51"/>
  <c r="AE22" i="51"/>
  <c r="V94" i="51"/>
  <c r="AE70" i="51"/>
  <c r="V78" i="51"/>
  <c r="V30" i="51"/>
  <c r="V14" i="51"/>
  <c r="AE86" i="51"/>
  <c r="AE54" i="51"/>
  <c r="V62" i="51"/>
  <c r="V25" i="51"/>
  <c r="AE98" i="51"/>
  <c r="AE66" i="51"/>
  <c r="AE34" i="51"/>
  <c r="V90" i="51"/>
  <c r="V58" i="51"/>
  <c r="AE94" i="51"/>
  <c r="AE78" i="51"/>
  <c r="AE62" i="51"/>
  <c r="AE46" i="51"/>
  <c r="AE30" i="51"/>
  <c r="V102" i="51"/>
  <c r="V86" i="51"/>
  <c r="V70" i="51"/>
  <c r="V54" i="51"/>
  <c r="V38" i="51"/>
  <c r="V29" i="51"/>
  <c r="V21" i="51"/>
  <c r="V13" i="51"/>
  <c r="AE82" i="51"/>
  <c r="AE50" i="51"/>
  <c r="AE18" i="51"/>
  <c r="V106" i="51"/>
  <c r="V74" i="51"/>
  <c r="V42" i="51"/>
  <c r="AE106" i="51"/>
  <c r="AE90" i="51"/>
  <c r="AE74" i="51"/>
  <c r="AE58" i="51"/>
  <c r="AE42" i="51"/>
  <c r="AE26" i="51"/>
  <c r="V98" i="51"/>
  <c r="V82" i="51"/>
  <c r="V66" i="51"/>
  <c r="V50" i="51"/>
  <c r="V34" i="51"/>
  <c r="V26" i="51"/>
  <c r="V18" i="51"/>
  <c r="AE101" i="51"/>
  <c r="AE93" i="51"/>
  <c r="AE81" i="51"/>
  <c r="AE73" i="51"/>
  <c r="AE65" i="51"/>
  <c r="AE57" i="51"/>
  <c r="AE49" i="51"/>
  <c r="AE41" i="51"/>
  <c r="AE33" i="51"/>
  <c r="AE25" i="51"/>
  <c r="V101" i="51"/>
  <c r="V93" i="51"/>
  <c r="V85" i="51"/>
  <c r="V77" i="51"/>
  <c r="V69" i="51"/>
  <c r="V57" i="51"/>
  <c r="V49" i="51"/>
  <c r="V41" i="51"/>
  <c r="AE104" i="51"/>
  <c r="AE100" i="51"/>
  <c r="AE96" i="51"/>
  <c r="AE92" i="51"/>
  <c r="AE88" i="51"/>
  <c r="AE84" i="51"/>
  <c r="AE80" i="51"/>
  <c r="AE76" i="51"/>
  <c r="AE72" i="51"/>
  <c r="AE68" i="51"/>
  <c r="AE64" i="51"/>
  <c r="AE60" i="51"/>
  <c r="AE56" i="51"/>
  <c r="AE52" i="51"/>
  <c r="AE48" i="51"/>
  <c r="AE44" i="51"/>
  <c r="AE40" i="51"/>
  <c r="AE36" i="51"/>
  <c r="AE32" i="51"/>
  <c r="AE28" i="51"/>
  <c r="AE24" i="51"/>
  <c r="AE20" i="51"/>
  <c r="V104" i="51"/>
  <c r="V100" i="51"/>
  <c r="V96" i="51"/>
  <c r="V92" i="51"/>
  <c r="V88" i="51"/>
  <c r="V84" i="51"/>
  <c r="V80" i="51"/>
  <c r="V76" i="51"/>
  <c r="V72" i="51"/>
  <c r="V68" i="51"/>
  <c r="V64" i="51"/>
  <c r="V60" i="51"/>
  <c r="V56" i="51"/>
  <c r="V52" i="51"/>
  <c r="V48" i="51"/>
  <c r="V44" i="51"/>
  <c r="V40" i="51"/>
  <c r="V36" i="51"/>
  <c r="V32" i="51"/>
  <c r="V28" i="51"/>
  <c r="V24" i="51"/>
  <c r="V20" i="51"/>
  <c r="V16" i="51"/>
  <c r="V12" i="51"/>
  <c r="V11" i="52"/>
  <c r="V12" i="52"/>
  <c r="V13" i="52"/>
  <c r="V14" i="52"/>
  <c r="V15" i="52"/>
  <c r="V16" i="52"/>
  <c r="V17" i="52"/>
  <c r="V18" i="52"/>
  <c r="V19" i="52"/>
  <c r="V20" i="52"/>
  <c r="V21" i="52"/>
  <c r="V22" i="52"/>
  <c r="V23" i="52"/>
  <c r="V24" i="52"/>
  <c r="V25" i="52"/>
  <c r="V26" i="52"/>
  <c r="V27" i="52"/>
  <c r="V28" i="52"/>
  <c r="V29" i="52"/>
  <c r="V30" i="52"/>
  <c r="V31" i="52"/>
  <c r="V32" i="52"/>
  <c r="V33" i="52"/>
  <c r="V34" i="52"/>
  <c r="V35" i="52"/>
  <c r="V36" i="52"/>
  <c r="V37" i="52"/>
  <c r="V38" i="52"/>
  <c r="V39" i="52"/>
  <c r="V40" i="52"/>
  <c r="V41" i="52"/>
  <c r="V42" i="52"/>
  <c r="V43" i="52"/>
  <c r="V44" i="52"/>
  <c r="V45" i="52"/>
  <c r="V46" i="52"/>
  <c r="V47" i="52"/>
  <c r="V48" i="52"/>
  <c r="V49" i="52"/>
  <c r="V50" i="52"/>
  <c r="V51" i="52"/>
  <c r="V52" i="52"/>
  <c r="V53" i="52"/>
  <c r="V54" i="52"/>
  <c r="V55" i="52"/>
  <c r="V56" i="52"/>
  <c r="V57" i="52"/>
  <c r="V58" i="52"/>
  <c r="V59" i="52"/>
  <c r="V60" i="52"/>
  <c r="V61" i="52"/>
  <c r="V62" i="52"/>
  <c r="V63" i="52"/>
  <c r="V64" i="52"/>
  <c r="V65" i="52"/>
  <c r="V66" i="52"/>
  <c r="V67" i="52"/>
  <c r="V68" i="52"/>
  <c r="V69" i="52"/>
  <c r="V70" i="52"/>
  <c r="V71" i="52"/>
  <c r="V72" i="52"/>
  <c r="V73" i="52"/>
  <c r="V74" i="52"/>
  <c r="V75" i="52"/>
  <c r="V76" i="52"/>
  <c r="V77" i="52"/>
  <c r="V78" i="52"/>
  <c r="V79" i="52"/>
  <c r="V80" i="52"/>
  <c r="V81" i="52"/>
  <c r="V82" i="52"/>
  <c r="V83" i="52"/>
  <c r="V84" i="52"/>
  <c r="V85" i="52"/>
  <c r="V86" i="52"/>
  <c r="V87" i="52"/>
  <c r="V88" i="52"/>
  <c r="V89" i="52"/>
  <c r="V90" i="52"/>
  <c r="V91" i="52"/>
  <c r="V92" i="52"/>
  <c r="V93" i="52"/>
  <c r="V94" i="52"/>
  <c r="V95" i="52"/>
  <c r="V96" i="52"/>
  <c r="V97" i="52"/>
  <c r="V98" i="52"/>
  <c r="V99" i="52"/>
  <c r="V100" i="52"/>
  <c r="V101" i="52"/>
  <c r="V102" i="52"/>
  <c r="V103" i="52"/>
  <c r="V104" i="52"/>
  <c r="V105" i="52"/>
  <c r="V106" i="52"/>
  <c r="AE105" i="51"/>
  <c r="AE97" i="51"/>
  <c r="AE89" i="51"/>
  <c r="AE85" i="51"/>
  <c r="AE77" i="51"/>
  <c r="AE69" i="51"/>
  <c r="AE61" i="51"/>
  <c r="AE53" i="51"/>
  <c r="AE45" i="51"/>
  <c r="AE37" i="51"/>
  <c r="AE29" i="51"/>
  <c r="AE21" i="51"/>
  <c r="V105" i="51"/>
  <c r="V97" i="51"/>
  <c r="V89" i="51"/>
  <c r="V81" i="51"/>
  <c r="V73" i="51"/>
  <c r="V65" i="51"/>
  <c r="V61" i="51"/>
  <c r="V53" i="51"/>
  <c r="V45" i="51"/>
  <c r="AE103" i="51"/>
  <c r="AE99" i="51"/>
  <c r="AE95" i="51"/>
  <c r="AE91" i="51"/>
  <c r="AE87" i="51"/>
  <c r="AE83" i="51"/>
  <c r="AE79" i="51"/>
  <c r="AE75" i="51"/>
  <c r="AE71" i="51"/>
  <c r="AE67" i="51"/>
  <c r="AE63" i="51"/>
  <c r="AE59" i="51"/>
  <c r="AE55" i="51"/>
  <c r="AE51" i="51"/>
  <c r="AE47" i="51"/>
  <c r="AE43" i="51"/>
  <c r="AE39" i="51"/>
  <c r="AE35" i="51"/>
  <c r="AE31" i="51"/>
  <c r="AE27" i="51"/>
  <c r="AE23" i="51"/>
  <c r="V103" i="51"/>
  <c r="V99" i="51"/>
  <c r="V95" i="51"/>
  <c r="V91" i="51"/>
  <c r="V87" i="51"/>
  <c r="V83" i="51"/>
  <c r="V79" i="51"/>
  <c r="V75" i="51"/>
  <c r="V71" i="51"/>
  <c r="V67" i="51"/>
  <c r="V63" i="51"/>
  <c r="V59" i="51"/>
  <c r="V55" i="51"/>
  <c r="V51" i="51"/>
  <c r="V47" i="51"/>
  <c r="V43" i="51"/>
  <c r="V39" i="51"/>
  <c r="V35" i="51"/>
  <c r="V31" i="51"/>
  <c r="V27" i="51"/>
  <c r="V23" i="51"/>
  <c r="V19" i="51"/>
  <c r="AE11" i="52"/>
  <c r="AE12" i="52"/>
  <c r="AE13" i="52"/>
  <c r="AE14" i="52"/>
  <c r="AE15" i="52"/>
  <c r="AE16" i="52"/>
  <c r="AE17" i="52"/>
  <c r="AE18" i="52"/>
  <c r="AE19" i="52"/>
  <c r="AE20" i="52"/>
  <c r="AE21" i="52"/>
  <c r="AE22" i="52"/>
  <c r="AE23" i="52"/>
  <c r="AE24" i="52"/>
  <c r="AE25" i="52"/>
  <c r="AE26" i="52"/>
  <c r="AE27" i="52"/>
  <c r="AE28" i="52"/>
  <c r="AE29" i="52"/>
  <c r="AE30" i="52"/>
  <c r="AE31" i="52"/>
  <c r="AE32" i="52"/>
  <c r="AE33" i="52"/>
  <c r="AE34" i="52"/>
  <c r="AE35" i="52"/>
  <c r="AE36" i="52"/>
  <c r="AE37" i="52"/>
  <c r="AE38" i="52"/>
  <c r="AE39" i="52"/>
  <c r="AE40" i="52"/>
  <c r="AE41" i="52"/>
  <c r="AE42" i="52"/>
  <c r="AE43" i="52"/>
  <c r="AE44" i="52"/>
  <c r="AE45" i="52"/>
  <c r="AE46" i="52"/>
  <c r="AE47" i="52"/>
  <c r="AE48" i="52"/>
  <c r="AE49" i="52"/>
  <c r="AE50" i="52"/>
  <c r="AE51" i="52"/>
  <c r="AE52" i="52"/>
  <c r="AE53" i="52"/>
  <c r="AE54" i="52"/>
  <c r="AE55" i="52"/>
  <c r="AE56" i="52"/>
  <c r="AE57" i="52"/>
  <c r="AE58" i="52"/>
  <c r="AE59" i="52"/>
  <c r="AE60" i="52"/>
  <c r="AE61" i="52"/>
  <c r="AE62" i="52"/>
  <c r="AE63" i="52"/>
  <c r="AE64" i="52"/>
  <c r="AE65" i="52"/>
  <c r="AE66" i="52"/>
  <c r="AE67" i="52"/>
  <c r="AE68" i="52"/>
  <c r="AE69" i="52"/>
  <c r="AE70" i="52"/>
  <c r="AE71" i="52"/>
  <c r="AE72" i="52"/>
  <c r="AE73" i="52"/>
  <c r="AE74" i="52"/>
  <c r="AE75" i="52"/>
  <c r="AE76" i="52"/>
  <c r="AE77" i="52"/>
  <c r="AE78" i="52"/>
  <c r="AE79" i="52"/>
  <c r="AE80" i="52"/>
  <c r="AE81" i="52"/>
  <c r="AE82" i="52"/>
  <c r="AE83" i="52"/>
  <c r="AE84" i="52"/>
  <c r="AE85" i="52"/>
  <c r="AE86" i="52"/>
  <c r="AE87" i="52"/>
  <c r="AE88" i="52"/>
  <c r="AE89" i="52"/>
  <c r="AE90" i="52"/>
  <c r="AE91" i="52"/>
  <c r="AE92" i="52"/>
  <c r="AE93" i="52"/>
  <c r="AE94" i="52"/>
  <c r="AE95" i="52"/>
  <c r="AE96" i="52"/>
  <c r="AE97" i="52"/>
  <c r="AE98" i="52"/>
  <c r="AE99" i="52"/>
  <c r="AE100" i="52"/>
  <c r="AE101" i="52"/>
  <c r="AE102" i="52"/>
  <c r="AE103" i="52"/>
  <c r="AE104" i="52"/>
  <c r="AE105" i="52"/>
  <c r="AE106" i="52"/>
  <c r="AE104" i="43"/>
  <c r="AE98" i="43"/>
  <c r="AE89" i="43"/>
  <c r="AE87" i="43"/>
  <c r="AE81" i="43"/>
  <c r="AE80" i="43"/>
  <c r="AE77" i="43"/>
  <c r="AE88" i="43"/>
  <c r="AE92" i="43"/>
  <c r="AE100" i="43"/>
  <c r="AE83" i="43"/>
  <c r="AE85" i="43"/>
  <c r="AE79" i="43"/>
  <c r="AE105" i="43"/>
  <c r="AE103" i="43"/>
  <c r="AE97" i="43"/>
  <c r="AE96" i="43"/>
  <c r="AE106" i="43"/>
  <c r="AE91" i="43"/>
  <c r="AE101" i="43"/>
  <c r="AE95" i="43"/>
  <c r="AE86" i="43"/>
  <c r="AE84" i="43"/>
  <c r="AE78" i="43"/>
  <c r="AE90" i="43"/>
  <c r="AE99" i="43"/>
  <c r="AE82" i="43"/>
  <c r="AE102" i="43"/>
  <c r="AE94" i="43"/>
  <c r="AE93" i="43"/>
  <c r="AE77" i="17"/>
  <c r="AE105" i="17"/>
  <c r="AE96" i="17"/>
  <c r="AE102" i="17"/>
  <c r="AE86" i="17"/>
  <c r="AE104" i="17"/>
  <c r="AE99" i="17"/>
  <c r="AE97" i="17"/>
  <c r="AE106" i="17"/>
  <c r="AE92" i="17"/>
  <c r="AE78" i="17"/>
  <c r="AE87" i="17"/>
  <c r="AE91" i="17"/>
  <c r="AE103" i="17"/>
  <c r="AE98" i="17"/>
  <c r="AE101" i="17"/>
  <c r="AE90" i="17"/>
  <c r="AE89" i="17"/>
  <c r="AE83" i="17"/>
  <c r="AE82" i="17"/>
  <c r="AE88" i="17"/>
  <c r="AE93" i="17"/>
  <c r="AE84" i="17"/>
  <c r="AE81" i="17"/>
  <c r="AE79" i="17"/>
  <c r="AE80" i="17"/>
  <c r="AE94" i="17"/>
  <c r="AE100" i="17"/>
  <c r="AE85" i="17"/>
  <c r="AE95" i="17"/>
  <c r="V77" i="50"/>
  <c r="V81" i="50"/>
  <c r="V85" i="50"/>
  <c r="V89" i="50"/>
  <c r="V93" i="50"/>
  <c r="V97" i="50"/>
  <c r="V101" i="50"/>
  <c r="V105" i="50"/>
  <c r="V79" i="50"/>
  <c r="V83" i="50"/>
  <c r="V87" i="50"/>
  <c r="V91" i="50"/>
  <c r="V95" i="50"/>
  <c r="V99" i="50"/>
  <c r="V103" i="50"/>
  <c r="V78" i="50"/>
  <c r="V86" i="50"/>
  <c r="V94" i="50"/>
  <c r="V102" i="50"/>
  <c r="V80" i="50"/>
  <c r="V88" i="50"/>
  <c r="V96" i="50"/>
  <c r="V104" i="50"/>
  <c r="V82" i="50"/>
  <c r="V90" i="50"/>
  <c r="V98" i="50"/>
  <c r="V106" i="50"/>
  <c r="V84" i="50"/>
  <c r="V92" i="50"/>
  <c r="V100" i="50"/>
  <c r="V104" i="43"/>
  <c r="V98" i="43"/>
  <c r="V89" i="43"/>
  <c r="V87" i="43"/>
  <c r="V81" i="43"/>
  <c r="V99" i="43"/>
  <c r="V90" i="43"/>
  <c r="V82" i="43"/>
  <c r="V102" i="43"/>
  <c r="V94" i="43"/>
  <c r="V106" i="43"/>
  <c r="V85" i="43"/>
  <c r="V79" i="43"/>
  <c r="V105" i="43"/>
  <c r="V103" i="43"/>
  <c r="V97" i="43"/>
  <c r="V93" i="43"/>
  <c r="V83" i="43"/>
  <c r="V91" i="43"/>
  <c r="V101" i="43"/>
  <c r="V95" i="43"/>
  <c r="V86" i="43"/>
  <c r="V84" i="43"/>
  <c r="V78" i="43"/>
  <c r="V80" i="43"/>
  <c r="V77" i="43"/>
  <c r="V88" i="43"/>
  <c r="V92" i="43"/>
  <c r="V100" i="43"/>
  <c r="V96" i="43"/>
  <c r="AE79" i="50"/>
  <c r="AE83" i="50"/>
  <c r="AE77" i="50"/>
  <c r="AE82" i="50"/>
  <c r="AE87" i="50"/>
  <c r="AE91" i="50"/>
  <c r="AE95" i="50"/>
  <c r="AE99" i="50"/>
  <c r="AE103" i="50"/>
  <c r="AE81" i="50"/>
  <c r="AE90" i="50"/>
  <c r="AE98" i="50"/>
  <c r="AE106" i="50"/>
  <c r="AE78" i="50"/>
  <c r="AE84" i="50"/>
  <c r="AE88" i="50"/>
  <c r="AE92" i="50"/>
  <c r="AE96" i="50"/>
  <c r="AE100" i="50"/>
  <c r="AE104" i="50"/>
  <c r="AE80" i="50"/>
  <c r="AE85" i="50"/>
  <c r="AE89" i="50"/>
  <c r="AE93" i="50"/>
  <c r="AE97" i="50"/>
  <c r="AE101" i="50"/>
  <c r="AE105" i="50"/>
  <c r="AE86" i="50"/>
  <c r="AE94" i="50"/>
  <c r="AE102" i="50"/>
  <c r="V100" i="17"/>
  <c r="V80" i="17"/>
  <c r="V103" i="17"/>
  <c r="V92" i="17"/>
  <c r="V88" i="17"/>
  <c r="V82" i="17"/>
  <c r="V105" i="17"/>
  <c r="V101" i="17"/>
  <c r="V83" i="17"/>
  <c r="V93" i="17"/>
  <c r="V79" i="17"/>
  <c r="V78" i="17"/>
  <c r="V94" i="17"/>
  <c r="V85" i="17"/>
  <c r="V99" i="17"/>
  <c r="V96" i="17"/>
  <c r="V97" i="17"/>
  <c r="V95" i="17"/>
  <c r="V86" i="17"/>
  <c r="V106" i="17"/>
  <c r="V81" i="17"/>
  <c r="V90" i="17"/>
  <c r="V98" i="17"/>
  <c r="V102" i="17"/>
  <c r="V87" i="17"/>
  <c r="V91" i="17"/>
  <c r="V77" i="17"/>
  <c r="V89" i="17"/>
  <c r="V84" i="17"/>
  <c r="V104" i="17"/>
  <c r="AE78" i="44"/>
  <c r="AE105" i="44"/>
  <c r="AE98" i="44"/>
  <c r="AE93" i="44"/>
  <c r="AE106" i="44"/>
  <c r="AE89" i="44"/>
  <c r="AE86" i="44"/>
  <c r="AE103" i="44"/>
  <c r="AE92" i="44"/>
  <c r="AE85" i="44"/>
  <c r="AE87" i="44"/>
  <c r="AE99" i="44"/>
  <c r="AE104" i="44"/>
  <c r="AE97" i="44"/>
  <c r="AE101" i="44"/>
  <c r="AE91" i="44"/>
  <c r="AE96" i="44"/>
  <c r="AE100" i="44"/>
  <c r="AE84" i="44"/>
  <c r="AE82" i="44"/>
  <c r="AE90" i="44"/>
  <c r="AE77" i="44"/>
  <c r="AE94" i="44"/>
  <c r="AE80" i="44"/>
  <c r="AE88" i="44"/>
  <c r="AE95" i="44"/>
  <c r="AE79" i="44"/>
  <c r="AE81" i="44"/>
  <c r="AE83" i="44"/>
  <c r="AE102" i="44"/>
  <c r="V93" i="46"/>
  <c r="V86" i="46"/>
  <c r="V79" i="46"/>
  <c r="V82" i="46"/>
  <c r="V105" i="46"/>
  <c r="V78" i="46"/>
  <c r="V96" i="46"/>
  <c r="V92" i="46"/>
  <c r="V97" i="46"/>
  <c r="V84" i="46"/>
  <c r="V90" i="46"/>
  <c r="V80" i="46"/>
  <c r="V88" i="46"/>
  <c r="V95" i="46"/>
  <c r="V87" i="46"/>
  <c r="V104" i="46"/>
  <c r="V85" i="46"/>
  <c r="V102" i="46"/>
  <c r="V91" i="46"/>
  <c r="V106" i="46"/>
  <c r="V100" i="46"/>
  <c r="V81" i="46"/>
  <c r="V103" i="46"/>
  <c r="V98" i="46"/>
  <c r="V101" i="46"/>
  <c r="V99" i="46"/>
  <c r="V77" i="46"/>
  <c r="V94" i="46"/>
  <c r="V89" i="46"/>
  <c r="V83" i="46"/>
  <c r="AE91" i="45"/>
  <c r="AE96" i="45"/>
  <c r="AE101" i="45"/>
  <c r="AE95" i="45"/>
  <c r="AE78" i="45"/>
  <c r="AE86" i="45"/>
  <c r="AE89" i="45"/>
  <c r="AE88" i="45"/>
  <c r="AE79" i="45"/>
  <c r="AE99" i="45"/>
  <c r="AE94" i="45"/>
  <c r="AE77" i="45"/>
  <c r="AE90" i="45"/>
  <c r="AE92" i="45"/>
  <c r="AE81" i="45"/>
  <c r="AE104" i="45"/>
  <c r="AE106" i="45"/>
  <c r="AE105" i="45"/>
  <c r="AE82" i="45"/>
  <c r="AE93" i="45"/>
  <c r="AE83" i="45"/>
  <c r="AE80" i="45"/>
  <c r="AE97" i="45"/>
  <c r="AE98" i="45"/>
  <c r="AE87" i="45"/>
  <c r="AE100" i="45"/>
  <c r="AE102" i="45"/>
  <c r="AE85" i="45"/>
  <c r="AE84" i="45"/>
  <c r="AE103" i="45"/>
  <c r="V93" i="44"/>
  <c r="V79" i="44"/>
  <c r="V84" i="44"/>
  <c r="V87" i="44"/>
  <c r="V100" i="44"/>
  <c r="V85" i="44"/>
  <c r="V106" i="44"/>
  <c r="V91" i="44"/>
  <c r="V96" i="44"/>
  <c r="V81" i="44"/>
  <c r="V104" i="44"/>
  <c r="V89" i="44"/>
  <c r="V88" i="44"/>
  <c r="V83" i="44"/>
  <c r="V86" i="44"/>
  <c r="V95" i="44"/>
  <c r="V103" i="44"/>
  <c r="V101" i="44"/>
  <c r="V77" i="44"/>
  <c r="V97" i="44"/>
  <c r="V105" i="44"/>
  <c r="V92" i="44"/>
  <c r="V102" i="44"/>
  <c r="V78" i="44"/>
  <c r="V94" i="44"/>
  <c r="V99" i="44"/>
  <c r="V90" i="44"/>
  <c r="V98" i="44"/>
  <c r="V82" i="44"/>
  <c r="V80" i="44"/>
  <c r="AE91" i="46"/>
  <c r="AE94" i="46"/>
  <c r="AE99" i="46"/>
  <c r="AE77" i="46"/>
  <c r="AE96" i="46"/>
  <c r="AE103" i="46"/>
  <c r="AE86" i="46"/>
  <c r="AE98" i="46"/>
  <c r="AE92" i="46"/>
  <c r="AE95" i="46"/>
  <c r="AE87" i="46"/>
  <c r="AE104" i="46"/>
  <c r="AE89" i="46"/>
  <c r="AE88" i="46"/>
  <c r="AE97" i="46"/>
  <c r="AE93" i="46"/>
  <c r="AE90" i="46"/>
  <c r="AE85" i="46"/>
  <c r="AE80" i="46"/>
  <c r="AE78" i="46"/>
  <c r="AE105" i="46"/>
  <c r="AE82" i="46"/>
  <c r="AE79" i="46"/>
  <c r="AE100" i="46"/>
  <c r="AE81" i="46"/>
  <c r="AE101" i="46"/>
  <c r="AE106" i="46"/>
  <c r="AE83" i="46"/>
  <c r="AE102" i="46"/>
  <c r="AE84" i="46"/>
  <c r="V92" i="45"/>
  <c r="V85" i="45"/>
  <c r="V105" i="45"/>
  <c r="V99" i="45"/>
  <c r="V104" i="45"/>
  <c r="V77" i="45"/>
  <c r="V84" i="45"/>
  <c r="V87" i="45"/>
  <c r="V88" i="45"/>
  <c r="V81" i="45"/>
  <c r="V79" i="45"/>
  <c r="V98" i="45"/>
  <c r="V93" i="45"/>
  <c r="V90" i="45"/>
  <c r="V103" i="45"/>
  <c r="V101" i="45"/>
  <c r="V100" i="45"/>
  <c r="V78" i="45"/>
  <c r="V97" i="45"/>
  <c r="V80" i="45"/>
  <c r="V82" i="45"/>
  <c r="V106" i="45"/>
  <c r="V89" i="45"/>
  <c r="V102" i="45"/>
  <c r="V86" i="45"/>
  <c r="V94" i="45"/>
  <c r="V91" i="45"/>
  <c r="V96" i="45"/>
  <c r="V83" i="45"/>
  <c r="V95" i="45"/>
  <c r="V24" i="50"/>
  <c r="V23" i="50"/>
  <c r="V76" i="50"/>
  <c r="V56" i="50"/>
  <c r="V30" i="50"/>
  <c r="V64" i="50"/>
  <c r="V65" i="50"/>
  <c r="V26" i="50"/>
  <c r="V17" i="50"/>
  <c r="V73" i="50"/>
  <c r="V69" i="50"/>
  <c r="V61" i="50"/>
  <c r="V55" i="50"/>
  <c r="V29" i="50"/>
  <c r="V71" i="50"/>
  <c r="V13" i="50"/>
  <c r="V25" i="50"/>
  <c r="V22" i="50"/>
  <c r="V16" i="50"/>
  <c r="V68" i="50"/>
  <c r="V15" i="50"/>
  <c r="V33" i="50"/>
  <c r="V38" i="50"/>
  <c r="V43" i="50"/>
  <c r="V27" i="50"/>
  <c r="V60" i="50"/>
  <c r="V66" i="50"/>
  <c r="V47" i="50"/>
  <c r="V51" i="50"/>
  <c r="V49" i="50"/>
  <c r="V31" i="50"/>
  <c r="V32" i="50"/>
  <c r="V39" i="50"/>
  <c r="V52" i="50"/>
  <c r="V19" i="50"/>
  <c r="V21" i="50"/>
  <c r="V54" i="50"/>
  <c r="V57" i="50"/>
  <c r="V75" i="50"/>
  <c r="V70" i="50"/>
  <c r="V74" i="50"/>
  <c r="V42" i="50"/>
  <c r="V53" i="50"/>
  <c r="V36" i="50"/>
  <c r="V14" i="50"/>
  <c r="V34" i="50"/>
  <c r="V72" i="50"/>
  <c r="V63" i="50"/>
  <c r="V12" i="50"/>
  <c r="V18" i="50"/>
  <c r="V41" i="50"/>
  <c r="V67" i="50"/>
  <c r="V62" i="50"/>
  <c r="V58" i="50"/>
  <c r="V50" i="50"/>
  <c r="V45" i="50"/>
  <c r="V28" i="50"/>
  <c r="V40" i="50"/>
  <c r="V44" i="50"/>
  <c r="V35" i="50"/>
  <c r="V20" i="50"/>
  <c r="V46" i="50"/>
  <c r="V37" i="50"/>
  <c r="V59" i="50"/>
  <c r="V48" i="50"/>
  <c r="V11" i="50"/>
  <c r="AE25" i="43"/>
  <c r="AE64" i="43"/>
  <c r="AE54" i="43"/>
  <c r="AE27" i="43"/>
  <c r="AE59" i="43"/>
  <c r="AE29" i="43"/>
  <c r="AE28" i="43"/>
  <c r="AE69" i="43"/>
  <c r="AE19" i="43"/>
  <c r="AE40" i="43"/>
  <c r="AE33" i="43"/>
  <c r="AE56" i="43"/>
  <c r="AE68" i="43"/>
  <c r="AE65" i="43"/>
  <c r="AE30" i="43"/>
  <c r="AE72" i="43"/>
  <c r="AE57" i="43"/>
  <c r="AE13" i="43"/>
  <c r="AE74" i="43"/>
  <c r="AE46" i="43"/>
  <c r="AE17" i="43"/>
  <c r="AE53" i="43"/>
  <c r="AE49" i="43"/>
  <c r="AE42" i="43"/>
  <c r="AE55" i="43"/>
  <c r="AE71" i="43"/>
  <c r="AE26" i="43"/>
  <c r="AE70" i="43"/>
  <c r="AE41" i="43"/>
  <c r="AE22" i="43"/>
  <c r="AE75" i="43"/>
  <c r="AE34" i="43"/>
  <c r="AE48" i="43"/>
  <c r="AE62" i="43"/>
  <c r="AE45" i="43"/>
  <c r="AE47" i="43"/>
  <c r="AE24" i="43"/>
  <c r="AE44" i="43"/>
  <c r="AE58" i="43"/>
  <c r="AE51" i="43"/>
  <c r="AE20" i="43"/>
  <c r="AE18" i="43"/>
  <c r="AE32" i="43"/>
  <c r="AE37" i="43"/>
  <c r="AE50" i="43"/>
  <c r="AE63" i="43"/>
  <c r="AE21" i="43"/>
  <c r="AE61" i="43"/>
  <c r="AE73" i="43"/>
  <c r="AE52" i="43"/>
  <c r="AE35" i="43"/>
  <c r="AE76" i="43"/>
  <c r="AE67" i="43"/>
  <c r="AE14" i="43"/>
  <c r="AE39" i="43"/>
  <c r="AE15" i="43"/>
  <c r="AE43" i="43"/>
  <c r="AE11" i="43"/>
  <c r="AE31" i="43"/>
  <c r="AE60" i="43"/>
  <c r="AE16" i="43"/>
  <c r="AE38" i="43"/>
  <c r="AE12" i="43"/>
  <c r="AE66" i="43"/>
  <c r="AE36" i="43"/>
  <c r="AE23" i="43"/>
  <c r="AE28" i="17"/>
  <c r="AE53" i="17"/>
  <c r="AE24" i="17"/>
  <c r="AE40" i="17"/>
  <c r="AE23" i="17"/>
  <c r="AE67" i="17"/>
  <c r="AE58" i="17"/>
  <c r="AE71" i="17"/>
  <c r="AE57" i="17"/>
  <c r="AE75" i="17"/>
  <c r="AE14" i="17"/>
  <c r="AE61" i="17"/>
  <c r="AE27" i="17"/>
  <c r="AE13" i="17"/>
  <c r="AE26" i="17"/>
  <c r="AE52" i="17"/>
  <c r="AE32" i="17"/>
  <c r="AE59" i="17"/>
  <c r="AE60" i="17"/>
  <c r="AE22" i="17"/>
  <c r="AE30" i="17"/>
  <c r="AE17" i="17"/>
  <c r="AE15" i="17"/>
  <c r="AE42" i="17"/>
  <c r="AE72" i="17"/>
  <c r="AE65" i="17"/>
  <c r="AE55" i="17"/>
  <c r="AE46" i="17"/>
  <c r="AE63" i="17"/>
  <c r="AE18" i="17"/>
  <c r="AE34" i="17"/>
  <c r="AE50" i="17"/>
  <c r="AE36" i="17"/>
  <c r="AE25" i="17"/>
  <c r="AE29" i="17"/>
  <c r="AE41" i="17"/>
  <c r="AE69" i="17"/>
  <c r="AE31" i="17"/>
  <c r="AE21" i="17"/>
  <c r="AE12" i="17"/>
  <c r="AE43" i="17"/>
  <c r="AE39" i="17"/>
  <c r="AE56" i="17"/>
  <c r="AE76" i="17"/>
  <c r="AE64" i="17"/>
  <c r="AE62" i="17"/>
  <c r="AE51" i="17"/>
  <c r="AE48" i="17"/>
  <c r="AE16" i="17"/>
  <c r="AE74" i="17"/>
  <c r="AE35" i="17"/>
  <c r="AE66" i="17"/>
  <c r="AE44" i="17"/>
  <c r="AE11" i="17"/>
  <c r="AE70" i="17"/>
  <c r="AE19" i="17"/>
  <c r="AE73" i="17"/>
  <c r="AE37" i="17"/>
  <c r="AE33" i="17"/>
  <c r="AE49" i="17"/>
  <c r="AE38" i="17"/>
  <c r="AE20" i="17"/>
  <c r="AE45" i="17"/>
  <c r="AE68" i="17"/>
  <c r="AE47" i="17"/>
  <c r="AE54" i="17"/>
  <c r="AE13" i="50"/>
  <c r="AE12" i="50"/>
  <c r="AE59" i="50"/>
  <c r="AE38" i="50"/>
  <c r="AE41" i="50"/>
  <c r="AE75" i="50"/>
  <c r="AE56" i="50"/>
  <c r="AE26" i="50"/>
  <c r="AE21" i="50"/>
  <c r="AE42" i="50"/>
  <c r="AE24" i="50"/>
  <c r="AE54" i="50"/>
  <c r="AE44" i="50"/>
  <c r="AE36" i="50"/>
  <c r="AE28" i="50"/>
  <c r="AE32" i="50"/>
  <c r="AE37" i="50"/>
  <c r="AE52" i="50"/>
  <c r="AE19" i="50"/>
  <c r="AE23" i="50"/>
  <c r="AE53" i="50"/>
  <c r="AE22" i="50"/>
  <c r="AE71" i="50"/>
  <c r="AE49" i="50"/>
  <c r="AE55" i="50"/>
  <c r="AE34" i="50"/>
  <c r="AE60" i="50"/>
  <c r="AE58" i="50"/>
  <c r="AE43" i="50"/>
  <c r="AE17" i="50"/>
  <c r="AE66" i="50"/>
  <c r="AE65" i="50"/>
  <c r="AE57" i="50"/>
  <c r="AE48" i="50"/>
  <c r="AE14" i="50"/>
  <c r="AE51" i="50"/>
  <c r="AE45" i="50"/>
  <c r="AE69" i="50"/>
  <c r="AE16" i="50"/>
  <c r="AE63" i="50"/>
  <c r="AE40" i="50"/>
  <c r="AE74" i="50"/>
  <c r="AE27" i="50"/>
  <c r="AE47" i="50"/>
  <c r="AE72" i="50"/>
  <c r="AE68" i="50"/>
  <c r="AE62" i="50"/>
  <c r="AE35" i="50"/>
  <c r="AE46" i="50"/>
  <c r="AE73" i="50"/>
  <c r="AE39" i="50"/>
  <c r="AE18" i="50"/>
  <c r="AE61" i="50"/>
  <c r="AE11" i="50"/>
  <c r="AE30" i="50"/>
  <c r="AE33" i="50"/>
  <c r="AE20" i="50"/>
  <c r="AE64" i="50"/>
  <c r="AE70" i="50"/>
  <c r="AE76" i="50"/>
  <c r="AE29" i="50"/>
  <c r="AE15" i="50"/>
  <c r="AE25" i="50"/>
  <c r="AE67" i="50"/>
  <c r="AE50" i="50"/>
  <c r="AE31" i="50"/>
  <c r="V37" i="43"/>
  <c r="V12" i="43"/>
  <c r="V55" i="43"/>
  <c r="V53" i="43"/>
  <c r="V44" i="43"/>
  <c r="V74" i="43"/>
  <c r="V41" i="43"/>
  <c r="V48" i="43"/>
  <c r="V72" i="43"/>
  <c r="V34" i="43"/>
  <c r="V56" i="43"/>
  <c r="V51" i="43"/>
  <c r="V60" i="43"/>
  <c r="V29" i="43"/>
  <c r="V61" i="43"/>
  <c r="V38" i="43"/>
  <c r="V14" i="43"/>
  <c r="V66" i="43"/>
  <c r="V57" i="43"/>
  <c r="V43" i="43"/>
  <c r="V24" i="43"/>
  <c r="V35" i="43"/>
  <c r="V40" i="43"/>
  <c r="V45" i="43"/>
  <c r="V73" i="43"/>
  <c r="V47" i="43"/>
  <c r="V32" i="43"/>
  <c r="V49" i="43"/>
  <c r="V58" i="43"/>
  <c r="V52" i="43"/>
  <c r="V28" i="43"/>
  <c r="V64" i="43"/>
  <c r="V54" i="43"/>
  <c r="V62" i="43"/>
  <c r="V76" i="43"/>
  <c r="V22" i="43"/>
  <c r="V59" i="43"/>
  <c r="V25" i="43"/>
  <c r="V19" i="43"/>
  <c r="V30" i="43"/>
  <c r="V21" i="43"/>
  <c r="V16" i="43"/>
  <c r="V42" i="43"/>
  <c r="V68" i="43"/>
  <c r="V65" i="43"/>
  <c r="V27" i="43"/>
  <c r="V50" i="43"/>
  <c r="V67" i="43"/>
  <c r="V63" i="43"/>
  <c r="V17" i="43"/>
  <c r="V13" i="43"/>
  <c r="V26" i="43"/>
  <c r="V36" i="43"/>
  <c r="V69" i="43"/>
  <c r="V15" i="43"/>
  <c r="V18" i="43"/>
  <c r="V20" i="43"/>
  <c r="V11" i="43"/>
  <c r="V70" i="43"/>
  <c r="V23" i="43"/>
  <c r="V39" i="43"/>
  <c r="V75" i="43"/>
  <c r="V31" i="43"/>
  <c r="V71" i="43"/>
  <c r="V33" i="43"/>
  <c r="V46" i="43"/>
  <c r="V55" i="17"/>
  <c r="V61" i="17"/>
  <c r="V71" i="17"/>
  <c r="V28" i="17"/>
  <c r="V57" i="17"/>
  <c r="V75" i="17"/>
  <c r="V35" i="17"/>
  <c r="V32" i="17"/>
  <c r="V26" i="17"/>
  <c r="V22" i="17"/>
  <c r="V45" i="17"/>
  <c r="V27" i="17"/>
  <c r="V69" i="17"/>
  <c r="V29" i="17"/>
  <c r="V72" i="17"/>
  <c r="V70" i="17"/>
  <c r="V47" i="17"/>
  <c r="V43" i="17"/>
  <c r="V65" i="17"/>
  <c r="V52" i="17"/>
  <c r="V33" i="17"/>
  <c r="V24" i="17"/>
  <c r="V13" i="17"/>
  <c r="V21" i="17"/>
  <c r="V36" i="17"/>
  <c r="V16" i="17"/>
  <c r="V40" i="17"/>
  <c r="V68" i="17"/>
  <c r="V37" i="17"/>
  <c r="V66" i="17"/>
  <c r="V76" i="17"/>
  <c r="V12" i="17"/>
  <c r="V18" i="17"/>
  <c r="V53" i="17"/>
  <c r="V23" i="17"/>
  <c r="V51" i="17"/>
  <c r="V67" i="17"/>
  <c r="V30" i="17"/>
  <c r="V74" i="17"/>
  <c r="V59" i="17"/>
  <c r="V62" i="17"/>
  <c r="V19" i="17"/>
  <c r="V63" i="17"/>
  <c r="V31" i="17"/>
  <c r="V73" i="17"/>
  <c r="V54" i="17"/>
  <c r="V56" i="17"/>
  <c r="V14" i="17"/>
  <c r="V11" i="17"/>
  <c r="V46" i="17"/>
  <c r="V25" i="17"/>
  <c r="V38" i="17"/>
  <c r="V20" i="17"/>
  <c r="V50" i="17"/>
  <c r="V44" i="17"/>
  <c r="V41" i="17"/>
  <c r="V34" i="17"/>
  <c r="V64" i="17"/>
  <c r="V39" i="17"/>
  <c r="V58" i="17"/>
  <c r="V49" i="17"/>
  <c r="V15" i="17"/>
  <c r="V60" i="17"/>
  <c r="V48" i="17"/>
  <c r="V42" i="17"/>
  <c r="V17" i="17"/>
  <c r="AE47" i="44"/>
  <c r="AE63" i="44"/>
  <c r="AE37" i="44"/>
  <c r="AE19" i="44"/>
  <c r="AE18" i="44"/>
  <c r="AE16" i="44"/>
  <c r="AE68" i="44"/>
  <c r="AE73" i="44"/>
  <c r="AE41" i="44"/>
  <c r="AE71" i="44"/>
  <c r="AE36" i="44"/>
  <c r="AE22" i="44"/>
  <c r="AE35" i="44"/>
  <c r="AE70" i="44"/>
  <c r="AE26" i="44"/>
  <c r="AE53" i="44"/>
  <c r="AE14" i="44"/>
  <c r="AE29" i="44"/>
  <c r="AE58" i="44"/>
  <c r="AE46" i="44"/>
  <c r="AE59" i="44"/>
  <c r="AE23" i="44"/>
  <c r="AE66" i="44"/>
  <c r="AE32" i="44"/>
  <c r="AE31" i="44"/>
  <c r="AE56" i="44"/>
  <c r="AE27" i="44"/>
  <c r="AE45" i="44"/>
  <c r="AE54" i="44"/>
  <c r="AE57" i="44"/>
  <c r="AE50" i="44"/>
  <c r="AE72" i="44"/>
  <c r="AE67" i="44"/>
  <c r="AE69" i="44"/>
  <c r="AE55" i="44"/>
  <c r="AE44" i="44"/>
  <c r="AE15" i="44"/>
  <c r="AE21" i="44"/>
  <c r="AE61" i="44"/>
  <c r="AE25" i="44"/>
  <c r="AE34" i="44"/>
  <c r="AE13" i="44"/>
  <c r="AE39" i="44"/>
  <c r="AE28" i="44"/>
  <c r="AE49" i="44"/>
  <c r="AE60" i="44"/>
  <c r="AE20" i="44"/>
  <c r="AE43" i="44"/>
  <c r="AE40" i="44"/>
  <c r="AE30" i="44"/>
  <c r="AE48" i="44"/>
  <c r="AE74" i="44"/>
  <c r="AE76" i="44"/>
  <c r="AE17" i="44"/>
  <c r="AE65" i="44"/>
  <c r="AE51" i="44"/>
  <c r="AE64" i="44"/>
  <c r="AE52" i="44"/>
  <c r="AE12" i="44"/>
  <c r="AE62" i="44"/>
  <c r="AE38" i="44"/>
  <c r="AE24" i="44"/>
  <c r="AE33" i="44"/>
  <c r="AE42" i="44"/>
  <c r="AE75" i="44"/>
  <c r="AE11" i="44"/>
  <c r="V73" i="46"/>
  <c r="V65" i="46"/>
  <c r="V59" i="46"/>
  <c r="V52" i="46"/>
  <c r="V43" i="46"/>
  <c r="V38" i="46"/>
  <c r="V15" i="46"/>
  <c r="V12" i="46"/>
  <c r="V35" i="46"/>
  <c r="V63" i="46"/>
  <c r="V29" i="46"/>
  <c r="V33" i="46"/>
  <c r="V32" i="46"/>
  <c r="V22" i="46"/>
  <c r="V41" i="46"/>
  <c r="V55" i="46"/>
  <c r="V39" i="46"/>
  <c r="V45" i="46"/>
  <c r="V24" i="46"/>
  <c r="V28" i="46"/>
  <c r="V46" i="46"/>
  <c r="V61" i="46"/>
  <c r="V66" i="46"/>
  <c r="V19" i="46"/>
  <c r="V47" i="46"/>
  <c r="V17" i="46"/>
  <c r="V57" i="46"/>
  <c r="V30" i="46"/>
  <c r="V25" i="46"/>
  <c r="V48" i="46"/>
  <c r="V14" i="46"/>
  <c r="V34" i="46"/>
  <c r="V76" i="46"/>
  <c r="V27" i="46"/>
  <c r="V64" i="46"/>
  <c r="V21" i="46"/>
  <c r="V50" i="46"/>
  <c r="V60" i="46"/>
  <c r="V13" i="46"/>
  <c r="V37" i="46"/>
  <c r="V68" i="46"/>
  <c r="V11" i="46"/>
  <c r="V26" i="46"/>
  <c r="V40" i="46"/>
  <c r="V23" i="46"/>
  <c r="V58" i="46"/>
  <c r="V51" i="46"/>
  <c r="V18" i="46"/>
  <c r="V67" i="46"/>
  <c r="V69" i="46"/>
  <c r="V36" i="46"/>
  <c r="V42" i="46"/>
  <c r="V20" i="46"/>
  <c r="V16" i="46"/>
  <c r="V70" i="46"/>
  <c r="V54" i="46"/>
  <c r="V53" i="46"/>
  <c r="V44" i="46"/>
  <c r="V62" i="46"/>
  <c r="V71" i="46"/>
  <c r="V74" i="46"/>
  <c r="V49" i="46"/>
  <c r="V31" i="46"/>
  <c r="V72" i="46"/>
  <c r="V75" i="46"/>
  <c r="V56" i="46"/>
  <c r="AE22" i="45"/>
  <c r="AE18" i="45"/>
  <c r="AE44" i="45"/>
  <c r="AE11" i="45"/>
  <c r="AE40" i="45"/>
  <c r="AE24" i="45"/>
  <c r="AE62" i="45"/>
  <c r="AE27" i="45"/>
  <c r="AE46" i="45"/>
  <c r="AE48" i="45"/>
  <c r="AE21" i="45"/>
  <c r="AE69" i="45"/>
  <c r="AE20" i="45"/>
  <c r="AE55" i="45"/>
  <c r="AE12" i="45"/>
  <c r="AE52" i="45"/>
  <c r="AE66" i="45"/>
  <c r="AE49" i="45"/>
  <c r="AE64" i="45"/>
  <c r="AE63" i="45"/>
  <c r="AE26" i="45"/>
  <c r="AE76" i="45"/>
  <c r="AE30" i="45"/>
  <c r="AE65" i="45"/>
  <c r="AE54" i="45"/>
  <c r="AE60" i="45"/>
  <c r="AE70" i="45"/>
  <c r="AE56" i="45"/>
  <c r="AE71" i="45"/>
  <c r="AE32" i="45"/>
  <c r="AE38" i="45"/>
  <c r="AE43" i="45"/>
  <c r="AE13" i="45"/>
  <c r="AE68" i="45"/>
  <c r="AE61" i="45"/>
  <c r="AE75" i="45"/>
  <c r="AE36" i="45"/>
  <c r="AE45" i="45"/>
  <c r="AE72" i="45"/>
  <c r="AE59" i="45"/>
  <c r="AE41" i="45"/>
  <c r="AE17" i="45"/>
  <c r="AE42" i="45"/>
  <c r="AE73" i="45"/>
  <c r="AE34" i="45"/>
  <c r="AE31" i="45"/>
  <c r="AE33" i="45"/>
  <c r="AE58" i="45"/>
  <c r="AE16" i="45"/>
  <c r="AE25" i="45"/>
  <c r="AE28" i="45"/>
  <c r="AE51" i="45"/>
  <c r="AE50" i="45"/>
  <c r="AE37" i="45"/>
  <c r="AE19" i="45"/>
  <c r="AE53" i="45"/>
  <c r="AE29" i="45"/>
  <c r="AE39" i="45"/>
  <c r="AE15" i="45"/>
  <c r="AE67" i="45"/>
  <c r="AE14" i="45"/>
  <c r="AE35" i="45"/>
  <c r="AE23" i="45"/>
  <c r="AE74" i="45"/>
  <c r="AE57" i="45"/>
  <c r="AE47" i="45"/>
  <c r="V21" i="44"/>
  <c r="V38" i="44"/>
  <c r="V42" i="44"/>
  <c r="V23" i="44"/>
  <c r="V25" i="44"/>
  <c r="V35" i="44"/>
  <c r="V64" i="44"/>
  <c r="V31" i="44"/>
  <c r="V15" i="44"/>
  <c r="V13" i="44"/>
  <c r="V45" i="44"/>
  <c r="V66" i="44"/>
  <c r="V67" i="44"/>
  <c r="V20" i="44"/>
  <c r="V76" i="44"/>
  <c r="V61" i="44"/>
  <c r="V60" i="44"/>
  <c r="V56" i="44"/>
  <c r="V63" i="44"/>
  <c r="V14" i="44"/>
  <c r="V34" i="44"/>
  <c r="V36" i="44"/>
  <c r="V71" i="44"/>
  <c r="V19" i="44"/>
  <c r="V33" i="44"/>
  <c r="V57" i="44"/>
  <c r="V54" i="44"/>
  <c r="V55" i="44"/>
  <c r="V46" i="44"/>
  <c r="V30" i="44"/>
  <c r="V32" i="44"/>
  <c r="V22" i="44"/>
  <c r="V51" i="44"/>
  <c r="V17" i="44"/>
  <c r="V65" i="44"/>
  <c r="V53" i="44"/>
  <c r="V28" i="44"/>
  <c r="V48" i="44"/>
  <c r="V41" i="44"/>
  <c r="V39" i="44"/>
  <c r="V50" i="44"/>
  <c r="V49" i="44"/>
  <c r="V58" i="44"/>
  <c r="V43" i="44"/>
  <c r="V37" i="44"/>
  <c r="V70" i="44"/>
  <c r="V29" i="44"/>
  <c r="V72" i="44"/>
  <c r="V74" i="44"/>
  <c r="V11" i="44"/>
  <c r="V62" i="44"/>
  <c r="V18" i="44"/>
  <c r="V27" i="44"/>
  <c r="V75" i="44"/>
  <c r="V24" i="44"/>
  <c r="V12" i="44"/>
  <c r="V69" i="44"/>
  <c r="V73" i="44"/>
  <c r="V52" i="44"/>
  <c r="V26" i="44"/>
  <c r="V40" i="44"/>
  <c r="V68" i="44"/>
  <c r="V59" i="44"/>
  <c r="V16" i="44"/>
  <c r="V44" i="44"/>
  <c r="V47" i="44"/>
  <c r="AE53" i="46"/>
  <c r="AE54" i="46"/>
  <c r="AE43" i="46"/>
  <c r="AE17" i="46"/>
  <c r="AE39" i="46"/>
  <c r="AE73" i="46"/>
  <c r="AE74" i="46"/>
  <c r="AE35" i="46"/>
  <c r="AE56" i="46"/>
  <c r="AE60" i="46"/>
  <c r="AE66" i="46"/>
  <c r="AE59" i="46"/>
  <c r="AE12" i="46"/>
  <c r="AE75" i="46"/>
  <c r="AE48" i="46"/>
  <c r="AE21" i="46"/>
  <c r="AE38" i="46"/>
  <c r="AE11" i="46"/>
  <c r="AE18" i="46"/>
  <c r="AE24" i="46"/>
  <c r="AE71" i="46"/>
  <c r="AE37" i="46"/>
  <c r="AE15" i="46"/>
  <c r="AE55" i="46"/>
  <c r="AE40" i="46"/>
  <c r="AE31" i="46"/>
  <c r="AE22" i="46"/>
  <c r="AE68" i="46"/>
  <c r="AE29" i="46"/>
  <c r="AE51" i="46"/>
  <c r="AE69" i="46"/>
  <c r="AE41" i="46"/>
  <c r="AE76" i="46"/>
  <c r="AE26" i="46"/>
  <c r="AE25" i="46"/>
  <c r="AE58" i="46"/>
  <c r="AE70" i="46"/>
  <c r="AE20" i="46"/>
  <c r="AE23" i="46"/>
  <c r="AE32" i="46"/>
  <c r="AE13" i="46"/>
  <c r="AE46" i="46"/>
  <c r="AE42" i="46"/>
  <c r="AE52" i="46"/>
  <c r="AE57" i="46"/>
  <c r="AE16" i="46"/>
  <c r="AE28" i="46"/>
  <c r="AE34" i="46"/>
  <c r="AE30" i="46"/>
  <c r="AE47" i="46"/>
  <c r="AE14" i="46"/>
  <c r="AE45" i="46"/>
  <c r="AE49" i="46"/>
  <c r="AE61" i="46"/>
  <c r="AE27" i="46"/>
  <c r="AE62" i="46"/>
  <c r="AE19" i="46"/>
  <c r="AE44" i="46"/>
  <c r="AE50" i="46"/>
  <c r="AE65" i="46"/>
  <c r="AE33" i="46"/>
  <c r="AE64" i="46"/>
  <c r="AE36" i="46"/>
  <c r="AE67" i="46"/>
  <c r="AE63" i="46"/>
  <c r="AE72" i="46"/>
  <c r="V65" i="45"/>
  <c r="V17" i="45"/>
  <c r="V26" i="45"/>
  <c r="V28" i="45"/>
  <c r="V69" i="45"/>
  <c r="V55" i="45"/>
  <c r="V20" i="45"/>
  <c r="V45" i="45"/>
  <c r="V63" i="45"/>
  <c r="V70" i="45"/>
  <c r="V42" i="45"/>
  <c r="V44" i="45"/>
  <c r="V14" i="45"/>
  <c r="V21" i="45"/>
  <c r="V46" i="45"/>
  <c r="V71" i="45"/>
  <c r="V60" i="45"/>
  <c r="V58" i="45"/>
  <c r="V62" i="45"/>
  <c r="V56" i="45"/>
  <c r="V25" i="45"/>
  <c r="V38" i="45"/>
  <c r="V61" i="45"/>
  <c r="V18" i="45"/>
  <c r="V36" i="45"/>
  <c r="V31" i="45"/>
  <c r="V33" i="45"/>
  <c r="V16" i="45"/>
  <c r="V50" i="45"/>
  <c r="V51" i="45"/>
  <c r="V27" i="45"/>
  <c r="V37" i="45"/>
  <c r="V57" i="45"/>
  <c r="V24" i="45"/>
  <c r="V40" i="45"/>
  <c r="V41" i="45"/>
  <c r="V39" i="45"/>
  <c r="V73" i="45"/>
  <c r="V54" i="45"/>
  <c r="V12" i="45"/>
  <c r="V11" i="45"/>
  <c r="V15" i="45"/>
  <c r="V72" i="45"/>
  <c r="V76" i="45"/>
  <c r="V29" i="45"/>
  <c r="V49" i="45"/>
  <c r="V75" i="45"/>
  <c r="V48" i="45"/>
  <c r="V52" i="45"/>
  <c r="V47" i="45"/>
  <c r="V64" i="45"/>
  <c r="V53" i="45"/>
  <c r="V22" i="45"/>
  <c r="V59" i="45"/>
  <c r="V68" i="45"/>
  <c r="V67" i="45"/>
  <c r="V34" i="45"/>
  <c r="V66" i="45"/>
  <c r="V43" i="45"/>
  <c r="V23" i="45"/>
  <c r="V74" i="45"/>
  <c r="V30" i="45"/>
  <c r="V32" i="45"/>
  <c r="V19" i="45"/>
  <c r="V13" i="45"/>
  <c r="V35" i="45"/>
  <c r="V9" i="51" l="1"/>
  <c r="AE9" i="51"/>
  <c r="AE9" i="52"/>
  <c r="V9" i="52"/>
  <c r="V9" i="50"/>
  <c r="V9" i="45"/>
  <c r="V9" i="17"/>
  <c r="AE9" i="50"/>
  <c r="AE9" i="43"/>
  <c r="AE9" i="46"/>
  <c r="AE9" i="44"/>
  <c r="V9" i="43"/>
  <c r="AE9" i="17"/>
  <c r="V9" i="44"/>
  <c r="AE9" i="45"/>
  <c r="V9" i="46"/>
  <c r="G10" i="5"/>
  <c r="G4" i="5" l="1"/>
  <c r="W10" i="5"/>
  <c r="W13" i="5"/>
  <c r="G11" i="5"/>
  <c r="G12" i="5"/>
  <c r="W11" i="5"/>
  <c r="W12" i="5"/>
  <c r="G13" i="5"/>
  <c r="K13" i="5" s="1"/>
  <c r="B29" i="56"/>
  <c r="J4" i="4"/>
  <c r="M6" i="5" l="1"/>
  <c r="W8" i="5"/>
  <c r="D50" i="23"/>
  <c r="D3" i="25" s="1"/>
  <c r="G3" i="5"/>
  <c r="G8" i="5"/>
  <c r="U220" i="23"/>
  <c r="B14" i="29"/>
  <c r="AN14" i="29" s="1"/>
  <c r="B15" i="28"/>
  <c r="U219" i="38"/>
  <c r="U221" i="23"/>
  <c r="U220" i="38"/>
  <c r="J5" i="4"/>
  <c r="J16" i="4"/>
  <c r="D2" i="36" s="1"/>
  <c r="M4" i="5" l="1"/>
  <c r="D5" i="58"/>
  <c r="D15" i="58" s="1"/>
  <c r="D5" i="57"/>
  <c r="D15" i="57" s="1"/>
  <c r="D21" i="57" s="1"/>
  <c r="D5" i="39"/>
  <c r="D16" i="39" s="1"/>
  <c r="M12" i="6"/>
  <c r="M5" i="5"/>
  <c r="K8" i="5"/>
  <c r="K3" i="5" s="1"/>
  <c r="Q3" i="5" s="1"/>
  <c r="D5" i="40"/>
  <c r="C7" i="26"/>
  <c r="AN9" i="29"/>
  <c r="B9" i="28"/>
  <c r="A2" i="36"/>
  <c r="G2" i="36" s="1"/>
  <c r="C4" i="48"/>
  <c r="C9" i="26"/>
  <c r="J220" i="38"/>
  <c r="J221" i="38" s="1"/>
  <c r="J202" i="38" s="1"/>
  <c r="J219" i="38"/>
  <c r="A19" i="52"/>
  <c r="A19" i="51"/>
  <c r="G5" i="5"/>
  <c r="T11" i="6"/>
  <c r="J220" i="23"/>
  <c r="J221" i="23"/>
  <c r="J222" i="23" s="1"/>
  <c r="J203" i="23" s="1"/>
  <c r="U221" i="38"/>
  <c r="U202" i="38" s="1"/>
  <c r="V220" i="38"/>
  <c r="V221" i="38" s="1"/>
  <c r="V202" i="38" s="1"/>
  <c r="Y220" i="38"/>
  <c r="Y221" i="38" s="1"/>
  <c r="Y202" i="38" s="1"/>
  <c r="V219" i="38"/>
  <c r="W219" i="38" s="1"/>
  <c r="Y219" i="38"/>
  <c r="V220" i="23"/>
  <c r="W220" i="23" s="1"/>
  <c r="Y220" i="23"/>
  <c r="A19" i="44"/>
  <c r="A19" i="45"/>
  <c r="C2" i="36"/>
  <c r="A19" i="17"/>
  <c r="A19" i="46"/>
  <c r="A19" i="43"/>
  <c r="B16" i="28"/>
  <c r="A19" i="50"/>
  <c r="B15" i="29"/>
  <c r="V221" i="23"/>
  <c r="V222" i="23" s="1"/>
  <c r="V203" i="23" s="1"/>
  <c r="U222" i="23"/>
  <c r="U203" i="23" s="1"/>
  <c r="Y221" i="23"/>
  <c r="Y222" i="23" s="1"/>
  <c r="Y203" i="23" s="1"/>
  <c r="M3" i="5" l="1"/>
  <c r="D15" i="39"/>
  <c r="G10" i="43"/>
  <c r="AE4" i="43" s="1"/>
  <c r="H2" i="43" s="1"/>
  <c r="G10" i="52"/>
  <c r="Z9" i="52" s="1"/>
  <c r="M4" i="7"/>
  <c r="G10" i="44"/>
  <c r="AE4" i="44" s="1"/>
  <c r="H2" i="44" s="1"/>
  <c r="L5" i="7"/>
  <c r="G10" i="51"/>
  <c r="AA9" i="51" s="1"/>
  <c r="G10" i="46"/>
  <c r="Z9" i="46" s="1"/>
  <c r="L7" i="5"/>
  <c r="L6" i="5" s="1"/>
  <c r="G10" i="50"/>
  <c r="V4" i="50" s="1"/>
  <c r="K2" i="5"/>
  <c r="AO16" i="29"/>
  <c r="N3" i="5"/>
  <c r="G10" i="45"/>
  <c r="AA9" i="45" s="1"/>
  <c r="G10" i="17"/>
  <c r="V4" i="17" s="1"/>
  <c r="I1" i="5"/>
  <c r="J3" i="5"/>
  <c r="N1" i="5" s="1"/>
  <c r="E2" i="36"/>
  <c r="W220" i="38"/>
  <c r="W221" i="38" s="1"/>
  <c r="W202" i="38" s="1"/>
  <c r="AN15" i="29"/>
  <c r="K30" i="29"/>
  <c r="Z30" i="29" s="1"/>
  <c r="AH30" i="29" s="1"/>
  <c r="B17" i="29"/>
  <c r="AN17" i="29" s="1"/>
  <c r="I30" i="29"/>
  <c r="AV30" i="29"/>
  <c r="AX30" i="29" s="1"/>
  <c r="BF30" i="29" s="1"/>
  <c r="W221" i="23"/>
  <c r="W222" i="23" s="1"/>
  <c r="W203" i="23" s="1"/>
  <c r="B20" i="28"/>
  <c r="AU36" i="29" l="1"/>
  <c r="AU127" i="29"/>
  <c r="AU144" i="29"/>
  <c r="AU130" i="29"/>
  <c r="AU146" i="29"/>
  <c r="AU147" i="29"/>
  <c r="AU128" i="29"/>
  <c r="AU134" i="29"/>
  <c r="AU138" i="29"/>
  <c r="AU129" i="29"/>
  <c r="AU145" i="29"/>
  <c r="AU149" i="29"/>
  <c r="AU131" i="29"/>
  <c r="AU141" i="29"/>
  <c r="AU137" i="29"/>
  <c r="AU143" i="29"/>
  <c r="AU140" i="29"/>
  <c r="AU135" i="29"/>
  <c r="AU133" i="29"/>
  <c r="AU142" i="29"/>
  <c r="AU139" i="29"/>
  <c r="AU148" i="29"/>
  <c r="AU136" i="29"/>
  <c r="AU132" i="29"/>
  <c r="AU150" i="29"/>
  <c r="E16" i="29"/>
  <c r="J128" i="29"/>
  <c r="BR128" i="29" s="1"/>
  <c r="J137" i="29"/>
  <c r="BR137" i="29" s="1"/>
  <c r="J135" i="29"/>
  <c r="BR135" i="29" s="1"/>
  <c r="J146" i="29"/>
  <c r="BR146" i="29" s="1"/>
  <c r="J149" i="29"/>
  <c r="BR149" i="29" s="1"/>
  <c r="J132" i="29"/>
  <c r="BR132" i="29" s="1"/>
  <c r="J131" i="29"/>
  <c r="BR131" i="29" s="1"/>
  <c r="J144" i="29"/>
  <c r="BR144" i="29" s="1"/>
  <c r="J127" i="29"/>
  <c r="BR127" i="29" s="1"/>
  <c r="J139" i="29"/>
  <c r="BR139" i="29" s="1"/>
  <c r="J134" i="29"/>
  <c r="BR134" i="29" s="1"/>
  <c r="J140" i="29"/>
  <c r="BR140" i="29" s="1"/>
  <c r="J141" i="29"/>
  <c r="BR141" i="29" s="1"/>
  <c r="J148" i="29"/>
  <c r="BR148" i="29" s="1"/>
  <c r="J136" i="29"/>
  <c r="BR136" i="29" s="1"/>
  <c r="J130" i="29"/>
  <c r="BR130" i="29" s="1"/>
  <c r="J133" i="29"/>
  <c r="BR133" i="29" s="1"/>
  <c r="J147" i="29"/>
  <c r="BR147" i="29" s="1"/>
  <c r="J142" i="29"/>
  <c r="BR142" i="29" s="1"/>
  <c r="J145" i="29"/>
  <c r="BR145" i="29" s="1"/>
  <c r="J138" i="29"/>
  <c r="BR138" i="29" s="1"/>
  <c r="J150" i="29"/>
  <c r="BR150" i="29" s="1"/>
  <c r="J129" i="29"/>
  <c r="BR129" i="29" s="1"/>
  <c r="J143" i="29"/>
  <c r="BR143" i="29" s="1"/>
  <c r="AA107" i="43"/>
  <c r="AB107" i="43" s="1"/>
  <c r="AA108" i="43"/>
  <c r="AB108" i="43" s="1"/>
  <c r="AA109" i="43"/>
  <c r="AB109" i="43" s="1"/>
  <c r="AA110" i="43"/>
  <c r="AB110" i="43" s="1"/>
  <c r="AA111" i="43"/>
  <c r="AB111" i="43" s="1"/>
  <c r="AA112" i="43"/>
  <c r="AB112" i="43" s="1"/>
  <c r="AA113" i="43"/>
  <c r="AB113" i="43" s="1"/>
  <c r="AA114" i="43"/>
  <c r="AB114" i="43" s="1"/>
  <c r="AA115" i="43"/>
  <c r="AB115" i="43" s="1"/>
  <c r="AA116" i="43"/>
  <c r="AB116" i="43" s="1"/>
  <c r="AA117" i="43"/>
  <c r="AB117" i="43" s="1"/>
  <c r="AA118" i="43"/>
  <c r="AB118" i="43" s="1"/>
  <c r="AA119" i="43"/>
  <c r="AB119" i="43" s="1"/>
  <c r="AA120" i="43"/>
  <c r="AB120" i="43" s="1"/>
  <c r="AA121" i="43"/>
  <c r="AB121" i="43" s="1"/>
  <c r="AA122" i="43"/>
  <c r="AB122" i="43" s="1"/>
  <c r="AA123" i="43"/>
  <c r="AB123" i="43" s="1"/>
  <c r="AA124" i="43"/>
  <c r="AB124" i="43" s="1"/>
  <c r="AA125" i="43"/>
  <c r="AB125" i="43" s="1"/>
  <c r="AA126" i="43"/>
  <c r="AB126" i="43" s="1"/>
  <c r="AA127" i="43"/>
  <c r="AB127" i="43" s="1"/>
  <c r="AA128" i="43"/>
  <c r="AB128" i="43" s="1"/>
  <c r="AA129" i="43"/>
  <c r="AB129" i="43" s="1"/>
  <c r="AA130" i="43"/>
  <c r="AB130" i="43" s="1"/>
  <c r="AA107" i="44"/>
  <c r="AB107" i="44" s="1"/>
  <c r="AA108" i="44"/>
  <c r="AB108" i="44" s="1"/>
  <c r="AA109" i="44"/>
  <c r="AB109" i="44" s="1"/>
  <c r="AA110" i="44"/>
  <c r="AB110" i="44" s="1"/>
  <c r="AA111" i="44"/>
  <c r="AB111" i="44" s="1"/>
  <c r="AA112" i="44"/>
  <c r="AB112" i="44" s="1"/>
  <c r="AA113" i="44"/>
  <c r="AB113" i="44" s="1"/>
  <c r="AA114" i="44"/>
  <c r="AB114" i="44" s="1"/>
  <c r="AA115" i="44"/>
  <c r="AB115" i="44" s="1"/>
  <c r="AA116" i="44"/>
  <c r="AB116" i="44" s="1"/>
  <c r="AA117" i="44"/>
  <c r="AB117" i="44" s="1"/>
  <c r="AA118" i="44"/>
  <c r="AB118" i="44" s="1"/>
  <c r="AA119" i="44"/>
  <c r="AB119" i="44" s="1"/>
  <c r="AA120" i="44"/>
  <c r="AB120" i="44" s="1"/>
  <c r="AA121" i="44"/>
  <c r="AB121" i="44" s="1"/>
  <c r="AA122" i="44"/>
  <c r="AB122" i="44" s="1"/>
  <c r="AA123" i="44"/>
  <c r="AB123" i="44" s="1"/>
  <c r="AA124" i="44"/>
  <c r="AB124" i="44" s="1"/>
  <c r="AA125" i="44"/>
  <c r="AB125" i="44" s="1"/>
  <c r="AA126" i="44"/>
  <c r="AB126" i="44" s="1"/>
  <c r="AA127" i="44"/>
  <c r="AB127" i="44" s="1"/>
  <c r="AA128" i="44"/>
  <c r="AB128" i="44" s="1"/>
  <c r="AA129" i="44"/>
  <c r="AB129" i="44" s="1"/>
  <c r="AA130" i="44"/>
  <c r="AB130" i="44" s="1"/>
  <c r="AU126" i="29"/>
  <c r="J85" i="29"/>
  <c r="BR85" i="29" s="1"/>
  <c r="AU115" i="29"/>
  <c r="AU81" i="29"/>
  <c r="AU83" i="29"/>
  <c r="AU90" i="29"/>
  <c r="AU124" i="29"/>
  <c r="AU62" i="29"/>
  <c r="AU86" i="29"/>
  <c r="AU95" i="29"/>
  <c r="AU110" i="29"/>
  <c r="AU61" i="29"/>
  <c r="AU88" i="29"/>
  <c r="AU80" i="29"/>
  <c r="AU113" i="29"/>
  <c r="AU109" i="29"/>
  <c r="AU94" i="29"/>
  <c r="AU100" i="29"/>
  <c r="AU117" i="29"/>
  <c r="AU102" i="29"/>
  <c r="AU116" i="29"/>
  <c r="AU121" i="29"/>
  <c r="AU118" i="29"/>
  <c r="J64" i="29"/>
  <c r="BR64" i="29" s="1"/>
  <c r="J94" i="29"/>
  <c r="BR94" i="29" s="1"/>
  <c r="AU99" i="29"/>
  <c r="J79" i="29"/>
  <c r="BR79" i="29" s="1"/>
  <c r="J95" i="29"/>
  <c r="BR95" i="29" s="1"/>
  <c r="J96" i="29"/>
  <c r="BR96" i="29" s="1"/>
  <c r="J86" i="29"/>
  <c r="BR86" i="29" s="1"/>
  <c r="J84" i="29"/>
  <c r="BR84" i="29" s="1"/>
  <c r="J53" i="29"/>
  <c r="BR53" i="29" s="1"/>
  <c r="J103" i="29"/>
  <c r="BR103" i="29" s="1"/>
  <c r="J91" i="29"/>
  <c r="BR91" i="29" s="1"/>
  <c r="J89" i="29"/>
  <c r="BR89" i="29" s="1"/>
  <c r="J109" i="29"/>
  <c r="BR109" i="29" s="1"/>
  <c r="AU97" i="29"/>
  <c r="J107" i="29"/>
  <c r="BR107" i="29" s="1"/>
  <c r="J118" i="29"/>
  <c r="BR118" i="29" s="1"/>
  <c r="AU91" i="29"/>
  <c r="AU78" i="29"/>
  <c r="AU84" i="29"/>
  <c r="AU87" i="29"/>
  <c r="J88" i="29"/>
  <c r="BR88" i="29" s="1"/>
  <c r="AU96" i="29"/>
  <c r="J93" i="29"/>
  <c r="BR93" i="29" s="1"/>
  <c r="J78" i="29"/>
  <c r="BR78" i="29" s="1"/>
  <c r="J83" i="29"/>
  <c r="BR83" i="29" s="1"/>
  <c r="J82" i="29"/>
  <c r="BR82" i="29" s="1"/>
  <c r="AU123" i="29"/>
  <c r="AU125" i="29"/>
  <c r="AU122" i="29"/>
  <c r="AU106" i="29"/>
  <c r="AU108" i="29"/>
  <c r="AU112" i="29"/>
  <c r="AU98" i="29"/>
  <c r="J117" i="29"/>
  <c r="BR117" i="29" s="1"/>
  <c r="J122" i="29"/>
  <c r="BR122" i="29" s="1"/>
  <c r="AU82" i="29"/>
  <c r="AU93" i="29"/>
  <c r="AU85" i="29"/>
  <c r="AU89" i="29"/>
  <c r="J81" i="29"/>
  <c r="BR81" i="29" s="1"/>
  <c r="AU92" i="29"/>
  <c r="J80" i="29"/>
  <c r="BR80" i="29" s="1"/>
  <c r="J92" i="29"/>
  <c r="BR92" i="29" s="1"/>
  <c r="J90" i="29"/>
  <c r="BR90" i="29" s="1"/>
  <c r="J87" i="29"/>
  <c r="BR87" i="29" s="1"/>
  <c r="AU103" i="29"/>
  <c r="AU111" i="29"/>
  <c r="AU114" i="29"/>
  <c r="AU120" i="29"/>
  <c r="AU105" i="29"/>
  <c r="AU119" i="29"/>
  <c r="AU104" i="29"/>
  <c r="J115" i="29"/>
  <c r="BR115" i="29" s="1"/>
  <c r="J124" i="29"/>
  <c r="BR124" i="29" s="1"/>
  <c r="AU107" i="29"/>
  <c r="AU79" i="29"/>
  <c r="J114" i="29"/>
  <c r="BR114" i="29" s="1"/>
  <c r="J97" i="29"/>
  <c r="BR97" i="29" s="1"/>
  <c r="J104" i="29"/>
  <c r="BR104" i="29" s="1"/>
  <c r="AU101" i="29"/>
  <c r="J106" i="29"/>
  <c r="BR106" i="29" s="1"/>
  <c r="J125" i="29"/>
  <c r="BR125" i="29" s="1"/>
  <c r="J100" i="29"/>
  <c r="BR100" i="29" s="1"/>
  <c r="J99" i="29"/>
  <c r="BR99" i="29" s="1"/>
  <c r="J123" i="29"/>
  <c r="BR123" i="29" s="1"/>
  <c r="J110" i="29"/>
  <c r="BR110" i="29" s="1"/>
  <c r="J119" i="29"/>
  <c r="BR119" i="29" s="1"/>
  <c r="J112" i="29"/>
  <c r="BR112" i="29" s="1"/>
  <c r="J105" i="29"/>
  <c r="BR105" i="29" s="1"/>
  <c r="J113" i="29"/>
  <c r="BR113" i="29" s="1"/>
  <c r="J120" i="29"/>
  <c r="BR120" i="29" s="1"/>
  <c r="J126" i="29"/>
  <c r="BR126" i="29" s="1"/>
  <c r="AU72" i="29"/>
  <c r="AU55" i="29"/>
  <c r="AU58" i="29"/>
  <c r="AU57" i="29"/>
  <c r="AU69" i="29"/>
  <c r="AU59" i="29"/>
  <c r="AU73" i="29"/>
  <c r="AU67" i="29"/>
  <c r="J61" i="29"/>
  <c r="BR61" i="29" s="1"/>
  <c r="AU75" i="29"/>
  <c r="AU71" i="29"/>
  <c r="AU74" i="29"/>
  <c r="AU63" i="29"/>
  <c r="AU68" i="29"/>
  <c r="AU60" i="29"/>
  <c r="AU64" i="29"/>
  <c r="AU56" i="29"/>
  <c r="AU66" i="29"/>
  <c r="AU77" i="29"/>
  <c r="AU53" i="29"/>
  <c r="AU65" i="29"/>
  <c r="AU52" i="29"/>
  <c r="AU51" i="29"/>
  <c r="AU70" i="29"/>
  <c r="AU54" i="29"/>
  <c r="AU76" i="29"/>
  <c r="J66" i="29"/>
  <c r="BR66" i="29" s="1"/>
  <c r="J63" i="29"/>
  <c r="BR63" i="29" s="1"/>
  <c r="J51" i="29"/>
  <c r="BR51" i="29" s="1"/>
  <c r="J65" i="29"/>
  <c r="BR65" i="29" s="1"/>
  <c r="AA9" i="43"/>
  <c r="Z9" i="43"/>
  <c r="J75" i="29"/>
  <c r="BR75" i="29" s="1"/>
  <c r="J73" i="29"/>
  <c r="BR73" i="29" s="1"/>
  <c r="J76" i="29"/>
  <c r="BR76" i="29" s="1"/>
  <c r="J56" i="29"/>
  <c r="BR56" i="29" s="1"/>
  <c r="J54" i="29"/>
  <c r="BR54" i="29" s="1"/>
  <c r="J52" i="29"/>
  <c r="BR52" i="29" s="1"/>
  <c r="J58" i="29"/>
  <c r="BR58" i="29" s="1"/>
  <c r="A23" i="43"/>
  <c r="V4" i="43"/>
  <c r="J70" i="29"/>
  <c r="BR70" i="29" s="1"/>
  <c r="J60" i="29"/>
  <c r="BR60" i="29" s="1"/>
  <c r="J57" i="29"/>
  <c r="BR57" i="29" s="1"/>
  <c r="J71" i="29"/>
  <c r="BR71" i="29" s="1"/>
  <c r="J74" i="29"/>
  <c r="BR74" i="29" s="1"/>
  <c r="J62" i="29"/>
  <c r="BR62" i="29" s="1"/>
  <c r="J72" i="29"/>
  <c r="BR72" i="29" s="1"/>
  <c r="J59" i="29"/>
  <c r="BR59" i="29" s="1"/>
  <c r="J67" i="29"/>
  <c r="BR67" i="29" s="1"/>
  <c r="J69" i="29"/>
  <c r="BR69" i="29" s="1"/>
  <c r="J77" i="29"/>
  <c r="BR77" i="29" s="1"/>
  <c r="J68" i="29"/>
  <c r="BR68" i="29" s="1"/>
  <c r="J55" i="29"/>
  <c r="BR55" i="29" s="1"/>
  <c r="M2" i="5"/>
  <c r="M1" i="5" s="1"/>
  <c r="G1" i="5" s="1"/>
  <c r="AA9" i="52"/>
  <c r="J121" i="29"/>
  <c r="BR121" i="29" s="1"/>
  <c r="J98" i="29"/>
  <c r="BR98" i="29" s="1"/>
  <c r="J111" i="29"/>
  <c r="BR111" i="29" s="1"/>
  <c r="J101" i="29"/>
  <c r="BR101" i="29" s="1"/>
  <c r="J108" i="29"/>
  <c r="BR108" i="29" s="1"/>
  <c r="J116" i="29"/>
  <c r="BR116" i="29" s="1"/>
  <c r="J102" i="29"/>
  <c r="BR102" i="29" s="1"/>
  <c r="A23" i="52"/>
  <c r="V4" i="52"/>
  <c r="AE4" i="52"/>
  <c r="H2" i="52" s="1"/>
  <c r="A23" i="44"/>
  <c r="Z9" i="44"/>
  <c r="L4" i="5"/>
  <c r="AA9" i="44"/>
  <c r="V4" i="44"/>
  <c r="L5" i="5"/>
  <c r="A23" i="50"/>
  <c r="K11" i="7"/>
  <c r="O13" i="6" s="1"/>
  <c r="Z9" i="51"/>
  <c r="G7" i="5"/>
  <c r="Z9" i="17"/>
  <c r="Z9" i="50"/>
  <c r="AE4" i="17"/>
  <c r="H2" i="17" s="1"/>
  <c r="V4" i="46"/>
  <c r="AU39" i="29"/>
  <c r="AU45" i="29"/>
  <c r="A23" i="17"/>
  <c r="AU41" i="29"/>
  <c r="AU47" i="29"/>
  <c r="AA9" i="17"/>
  <c r="AE4" i="51"/>
  <c r="H2" i="51" s="1"/>
  <c r="AA9" i="50"/>
  <c r="AE4" i="50"/>
  <c r="H2" i="50" s="1"/>
  <c r="AU49" i="29"/>
  <c r="AU42" i="29"/>
  <c r="AU31" i="29"/>
  <c r="AU33" i="29"/>
  <c r="AU44" i="29"/>
  <c r="AU40" i="29"/>
  <c r="AU34" i="29"/>
  <c r="A23" i="46"/>
  <c r="AU32" i="29"/>
  <c r="AU48" i="29"/>
  <c r="V4" i="51"/>
  <c r="AE4" i="46"/>
  <c r="H2" i="46" s="1"/>
  <c r="AA9" i="46"/>
  <c r="AU38" i="29"/>
  <c r="AU46" i="29"/>
  <c r="AU43" i="29"/>
  <c r="AU50" i="29"/>
  <c r="AU37" i="29"/>
  <c r="AU35" i="29"/>
  <c r="A23" i="51"/>
  <c r="Z9" i="45"/>
  <c r="J39" i="29"/>
  <c r="BR39" i="29" s="1"/>
  <c r="AE4" i="45"/>
  <c r="H2" i="45" s="1"/>
  <c r="J40" i="29"/>
  <c r="BR40" i="29" s="1"/>
  <c r="J46" i="29"/>
  <c r="BR46" i="29" s="1"/>
  <c r="J41" i="29"/>
  <c r="BR41" i="29" s="1"/>
  <c r="J50" i="29"/>
  <c r="BR50" i="29" s="1"/>
  <c r="J36" i="29"/>
  <c r="BR36" i="29" s="1"/>
  <c r="J34" i="29"/>
  <c r="BR34" i="29" s="1"/>
  <c r="J38" i="29"/>
  <c r="BR38" i="29" s="1"/>
  <c r="J48" i="29"/>
  <c r="BR48" i="29" s="1"/>
  <c r="J35" i="29"/>
  <c r="BR35" i="29" s="1"/>
  <c r="A23" i="45"/>
  <c r="V4" i="45"/>
  <c r="AK222" i="23"/>
  <c r="J37" i="29"/>
  <c r="BR37" i="29" s="1"/>
  <c r="J49" i="29"/>
  <c r="BR49" i="29" s="1"/>
  <c r="J45" i="29"/>
  <c r="BR45" i="29" s="1"/>
  <c r="J44" i="29"/>
  <c r="BR44" i="29" s="1"/>
  <c r="J31" i="29"/>
  <c r="J8" i="4" s="1"/>
  <c r="J43" i="29"/>
  <c r="BR43" i="29" s="1"/>
  <c r="J42" i="29"/>
  <c r="BR42" i="29" s="1"/>
  <c r="J32" i="29"/>
  <c r="BR32" i="29" s="1"/>
  <c r="J47" i="29"/>
  <c r="BR47" i="29" s="1"/>
  <c r="J33" i="29"/>
  <c r="BR33" i="29" s="1"/>
  <c r="AA87" i="44"/>
  <c r="AB87" i="44" s="1"/>
  <c r="AA86" i="44"/>
  <c r="AB86" i="44" s="1"/>
  <c r="AA83" i="44"/>
  <c r="AB83" i="44" s="1"/>
  <c r="AA80" i="44"/>
  <c r="AB80" i="44" s="1"/>
  <c r="AA89" i="44"/>
  <c r="AB89" i="44" s="1"/>
  <c r="AA106" i="44"/>
  <c r="AB106" i="44" s="1"/>
  <c r="AA103" i="44"/>
  <c r="AB103" i="44" s="1"/>
  <c r="AA96" i="44"/>
  <c r="AB96" i="44" s="1"/>
  <c r="AA88" i="44"/>
  <c r="AB88" i="44" s="1"/>
  <c r="AA98" i="44"/>
  <c r="AB98" i="44" s="1"/>
  <c r="AA77" i="44"/>
  <c r="AB77" i="44" s="1"/>
  <c r="AA105" i="44"/>
  <c r="AB105" i="44" s="1"/>
  <c r="AA99" i="44"/>
  <c r="AB99" i="44" s="1"/>
  <c r="AA93" i="44"/>
  <c r="AB93" i="44" s="1"/>
  <c r="AA97" i="44"/>
  <c r="AB97" i="44" s="1"/>
  <c r="AA82" i="44"/>
  <c r="AB82" i="44" s="1"/>
  <c r="AA92" i="44"/>
  <c r="AB92" i="44" s="1"/>
  <c r="AA94" i="44"/>
  <c r="AB94" i="44" s="1"/>
  <c r="AA81" i="44"/>
  <c r="AB81" i="44" s="1"/>
  <c r="AA90" i="44"/>
  <c r="AB90" i="44" s="1"/>
  <c r="AA79" i="44"/>
  <c r="AB79" i="44" s="1"/>
  <c r="AA100" i="44"/>
  <c r="AB100" i="44" s="1"/>
  <c r="AA91" i="44"/>
  <c r="AB91" i="44" s="1"/>
  <c r="AA104" i="44"/>
  <c r="AB104" i="44" s="1"/>
  <c r="AA85" i="44"/>
  <c r="AB85" i="44" s="1"/>
  <c r="AA95" i="44"/>
  <c r="AB95" i="44" s="1"/>
  <c r="AA102" i="44"/>
  <c r="AB102" i="44" s="1"/>
  <c r="AA78" i="44"/>
  <c r="AB78" i="44" s="1"/>
  <c r="AA101" i="44"/>
  <c r="AB101" i="44" s="1"/>
  <c r="AA84" i="44"/>
  <c r="AB84" i="44" s="1"/>
  <c r="AA103" i="46"/>
  <c r="AB103" i="46" s="1"/>
  <c r="AA85" i="43"/>
  <c r="AB85" i="43" s="1"/>
  <c r="AA77" i="43"/>
  <c r="AB77" i="43" s="1"/>
  <c r="AA88" i="43"/>
  <c r="AB88" i="43" s="1"/>
  <c r="AA89" i="43"/>
  <c r="AB89" i="43" s="1"/>
  <c r="AA97" i="43"/>
  <c r="AB97" i="43" s="1"/>
  <c r="AA92" i="43"/>
  <c r="AB92" i="43" s="1"/>
  <c r="AA94" i="43"/>
  <c r="AB94" i="43" s="1"/>
  <c r="AA91" i="43"/>
  <c r="AB91" i="43" s="1"/>
  <c r="AA98" i="43"/>
  <c r="AB98" i="43" s="1"/>
  <c r="AA90" i="43"/>
  <c r="AB90" i="43" s="1"/>
  <c r="AA96" i="43"/>
  <c r="AB96" i="43" s="1"/>
  <c r="AA106" i="43"/>
  <c r="AB106" i="43" s="1"/>
  <c r="AA95" i="43"/>
  <c r="AB95" i="43" s="1"/>
  <c r="AA101" i="43"/>
  <c r="AB101" i="43" s="1"/>
  <c r="AA99" i="43"/>
  <c r="AB99" i="43" s="1"/>
  <c r="AA103" i="43"/>
  <c r="AB103" i="43" s="1"/>
  <c r="AA93" i="43"/>
  <c r="AB93" i="43" s="1"/>
  <c r="AA84" i="43"/>
  <c r="AB84" i="43" s="1"/>
  <c r="AA86" i="43"/>
  <c r="AB86" i="43" s="1"/>
  <c r="AA82" i="43"/>
  <c r="AB82" i="43" s="1"/>
  <c r="AA102" i="43"/>
  <c r="AB102" i="43" s="1"/>
  <c r="AA105" i="43"/>
  <c r="AB105" i="43" s="1"/>
  <c r="AA80" i="43"/>
  <c r="AB80" i="43" s="1"/>
  <c r="AA100" i="43"/>
  <c r="AB100" i="43" s="1"/>
  <c r="AA104" i="43"/>
  <c r="AB104" i="43" s="1"/>
  <c r="AA87" i="43"/>
  <c r="AB87" i="43" s="1"/>
  <c r="AA83" i="43"/>
  <c r="AB83" i="43" s="1"/>
  <c r="AA78" i="43"/>
  <c r="AB78" i="43" s="1"/>
  <c r="AA81" i="43"/>
  <c r="AB81" i="43" s="1"/>
  <c r="AA79" i="43"/>
  <c r="AB79" i="43" s="1"/>
  <c r="AA29" i="44"/>
  <c r="AB29" i="44" s="1"/>
  <c r="AA27" i="44"/>
  <c r="AB27" i="44" s="1"/>
  <c r="AA68" i="44"/>
  <c r="AB68" i="44" s="1"/>
  <c r="AA48" i="44"/>
  <c r="AB48" i="44" s="1"/>
  <c r="AA75" i="44"/>
  <c r="AB75" i="44" s="1"/>
  <c r="AA71" i="44"/>
  <c r="AB71" i="44" s="1"/>
  <c r="AA40" i="44"/>
  <c r="AB40" i="44" s="1"/>
  <c r="AA12" i="44"/>
  <c r="AB12" i="44" s="1"/>
  <c r="AA32" i="44"/>
  <c r="AB32" i="44" s="1"/>
  <c r="AA37" i="44"/>
  <c r="AB37" i="44" s="1"/>
  <c r="AA31" i="44"/>
  <c r="AB31" i="44" s="1"/>
  <c r="AA23" i="44"/>
  <c r="AB23" i="44" s="1"/>
  <c r="AA16" i="44"/>
  <c r="AB16" i="44" s="1"/>
  <c r="AA49" i="44"/>
  <c r="AB49" i="44" s="1"/>
  <c r="AA63" i="44"/>
  <c r="AB63" i="44" s="1"/>
  <c r="A27" i="44"/>
  <c r="AA24" i="44"/>
  <c r="AB24" i="44" s="1"/>
  <c r="AA76" i="44"/>
  <c r="AB76" i="44" s="1"/>
  <c r="AA35" i="44"/>
  <c r="AB35" i="44" s="1"/>
  <c r="AA58" i="44"/>
  <c r="AB58" i="44" s="1"/>
  <c r="AA54" i="44"/>
  <c r="AB54" i="44" s="1"/>
  <c r="AA47" i="44"/>
  <c r="AB47" i="44" s="1"/>
  <c r="AA60" i="44"/>
  <c r="AB60" i="44" s="1"/>
  <c r="AA38" i="44"/>
  <c r="AB38" i="44" s="1"/>
  <c r="AA69" i="44"/>
  <c r="AB69" i="44" s="1"/>
  <c r="AA15" i="44"/>
  <c r="AB15" i="44" s="1"/>
  <c r="AA41" i="44"/>
  <c r="AB41" i="44" s="1"/>
  <c r="AA34" i="44"/>
  <c r="AB34" i="44" s="1"/>
  <c r="AA53" i="44"/>
  <c r="AB53" i="44" s="1"/>
  <c r="AA52" i="44"/>
  <c r="AB52" i="44" s="1"/>
  <c r="AA25" i="44"/>
  <c r="AB25" i="44" s="1"/>
  <c r="AA44" i="44"/>
  <c r="AB44" i="44" s="1"/>
  <c r="AA64" i="44"/>
  <c r="AB64" i="44" s="1"/>
  <c r="AA39" i="44"/>
  <c r="AB39" i="44" s="1"/>
  <c r="AA11" i="44"/>
  <c r="AB11" i="44" s="1"/>
  <c r="AA65" i="44"/>
  <c r="AB65" i="44" s="1"/>
  <c r="AA42" i="44"/>
  <c r="AB42" i="44" s="1"/>
  <c r="AA14" i="44"/>
  <c r="AB14" i="44" s="1"/>
  <c r="AA18" i="44"/>
  <c r="AB18" i="44" s="1"/>
  <c r="AA46" i="44"/>
  <c r="AB46" i="44" s="1"/>
  <c r="AA74" i="44"/>
  <c r="AB74" i="44" s="1"/>
  <c r="AA45" i="44"/>
  <c r="AB45" i="44" s="1"/>
  <c r="AA50" i="44"/>
  <c r="AB50" i="44" s="1"/>
  <c r="AA21" i="44"/>
  <c r="AB21" i="44" s="1"/>
  <c r="AA13" i="44"/>
  <c r="AB13" i="44" s="1"/>
  <c r="AA56" i="44"/>
  <c r="AB56" i="44" s="1"/>
  <c r="AA67" i="44"/>
  <c r="AB67" i="44" s="1"/>
  <c r="AA30" i="44"/>
  <c r="AB30" i="44" s="1"/>
  <c r="AA26" i="44"/>
  <c r="AB26" i="44" s="1"/>
  <c r="AA55" i="44"/>
  <c r="AB55" i="44" s="1"/>
  <c r="AA66" i="44"/>
  <c r="AB66" i="44" s="1"/>
  <c r="AA33" i="44"/>
  <c r="AB33" i="44" s="1"/>
  <c r="AA57" i="44"/>
  <c r="AB57" i="44" s="1"/>
  <c r="AA72" i="44"/>
  <c r="AB72" i="44" s="1"/>
  <c r="AA28" i="44"/>
  <c r="AB28" i="44" s="1"/>
  <c r="AA19" i="44"/>
  <c r="AB19" i="44" s="1"/>
  <c r="AA73" i="44"/>
  <c r="AB73" i="44" s="1"/>
  <c r="AA22" i="44"/>
  <c r="AB22" i="44" s="1"/>
  <c r="AA61" i="44"/>
  <c r="AB61" i="44" s="1"/>
  <c r="AA20" i="44"/>
  <c r="AB20" i="44" s="1"/>
  <c r="AA17" i="44"/>
  <c r="AB17" i="44" s="1"/>
  <c r="H1" i="44"/>
  <c r="AA43" i="44"/>
  <c r="AB43" i="44" s="1"/>
  <c r="AA59" i="44"/>
  <c r="AB59" i="44" s="1"/>
  <c r="AA36" i="44"/>
  <c r="AB36" i="44" s="1"/>
  <c r="AA70" i="44"/>
  <c r="AB70" i="44" s="1"/>
  <c r="AA51" i="44"/>
  <c r="AB51" i="44" s="1"/>
  <c r="AA62" i="44"/>
  <c r="AB62" i="44" s="1"/>
  <c r="BQ30" i="29"/>
  <c r="AT30" i="29"/>
  <c r="AA23" i="43"/>
  <c r="AB23" i="43" s="1"/>
  <c r="AA35" i="43"/>
  <c r="AB35" i="43" s="1"/>
  <c r="AA61" i="43"/>
  <c r="AB61" i="43" s="1"/>
  <c r="AA52" i="43"/>
  <c r="AB52" i="43" s="1"/>
  <c r="AA16" i="43"/>
  <c r="AB16" i="43" s="1"/>
  <c r="AA49" i="43"/>
  <c r="AB49" i="43" s="1"/>
  <c r="AA44" i="43"/>
  <c r="AB44" i="43" s="1"/>
  <c r="AA51" i="43"/>
  <c r="AB51" i="43" s="1"/>
  <c r="AA17" i="43"/>
  <c r="AB17" i="43" s="1"/>
  <c r="AA60" i="43"/>
  <c r="AB60" i="43" s="1"/>
  <c r="AA70" i="43"/>
  <c r="AB70" i="43" s="1"/>
  <c r="AA76" i="43"/>
  <c r="AB76" i="43" s="1"/>
  <c r="AA48" i="43"/>
  <c r="AB48" i="43" s="1"/>
  <c r="AA74" i="43"/>
  <c r="AB74" i="43" s="1"/>
  <c r="AA53" i="43"/>
  <c r="AB53" i="43" s="1"/>
  <c r="AA45" i="43"/>
  <c r="AB45" i="43" s="1"/>
  <c r="AA69" i="43"/>
  <c r="AB69" i="43" s="1"/>
  <c r="AA73" i="43"/>
  <c r="AB73" i="43" s="1"/>
  <c r="AA29" i="43"/>
  <c r="AB29" i="43" s="1"/>
  <c r="AA66" i="43"/>
  <c r="AB66" i="43" s="1"/>
  <c r="AA18" i="43"/>
  <c r="AB18" i="43" s="1"/>
  <c r="AA32" i="43"/>
  <c r="AB32" i="43" s="1"/>
  <c r="AA12" i="43"/>
  <c r="AB12" i="43" s="1"/>
  <c r="AA36" i="43"/>
  <c r="AB36" i="43" s="1"/>
  <c r="AA50" i="43"/>
  <c r="AB50" i="43" s="1"/>
  <c r="AA13" i="43"/>
  <c r="AB13" i="43" s="1"/>
  <c r="AA26" i="43"/>
  <c r="AB26" i="43" s="1"/>
  <c r="AA47" i="43"/>
  <c r="AB47" i="43" s="1"/>
  <c r="AA71" i="43"/>
  <c r="AB71" i="43" s="1"/>
  <c r="AA43" i="43"/>
  <c r="AB43" i="43" s="1"/>
  <c r="AA34" i="43"/>
  <c r="AB34" i="43" s="1"/>
  <c r="AA57" i="43"/>
  <c r="AB57" i="43" s="1"/>
  <c r="AA56" i="43"/>
  <c r="AB56" i="43" s="1"/>
  <c r="AA59" i="43"/>
  <c r="AB59" i="43" s="1"/>
  <c r="AA20" i="43"/>
  <c r="AB20" i="43" s="1"/>
  <c r="A27" i="43"/>
  <c r="AA42" i="43"/>
  <c r="AB42" i="43" s="1"/>
  <c r="AA21" i="43"/>
  <c r="AB21" i="43" s="1"/>
  <c r="AA25" i="43"/>
  <c r="AB25" i="43" s="1"/>
  <c r="AA65" i="43"/>
  <c r="AB65" i="43" s="1"/>
  <c r="AA33" i="43"/>
  <c r="AB33" i="43" s="1"/>
  <c r="AA46" i="43"/>
  <c r="AB46" i="43" s="1"/>
  <c r="AA15" i="43"/>
  <c r="AB15" i="43" s="1"/>
  <c r="AA19" i="43"/>
  <c r="AB19" i="43" s="1"/>
  <c r="AA54" i="43"/>
  <c r="AB54" i="43" s="1"/>
  <c r="AA67" i="43"/>
  <c r="AB67" i="43" s="1"/>
  <c r="AA68" i="43"/>
  <c r="AB68" i="43" s="1"/>
  <c r="AA62" i="43"/>
  <c r="AB62" i="43" s="1"/>
  <c r="AA28" i="43"/>
  <c r="AB28" i="43" s="1"/>
  <c r="AA31" i="43"/>
  <c r="AB31" i="43" s="1"/>
  <c r="AA58" i="43"/>
  <c r="AB58" i="43" s="1"/>
  <c r="AA27" i="43"/>
  <c r="AB27" i="43" s="1"/>
  <c r="AA72" i="43"/>
  <c r="AB72" i="43" s="1"/>
  <c r="AA22" i="43"/>
  <c r="AB22" i="43" s="1"/>
  <c r="AA11" i="43"/>
  <c r="AB11" i="43" s="1"/>
  <c r="AA64" i="43"/>
  <c r="AB64" i="43" s="1"/>
  <c r="AA24" i="43"/>
  <c r="AB24" i="43" s="1"/>
  <c r="AA63" i="43"/>
  <c r="AB63" i="43" s="1"/>
  <c r="AA37" i="43"/>
  <c r="AB37" i="43" s="1"/>
  <c r="AA41" i="43"/>
  <c r="AB41" i="43" s="1"/>
  <c r="AA39" i="43"/>
  <c r="AB39" i="43" s="1"/>
  <c r="AA75" i="43"/>
  <c r="AB75" i="43" s="1"/>
  <c r="AA14" i="43"/>
  <c r="AB14" i="43" s="1"/>
  <c r="AA30" i="43"/>
  <c r="AB30" i="43" s="1"/>
  <c r="H1" i="43"/>
  <c r="AA55" i="43"/>
  <c r="AB55" i="43" s="1"/>
  <c r="AA40" i="43"/>
  <c r="AB40" i="43" s="1"/>
  <c r="AA38" i="43"/>
  <c r="AB38" i="43" s="1"/>
  <c r="AK203" i="23" l="1"/>
  <c r="AL222" i="23"/>
  <c r="AL203" i="23" s="1"/>
  <c r="AA104" i="51"/>
  <c r="AB104" i="51" s="1"/>
  <c r="AA107" i="51"/>
  <c r="AB107" i="51" s="1"/>
  <c r="AA108" i="51"/>
  <c r="AB108" i="51" s="1"/>
  <c r="AA109" i="51"/>
  <c r="AB109" i="51" s="1"/>
  <c r="AA110" i="51"/>
  <c r="AB110" i="51" s="1"/>
  <c r="AA111" i="51"/>
  <c r="AB111" i="51" s="1"/>
  <c r="AA112" i="51"/>
  <c r="AB112" i="51" s="1"/>
  <c r="AA113" i="51"/>
  <c r="AB113" i="51" s="1"/>
  <c r="AA114" i="51"/>
  <c r="AB114" i="51" s="1"/>
  <c r="AA115" i="51"/>
  <c r="AB115" i="51" s="1"/>
  <c r="AA116" i="51"/>
  <c r="AB116" i="51" s="1"/>
  <c r="AA117" i="51"/>
  <c r="AB117" i="51" s="1"/>
  <c r="AA118" i="51"/>
  <c r="AB118" i="51" s="1"/>
  <c r="AA119" i="51"/>
  <c r="AB119" i="51" s="1"/>
  <c r="AA120" i="51"/>
  <c r="AB120" i="51" s="1"/>
  <c r="AA121" i="51"/>
  <c r="AB121" i="51" s="1"/>
  <c r="AA122" i="51"/>
  <c r="AB122" i="51" s="1"/>
  <c r="AA123" i="51"/>
  <c r="AB123" i="51" s="1"/>
  <c r="AA124" i="51"/>
  <c r="AB124" i="51" s="1"/>
  <c r="AA125" i="51"/>
  <c r="AB125" i="51" s="1"/>
  <c r="AA126" i="51"/>
  <c r="AB126" i="51" s="1"/>
  <c r="AA127" i="51"/>
  <c r="AB127" i="51" s="1"/>
  <c r="AA128" i="51"/>
  <c r="AB128" i="51" s="1"/>
  <c r="AA129" i="51"/>
  <c r="AB129" i="51" s="1"/>
  <c r="AA130" i="51"/>
  <c r="AB130" i="51" s="1"/>
  <c r="AA11" i="17"/>
  <c r="AB11" i="17" s="1"/>
  <c r="AA110" i="17"/>
  <c r="AB110" i="17" s="1"/>
  <c r="AA111" i="17"/>
  <c r="AB111" i="17" s="1"/>
  <c r="AA112" i="17"/>
  <c r="AB112" i="17" s="1"/>
  <c r="AA113" i="17"/>
  <c r="AB113" i="17" s="1"/>
  <c r="AA114" i="17"/>
  <c r="AB114" i="17" s="1"/>
  <c r="AA115" i="17"/>
  <c r="AB115" i="17" s="1"/>
  <c r="AA116" i="17"/>
  <c r="AB116" i="17" s="1"/>
  <c r="AA117" i="17"/>
  <c r="AB117" i="17" s="1"/>
  <c r="AA118" i="17"/>
  <c r="AB118" i="17" s="1"/>
  <c r="AA119" i="17"/>
  <c r="AB119" i="17" s="1"/>
  <c r="AA120" i="17"/>
  <c r="AB120" i="17" s="1"/>
  <c r="AA121" i="17"/>
  <c r="AB121" i="17" s="1"/>
  <c r="AA122" i="17"/>
  <c r="AB122" i="17" s="1"/>
  <c r="AA123" i="17"/>
  <c r="AB123" i="17" s="1"/>
  <c r="AA124" i="17"/>
  <c r="AB124" i="17" s="1"/>
  <c r="AA125" i="17"/>
  <c r="AB125" i="17" s="1"/>
  <c r="AA126" i="17"/>
  <c r="AB126" i="17" s="1"/>
  <c r="AA127" i="17"/>
  <c r="AB127" i="17" s="1"/>
  <c r="AA128" i="17"/>
  <c r="AB128" i="17" s="1"/>
  <c r="AA129" i="17"/>
  <c r="AB129" i="17" s="1"/>
  <c r="AA130" i="17"/>
  <c r="AB130" i="17" s="1"/>
  <c r="AA108" i="17"/>
  <c r="AB108" i="17" s="1"/>
  <c r="AA107" i="17"/>
  <c r="AB107" i="17" s="1"/>
  <c r="AA109" i="17"/>
  <c r="AB109" i="17" s="1"/>
  <c r="A27" i="52"/>
  <c r="AA107" i="52"/>
  <c r="AB107" i="52" s="1"/>
  <c r="AA108" i="52"/>
  <c r="AB108" i="52" s="1"/>
  <c r="AA109" i="52"/>
  <c r="AB109" i="52" s="1"/>
  <c r="AA110" i="52"/>
  <c r="AB110" i="52" s="1"/>
  <c r="AA111" i="52"/>
  <c r="AB111" i="52" s="1"/>
  <c r="AA112" i="52"/>
  <c r="AB112" i="52" s="1"/>
  <c r="AA113" i="52"/>
  <c r="AB113" i="52" s="1"/>
  <c r="AA114" i="52"/>
  <c r="AB114" i="52" s="1"/>
  <c r="AA115" i="52"/>
  <c r="AB115" i="52" s="1"/>
  <c r="AA116" i="52"/>
  <c r="AB116" i="52" s="1"/>
  <c r="AA117" i="52"/>
  <c r="AB117" i="52" s="1"/>
  <c r="AA118" i="52"/>
  <c r="AB118" i="52" s="1"/>
  <c r="AA119" i="52"/>
  <c r="AB119" i="52" s="1"/>
  <c r="AA120" i="52"/>
  <c r="AB120" i="52" s="1"/>
  <c r="AA121" i="52"/>
  <c r="AB121" i="52" s="1"/>
  <c r="AA122" i="52"/>
  <c r="AB122" i="52" s="1"/>
  <c r="AA123" i="52"/>
  <c r="AB123" i="52" s="1"/>
  <c r="AA124" i="52"/>
  <c r="AB124" i="52" s="1"/>
  <c r="AA125" i="52"/>
  <c r="AB125" i="52" s="1"/>
  <c r="AA126" i="52"/>
  <c r="AB126" i="52" s="1"/>
  <c r="AA127" i="52"/>
  <c r="AB127" i="52" s="1"/>
  <c r="AA128" i="52"/>
  <c r="AB128" i="52" s="1"/>
  <c r="AA129" i="52"/>
  <c r="AB129" i="52" s="1"/>
  <c r="AA130" i="52"/>
  <c r="AB130" i="52" s="1"/>
  <c r="AA16" i="46"/>
  <c r="AB16" i="46" s="1"/>
  <c r="AA107" i="46"/>
  <c r="AB107" i="46" s="1"/>
  <c r="AA108" i="46"/>
  <c r="AB108" i="46" s="1"/>
  <c r="AA109" i="46"/>
  <c r="AB109" i="46" s="1"/>
  <c r="AA110" i="46"/>
  <c r="AB110" i="46" s="1"/>
  <c r="AA111" i="46"/>
  <c r="AB111" i="46" s="1"/>
  <c r="AA112" i="46"/>
  <c r="AB112" i="46" s="1"/>
  <c r="AA113" i="46"/>
  <c r="AB113" i="46" s="1"/>
  <c r="AA114" i="46"/>
  <c r="AB114" i="46" s="1"/>
  <c r="AA115" i="46"/>
  <c r="AB115" i="46" s="1"/>
  <c r="AA116" i="46"/>
  <c r="AB116" i="46" s="1"/>
  <c r="AA117" i="46"/>
  <c r="AB117" i="46" s="1"/>
  <c r="AA118" i="46"/>
  <c r="AB118" i="46" s="1"/>
  <c r="AA119" i="46"/>
  <c r="AB119" i="46" s="1"/>
  <c r="AA120" i="46"/>
  <c r="AB120" i="46" s="1"/>
  <c r="AA121" i="46"/>
  <c r="AB121" i="46" s="1"/>
  <c r="AA122" i="46"/>
  <c r="AB122" i="46" s="1"/>
  <c r="AA123" i="46"/>
  <c r="AB123" i="46" s="1"/>
  <c r="AA124" i="46"/>
  <c r="AB124" i="46" s="1"/>
  <c r="AA125" i="46"/>
  <c r="AB125" i="46" s="1"/>
  <c r="AA126" i="46"/>
  <c r="AB126" i="46" s="1"/>
  <c r="AA127" i="46"/>
  <c r="AB127" i="46" s="1"/>
  <c r="AA128" i="46"/>
  <c r="AB128" i="46" s="1"/>
  <c r="AA129" i="46"/>
  <c r="AB129" i="46" s="1"/>
  <c r="AA130" i="46"/>
  <c r="AB130" i="46" s="1"/>
  <c r="A27" i="50"/>
  <c r="AA107" i="50"/>
  <c r="AB107" i="50" s="1"/>
  <c r="AA108" i="50"/>
  <c r="AB108" i="50" s="1"/>
  <c r="AA109" i="50"/>
  <c r="AB109" i="50" s="1"/>
  <c r="AA110" i="50"/>
  <c r="AB110" i="50" s="1"/>
  <c r="AA111" i="50"/>
  <c r="AB111" i="50" s="1"/>
  <c r="AA112" i="50"/>
  <c r="AB112" i="50" s="1"/>
  <c r="AA113" i="50"/>
  <c r="AB113" i="50" s="1"/>
  <c r="AA114" i="50"/>
  <c r="AB114" i="50" s="1"/>
  <c r="AA115" i="50"/>
  <c r="AB115" i="50" s="1"/>
  <c r="AA116" i="50"/>
  <c r="AB116" i="50" s="1"/>
  <c r="AA117" i="50"/>
  <c r="AB117" i="50" s="1"/>
  <c r="AA118" i="50"/>
  <c r="AB118" i="50" s="1"/>
  <c r="AA119" i="50"/>
  <c r="AB119" i="50" s="1"/>
  <c r="AA120" i="50"/>
  <c r="AB120" i="50" s="1"/>
  <c r="AA121" i="50"/>
  <c r="AB121" i="50" s="1"/>
  <c r="AA122" i="50"/>
  <c r="AB122" i="50" s="1"/>
  <c r="AA123" i="50"/>
  <c r="AB123" i="50" s="1"/>
  <c r="AA124" i="50"/>
  <c r="AB124" i="50" s="1"/>
  <c r="AA125" i="50"/>
  <c r="AB125" i="50" s="1"/>
  <c r="AA126" i="50"/>
  <c r="AB126" i="50" s="1"/>
  <c r="AA127" i="50"/>
  <c r="AB127" i="50" s="1"/>
  <c r="AA128" i="50"/>
  <c r="AB128" i="50" s="1"/>
  <c r="AA129" i="50"/>
  <c r="AB129" i="50" s="1"/>
  <c r="AA130" i="50"/>
  <c r="AB130" i="50" s="1"/>
  <c r="AA11" i="45"/>
  <c r="AB11" i="45" s="1"/>
  <c r="AA107" i="45"/>
  <c r="AB107" i="45" s="1"/>
  <c r="AA108" i="45"/>
  <c r="AB108" i="45" s="1"/>
  <c r="AA109" i="45"/>
  <c r="AB109" i="45" s="1"/>
  <c r="AA110" i="45"/>
  <c r="AB110" i="45" s="1"/>
  <c r="AA111" i="45"/>
  <c r="AB111" i="45" s="1"/>
  <c r="AA112" i="45"/>
  <c r="AB112" i="45" s="1"/>
  <c r="AA113" i="45"/>
  <c r="AB113" i="45" s="1"/>
  <c r="AA114" i="45"/>
  <c r="AB114" i="45" s="1"/>
  <c r="AA115" i="45"/>
  <c r="AB115" i="45" s="1"/>
  <c r="AA116" i="45"/>
  <c r="AB116" i="45" s="1"/>
  <c r="AA117" i="45"/>
  <c r="AB117" i="45" s="1"/>
  <c r="AA118" i="45"/>
  <c r="AB118" i="45" s="1"/>
  <c r="AA119" i="45"/>
  <c r="AB119" i="45" s="1"/>
  <c r="AA120" i="45"/>
  <c r="AB120" i="45" s="1"/>
  <c r="AA121" i="45"/>
  <c r="AB121" i="45" s="1"/>
  <c r="AA122" i="45"/>
  <c r="AB122" i="45" s="1"/>
  <c r="AA123" i="45"/>
  <c r="AB123" i="45" s="1"/>
  <c r="AA124" i="45"/>
  <c r="AB124" i="45" s="1"/>
  <c r="AA125" i="45"/>
  <c r="AB125" i="45" s="1"/>
  <c r="AA126" i="45"/>
  <c r="AB126" i="45" s="1"/>
  <c r="AA127" i="45"/>
  <c r="AB127" i="45" s="1"/>
  <c r="AA128" i="45"/>
  <c r="AB128" i="45" s="1"/>
  <c r="AA129" i="45"/>
  <c r="AB129" i="45" s="1"/>
  <c r="AA130" i="45"/>
  <c r="AB130" i="45" s="1"/>
  <c r="AA66" i="50"/>
  <c r="AB66" i="50" s="1"/>
  <c r="AA71" i="46"/>
  <c r="AB71" i="46" s="1"/>
  <c r="AA84" i="50"/>
  <c r="AB84" i="50" s="1"/>
  <c r="AA102" i="50"/>
  <c r="AB102" i="50" s="1"/>
  <c r="AA67" i="46"/>
  <c r="AB67" i="46" s="1"/>
  <c r="AA74" i="50"/>
  <c r="AB74" i="50" s="1"/>
  <c r="AA65" i="46"/>
  <c r="AB65" i="46" s="1"/>
  <c r="AA65" i="50"/>
  <c r="AB65" i="50" s="1"/>
  <c r="AA72" i="46"/>
  <c r="AB72" i="46" s="1"/>
  <c r="AA64" i="50"/>
  <c r="AB64" i="50" s="1"/>
  <c r="AA72" i="50"/>
  <c r="AB72" i="50" s="1"/>
  <c r="AA73" i="46"/>
  <c r="AB73" i="46" s="1"/>
  <c r="AA51" i="46"/>
  <c r="AB51" i="46" s="1"/>
  <c r="AA92" i="50"/>
  <c r="AB92" i="50" s="1"/>
  <c r="AA91" i="50"/>
  <c r="AB91" i="50" s="1"/>
  <c r="AA94" i="50"/>
  <c r="AB94" i="50" s="1"/>
  <c r="AA75" i="50"/>
  <c r="AB75" i="50" s="1"/>
  <c r="AA58" i="50"/>
  <c r="AB58" i="50" s="1"/>
  <c r="AA47" i="46"/>
  <c r="AB47" i="46" s="1"/>
  <c r="AA75" i="46"/>
  <c r="AB75" i="46" s="1"/>
  <c r="AA90" i="50"/>
  <c r="AB90" i="50" s="1"/>
  <c r="AA62" i="50"/>
  <c r="AB62" i="50" s="1"/>
  <c r="AA69" i="50"/>
  <c r="AB69" i="50" s="1"/>
  <c r="AA62" i="46"/>
  <c r="AB62" i="46" s="1"/>
  <c r="AA66" i="46"/>
  <c r="AB66" i="46" s="1"/>
  <c r="AA61" i="46"/>
  <c r="AB61" i="46" s="1"/>
  <c r="AA98" i="46"/>
  <c r="AB98" i="46" s="1"/>
  <c r="AA93" i="46"/>
  <c r="AB93" i="46" s="1"/>
  <c r="AA97" i="52"/>
  <c r="AB97" i="52" s="1"/>
  <c r="AA105" i="52"/>
  <c r="AB105" i="52" s="1"/>
  <c r="AA94" i="52"/>
  <c r="AB94" i="52" s="1"/>
  <c r="AA88" i="46"/>
  <c r="AB88" i="46" s="1"/>
  <c r="AA97" i="46"/>
  <c r="AB97" i="46" s="1"/>
  <c r="AA103" i="52"/>
  <c r="AB103" i="52" s="1"/>
  <c r="AA91" i="52"/>
  <c r="AB91" i="52" s="1"/>
  <c r="AA91" i="46"/>
  <c r="AB91" i="46" s="1"/>
  <c r="AA102" i="52"/>
  <c r="AB102" i="52" s="1"/>
  <c r="AA83" i="52"/>
  <c r="AB83" i="52" s="1"/>
  <c r="AA60" i="50"/>
  <c r="AB60" i="50" s="1"/>
  <c r="AA73" i="50"/>
  <c r="AB73" i="50" s="1"/>
  <c r="AA68" i="50"/>
  <c r="AB68" i="50" s="1"/>
  <c r="AA71" i="50"/>
  <c r="AB71" i="50" s="1"/>
  <c r="AA67" i="50"/>
  <c r="AB67" i="50" s="1"/>
  <c r="AA68" i="46"/>
  <c r="AB68" i="46" s="1"/>
  <c r="AA64" i="46"/>
  <c r="AB64" i="46" s="1"/>
  <c r="AA70" i="46"/>
  <c r="AB70" i="46" s="1"/>
  <c r="AA63" i="46"/>
  <c r="AB63" i="46" s="1"/>
  <c r="AA60" i="46"/>
  <c r="AB60" i="46" s="1"/>
  <c r="AA100" i="50"/>
  <c r="AB100" i="50" s="1"/>
  <c r="AA96" i="50"/>
  <c r="AB96" i="50" s="1"/>
  <c r="AA103" i="50"/>
  <c r="AB103" i="50" s="1"/>
  <c r="AA106" i="50"/>
  <c r="AB106" i="50" s="1"/>
  <c r="AA101" i="50"/>
  <c r="AB101" i="50" s="1"/>
  <c r="AA97" i="50"/>
  <c r="AB97" i="50" s="1"/>
  <c r="AA98" i="50"/>
  <c r="AB98" i="50" s="1"/>
  <c r="AA95" i="46"/>
  <c r="AB95" i="46" s="1"/>
  <c r="AA94" i="46"/>
  <c r="AB94" i="46" s="1"/>
  <c r="AA92" i="46"/>
  <c r="AB92" i="46" s="1"/>
  <c r="AA90" i="46"/>
  <c r="AB90" i="46" s="1"/>
  <c r="AA83" i="46"/>
  <c r="AB83" i="46" s="1"/>
  <c r="AA84" i="46"/>
  <c r="AB84" i="46" s="1"/>
  <c r="AA89" i="50"/>
  <c r="AB89" i="50" s="1"/>
  <c r="AA82" i="50"/>
  <c r="AB82" i="50" s="1"/>
  <c r="AA99" i="50"/>
  <c r="AB99" i="50" s="1"/>
  <c r="AA83" i="50"/>
  <c r="AB83" i="50" s="1"/>
  <c r="AA87" i="50"/>
  <c r="AB87" i="50" s="1"/>
  <c r="AA105" i="46"/>
  <c r="AB105" i="46" s="1"/>
  <c r="AA99" i="46"/>
  <c r="AB99" i="46" s="1"/>
  <c r="AA104" i="46"/>
  <c r="AB104" i="46" s="1"/>
  <c r="AA79" i="50"/>
  <c r="AB79" i="50" s="1"/>
  <c r="AA85" i="50"/>
  <c r="AB85" i="50" s="1"/>
  <c r="AA85" i="46"/>
  <c r="AB85" i="46" s="1"/>
  <c r="AA101" i="46"/>
  <c r="AB101" i="46" s="1"/>
  <c r="AA87" i="46"/>
  <c r="AB87" i="46" s="1"/>
  <c r="AA59" i="50"/>
  <c r="AB59" i="50" s="1"/>
  <c r="AA63" i="50"/>
  <c r="AB63" i="50" s="1"/>
  <c r="AA61" i="50"/>
  <c r="AB61" i="50" s="1"/>
  <c r="AA70" i="50"/>
  <c r="AB70" i="50" s="1"/>
  <c r="AA76" i="50"/>
  <c r="AB76" i="50" s="1"/>
  <c r="AA74" i="46"/>
  <c r="AB74" i="46" s="1"/>
  <c r="AA59" i="46"/>
  <c r="AB59" i="46" s="1"/>
  <c r="AA76" i="46"/>
  <c r="AB76" i="46" s="1"/>
  <c r="AA69" i="46"/>
  <c r="AB69" i="46" s="1"/>
  <c r="AA58" i="46"/>
  <c r="AB58" i="46" s="1"/>
  <c r="AA77" i="50"/>
  <c r="AB77" i="50" s="1"/>
  <c r="AA93" i="50"/>
  <c r="AB93" i="50" s="1"/>
  <c r="AA88" i="50"/>
  <c r="AB88" i="50" s="1"/>
  <c r="AA86" i="50"/>
  <c r="AB86" i="50" s="1"/>
  <c r="AA95" i="50"/>
  <c r="AB95" i="50" s="1"/>
  <c r="AA105" i="50"/>
  <c r="AB105" i="50" s="1"/>
  <c r="AA104" i="50"/>
  <c r="AB104" i="50" s="1"/>
  <c r="AA96" i="46"/>
  <c r="AB96" i="46" s="1"/>
  <c r="AA100" i="46"/>
  <c r="AB100" i="46" s="1"/>
  <c r="AA89" i="46"/>
  <c r="AB89" i="46" s="1"/>
  <c r="AA106" i="46"/>
  <c r="AB106" i="46" s="1"/>
  <c r="AA86" i="46"/>
  <c r="AB86" i="46" s="1"/>
  <c r="AA102" i="46"/>
  <c r="AB102" i="46" s="1"/>
  <c r="AA51" i="50"/>
  <c r="AB51" i="50" s="1"/>
  <c r="AA49" i="50"/>
  <c r="AB49" i="50" s="1"/>
  <c r="AA54" i="50"/>
  <c r="AB54" i="50" s="1"/>
  <c r="AA47" i="50"/>
  <c r="AB47" i="50" s="1"/>
  <c r="AA48" i="50"/>
  <c r="AB48" i="50" s="1"/>
  <c r="AA53" i="50"/>
  <c r="AB53" i="50" s="1"/>
  <c r="AA56" i="50"/>
  <c r="AB56" i="50" s="1"/>
  <c r="AA48" i="46"/>
  <c r="AB48" i="46" s="1"/>
  <c r="AA52" i="46"/>
  <c r="AB52" i="46" s="1"/>
  <c r="AA49" i="46"/>
  <c r="AB49" i="46" s="1"/>
  <c r="AA53" i="46"/>
  <c r="AB53" i="46" s="1"/>
  <c r="AA56" i="46"/>
  <c r="AB56" i="46" s="1"/>
  <c r="AA55" i="46"/>
  <c r="AB55" i="46" s="1"/>
  <c r="AA50" i="50"/>
  <c r="AB50" i="50" s="1"/>
  <c r="AA52" i="50"/>
  <c r="AB52" i="50" s="1"/>
  <c r="AA50" i="46"/>
  <c r="AB50" i="46" s="1"/>
  <c r="AA55" i="50"/>
  <c r="AB55" i="50" s="1"/>
  <c r="AA57" i="50"/>
  <c r="AB57" i="50" s="1"/>
  <c r="AA54" i="46"/>
  <c r="AB54" i="46" s="1"/>
  <c r="AA57" i="46"/>
  <c r="AB57" i="46" s="1"/>
  <c r="AA34" i="46"/>
  <c r="AB34" i="46" s="1"/>
  <c r="AA42" i="46"/>
  <c r="AB42" i="46" s="1"/>
  <c r="AA37" i="46"/>
  <c r="AB37" i="46" s="1"/>
  <c r="AA33" i="46"/>
  <c r="AB33" i="46" s="1"/>
  <c r="AA32" i="50"/>
  <c r="AB32" i="50" s="1"/>
  <c r="AA31" i="50"/>
  <c r="AB31" i="50" s="1"/>
  <c r="AA36" i="50"/>
  <c r="AB36" i="50" s="1"/>
  <c r="AA39" i="50"/>
  <c r="AB39" i="50" s="1"/>
  <c r="AA32" i="46"/>
  <c r="AB32" i="46" s="1"/>
  <c r="AA41" i="50"/>
  <c r="AB41" i="50" s="1"/>
  <c r="AA38" i="50"/>
  <c r="AB38" i="50" s="1"/>
  <c r="AA33" i="50"/>
  <c r="AB33" i="50" s="1"/>
  <c r="AA31" i="46"/>
  <c r="AB31" i="46" s="1"/>
  <c r="AA43" i="46"/>
  <c r="AB43" i="46" s="1"/>
  <c r="AA45" i="50"/>
  <c r="AB45" i="50" s="1"/>
  <c r="AA34" i="50"/>
  <c r="AB34" i="50" s="1"/>
  <c r="AA40" i="46"/>
  <c r="AB40" i="46" s="1"/>
  <c r="AA41" i="46"/>
  <c r="AB41" i="46" s="1"/>
  <c r="AA44" i="46"/>
  <c r="AB44" i="46" s="1"/>
  <c r="AA43" i="50"/>
  <c r="AB43" i="50" s="1"/>
  <c r="AA35" i="50"/>
  <c r="AB35" i="50" s="1"/>
  <c r="AA37" i="50"/>
  <c r="AB37" i="50" s="1"/>
  <c r="AA42" i="50"/>
  <c r="AB42" i="50" s="1"/>
  <c r="AA36" i="46"/>
  <c r="AB36" i="46" s="1"/>
  <c r="AA38" i="46"/>
  <c r="AB38" i="46" s="1"/>
  <c r="AA46" i="46"/>
  <c r="AB46" i="46" s="1"/>
  <c r="AA46" i="50"/>
  <c r="AB46" i="50" s="1"/>
  <c r="AA40" i="50"/>
  <c r="AB40" i="50" s="1"/>
  <c r="AA44" i="50"/>
  <c r="AB44" i="50" s="1"/>
  <c r="AA35" i="46"/>
  <c r="AB35" i="46" s="1"/>
  <c r="AA45" i="46"/>
  <c r="AB45" i="46" s="1"/>
  <c r="AA39" i="46"/>
  <c r="AB39" i="46" s="1"/>
  <c r="AA98" i="52"/>
  <c r="AB98" i="52" s="1"/>
  <c r="AA89" i="52"/>
  <c r="AB89" i="52" s="1"/>
  <c r="AA87" i="52"/>
  <c r="AB87" i="52" s="1"/>
  <c r="AA99" i="52"/>
  <c r="AB99" i="52" s="1"/>
  <c r="AA93" i="52"/>
  <c r="AB93" i="52" s="1"/>
  <c r="AA86" i="52"/>
  <c r="AB86" i="52" s="1"/>
  <c r="AA74" i="17"/>
  <c r="AB74" i="17" s="1"/>
  <c r="AA48" i="17"/>
  <c r="AB48" i="17" s="1"/>
  <c r="AA57" i="17"/>
  <c r="AB57" i="17" s="1"/>
  <c r="D8" i="58"/>
  <c r="D8" i="57"/>
  <c r="AA53" i="17"/>
  <c r="AB53" i="17" s="1"/>
  <c r="AA43" i="17"/>
  <c r="AB43" i="17" s="1"/>
  <c r="AA56" i="17"/>
  <c r="AB56" i="17" s="1"/>
  <c r="AA33" i="17"/>
  <c r="AB33" i="17" s="1"/>
  <c r="AA64" i="17"/>
  <c r="AB64" i="17" s="1"/>
  <c r="AA38" i="17"/>
  <c r="AB38" i="17" s="1"/>
  <c r="AA75" i="17"/>
  <c r="AB75" i="17" s="1"/>
  <c r="AA52" i="17"/>
  <c r="AB52" i="17" s="1"/>
  <c r="AA46" i="17"/>
  <c r="AB46" i="17" s="1"/>
  <c r="AA98" i="17"/>
  <c r="AB98" i="17" s="1"/>
  <c r="AA106" i="52"/>
  <c r="AB106" i="52" s="1"/>
  <c r="AA101" i="52"/>
  <c r="AB101" i="52" s="1"/>
  <c r="AA95" i="52"/>
  <c r="AB95" i="52" s="1"/>
  <c r="AA90" i="52"/>
  <c r="AB90" i="52" s="1"/>
  <c r="AA85" i="52"/>
  <c r="AB85" i="52" s="1"/>
  <c r="AA60" i="17"/>
  <c r="AB60" i="17" s="1"/>
  <c r="AA65" i="17"/>
  <c r="AB65" i="17" s="1"/>
  <c r="AA41" i="17"/>
  <c r="AB41" i="17" s="1"/>
  <c r="AA59" i="17"/>
  <c r="AB59" i="17" s="1"/>
  <c r="AA39" i="17"/>
  <c r="AB39" i="17" s="1"/>
  <c r="AA76" i="17"/>
  <c r="AB76" i="17" s="1"/>
  <c r="AA36" i="17"/>
  <c r="AB36" i="17" s="1"/>
  <c r="AA71" i="17"/>
  <c r="AB71" i="17" s="1"/>
  <c r="AA32" i="17"/>
  <c r="AB32" i="17" s="1"/>
  <c r="AA67" i="17"/>
  <c r="AB67" i="17" s="1"/>
  <c r="AA61" i="17"/>
  <c r="AB61" i="17" s="1"/>
  <c r="AA104" i="52"/>
  <c r="AB104" i="52" s="1"/>
  <c r="AA100" i="52"/>
  <c r="AB100" i="52" s="1"/>
  <c r="AA96" i="52"/>
  <c r="AB96" i="52" s="1"/>
  <c r="AA92" i="52"/>
  <c r="AB92" i="52" s="1"/>
  <c r="AA88" i="52"/>
  <c r="AB88" i="52" s="1"/>
  <c r="AA84" i="52"/>
  <c r="AB84" i="52" s="1"/>
  <c r="AA42" i="17"/>
  <c r="AB42" i="17" s="1"/>
  <c r="AA31" i="17"/>
  <c r="AB31" i="17" s="1"/>
  <c r="AA35" i="17"/>
  <c r="AB35" i="17" s="1"/>
  <c r="AA37" i="17"/>
  <c r="AB37" i="17" s="1"/>
  <c r="AA47" i="17"/>
  <c r="AB47" i="17" s="1"/>
  <c r="AA58" i="17"/>
  <c r="AB58" i="17" s="1"/>
  <c r="AA63" i="17"/>
  <c r="AB63" i="17" s="1"/>
  <c r="AA44" i="17"/>
  <c r="AB44" i="17" s="1"/>
  <c r="AA49" i="17"/>
  <c r="AB49" i="17" s="1"/>
  <c r="AA69" i="17"/>
  <c r="AB69" i="17" s="1"/>
  <c r="AA70" i="17"/>
  <c r="AB70" i="17" s="1"/>
  <c r="AA90" i="17"/>
  <c r="AB90" i="17" s="1"/>
  <c r="AA55" i="17"/>
  <c r="AB55" i="17" s="1"/>
  <c r="AA72" i="17"/>
  <c r="AB72" i="17" s="1"/>
  <c r="AA73" i="17"/>
  <c r="AB73" i="17" s="1"/>
  <c r="AA34" i="17"/>
  <c r="AB34" i="17" s="1"/>
  <c r="AA66" i="17"/>
  <c r="AB66" i="17" s="1"/>
  <c r="AA62" i="17"/>
  <c r="AB62" i="17" s="1"/>
  <c r="AA45" i="17"/>
  <c r="AB45" i="17" s="1"/>
  <c r="AA68" i="17"/>
  <c r="AB68" i="17" s="1"/>
  <c r="AA50" i="17"/>
  <c r="AB50" i="17" s="1"/>
  <c r="AA54" i="17"/>
  <c r="AB54" i="17" s="1"/>
  <c r="AA51" i="17"/>
  <c r="AB51" i="17" s="1"/>
  <c r="AA40" i="17"/>
  <c r="AB40" i="17" s="1"/>
  <c r="AA102" i="17"/>
  <c r="AB102" i="17" s="1"/>
  <c r="AA95" i="17"/>
  <c r="AB95" i="17" s="1"/>
  <c r="AA101" i="17"/>
  <c r="AB101" i="17" s="1"/>
  <c r="AA94" i="17"/>
  <c r="AB94" i="17" s="1"/>
  <c r="AA96" i="17"/>
  <c r="AB96" i="17" s="1"/>
  <c r="AA100" i="17"/>
  <c r="AB100" i="17" s="1"/>
  <c r="AA97" i="17"/>
  <c r="AB97" i="17" s="1"/>
  <c r="AA89" i="17"/>
  <c r="AB89" i="17" s="1"/>
  <c r="AA78" i="17"/>
  <c r="AB78" i="17" s="1"/>
  <c r="AA91" i="17"/>
  <c r="AB91" i="17" s="1"/>
  <c r="AA86" i="17"/>
  <c r="AB86" i="17" s="1"/>
  <c r="AA84" i="51"/>
  <c r="AB84" i="51" s="1"/>
  <c r="AA98" i="51"/>
  <c r="AB98" i="51" s="1"/>
  <c r="AA91" i="51"/>
  <c r="AB91" i="51" s="1"/>
  <c r="AA99" i="51"/>
  <c r="AB99" i="51" s="1"/>
  <c r="AA82" i="51"/>
  <c r="AB82" i="51" s="1"/>
  <c r="AA77" i="45"/>
  <c r="AB77" i="45" s="1"/>
  <c r="AA59" i="45"/>
  <c r="AB59" i="45" s="1"/>
  <c r="AA56" i="45"/>
  <c r="AB56" i="45" s="1"/>
  <c r="AA86" i="45"/>
  <c r="AB86" i="45" s="1"/>
  <c r="AA84" i="17"/>
  <c r="AB84" i="17" s="1"/>
  <c r="AA93" i="17"/>
  <c r="AB93" i="17" s="1"/>
  <c r="AA105" i="17"/>
  <c r="AB105" i="17" s="1"/>
  <c r="AA104" i="17"/>
  <c r="AB104" i="17" s="1"/>
  <c r="AA83" i="17"/>
  <c r="AB83" i="17" s="1"/>
  <c r="AA87" i="17"/>
  <c r="AB87" i="17" s="1"/>
  <c r="AA88" i="17"/>
  <c r="AB88" i="17" s="1"/>
  <c r="AA86" i="51"/>
  <c r="AB86" i="51" s="1"/>
  <c r="AA49" i="51"/>
  <c r="AB49" i="51" s="1"/>
  <c r="AA32" i="45"/>
  <c r="AB32" i="45" s="1"/>
  <c r="AA81" i="17"/>
  <c r="AB81" i="17" s="1"/>
  <c r="AA103" i="17"/>
  <c r="AB103" i="17" s="1"/>
  <c r="AA99" i="17"/>
  <c r="AB99" i="17" s="1"/>
  <c r="AA106" i="17"/>
  <c r="AB106" i="17" s="1"/>
  <c r="AA85" i="17"/>
  <c r="AB85" i="17" s="1"/>
  <c r="AA92" i="17"/>
  <c r="AB92" i="17" s="1"/>
  <c r="AA83" i="51"/>
  <c r="AB83" i="51" s="1"/>
  <c r="AA97" i="51"/>
  <c r="AB97" i="51" s="1"/>
  <c r="AA94" i="51"/>
  <c r="AB94" i="51" s="1"/>
  <c r="AA95" i="51"/>
  <c r="AB95" i="51" s="1"/>
  <c r="AA92" i="51"/>
  <c r="AB92" i="51" s="1"/>
  <c r="AA90" i="51"/>
  <c r="AB90" i="51" s="1"/>
  <c r="AA85" i="51"/>
  <c r="AB85" i="51" s="1"/>
  <c r="AA96" i="51"/>
  <c r="AB96" i="51" s="1"/>
  <c r="AA87" i="51"/>
  <c r="AB87" i="51" s="1"/>
  <c r="AA103" i="51"/>
  <c r="AB103" i="51" s="1"/>
  <c r="AA102" i="51"/>
  <c r="AB102" i="51" s="1"/>
  <c r="AA105" i="51"/>
  <c r="AB105" i="51" s="1"/>
  <c r="AA31" i="45"/>
  <c r="AB31" i="45" s="1"/>
  <c r="AA44" i="45"/>
  <c r="AB44" i="45" s="1"/>
  <c r="AA53" i="45"/>
  <c r="AB53" i="45" s="1"/>
  <c r="AA90" i="45"/>
  <c r="AB90" i="45" s="1"/>
  <c r="AA96" i="45"/>
  <c r="AB96" i="45" s="1"/>
  <c r="AA105" i="45"/>
  <c r="AB105" i="45" s="1"/>
  <c r="AA88" i="45"/>
  <c r="AB88" i="45" s="1"/>
  <c r="AA40" i="45"/>
  <c r="AB40" i="45" s="1"/>
  <c r="AA69" i="45"/>
  <c r="AB69" i="45" s="1"/>
  <c r="AA63" i="45"/>
  <c r="AB63" i="45" s="1"/>
  <c r="AA70" i="45"/>
  <c r="AB70" i="45" s="1"/>
  <c r="AA51" i="45"/>
  <c r="AB51" i="45" s="1"/>
  <c r="AA76" i="45"/>
  <c r="AB76" i="45" s="1"/>
  <c r="AA100" i="45"/>
  <c r="AB100" i="45" s="1"/>
  <c r="AA99" i="45"/>
  <c r="AB99" i="45" s="1"/>
  <c r="AA64" i="45"/>
  <c r="AB64" i="45" s="1"/>
  <c r="AA73" i="45"/>
  <c r="AB73" i="45" s="1"/>
  <c r="AA75" i="45"/>
  <c r="AB75" i="45" s="1"/>
  <c r="AA50" i="45"/>
  <c r="AB50" i="45" s="1"/>
  <c r="AA39" i="45"/>
  <c r="AB39" i="45" s="1"/>
  <c r="AA38" i="45"/>
  <c r="AB38" i="45" s="1"/>
  <c r="AA65" i="45"/>
  <c r="AB65" i="45" s="1"/>
  <c r="AA58" i="45"/>
  <c r="AB58" i="45" s="1"/>
  <c r="AA36" i="45"/>
  <c r="AB36" i="45" s="1"/>
  <c r="AA60" i="45"/>
  <c r="AB60" i="45" s="1"/>
  <c r="AA35" i="45"/>
  <c r="AB35" i="45" s="1"/>
  <c r="AA42" i="45"/>
  <c r="AB42" i="45" s="1"/>
  <c r="AA82" i="45"/>
  <c r="AB82" i="45" s="1"/>
  <c r="AA84" i="45"/>
  <c r="AB84" i="45" s="1"/>
  <c r="AA101" i="45"/>
  <c r="AB101" i="45" s="1"/>
  <c r="AA85" i="45"/>
  <c r="AB85" i="45" s="1"/>
  <c r="AA80" i="45"/>
  <c r="AB80" i="45" s="1"/>
  <c r="AA89" i="45"/>
  <c r="AB89" i="45" s="1"/>
  <c r="AA81" i="45"/>
  <c r="AB81" i="45" s="1"/>
  <c r="AA57" i="45"/>
  <c r="AB57" i="45" s="1"/>
  <c r="AA68" i="45"/>
  <c r="AB68" i="45" s="1"/>
  <c r="AA45" i="45"/>
  <c r="AB45" i="45" s="1"/>
  <c r="AA72" i="45"/>
  <c r="AB72" i="45" s="1"/>
  <c r="AA33" i="45"/>
  <c r="AB33" i="45" s="1"/>
  <c r="AA102" i="45"/>
  <c r="AB102" i="45" s="1"/>
  <c r="AA79" i="45"/>
  <c r="AB79" i="45" s="1"/>
  <c r="AA93" i="45"/>
  <c r="AB93" i="45" s="1"/>
  <c r="AA106" i="45"/>
  <c r="AB106" i="45" s="1"/>
  <c r="AA87" i="45"/>
  <c r="AB87" i="45" s="1"/>
  <c r="AA94" i="45"/>
  <c r="AB94" i="45" s="1"/>
  <c r="AA92" i="45"/>
  <c r="AB92" i="45" s="1"/>
  <c r="AA43" i="45"/>
  <c r="AB43" i="45" s="1"/>
  <c r="AA47" i="45"/>
  <c r="AB47" i="45" s="1"/>
  <c r="AA46" i="45"/>
  <c r="AB46" i="45" s="1"/>
  <c r="AA52" i="45"/>
  <c r="AB52" i="45" s="1"/>
  <c r="AA48" i="45"/>
  <c r="AB48" i="45" s="1"/>
  <c r="AA54" i="45"/>
  <c r="AB54" i="45" s="1"/>
  <c r="AA66" i="45"/>
  <c r="AB66" i="45" s="1"/>
  <c r="AA55" i="45"/>
  <c r="AB55" i="45" s="1"/>
  <c r="AA67" i="45"/>
  <c r="AB67" i="45" s="1"/>
  <c r="AA61" i="45"/>
  <c r="AB61" i="45" s="1"/>
  <c r="AA34" i="45"/>
  <c r="AB34" i="45" s="1"/>
  <c r="AA37" i="45"/>
  <c r="AB37" i="45" s="1"/>
  <c r="AA71" i="45"/>
  <c r="AB71" i="45" s="1"/>
  <c r="AA41" i="45"/>
  <c r="AB41" i="45" s="1"/>
  <c r="AA74" i="45"/>
  <c r="AB74" i="45" s="1"/>
  <c r="AA62" i="45"/>
  <c r="AB62" i="45" s="1"/>
  <c r="AA49" i="45"/>
  <c r="AB49" i="45" s="1"/>
  <c r="AA95" i="45"/>
  <c r="AB95" i="45" s="1"/>
  <c r="AA97" i="45"/>
  <c r="AB97" i="45" s="1"/>
  <c r="AA104" i="45"/>
  <c r="AB104" i="45" s="1"/>
  <c r="AA91" i="45"/>
  <c r="AB91" i="45" s="1"/>
  <c r="AA83" i="45"/>
  <c r="AB83" i="45" s="1"/>
  <c r="AA98" i="45"/>
  <c r="AB98" i="45" s="1"/>
  <c r="AA78" i="45"/>
  <c r="AB78" i="45" s="1"/>
  <c r="AA103" i="45"/>
  <c r="AB103" i="45" s="1"/>
  <c r="AA66" i="51"/>
  <c r="AB66" i="51" s="1"/>
  <c r="AA100" i="51"/>
  <c r="AB100" i="51" s="1"/>
  <c r="AA88" i="51"/>
  <c r="AB88" i="51" s="1"/>
  <c r="AA101" i="51"/>
  <c r="AB101" i="51" s="1"/>
  <c r="AA89" i="51"/>
  <c r="AB89" i="51" s="1"/>
  <c r="AA106" i="51"/>
  <c r="AB106" i="51" s="1"/>
  <c r="AA93" i="51"/>
  <c r="AB93" i="51" s="1"/>
  <c r="AA78" i="46"/>
  <c r="AB78" i="46" s="1"/>
  <c r="AA77" i="46"/>
  <c r="AB77" i="46" s="1"/>
  <c r="AA81" i="46"/>
  <c r="AB81" i="46" s="1"/>
  <c r="AA51" i="51"/>
  <c r="AB51" i="51" s="1"/>
  <c r="AA54" i="51"/>
  <c r="AB54" i="51" s="1"/>
  <c r="AA80" i="17"/>
  <c r="AB80" i="17" s="1"/>
  <c r="AA64" i="51"/>
  <c r="AB64" i="51" s="1"/>
  <c r="AA77" i="17"/>
  <c r="AB77" i="17" s="1"/>
  <c r="AA79" i="17"/>
  <c r="AB79" i="17" s="1"/>
  <c r="AA82" i="17"/>
  <c r="AB82" i="17" s="1"/>
  <c r="AA37" i="51"/>
  <c r="AB37" i="51" s="1"/>
  <c r="AA31" i="51"/>
  <c r="AB31" i="51" s="1"/>
  <c r="AA32" i="52"/>
  <c r="AB32" i="52" s="1"/>
  <c r="AA67" i="51"/>
  <c r="AB67" i="51" s="1"/>
  <c r="AA32" i="51"/>
  <c r="AB32" i="51" s="1"/>
  <c r="AA45" i="51"/>
  <c r="AB45" i="51" s="1"/>
  <c r="AA30" i="51"/>
  <c r="AB30" i="51" s="1"/>
  <c r="AA50" i="51"/>
  <c r="AB50" i="51" s="1"/>
  <c r="AA80" i="52"/>
  <c r="AB80" i="52" s="1"/>
  <c r="AA64" i="52"/>
  <c r="AB64" i="52" s="1"/>
  <c r="AA48" i="52"/>
  <c r="AB48" i="52" s="1"/>
  <c r="AA76" i="52"/>
  <c r="AB76" i="52" s="1"/>
  <c r="AA60" i="52"/>
  <c r="AB60" i="52" s="1"/>
  <c r="AA44" i="52"/>
  <c r="AB44" i="52" s="1"/>
  <c r="AA72" i="52"/>
  <c r="AB72" i="52" s="1"/>
  <c r="AA56" i="52"/>
  <c r="AB56" i="52" s="1"/>
  <c r="AA40" i="52"/>
  <c r="AB40" i="52" s="1"/>
  <c r="AA81" i="50"/>
  <c r="AB81" i="50" s="1"/>
  <c r="AA82" i="46"/>
  <c r="AB82" i="46" s="1"/>
  <c r="AA68" i="52"/>
  <c r="AB68" i="52" s="1"/>
  <c r="AA52" i="52"/>
  <c r="AB52" i="52" s="1"/>
  <c r="AA36" i="52"/>
  <c r="AB36" i="52" s="1"/>
  <c r="AA39" i="51"/>
  <c r="AB39" i="51" s="1"/>
  <c r="AA59" i="51"/>
  <c r="AB59" i="51" s="1"/>
  <c r="AA40" i="51"/>
  <c r="AB40" i="51" s="1"/>
  <c r="AA44" i="51"/>
  <c r="AB44" i="51" s="1"/>
  <c r="AA69" i="51"/>
  <c r="AB69" i="51" s="1"/>
  <c r="AA43" i="51"/>
  <c r="AB43" i="51" s="1"/>
  <c r="AA75" i="51"/>
  <c r="AB75" i="51" s="1"/>
  <c r="AA46" i="51"/>
  <c r="AB46" i="51" s="1"/>
  <c r="AA65" i="51"/>
  <c r="AB65" i="51" s="1"/>
  <c r="AA76" i="51"/>
  <c r="AB76" i="51" s="1"/>
  <c r="AA74" i="51"/>
  <c r="AB74" i="51" s="1"/>
  <c r="AA56" i="51"/>
  <c r="AB56" i="51" s="1"/>
  <c r="AA34" i="51"/>
  <c r="AB34" i="51" s="1"/>
  <c r="AA38" i="51"/>
  <c r="AB38" i="51" s="1"/>
  <c r="AA55" i="51"/>
  <c r="AB55" i="51" s="1"/>
  <c r="AA71" i="51"/>
  <c r="AB71" i="51" s="1"/>
  <c r="AA52" i="51"/>
  <c r="AB52" i="51" s="1"/>
  <c r="AA48" i="51"/>
  <c r="AB48" i="51" s="1"/>
  <c r="AA42" i="51"/>
  <c r="AB42" i="51" s="1"/>
  <c r="AA57" i="51"/>
  <c r="AB57" i="51" s="1"/>
  <c r="AA81" i="51"/>
  <c r="AB81" i="51" s="1"/>
  <c r="AA77" i="51"/>
  <c r="AB77" i="51" s="1"/>
  <c r="AA72" i="51"/>
  <c r="AB72" i="51" s="1"/>
  <c r="AA33" i="51"/>
  <c r="AB33" i="51" s="1"/>
  <c r="AA35" i="51"/>
  <c r="AB35" i="51" s="1"/>
  <c r="AA47" i="51"/>
  <c r="AB47" i="51" s="1"/>
  <c r="AA63" i="51"/>
  <c r="AB63" i="51" s="1"/>
  <c r="AA79" i="51"/>
  <c r="AB79" i="51" s="1"/>
  <c r="AA41" i="51"/>
  <c r="AB41" i="51" s="1"/>
  <c r="AA36" i="51"/>
  <c r="AB36" i="51" s="1"/>
  <c r="AA60" i="51"/>
  <c r="AB60" i="51" s="1"/>
  <c r="AA53" i="51"/>
  <c r="AB53" i="51" s="1"/>
  <c r="AA70" i="51"/>
  <c r="AB70" i="51" s="1"/>
  <c r="AA61" i="51"/>
  <c r="AB61" i="51" s="1"/>
  <c r="AA79" i="52"/>
  <c r="AB79" i="52" s="1"/>
  <c r="AA75" i="52"/>
  <c r="AB75" i="52" s="1"/>
  <c r="AA71" i="52"/>
  <c r="AB71" i="52" s="1"/>
  <c r="AA67" i="52"/>
  <c r="AB67" i="52" s="1"/>
  <c r="AA63" i="52"/>
  <c r="AB63" i="52" s="1"/>
  <c r="AA59" i="52"/>
  <c r="AB59" i="52" s="1"/>
  <c r="AA55" i="52"/>
  <c r="AB55" i="52" s="1"/>
  <c r="AA51" i="52"/>
  <c r="AB51" i="52" s="1"/>
  <c r="AA47" i="52"/>
  <c r="AB47" i="52" s="1"/>
  <c r="AA43" i="52"/>
  <c r="AB43" i="52" s="1"/>
  <c r="AA39" i="52"/>
  <c r="AB39" i="52" s="1"/>
  <c r="AA35" i="52"/>
  <c r="AB35" i="52" s="1"/>
  <c r="AA31" i="52"/>
  <c r="AB31" i="52" s="1"/>
  <c r="AA78" i="50"/>
  <c r="AB78" i="50" s="1"/>
  <c r="AA80" i="50"/>
  <c r="AB80" i="50" s="1"/>
  <c r="AA82" i="52"/>
  <c r="AB82" i="52" s="1"/>
  <c r="AA78" i="52"/>
  <c r="AB78" i="52" s="1"/>
  <c r="AA74" i="52"/>
  <c r="AB74" i="52" s="1"/>
  <c r="AA70" i="52"/>
  <c r="AB70" i="52" s="1"/>
  <c r="AA66" i="52"/>
  <c r="AB66" i="52" s="1"/>
  <c r="AA62" i="52"/>
  <c r="AB62" i="52" s="1"/>
  <c r="AA58" i="52"/>
  <c r="AB58" i="52" s="1"/>
  <c r="AA54" i="52"/>
  <c r="AB54" i="52" s="1"/>
  <c r="AA50" i="52"/>
  <c r="AB50" i="52" s="1"/>
  <c r="AA46" i="52"/>
  <c r="AB46" i="52" s="1"/>
  <c r="AA42" i="52"/>
  <c r="AB42" i="52" s="1"/>
  <c r="AA38" i="52"/>
  <c r="AB38" i="52" s="1"/>
  <c r="AA34" i="52"/>
  <c r="AB34" i="52" s="1"/>
  <c r="AA79" i="46"/>
  <c r="AB79" i="46" s="1"/>
  <c r="AA80" i="46"/>
  <c r="AB80" i="46" s="1"/>
  <c r="AA81" i="52"/>
  <c r="AB81" i="52" s="1"/>
  <c r="AA77" i="52"/>
  <c r="AB77" i="52" s="1"/>
  <c r="AA73" i="52"/>
  <c r="AB73" i="52" s="1"/>
  <c r="AA69" i="52"/>
  <c r="AB69" i="52" s="1"/>
  <c r="AA65" i="52"/>
  <c r="AB65" i="52" s="1"/>
  <c r="AA61" i="52"/>
  <c r="AB61" i="52" s="1"/>
  <c r="AA57" i="52"/>
  <c r="AB57" i="52" s="1"/>
  <c r="AA53" i="52"/>
  <c r="AB53" i="52" s="1"/>
  <c r="AA49" i="52"/>
  <c r="AB49" i="52" s="1"/>
  <c r="AA45" i="52"/>
  <c r="AB45" i="52" s="1"/>
  <c r="AA41" i="52"/>
  <c r="AB41" i="52" s="1"/>
  <c r="AA37" i="52"/>
  <c r="AB37" i="52" s="1"/>
  <c r="AA33" i="52"/>
  <c r="AB33" i="52" s="1"/>
  <c r="A27" i="51"/>
  <c r="AA73" i="51"/>
  <c r="AB73" i="51" s="1"/>
  <c r="AA58" i="51"/>
  <c r="AB58" i="51" s="1"/>
  <c r="AA78" i="51"/>
  <c r="AB78" i="51" s="1"/>
  <c r="AA62" i="51"/>
  <c r="AB62" i="51" s="1"/>
  <c r="AA80" i="51"/>
  <c r="AB80" i="51" s="1"/>
  <c r="AA68" i="51"/>
  <c r="AB68" i="51" s="1"/>
  <c r="AA30" i="52"/>
  <c r="AB30" i="52" s="1"/>
  <c r="AA22" i="52"/>
  <c r="AB22" i="52" s="1"/>
  <c r="AA28" i="52"/>
  <c r="AB28" i="52" s="1"/>
  <c r="AA20" i="52"/>
  <c r="AB20" i="52" s="1"/>
  <c r="AA14" i="52"/>
  <c r="AB14" i="52" s="1"/>
  <c r="AA12" i="52"/>
  <c r="AB12" i="52" s="1"/>
  <c r="AA26" i="52"/>
  <c r="AB26" i="52" s="1"/>
  <c r="AA18" i="52"/>
  <c r="AB18" i="52" s="1"/>
  <c r="H1" i="52"/>
  <c r="AA24" i="52"/>
  <c r="AB24" i="52" s="1"/>
  <c r="AA16" i="52"/>
  <c r="AB16" i="52" s="1"/>
  <c r="AA29" i="52"/>
  <c r="AB29" i="52" s="1"/>
  <c r="AA27" i="52"/>
  <c r="AB27" i="52" s="1"/>
  <c r="AA25" i="52"/>
  <c r="AB25" i="52" s="1"/>
  <c r="AA23" i="52"/>
  <c r="AB23" i="52" s="1"/>
  <c r="AA21" i="52"/>
  <c r="AB21" i="52" s="1"/>
  <c r="AA19" i="52"/>
  <c r="AB19" i="52" s="1"/>
  <c r="AA17" i="52"/>
  <c r="AB17" i="52" s="1"/>
  <c r="AA15" i="52"/>
  <c r="AB15" i="52" s="1"/>
  <c r="AA13" i="52"/>
  <c r="AB13" i="52" s="1"/>
  <c r="AA11" i="52"/>
  <c r="AB11" i="52" s="1"/>
  <c r="F8" i="26"/>
  <c r="L3" i="5"/>
  <c r="L2" i="5" s="1"/>
  <c r="O7" i="6"/>
  <c r="A27" i="17"/>
  <c r="U13" i="6" s="1"/>
  <c r="T9" i="6" s="1"/>
  <c r="AA12" i="17"/>
  <c r="AB12" i="17" s="1"/>
  <c r="AA25" i="17"/>
  <c r="AB25" i="17" s="1"/>
  <c r="AA12" i="51"/>
  <c r="AB12" i="51" s="1"/>
  <c r="AA28" i="17"/>
  <c r="AB28" i="17" s="1"/>
  <c r="AA21" i="17"/>
  <c r="AB21" i="17" s="1"/>
  <c r="AA20" i="17"/>
  <c r="AB20" i="17" s="1"/>
  <c r="AA15" i="17"/>
  <c r="AB15" i="17" s="1"/>
  <c r="AA29" i="51"/>
  <c r="AB29" i="51" s="1"/>
  <c r="AA16" i="51"/>
  <c r="AB16" i="51" s="1"/>
  <c r="AA14" i="51"/>
  <c r="AB14" i="51" s="1"/>
  <c r="H1" i="17"/>
  <c r="H79" i="17" s="1"/>
  <c r="AA24" i="17"/>
  <c r="AB24" i="17" s="1"/>
  <c r="AA18" i="17"/>
  <c r="AB18" i="17" s="1"/>
  <c r="AA22" i="17"/>
  <c r="AB22" i="17" s="1"/>
  <c r="AA21" i="51"/>
  <c r="AB21" i="51" s="1"/>
  <c r="AA23" i="51"/>
  <c r="AB23" i="51" s="1"/>
  <c r="AA15" i="51"/>
  <c r="AB15" i="51" s="1"/>
  <c r="AA24" i="51"/>
  <c r="AB24" i="51" s="1"/>
  <c r="AA13" i="51"/>
  <c r="AB13" i="51" s="1"/>
  <c r="AA27" i="51"/>
  <c r="AB27" i="51" s="1"/>
  <c r="AA16" i="17"/>
  <c r="AB16" i="17" s="1"/>
  <c r="AA19" i="17"/>
  <c r="AB19" i="17" s="1"/>
  <c r="AA30" i="17"/>
  <c r="AB30" i="17" s="1"/>
  <c r="AA13" i="17"/>
  <c r="AB13" i="17" s="1"/>
  <c r="AA23" i="17"/>
  <c r="AB23" i="17" s="1"/>
  <c r="AA14" i="17"/>
  <c r="AB14" i="17" s="1"/>
  <c r="H1" i="51"/>
  <c r="H11" i="51" s="1"/>
  <c r="D15" i="25" s="1"/>
  <c r="AA17" i="51"/>
  <c r="AB17" i="51" s="1"/>
  <c r="AA28" i="51"/>
  <c r="AB28" i="51" s="1"/>
  <c r="AA20" i="51"/>
  <c r="AB20" i="51" s="1"/>
  <c r="AA19" i="51"/>
  <c r="AB19" i="51" s="1"/>
  <c r="AA22" i="51"/>
  <c r="AB22" i="51" s="1"/>
  <c r="AA17" i="17"/>
  <c r="AB17" i="17" s="1"/>
  <c r="AA29" i="17"/>
  <c r="AB29" i="17" s="1"/>
  <c r="AA27" i="17"/>
  <c r="AB27" i="17" s="1"/>
  <c r="AA26" i="17"/>
  <c r="AB26" i="17" s="1"/>
  <c r="AA11" i="51"/>
  <c r="AB11" i="51" s="1"/>
  <c r="AA25" i="51"/>
  <c r="AB25" i="51" s="1"/>
  <c r="AA18" i="51"/>
  <c r="AB18" i="51" s="1"/>
  <c r="AA26" i="51"/>
  <c r="AB26" i="51" s="1"/>
  <c r="AA12" i="46"/>
  <c r="AB12" i="46" s="1"/>
  <c r="AA13" i="50"/>
  <c r="AB13" i="50" s="1"/>
  <c r="AA26" i="50"/>
  <c r="AB26" i="50" s="1"/>
  <c r="AA25" i="50"/>
  <c r="AB25" i="50" s="1"/>
  <c r="A27" i="46"/>
  <c r="AA13" i="46"/>
  <c r="AB13" i="46" s="1"/>
  <c r="AA16" i="50"/>
  <c r="AB16" i="50" s="1"/>
  <c r="AA17" i="50"/>
  <c r="AB17" i="50" s="1"/>
  <c r="AA27" i="50"/>
  <c r="AB27" i="50" s="1"/>
  <c r="H1" i="46"/>
  <c r="H20" i="46" s="1"/>
  <c r="AA11" i="46"/>
  <c r="AB11" i="46" s="1"/>
  <c r="AA20" i="46"/>
  <c r="AB20" i="46" s="1"/>
  <c r="AA18" i="46"/>
  <c r="AB18" i="46" s="1"/>
  <c r="AA28" i="50"/>
  <c r="AB28" i="50" s="1"/>
  <c r="AA25" i="46"/>
  <c r="AB25" i="46" s="1"/>
  <c r="AA27" i="46"/>
  <c r="AB27" i="46" s="1"/>
  <c r="H1" i="50"/>
  <c r="AA19" i="50"/>
  <c r="AB19" i="50" s="1"/>
  <c r="AA24" i="46"/>
  <c r="AB24" i="46" s="1"/>
  <c r="AA26" i="46"/>
  <c r="AB26" i="46" s="1"/>
  <c r="AA22" i="50"/>
  <c r="AB22" i="50" s="1"/>
  <c r="AA12" i="50"/>
  <c r="AB12" i="50" s="1"/>
  <c r="AA20" i="50"/>
  <c r="AB20" i="50" s="1"/>
  <c r="AA29" i="50"/>
  <c r="AB29" i="50" s="1"/>
  <c r="AA24" i="50"/>
  <c r="AB24" i="50" s="1"/>
  <c r="AA11" i="50"/>
  <c r="AB11" i="50" s="1"/>
  <c r="AA21" i="50"/>
  <c r="AB21" i="50" s="1"/>
  <c r="AA14" i="46"/>
  <c r="AB14" i="46" s="1"/>
  <c r="AA29" i="46"/>
  <c r="AB29" i="46" s="1"/>
  <c r="AA22" i="46"/>
  <c r="AB22" i="46" s="1"/>
  <c r="AA23" i="46"/>
  <c r="AB23" i="46" s="1"/>
  <c r="AA21" i="46"/>
  <c r="AB21" i="46" s="1"/>
  <c r="AA17" i="46"/>
  <c r="AB17" i="46" s="1"/>
  <c r="AA30" i="46"/>
  <c r="AB30" i="46" s="1"/>
  <c r="AA14" i="50"/>
  <c r="AB14" i="50" s="1"/>
  <c r="AA18" i="50"/>
  <c r="AB18" i="50" s="1"/>
  <c r="AA15" i="50"/>
  <c r="AB15" i="50" s="1"/>
  <c r="AA30" i="50"/>
  <c r="AB30" i="50" s="1"/>
  <c r="AA23" i="50"/>
  <c r="AB23" i="50" s="1"/>
  <c r="AA19" i="46"/>
  <c r="AB19" i="46" s="1"/>
  <c r="AA28" i="46"/>
  <c r="AB28" i="46" s="1"/>
  <c r="AA15" i="46"/>
  <c r="AB15" i="46" s="1"/>
  <c r="G2" i="4"/>
  <c r="J2" i="7"/>
  <c r="Q2" i="5"/>
  <c r="X6" i="4" s="1"/>
  <c r="AA17" i="45"/>
  <c r="AB17" i="45" s="1"/>
  <c r="AA24" i="45"/>
  <c r="AB24" i="45" s="1"/>
  <c r="AA14" i="45"/>
  <c r="AB14" i="45" s="1"/>
  <c r="AA25" i="45"/>
  <c r="AB25" i="45" s="1"/>
  <c r="AA26" i="45"/>
  <c r="AB26" i="45" s="1"/>
  <c r="A27" i="45"/>
  <c r="AA12" i="45"/>
  <c r="AB12" i="45" s="1"/>
  <c r="AA15" i="45"/>
  <c r="AB15" i="45" s="1"/>
  <c r="H1" i="45"/>
  <c r="H31" i="45" s="1"/>
  <c r="AA16" i="45"/>
  <c r="AB16" i="45" s="1"/>
  <c r="AA29" i="45"/>
  <c r="AB29" i="45" s="1"/>
  <c r="AA27" i="45"/>
  <c r="AB27" i="45" s="1"/>
  <c r="AA22" i="45"/>
  <c r="AB22" i="45" s="1"/>
  <c r="AA18" i="45"/>
  <c r="AB18" i="45" s="1"/>
  <c r="AA13" i="45"/>
  <c r="AB13" i="45" s="1"/>
  <c r="AA20" i="45"/>
  <c r="AB20" i="45" s="1"/>
  <c r="AA28" i="45"/>
  <c r="AB28" i="45" s="1"/>
  <c r="AA21" i="45"/>
  <c r="AB21" i="45" s="1"/>
  <c r="AA30" i="45"/>
  <c r="AB30" i="45" s="1"/>
  <c r="AA23" i="45"/>
  <c r="AB23" i="45" s="1"/>
  <c r="AA19" i="45"/>
  <c r="AB19" i="45" s="1"/>
  <c r="N7" i="6"/>
  <c r="P10" i="6" s="1"/>
  <c r="S1" i="6"/>
  <c r="BR31" i="29"/>
  <c r="D8" i="40"/>
  <c r="D20" i="40" s="1"/>
  <c r="D8" i="39"/>
  <c r="D21" i="39" s="1"/>
  <c r="J27" i="29"/>
  <c r="B2" i="36" s="1"/>
  <c r="F25" i="26"/>
  <c r="AW30" i="29"/>
  <c r="BE28" i="29" s="1"/>
  <c r="H50" i="43"/>
  <c r="H39" i="43"/>
  <c r="H23" i="43"/>
  <c r="H117" i="43"/>
  <c r="H115" i="43"/>
  <c r="H126" i="43"/>
  <c r="H111" i="43"/>
  <c r="H94" i="43"/>
  <c r="H95" i="43"/>
  <c r="H51" i="43"/>
  <c r="H43" i="43"/>
  <c r="H89" i="43"/>
  <c r="H55" i="43"/>
  <c r="H120" i="43"/>
  <c r="H45" i="43"/>
  <c r="H100" i="43"/>
  <c r="H81" i="43"/>
  <c r="H62" i="43"/>
  <c r="H61" i="43"/>
  <c r="H125" i="43"/>
  <c r="H121" i="43"/>
  <c r="H105" i="43"/>
  <c r="H86" i="43"/>
  <c r="H83" i="43"/>
  <c r="H70" i="43"/>
  <c r="H27" i="43"/>
  <c r="H17" i="43"/>
  <c r="H20" i="43"/>
  <c r="H12" i="43"/>
  <c r="H46" i="43"/>
  <c r="H79" i="43"/>
  <c r="H114" i="43"/>
  <c r="H119" i="43"/>
  <c r="H101" i="43"/>
  <c r="H16" i="43"/>
  <c r="H42" i="43"/>
  <c r="H130" i="43"/>
  <c r="H49" i="43"/>
  <c r="H124" i="43"/>
  <c r="H64" i="43"/>
  <c r="H102" i="43"/>
  <c r="H129" i="43"/>
  <c r="H63" i="43"/>
  <c r="H30" i="43"/>
  <c r="H78" i="43"/>
  <c r="H37" i="43"/>
  <c r="H56" i="43"/>
  <c r="H93" i="43"/>
  <c r="H29" i="43"/>
  <c r="H44" i="43"/>
  <c r="H65" i="43"/>
  <c r="H48" i="43"/>
  <c r="H98" i="43"/>
  <c r="H11" i="43"/>
  <c r="H24" i="43"/>
  <c r="H69" i="43"/>
  <c r="H87" i="43"/>
  <c r="H31" i="43"/>
  <c r="H107" i="43"/>
  <c r="H122" i="43"/>
  <c r="H32" i="43"/>
  <c r="H60" i="43"/>
  <c r="H96" i="43"/>
  <c r="H18" i="43"/>
  <c r="H116" i="43"/>
  <c r="H13" i="43"/>
  <c r="H73" i="43"/>
  <c r="H110" i="43"/>
  <c r="H21" i="43"/>
  <c r="H108" i="43"/>
  <c r="H109" i="43"/>
  <c r="H57" i="43"/>
  <c r="H28" i="43"/>
  <c r="H72" i="43"/>
  <c r="H76" i="43"/>
  <c r="H33" i="43"/>
  <c r="H59" i="43"/>
  <c r="H25" i="43"/>
  <c r="H47" i="43"/>
  <c r="H77" i="43"/>
  <c r="H113" i="43"/>
  <c r="H90" i="43"/>
  <c r="H74" i="43"/>
  <c r="H99" i="43"/>
  <c r="H36" i="43"/>
  <c r="H66" i="43"/>
  <c r="H67" i="43"/>
  <c r="H128" i="43"/>
  <c r="H80" i="43"/>
  <c r="H118" i="43"/>
  <c r="H54" i="43"/>
  <c r="H92" i="43"/>
  <c r="H85" i="43"/>
  <c r="H123" i="43"/>
  <c r="H97" i="43"/>
  <c r="H19" i="43"/>
  <c r="H35" i="43"/>
  <c r="H40" i="43"/>
  <c r="H41" i="43"/>
  <c r="H53" i="43"/>
  <c r="H15" i="43"/>
  <c r="H38" i="43"/>
  <c r="H91" i="43"/>
  <c r="H104" i="43"/>
  <c r="H106" i="43"/>
  <c r="H75" i="43"/>
  <c r="H112" i="43"/>
  <c r="H127" i="43"/>
  <c r="H71" i="43"/>
  <c r="H22" i="43"/>
  <c r="H58" i="43"/>
  <c r="H14" i="43"/>
  <c r="H68" i="43"/>
  <c r="H34" i="43"/>
  <c r="H103" i="43"/>
  <c r="H82" i="43"/>
  <c r="H52" i="43"/>
  <c r="H84" i="43"/>
  <c r="H26" i="43"/>
  <c r="H88" i="43"/>
  <c r="H102" i="44"/>
  <c r="H127" i="44"/>
  <c r="H124" i="44"/>
  <c r="H98" i="44"/>
  <c r="H118" i="44"/>
  <c r="H40" i="44"/>
  <c r="H25" i="44"/>
  <c r="H119" i="44"/>
  <c r="H111" i="44"/>
  <c r="H55" i="44"/>
  <c r="H35" i="44"/>
  <c r="H93" i="44"/>
  <c r="H87" i="44"/>
  <c r="H68" i="44"/>
  <c r="H74" i="44"/>
  <c r="H115" i="44"/>
  <c r="H41" i="44"/>
  <c r="H112" i="44"/>
  <c r="H103" i="44"/>
  <c r="H99" i="44"/>
  <c r="H128" i="44"/>
  <c r="H20" i="44"/>
  <c r="H54" i="44"/>
  <c r="H53" i="44"/>
  <c r="H63" i="44"/>
  <c r="H64" i="44"/>
  <c r="H122" i="44"/>
  <c r="H97" i="44"/>
  <c r="H76" i="44"/>
  <c r="H92" i="44"/>
  <c r="H104" i="44"/>
  <c r="H17" i="44"/>
  <c r="H109" i="44"/>
  <c r="H83" i="44"/>
  <c r="H126" i="44"/>
  <c r="H72" i="44"/>
  <c r="H95" i="44"/>
  <c r="H60" i="44"/>
  <c r="H58" i="44"/>
  <c r="H62" i="44"/>
  <c r="H14" i="44"/>
  <c r="H48" i="44"/>
  <c r="H94" i="44"/>
  <c r="H116" i="44"/>
  <c r="H121" i="44"/>
  <c r="H67" i="44"/>
  <c r="H29" i="44"/>
  <c r="H110" i="44"/>
  <c r="H12" i="44"/>
  <c r="H26" i="44"/>
  <c r="H69" i="44"/>
  <c r="H44" i="44"/>
  <c r="H65" i="44"/>
  <c r="H125" i="44"/>
  <c r="H57" i="44"/>
  <c r="H70" i="44"/>
  <c r="H130" i="44"/>
  <c r="H42" i="44"/>
  <c r="H39" i="44"/>
  <c r="H91" i="44"/>
  <c r="H47" i="44"/>
  <c r="H56" i="44"/>
  <c r="H96" i="44"/>
  <c r="H90" i="44"/>
  <c r="H105" i="44"/>
  <c r="H52" i="44"/>
  <c r="H120" i="44"/>
  <c r="H34" i="44"/>
  <c r="H18" i="44"/>
  <c r="H77" i="44"/>
  <c r="H114" i="44"/>
  <c r="H80" i="44"/>
  <c r="H24" i="44"/>
  <c r="H31" i="44"/>
  <c r="H11" i="44"/>
  <c r="H107" i="44"/>
  <c r="H78" i="44"/>
  <c r="H79" i="44"/>
  <c r="H43" i="44"/>
  <c r="H73" i="44"/>
  <c r="H89" i="44"/>
  <c r="H106" i="44"/>
  <c r="H123" i="44"/>
  <c r="H51" i="44"/>
  <c r="H84" i="44"/>
  <c r="H117" i="44"/>
  <c r="H46" i="44"/>
  <c r="H37" i="44"/>
  <c r="H81" i="44"/>
  <c r="H61" i="44"/>
  <c r="H101" i="44"/>
  <c r="H66" i="44"/>
  <c r="H23" i="44"/>
  <c r="H21" i="44"/>
  <c r="H45" i="44"/>
  <c r="H75" i="44"/>
  <c r="H22" i="44"/>
  <c r="H19" i="44"/>
  <c r="H33" i="44"/>
  <c r="H71" i="44"/>
  <c r="H38" i="44"/>
  <c r="H27" i="44"/>
  <c r="H113" i="44"/>
  <c r="H15" i="44"/>
  <c r="H129" i="44"/>
  <c r="H108" i="44"/>
  <c r="H32" i="44"/>
  <c r="H50" i="44"/>
  <c r="H49" i="44"/>
  <c r="H13" i="44"/>
  <c r="H82" i="44"/>
  <c r="H30" i="44"/>
  <c r="H59" i="44"/>
  <c r="H88" i="44"/>
  <c r="H16" i="44"/>
  <c r="H100" i="44"/>
  <c r="H86" i="44"/>
  <c r="H85" i="44"/>
  <c r="H36" i="44"/>
  <c r="H28" i="44"/>
  <c r="D18" i="25" l="1"/>
  <c r="F21" i="26" s="1"/>
  <c r="D17" i="25"/>
  <c r="F20" i="26" s="1"/>
  <c r="H29" i="51"/>
  <c r="D22" i="57"/>
  <c r="D13" i="57"/>
  <c r="D24" i="58"/>
  <c r="D13" i="58"/>
  <c r="H21" i="52"/>
  <c r="H74" i="52"/>
  <c r="H25" i="52"/>
  <c r="H75" i="52"/>
  <c r="H49" i="52"/>
  <c r="H107" i="52"/>
  <c r="H61" i="52"/>
  <c r="H94" i="52"/>
  <c r="H84" i="52"/>
  <c r="H82" i="52"/>
  <c r="H86" i="52"/>
  <c r="H130" i="52"/>
  <c r="H22" i="52"/>
  <c r="H14" i="52"/>
  <c r="H32" i="52"/>
  <c r="H38" i="52"/>
  <c r="H58" i="52"/>
  <c r="H101" i="52"/>
  <c r="H87" i="52"/>
  <c r="H111" i="52"/>
  <c r="H118" i="52"/>
  <c r="H20" i="52"/>
  <c r="H29" i="52"/>
  <c r="H41" i="52"/>
  <c r="H46" i="52"/>
  <c r="H66" i="52"/>
  <c r="H122" i="52"/>
  <c r="H95" i="52"/>
  <c r="H129" i="52"/>
  <c r="H15" i="52"/>
  <c r="H16" i="52"/>
  <c r="H11" i="52"/>
  <c r="H67" i="52"/>
  <c r="H27" i="52"/>
  <c r="H47" i="52"/>
  <c r="H117" i="52"/>
  <c r="H53" i="52"/>
  <c r="H56" i="52"/>
  <c r="H72" i="52"/>
  <c r="H98" i="52"/>
  <c r="H73" i="52"/>
  <c r="H112" i="52"/>
  <c r="H106" i="52"/>
  <c r="H85" i="52"/>
  <c r="H17" i="52"/>
  <c r="H63" i="52"/>
  <c r="H23" i="52"/>
  <c r="H55" i="52"/>
  <c r="H39" i="52"/>
  <c r="H65" i="52"/>
  <c r="H44" i="52"/>
  <c r="H105" i="52"/>
  <c r="H64" i="52"/>
  <c r="H80" i="52"/>
  <c r="H81" i="52"/>
  <c r="H114" i="52"/>
  <c r="H93" i="52"/>
  <c r="H121" i="52"/>
  <c r="H123" i="52"/>
  <c r="H28" i="52"/>
  <c r="H31" i="52"/>
  <c r="H33" i="52"/>
  <c r="H100" i="52"/>
  <c r="H18" i="52"/>
  <c r="H36" i="52"/>
  <c r="H26" i="52"/>
  <c r="H88" i="52"/>
  <c r="H35" i="52"/>
  <c r="H43" i="52"/>
  <c r="H51" i="52"/>
  <c r="H108" i="52"/>
  <c r="H40" i="52"/>
  <c r="H48" i="52"/>
  <c r="H69" i="52"/>
  <c r="H52" i="52"/>
  <c r="H60" i="52"/>
  <c r="H68" i="52"/>
  <c r="H76" i="52"/>
  <c r="H90" i="52"/>
  <c r="H104" i="52"/>
  <c r="H126" i="52"/>
  <c r="H77" i="52"/>
  <c r="H110" i="52"/>
  <c r="H92" i="52"/>
  <c r="H89" i="52"/>
  <c r="H102" i="52"/>
  <c r="H113" i="52"/>
  <c r="H128" i="52"/>
  <c r="H124" i="52"/>
  <c r="H119" i="52"/>
  <c r="H125" i="52"/>
  <c r="H127" i="52"/>
  <c r="H13" i="52"/>
  <c r="H12" i="52"/>
  <c r="H34" i="52"/>
  <c r="H19" i="52"/>
  <c r="H59" i="52"/>
  <c r="H30" i="52"/>
  <c r="H24" i="52"/>
  <c r="H37" i="52"/>
  <c r="H45" i="52"/>
  <c r="H57" i="52"/>
  <c r="H42" i="52"/>
  <c r="H50" i="52"/>
  <c r="H99" i="52"/>
  <c r="H54" i="52"/>
  <c r="H62" i="52"/>
  <c r="H70" i="52"/>
  <c r="H78" i="52"/>
  <c r="H96" i="52"/>
  <c r="H71" i="52"/>
  <c r="H79" i="52"/>
  <c r="H116" i="52"/>
  <c r="H97" i="52"/>
  <c r="H109" i="52"/>
  <c r="H83" i="52"/>
  <c r="H91" i="52"/>
  <c r="H103" i="52"/>
  <c r="H120" i="52"/>
  <c r="H115" i="52"/>
  <c r="H34" i="17"/>
  <c r="P13" i="6"/>
  <c r="P8" i="6" s="1"/>
  <c r="H64" i="17"/>
  <c r="H127" i="17"/>
  <c r="H119" i="17"/>
  <c r="H31" i="17"/>
  <c r="H71" i="17"/>
  <c r="H67" i="17"/>
  <c r="H105" i="17"/>
  <c r="H101" i="17"/>
  <c r="H47" i="17"/>
  <c r="H125" i="17"/>
  <c r="H37" i="17"/>
  <c r="H84" i="17"/>
  <c r="H103" i="17"/>
  <c r="H111" i="17"/>
  <c r="H113" i="17"/>
  <c r="H99" i="17"/>
  <c r="H123" i="17"/>
  <c r="H104" i="17"/>
  <c r="H93" i="17"/>
  <c r="H22" i="17"/>
  <c r="H118" i="17"/>
  <c r="H72" i="17"/>
  <c r="H112" i="17"/>
  <c r="H32" i="17"/>
  <c r="H117" i="17"/>
  <c r="H58" i="17"/>
  <c r="H77" i="17"/>
  <c r="H98" i="17"/>
  <c r="H43" i="17"/>
  <c r="H70" i="17"/>
  <c r="H35" i="17"/>
  <c r="H88" i="17"/>
  <c r="H20" i="17"/>
  <c r="H75" i="17"/>
  <c r="H50" i="17"/>
  <c r="H76" i="17"/>
  <c r="H20" i="51"/>
  <c r="H16" i="17"/>
  <c r="H69" i="17"/>
  <c r="H81" i="17"/>
  <c r="H96" i="17"/>
  <c r="H92" i="17"/>
  <c r="H51" i="17"/>
  <c r="H78" i="17"/>
  <c r="H28" i="17"/>
  <c r="H73" i="17"/>
  <c r="H95" i="17"/>
  <c r="H110" i="17"/>
  <c r="H18" i="17"/>
  <c r="H40" i="17"/>
  <c r="H19" i="17"/>
  <c r="H41" i="17"/>
  <c r="H62" i="17"/>
  <c r="H11" i="17"/>
  <c r="H46" i="17"/>
  <c r="H66" i="17"/>
  <c r="H74" i="17"/>
  <c r="H86" i="17"/>
  <c r="H96" i="51"/>
  <c r="F17" i="26"/>
  <c r="H100" i="51"/>
  <c r="H44" i="17"/>
  <c r="H59" i="17"/>
  <c r="H100" i="17"/>
  <c r="H83" i="17"/>
  <c r="H60" i="17"/>
  <c r="H82" i="17"/>
  <c r="H106" i="17"/>
  <c r="H108" i="17"/>
  <c r="H61" i="17"/>
  <c r="H54" i="17"/>
  <c r="H114" i="17"/>
  <c r="H27" i="17"/>
  <c r="H94" i="17"/>
  <c r="H120" i="17"/>
  <c r="H49" i="17"/>
  <c r="H129" i="17"/>
  <c r="H42" i="17"/>
  <c r="H115" i="17"/>
  <c r="H45" i="17"/>
  <c r="H87" i="17"/>
  <c r="H116" i="17"/>
  <c r="H91" i="17"/>
  <c r="H56" i="17"/>
  <c r="H17" i="17"/>
  <c r="H36" i="17"/>
  <c r="H13" i="17"/>
  <c r="H55" i="17"/>
  <c r="H97" i="17"/>
  <c r="H63" i="17"/>
  <c r="H52" i="17"/>
  <c r="H65" i="17"/>
  <c r="H124" i="17"/>
  <c r="H53" i="17"/>
  <c r="H33" i="17"/>
  <c r="H48" i="17"/>
  <c r="H17" i="51"/>
  <c r="H57" i="50"/>
  <c r="H99" i="51"/>
  <c r="H43" i="51"/>
  <c r="H13" i="51"/>
  <c r="H118" i="51"/>
  <c r="H126" i="17"/>
  <c r="H107" i="17"/>
  <c r="H89" i="17"/>
  <c r="H57" i="17"/>
  <c r="H80" i="17"/>
  <c r="H109" i="17"/>
  <c r="H26" i="17"/>
  <c r="H90" i="17"/>
  <c r="H39" i="17"/>
  <c r="H14" i="17"/>
  <c r="H122" i="17"/>
  <c r="H38" i="17"/>
  <c r="H23" i="17"/>
  <c r="H30" i="17"/>
  <c r="H12" i="17"/>
  <c r="H130" i="17"/>
  <c r="H68" i="17"/>
  <c r="H128" i="17"/>
  <c r="H102" i="17"/>
  <c r="H21" i="17"/>
  <c r="H29" i="17"/>
  <c r="H121" i="17"/>
  <c r="H24" i="17"/>
  <c r="H85" i="17"/>
  <c r="H25" i="17"/>
  <c r="H15" i="17"/>
  <c r="H37" i="51"/>
  <c r="H108" i="51"/>
  <c r="H33" i="51"/>
  <c r="H73" i="50"/>
  <c r="H83" i="50"/>
  <c r="H117" i="50"/>
  <c r="H15" i="50"/>
  <c r="H13" i="50"/>
  <c r="H16" i="50"/>
  <c r="H82" i="50"/>
  <c r="H127" i="50"/>
  <c r="H121" i="50"/>
  <c r="H22" i="50"/>
  <c r="H88" i="50"/>
  <c r="H101" i="50"/>
  <c r="H130" i="51"/>
  <c r="H94" i="51"/>
  <c r="H40" i="51"/>
  <c r="H113" i="51"/>
  <c r="H46" i="51"/>
  <c r="H69" i="51"/>
  <c r="H75" i="51"/>
  <c r="H49" i="51"/>
  <c r="H27" i="51"/>
  <c r="H72" i="50"/>
  <c r="H31" i="50"/>
  <c r="H51" i="50"/>
  <c r="H60" i="50"/>
  <c r="H62" i="51"/>
  <c r="H61" i="51"/>
  <c r="H123" i="51"/>
  <c r="H68" i="51"/>
  <c r="H25" i="51"/>
  <c r="H77" i="51"/>
  <c r="H59" i="51"/>
  <c r="H117" i="51"/>
  <c r="H128" i="51"/>
  <c r="H61" i="46"/>
  <c r="H19" i="46"/>
  <c r="H42" i="46"/>
  <c r="H11" i="50"/>
  <c r="H70" i="50"/>
  <c r="H99" i="50"/>
  <c r="H40" i="50"/>
  <c r="H20" i="50"/>
  <c r="H108" i="50"/>
  <c r="H76" i="50"/>
  <c r="H79" i="50"/>
  <c r="H69" i="50"/>
  <c r="H52" i="50"/>
  <c r="H86" i="50"/>
  <c r="H75" i="50"/>
  <c r="H19" i="50"/>
  <c r="H97" i="50"/>
  <c r="H14" i="50"/>
  <c r="H46" i="50"/>
  <c r="H112" i="50"/>
  <c r="H119" i="50"/>
  <c r="H96" i="50"/>
  <c r="H64" i="50"/>
  <c r="H46" i="46"/>
  <c r="H72" i="46"/>
  <c r="H47" i="46"/>
  <c r="H64" i="46"/>
  <c r="H86" i="46"/>
  <c r="H29" i="46"/>
  <c r="H94" i="46"/>
  <c r="H79" i="46"/>
  <c r="H106" i="46"/>
  <c r="H53" i="46"/>
  <c r="H15" i="46"/>
  <c r="H45" i="46"/>
  <c r="H77" i="46"/>
  <c r="H128" i="46"/>
  <c r="H24" i="46"/>
  <c r="D13" i="40"/>
  <c r="H81" i="51"/>
  <c r="H86" i="51"/>
  <c r="H28" i="51"/>
  <c r="H24" i="51"/>
  <c r="H19" i="51"/>
  <c r="H119" i="51"/>
  <c r="H87" i="51"/>
  <c r="H98" i="51"/>
  <c r="H60" i="51"/>
  <c r="H71" i="51"/>
  <c r="H38" i="51"/>
  <c r="H35" i="51"/>
  <c r="H55" i="51"/>
  <c r="H12" i="51"/>
  <c r="H105" i="51"/>
  <c r="H106" i="51"/>
  <c r="H41" i="51"/>
  <c r="H30" i="51"/>
  <c r="H101" i="51"/>
  <c r="H97" i="51"/>
  <c r="H39" i="51"/>
  <c r="H91" i="51"/>
  <c r="H63" i="51"/>
  <c r="H32" i="51"/>
  <c r="H47" i="51"/>
  <c r="H129" i="51"/>
  <c r="H31" i="51"/>
  <c r="H50" i="51"/>
  <c r="H122" i="51"/>
  <c r="H110" i="51"/>
  <c r="H127" i="51"/>
  <c r="H78" i="51"/>
  <c r="H107" i="51"/>
  <c r="H56" i="51"/>
  <c r="H53" i="51"/>
  <c r="H88" i="51"/>
  <c r="H126" i="51"/>
  <c r="H79" i="51"/>
  <c r="H84" i="51"/>
  <c r="H93" i="51"/>
  <c r="H23" i="51"/>
  <c r="H18" i="51"/>
  <c r="H16" i="51"/>
  <c r="H125" i="51"/>
  <c r="H112" i="51"/>
  <c r="H82" i="51"/>
  <c r="H92" i="51"/>
  <c r="H14" i="51"/>
  <c r="H111" i="51"/>
  <c r="H80" i="51"/>
  <c r="H65" i="51"/>
  <c r="H102" i="51"/>
  <c r="H74" i="51"/>
  <c r="H52" i="51"/>
  <c r="H34" i="51"/>
  <c r="H22" i="51"/>
  <c r="H90" i="51"/>
  <c r="H21" i="51"/>
  <c r="H120" i="51"/>
  <c r="H124" i="51"/>
  <c r="H70" i="51"/>
  <c r="H116" i="51"/>
  <c r="H48" i="51"/>
  <c r="H45" i="51"/>
  <c r="H67" i="51"/>
  <c r="H15" i="51"/>
  <c r="H121" i="51"/>
  <c r="H109" i="51"/>
  <c r="H76" i="51"/>
  <c r="H104" i="51"/>
  <c r="H54" i="51"/>
  <c r="H51" i="51"/>
  <c r="H73" i="51"/>
  <c r="H57" i="51"/>
  <c r="H103" i="51"/>
  <c r="H66" i="51"/>
  <c r="H44" i="51"/>
  <c r="H115" i="51"/>
  <c r="H95" i="51"/>
  <c r="H64" i="51"/>
  <c r="H42" i="51"/>
  <c r="H89" i="51"/>
  <c r="H85" i="51"/>
  <c r="H58" i="51"/>
  <c r="H36" i="51"/>
  <c r="H26" i="51"/>
  <c r="H114" i="51"/>
  <c r="H83" i="51"/>
  <c r="H72" i="51"/>
  <c r="H33" i="46"/>
  <c r="H55" i="46"/>
  <c r="H111" i="46"/>
  <c r="H109" i="46"/>
  <c r="H11" i="46"/>
  <c r="H81" i="46"/>
  <c r="H38" i="46"/>
  <c r="H112" i="46"/>
  <c r="H95" i="46"/>
  <c r="H103" i="46"/>
  <c r="H130" i="46"/>
  <c r="H126" i="46"/>
  <c r="H121" i="46"/>
  <c r="H35" i="46"/>
  <c r="H56" i="46"/>
  <c r="H26" i="46"/>
  <c r="H104" i="46"/>
  <c r="H122" i="46"/>
  <c r="H85" i="46"/>
  <c r="H80" i="46"/>
  <c r="H83" i="46"/>
  <c r="H31" i="46"/>
  <c r="H50" i="46"/>
  <c r="H110" i="46"/>
  <c r="H44" i="46"/>
  <c r="H99" i="46"/>
  <c r="H97" i="46"/>
  <c r="H63" i="46"/>
  <c r="H74" i="46"/>
  <c r="H21" i="46"/>
  <c r="H25" i="46"/>
  <c r="H54" i="46"/>
  <c r="H40" i="46"/>
  <c r="H59" i="46"/>
  <c r="H113" i="46"/>
  <c r="H52" i="46"/>
  <c r="H84" i="46"/>
  <c r="H62" i="46"/>
  <c r="H89" i="46"/>
  <c r="H69" i="46"/>
  <c r="H96" i="46"/>
  <c r="H28" i="46"/>
  <c r="H67" i="46"/>
  <c r="H117" i="46"/>
  <c r="H58" i="46"/>
  <c r="H118" i="46"/>
  <c r="H120" i="46"/>
  <c r="H23" i="46"/>
  <c r="H51" i="46"/>
  <c r="H57" i="46"/>
  <c r="H125" i="46"/>
  <c r="H70" i="46"/>
  <c r="H115" i="46"/>
  <c r="H41" i="46"/>
  <c r="H16" i="46"/>
  <c r="H13" i="46"/>
  <c r="H114" i="46"/>
  <c r="H71" i="46"/>
  <c r="H88" i="46"/>
  <c r="H123" i="46"/>
  <c r="H14" i="46"/>
  <c r="H48" i="46"/>
  <c r="H65" i="46"/>
  <c r="H78" i="46"/>
  <c r="H32" i="46"/>
  <c r="H92" i="46"/>
  <c r="H100" i="46"/>
  <c r="H116" i="46"/>
  <c r="H124" i="46"/>
  <c r="H107" i="46"/>
  <c r="H127" i="46"/>
  <c r="H93" i="46"/>
  <c r="H91" i="46"/>
  <c r="H68" i="46"/>
  <c r="H66" i="46"/>
  <c r="H27" i="46"/>
  <c r="H43" i="46"/>
  <c r="H129" i="46"/>
  <c r="H37" i="46"/>
  <c r="H87" i="46"/>
  <c r="H73" i="46"/>
  <c r="H98" i="46"/>
  <c r="H34" i="46"/>
  <c r="H119" i="46"/>
  <c r="H102" i="46"/>
  <c r="H105" i="46"/>
  <c r="H36" i="46"/>
  <c r="H82" i="46"/>
  <c r="H18" i="46"/>
  <c r="H12" i="46"/>
  <c r="H49" i="46"/>
  <c r="H101" i="46"/>
  <c r="H108" i="46"/>
  <c r="H90" i="46"/>
  <c r="H30" i="46"/>
  <c r="H39" i="46"/>
  <c r="H76" i="46"/>
  <c r="H17" i="46"/>
  <c r="H75" i="46"/>
  <c r="H22" i="46"/>
  <c r="H60" i="46"/>
  <c r="H128" i="50"/>
  <c r="H104" i="50"/>
  <c r="H45" i="50"/>
  <c r="H59" i="50"/>
  <c r="H110" i="50"/>
  <c r="H12" i="50"/>
  <c r="H85" i="50"/>
  <c r="H71" i="50"/>
  <c r="H122" i="50"/>
  <c r="H92" i="50"/>
  <c r="H58" i="50"/>
  <c r="H95" i="50"/>
  <c r="H27" i="50"/>
  <c r="H100" i="50"/>
  <c r="H41" i="50"/>
  <c r="H109" i="50"/>
  <c r="H62" i="50"/>
  <c r="H25" i="50"/>
  <c r="H80" i="50"/>
  <c r="H54" i="50"/>
  <c r="H94" i="50"/>
  <c r="H106" i="50"/>
  <c r="H33" i="50"/>
  <c r="H114" i="50"/>
  <c r="H50" i="50"/>
  <c r="H66" i="50"/>
  <c r="H130" i="50"/>
  <c r="H129" i="50"/>
  <c r="H98" i="50"/>
  <c r="H74" i="50"/>
  <c r="H63" i="50"/>
  <c r="H126" i="50"/>
  <c r="H90" i="50"/>
  <c r="H43" i="50"/>
  <c r="H17" i="50"/>
  <c r="H81" i="50"/>
  <c r="H123" i="50"/>
  <c r="H30" i="50"/>
  <c r="H53" i="50"/>
  <c r="H103" i="50"/>
  <c r="H84" i="50"/>
  <c r="H65" i="50"/>
  <c r="H68" i="50"/>
  <c r="H120" i="50"/>
  <c r="H36" i="50"/>
  <c r="H87" i="50"/>
  <c r="H26" i="50"/>
  <c r="H113" i="50"/>
  <c r="H61" i="50"/>
  <c r="H24" i="50"/>
  <c r="H93" i="50"/>
  <c r="H28" i="50"/>
  <c r="H56" i="50"/>
  <c r="H89" i="50"/>
  <c r="H38" i="50"/>
  <c r="H102" i="50"/>
  <c r="H23" i="50"/>
  <c r="H115" i="50"/>
  <c r="H47" i="50"/>
  <c r="H34" i="50"/>
  <c r="H77" i="50"/>
  <c r="H39" i="50"/>
  <c r="H42" i="50"/>
  <c r="H78" i="50"/>
  <c r="H32" i="50"/>
  <c r="H91" i="50"/>
  <c r="H124" i="50"/>
  <c r="H107" i="50"/>
  <c r="H37" i="50"/>
  <c r="H29" i="50"/>
  <c r="H116" i="50"/>
  <c r="H18" i="50"/>
  <c r="H35" i="50"/>
  <c r="H125" i="50"/>
  <c r="H118" i="50"/>
  <c r="H21" i="50"/>
  <c r="H44" i="50"/>
  <c r="H55" i="50"/>
  <c r="H67" i="50"/>
  <c r="H105" i="50"/>
  <c r="H49" i="50"/>
  <c r="H111" i="50"/>
  <c r="H48" i="50"/>
  <c r="H43" i="45"/>
  <c r="H127" i="45"/>
  <c r="H121" i="45"/>
  <c r="H20" i="45"/>
  <c r="H107" i="45"/>
  <c r="H84" i="45"/>
  <c r="H89" i="45"/>
  <c r="H35" i="45"/>
  <c r="H47" i="45"/>
  <c r="H62" i="45"/>
  <c r="H125" i="45"/>
  <c r="H104" i="45"/>
  <c r="H46" i="45"/>
  <c r="H42" i="45"/>
  <c r="H118" i="45"/>
  <c r="H36" i="45"/>
  <c r="H33" i="45"/>
  <c r="H106" i="45"/>
  <c r="H77" i="45"/>
  <c r="H70" i="45"/>
  <c r="H115" i="45"/>
  <c r="H27" i="45"/>
  <c r="H124" i="45"/>
  <c r="H101" i="45"/>
  <c r="H39" i="45"/>
  <c r="H60" i="45"/>
  <c r="H91" i="45"/>
  <c r="H108" i="45"/>
  <c r="H54" i="45"/>
  <c r="H18" i="45"/>
  <c r="H65" i="45"/>
  <c r="H83" i="45"/>
  <c r="H73" i="45"/>
  <c r="H71" i="45"/>
  <c r="H30" i="45"/>
  <c r="H110" i="45"/>
  <c r="H112" i="45"/>
  <c r="H34" i="45"/>
  <c r="H24" i="45"/>
  <c r="H38" i="45"/>
  <c r="H100" i="45"/>
  <c r="H79" i="45"/>
  <c r="H98" i="45"/>
  <c r="H16" i="45"/>
  <c r="H25" i="45"/>
  <c r="H82" i="45"/>
  <c r="H99" i="45"/>
  <c r="H111" i="45"/>
  <c r="H86" i="45"/>
  <c r="H78" i="45"/>
  <c r="H64" i="45"/>
  <c r="H53" i="45"/>
  <c r="H119" i="45"/>
  <c r="H80" i="45"/>
  <c r="H28" i="45"/>
  <c r="H123" i="45"/>
  <c r="H61" i="45"/>
  <c r="H126" i="45"/>
  <c r="H11" i="45"/>
  <c r="H129" i="45"/>
  <c r="H19" i="45"/>
  <c r="H63" i="45"/>
  <c r="H103" i="45"/>
  <c r="H37" i="45"/>
  <c r="H97" i="45"/>
  <c r="H85" i="45"/>
  <c r="H57" i="45"/>
  <c r="H75" i="45"/>
  <c r="H102" i="45"/>
  <c r="H52" i="45"/>
  <c r="H13" i="45"/>
  <c r="H56" i="45"/>
  <c r="H114" i="45"/>
  <c r="H59" i="45"/>
  <c r="H48" i="45"/>
  <c r="H74" i="45"/>
  <c r="H29" i="45"/>
  <c r="H120" i="45"/>
  <c r="H45" i="45"/>
  <c r="H90" i="45"/>
  <c r="H113" i="45"/>
  <c r="H15" i="45"/>
  <c r="H69" i="45"/>
  <c r="H49" i="45"/>
  <c r="H95" i="45"/>
  <c r="H22" i="45"/>
  <c r="H66" i="45"/>
  <c r="H72" i="45"/>
  <c r="H58" i="45"/>
  <c r="H93" i="45"/>
  <c r="H76" i="45"/>
  <c r="H109" i="45"/>
  <c r="H40" i="45"/>
  <c r="H105" i="45"/>
  <c r="H26" i="45"/>
  <c r="H116" i="45"/>
  <c r="H67" i="45"/>
  <c r="H96" i="45"/>
  <c r="H14" i="45"/>
  <c r="H68" i="45"/>
  <c r="H55" i="45"/>
  <c r="H23" i="45"/>
  <c r="H88" i="45"/>
  <c r="H50" i="45"/>
  <c r="H128" i="45"/>
  <c r="H12" i="45"/>
  <c r="H81" i="45"/>
  <c r="H94" i="45"/>
  <c r="H122" i="45"/>
  <c r="H17" i="45"/>
  <c r="H87" i="45"/>
  <c r="H32" i="45"/>
  <c r="H44" i="45"/>
  <c r="H41" i="45"/>
  <c r="H130" i="45"/>
  <c r="H51" i="45"/>
  <c r="H21" i="45"/>
  <c r="H117" i="45"/>
  <c r="H92" i="45"/>
  <c r="D13" i="39"/>
  <c r="S11" i="6"/>
  <c r="S13" i="6"/>
  <c r="P9" i="6"/>
  <c r="S12" i="6"/>
  <c r="D20" i="25" l="1"/>
  <c r="F19" i="26" s="1"/>
  <c r="D19" i="25"/>
  <c r="F22" i="26" s="1"/>
  <c r="D16" i="25"/>
  <c r="F18" i="26" s="1"/>
  <c r="C146" i="26"/>
  <c r="R12" i="6"/>
  <c r="R11" i="6"/>
  <c r="P12" i="6"/>
  <c r="T13" i="6" s="1"/>
  <c r="R13" i="6"/>
  <c r="S7" i="6" s="1"/>
  <c r="S6" i="6" s="1"/>
  <c r="J29" i="4" s="1"/>
  <c r="B31" i="28" s="1"/>
  <c r="S5" i="6"/>
  <c r="S10" i="6"/>
  <c r="S8" i="6"/>
  <c r="S9" i="6"/>
  <c r="R10" i="6" l="1"/>
  <c r="R7" i="6" s="1"/>
  <c r="I3" i="5" s="1"/>
  <c r="P7" i="6"/>
  <c r="R5" i="6"/>
  <c r="R9" i="6"/>
  <c r="R8" i="6"/>
  <c r="S4" i="6"/>
  <c r="R4" i="6" l="1"/>
  <c r="R3" i="6" s="1"/>
  <c r="N5" i="6"/>
  <c r="J1" i="7" s="1"/>
  <c r="R6" i="6"/>
  <c r="J30" i="4" s="1"/>
  <c r="J32" i="4" s="1"/>
  <c r="T8" i="6"/>
  <c r="S23" i="6"/>
  <c r="T3" i="6"/>
  <c r="S25" i="6" l="1"/>
  <c r="S3" i="6"/>
  <c r="B9" i="47"/>
  <c r="B10" i="47" s="1"/>
  <c r="B13" i="47" s="1"/>
  <c r="C196" i="38"/>
  <c r="J6" i="4"/>
  <c r="J9" i="4"/>
  <c r="C5" i="26" s="1"/>
  <c r="C197" i="23"/>
  <c r="T5" i="6"/>
  <c r="E202" i="38" s="1"/>
  <c r="A21" i="52" l="1"/>
  <c r="AA10" i="52"/>
  <c r="AB10" i="52" s="1"/>
  <c r="AB9" i="52" s="1"/>
  <c r="AB8" i="52" s="1"/>
  <c r="A21" i="51"/>
  <c r="AA10" i="51"/>
  <c r="AB10" i="51" s="1"/>
  <c r="AB9" i="51" s="1"/>
  <c r="AB8" i="51" s="1"/>
  <c r="E221" i="23"/>
  <c r="E222" i="23" s="1"/>
  <c r="T1" i="6"/>
  <c r="E220" i="23"/>
  <c r="X2" i="4"/>
  <c r="F202" i="38"/>
  <c r="B10" i="26"/>
  <c r="F220" i="38"/>
  <c r="F221" i="38" s="1"/>
  <c r="F219" i="38"/>
  <c r="F220" i="23"/>
  <c r="F203" i="23"/>
  <c r="B19" i="29"/>
  <c r="AN19" i="29" s="1"/>
  <c r="B22" i="28"/>
  <c r="F221" i="23"/>
  <c r="F222" i="23" s="1"/>
  <c r="C10" i="26"/>
  <c r="B23" i="28"/>
  <c r="B20" i="29"/>
  <c r="E219" i="38"/>
  <c r="A21" i="45"/>
  <c r="A21" i="17"/>
  <c r="B17" i="28"/>
  <c r="A21" i="50"/>
  <c r="A21" i="44"/>
  <c r="A21" i="46"/>
  <c r="B16" i="29"/>
  <c r="A21" i="43"/>
  <c r="AA10" i="45"/>
  <c r="AB10" i="45" s="1"/>
  <c r="AB9" i="45" s="1"/>
  <c r="AB8" i="45" s="1"/>
  <c r="AA10" i="50"/>
  <c r="AB10" i="50" s="1"/>
  <c r="AB9" i="50" s="1"/>
  <c r="AB8" i="50" s="1"/>
  <c r="AA10" i="44"/>
  <c r="AB10" i="44" s="1"/>
  <c r="AB9" i="44" s="1"/>
  <c r="AB8" i="44" s="1"/>
  <c r="AA10" i="46"/>
  <c r="AB10" i="46" s="1"/>
  <c r="AB9" i="46" s="1"/>
  <c r="AB8" i="46" s="1"/>
  <c r="J13" i="4"/>
  <c r="AA10" i="17"/>
  <c r="AB10" i="17" s="1"/>
  <c r="AB9" i="17" s="1"/>
  <c r="AB8" i="17" s="1"/>
  <c r="AA10" i="43"/>
  <c r="AB10" i="43" s="1"/>
  <c r="AB9" i="43" s="1"/>
  <c r="AB8" i="43" s="1"/>
  <c r="I220" i="38"/>
  <c r="I221" i="38" s="1"/>
  <c r="I202" i="38" s="1"/>
  <c r="D202" i="38"/>
  <c r="I219" i="38"/>
  <c r="H219" i="38"/>
  <c r="H220" i="38"/>
  <c r="E203" i="23"/>
  <c r="H220" i="23" s="1"/>
  <c r="T221" i="23" s="1"/>
  <c r="E220" i="38"/>
  <c r="E221" i="38" s="1"/>
  <c r="E9" i="10" l="1"/>
  <c r="BC131" i="29"/>
  <c r="BC135" i="29"/>
  <c r="BC139" i="29"/>
  <c r="BC143" i="29"/>
  <c r="BC147" i="29"/>
  <c r="BC130" i="29"/>
  <c r="BC134" i="29"/>
  <c r="BC138" i="29"/>
  <c r="BC142" i="29"/>
  <c r="BC146" i="29"/>
  <c r="BC150" i="29"/>
  <c r="BC133" i="29"/>
  <c r="BC137" i="29"/>
  <c r="BC141" i="29"/>
  <c r="BC145" i="29"/>
  <c r="BC149" i="29"/>
  <c r="BC132" i="29"/>
  <c r="BC136" i="29"/>
  <c r="BC140" i="29"/>
  <c r="BC144" i="29"/>
  <c r="BC148" i="29"/>
  <c r="U141" i="29"/>
  <c r="U148" i="29"/>
  <c r="U131" i="29"/>
  <c r="AE136" i="29"/>
  <c r="AE137" i="29"/>
  <c r="U147" i="29"/>
  <c r="AE134" i="29"/>
  <c r="AE143" i="29"/>
  <c r="AE133" i="29"/>
  <c r="U132" i="29"/>
  <c r="AE142" i="29"/>
  <c r="AE149" i="29"/>
  <c r="U140" i="29"/>
  <c r="U139" i="29"/>
  <c r="AE135" i="29"/>
  <c r="AE147" i="29"/>
  <c r="AE150" i="29"/>
  <c r="U137" i="29"/>
  <c r="U143" i="29"/>
  <c r="AE144" i="29"/>
  <c r="U150" i="29"/>
  <c r="AE146" i="29"/>
  <c r="AE140" i="29"/>
  <c r="U133" i="29"/>
  <c r="AE145" i="29"/>
  <c r="AE148" i="29"/>
  <c r="U130" i="29"/>
  <c r="U144" i="29"/>
  <c r="U145" i="29"/>
  <c r="AE132" i="29"/>
  <c r="AE131" i="29"/>
  <c r="U138" i="29"/>
  <c r="AE139" i="29"/>
  <c r="U134" i="29"/>
  <c r="AE130" i="29"/>
  <c r="U149" i="29"/>
  <c r="U136" i="29"/>
  <c r="U146" i="29"/>
  <c r="AE141" i="29"/>
  <c r="U135" i="29"/>
  <c r="U142" i="29"/>
  <c r="AE138" i="29"/>
  <c r="BC127" i="29"/>
  <c r="AE127" i="29"/>
  <c r="U127" i="29"/>
  <c r="AE128" i="29"/>
  <c r="BC128" i="29"/>
  <c r="U128" i="29"/>
  <c r="AE129" i="29"/>
  <c r="BC129" i="29"/>
  <c r="U129" i="29"/>
  <c r="AE104" i="29"/>
  <c r="U122" i="29"/>
  <c r="BC98" i="29"/>
  <c r="BC117" i="29"/>
  <c r="AE111" i="29"/>
  <c r="U102" i="29"/>
  <c r="BC113" i="29"/>
  <c r="AE113" i="29"/>
  <c r="BC115" i="29"/>
  <c r="AE99" i="29"/>
  <c r="BC97" i="29"/>
  <c r="U105" i="29"/>
  <c r="BC100" i="29"/>
  <c r="U97" i="29"/>
  <c r="AE114" i="29"/>
  <c r="U114" i="29"/>
  <c r="AE118" i="29"/>
  <c r="BC119" i="29"/>
  <c r="U117" i="29"/>
  <c r="AE117" i="29"/>
  <c r="BC105" i="29"/>
  <c r="U116" i="29"/>
  <c r="AE112" i="29"/>
  <c r="AE126" i="29"/>
  <c r="AE120" i="29"/>
  <c r="AE110" i="29"/>
  <c r="BC125" i="29"/>
  <c r="AE98" i="29"/>
  <c r="AE124" i="29"/>
  <c r="BC111" i="29"/>
  <c r="AE106" i="29"/>
  <c r="AE97" i="29"/>
  <c r="AE108" i="29"/>
  <c r="BC106" i="29"/>
  <c r="AE103" i="29"/>
  <c r="U115" i="29"/>
  <c r="AE105" i="29"/>
  <c r="U118" i="29"/>
  <c r="BC126" i="29"/>
  <c r="U111" i="29"/>
  <c r="AE119" i="29"/>
  <c r="U125" i="29"/>
  <c r="BC99" i="29"/>
  <c r="AE109" i="29"/>
  <c r="BC108" i="29"/>
  <c r="AE122" i="29"/>
  <c r="U98" i="29"/>
  <c r="U101" i="29"/>
  <c r="U119" i="29"/>
  <c r="U104" i="29"/>
  <c r="BC123" i="29"/>
  <c r="U109" i="29"/>
  <c r="BC118" i="29"/>
  <c r="BC116" i="29"/>
  <c r="BC120" i="29"/>
  <c r="U112" i="29"/>
  <c r="BC107" i="29"/>
  <c r="AE121" i="29"/>
  <c r="U99" i="29"/>
  <c r="U120" i="29"/>
  <c r="BC121" i="29"/>
  <c r="U108" i="29"/>
  <c r="U113" i="29"/>
  <c r="BC110" i="29"/>
  <c r="U103" i="29"/>
  <c r="U121" i="29"/>
  <c r="BC114" i="29"/>
  <c r="U110" i="29"/>
  <c r="BC102" i="29"/>
  <c r="AE125" i="29"/>
  <c r="U107" i="29"/>
  <c r="U126" i="29"/>
  <c r="BC112" i="29"/>
  <c r="AE102" i="29"/>
  <c r="BC104" i="29"/>
  <c r="U123" i="29"/>
  <c r="AE115" i="29"/>
  <c r="U106" i="29"/>
  <c r="BC101" i="29"/>
  <c r="BC122" i="29"/>
  <c r="BC124" i="29"/>
  <c r="AE100" i="29"/>
  <c r="AE107" i="29"/>
  <c r="U124" i="29"/>
  <c r="BC103" i="29"/>
  <c r="BC109" i="29"/>
  <c r="AE101" i="29"/>
  <c r="AE116" i="29"/>
  <c r="AE123" i="29"/>
  <c r="U100" i="29"/>
  <c r="U70" i="29"/>
  <c r="U95" i="29"/>
  <c r="AE32" i="29"/>
  <c r="BC40" i="29"/>
  <c r="BC73" i="29"/>
  <c r="AE80" i="29"/>
  <c r="AE47" i="29"/>
  <c r="BC45" i="29"/>
  <c r="U84" i="29"/>
  <c r="BC43" i="29"/>
  <c r="U43" i="29"/>
  <c r="BC94" i="29"/>
  <c r="AE44" i="29"/>
  <c r="U48" i="29"/>
  <c r="U59" i="29"/>
  <c r="BC49" i="29"/>
  <c r="U87" i="29"/>
  <c r="U77" i="29"/>
  <c r="BC62" i="29"/>
  <c r="BC60" i="29"/>
  <c r="AE64" i="29"/>
  <c r="BC36" i="29"/>
  <c r="U75" i="29"/>
  <c r="U85" i="29"/>
  <c r="BC68" i="29"/>
  <c r="U61" i="29"/>
  <c r="BC71" i="29"/>
  <c r="AE63" i="29"/>
  <c r="AE81" i="29"/>
  <c r="AE87" i="29"/>
  <c r="BC52" i="29"/>
  <c r="BC48" i="29"/>
  <c r="BC87" i="29"/>
  <c r="U73" i="29"/>
  <c r="U90" i="29"/>
  <c r="AN20" i="29"/>
  <c r="AR31" i="29" s="1"/>
  <c r="BC51" i="29"/>
  <c r="BC39" i="29"/>
  <c r="BC53" i="29"/>
  <c r="AE69" i="29"/>
  <c r="U66" i="29"/>
  <c r="BC82" i="29"/>
  <c r="AE71" i="29"/>
  <c r="AE78" i="29"/>
  <c r="AE86" i="29"/>
  <c r="U47" i="29"/>
  <c r="AE92" i="29"/>
  <c r="AE57" i="29"/>
  <c r="BC79" i="29"/>
  <c r="AE85" i="29"/>
  <c r="AE59" i="29"/>
  <c r="U35" i="29"/>
  <c r="U64" i="29"/>
  <c r="U63" i="29"/>
  <c r="BC93" i="29"/>
  <c r="U34" i="29"/>
  <c r="BC80" i="29"/>
  <c r="BC92" i="29"/>
  <c r="U55" i="29"/>
  <c r="AE84" i="29"/>
  <c r="AE42" i="29"/>
  <c r="U36" i="29"/>
  <c r="AE95" i="29"/>
  <c r="AE61" i="29"/>
  <c r="U37" i="29"/>
  <c r="BC69" i="29"/>
  <c r="BC74" i="29"/>
  <c r="AE91" i="29"/>
  <c r="BC88" i="29"/>
  <c r="U88" i="29"/>
  <c r="U46" i="29"/>
  <c r="U53" i="29"/>
  <c r="AE96" i="29"/>
  <c r="AE90" i="29"/>
  <c r="U94" i="29"/>
  <c r="U92" i="29"/>
  <c r="AE54" i="29"/>
  <c r="AE40" i="29"/>
  <c r="U76" i="29"/>
  <c r="BC84" i="29"/>
  <c r="U49" i="29"/>
  <c r="AE82" i="29"/>
  <c r="AE34" i="29"/>
  <c r="AE55" i="29"/>
  <c r="AE77" i="29"/>
  <c r="BC61" i="29"/>
  <c r="AE36" i="29"/>
  <c r="BC86" i="29"/>
  <c r="U31" i="29"/>
  <c r="AE68" i="29"/>
  <c r="AE60" i="29"/>
  <c r="BC46" i="29"/>
  <c r="AE58" i="29"/>
  <c r="BC91" i="29"/>
  <c r="U38" i="29"/>
  <c r="AE76" i="29"/>
  <c r="U93" i="29"/>
  <c r="U80" i="29"/>
  <c r="AE62" i="29"/>
  <c r="AE72" i="29"/>
  <c r="U86" i="29"/>
  <c r="AE38" i="29"/>
  <c r="U32" i="29"/>
  <c r="BC47" i="29"/>
  <c r="U72" i="29"/>
  <c r="U56" i="29"/>
  <c r="U82" i="29"/>
  <c r="AE43" i="29"/>
  <c r="BC75" i="29"/>
  <c r="U81" i="29"/>
  <c r="AE45" i="29"/>
  <c r="BC95" i="29"/>
  <c r="BC32" i="29"/>
  <c r="BC85" i="29"/>
  <c r="AE51" i="29"/>
  <c r="AE49" i="29"/>
  <c r="BC34" i="29"/>
  <c r="BC59" i="29"/>
  <c r="BC77" i="29"/>
  <c r="AE93" i="29"/>
  <c r="U40" i="29"/>
  <c r="U91" i="29"/>
  <c r="BC78" i="29"/>
  <c r="U65" i="29"/>
  <c r="BC90" i="29"/>
  <c r="U57" i="29"/>
  <c r="BC70" i="29"/>
  <c r="U60" i="29"/>
  <c r="AE70" i="29"/>
  <c r="BC58" i="29"/>
  <c r="U89" i="29"/>
  <c r="U68" i="29"/>
  <c r="BC44" i="29"/>
  <c r="U44" i="29"/>
  <c r="AE79" i="29"/>
  <c r="BC65" i="29"/>
  <c r="BC38" i="29"/>
  <c r="U69" i="29"/>
  <c r="BC96" i="29"/>
  <c r="BC33" i="29"/>
  <c r="AE89" i="29"/>
  <c r="BC54" i="29"/>
  <c r="AE52" i="29"/>
  <c r="BC42" i="29"/>
  <c r="U50" i="29"/>
  <c r="AE50" i="29"/>
  <c r="BC64" i="29"/>
  <c r="BC83" i="29"/>
  <c r="U41" i="29"/>
  <c r="BC81" i="29"/>
  <c r="BC56" i="29"/>
  <c r="AE41" i="29"/>
  <c r="AE74" i="29"/>
  <c r="AE46" i="29"/>
  <c r="AE83" i="29"/>
  <c r="U51" i="29"/>
  <c r="BC66" i="29"/>
  <c r="U71" i="29"/>
  <c r="BC57" i="29"/>
  <c r="BC37" i="29"/>
  <c r="U42" i="29"/>
  <c r="AE73" i="29"/>
  <c r="BC63" i="29"/>
  <c r="U78" i="29"/>
  <c r="BC35" i="29"/>
  <c r="U74" i="29"/>
  <c r="AE75" i="29"/>
  <c r="U67" i="29"/>
  <c r="AE88" i="29"/>
  <c r="AE35" i="29"/>
  <c r="BC72" i="29"/>
  <c r="BC31" i="29"/>
  <c r="F31" i="29"/>
  <c r="BC41" i="29"/>
  <c r="AE37" i="29"/>
  <c r="AE56" i="29"/>
  <c r="AE65" i="29"/>
  <c r="BC76" i="29"/>
  <c r="BC50" i="29"/>
  <c r="U58" i="29"/>
  <c r="AE66" i="29"/>
  <c r="U52" i="29"/>
  <c r="AE67" i="29"/>
  <c r="AE48" i="29"/>
  <c r="U96" i="29"/>
  <c r="AE33" i="29"/>
  <c r="U39" i="29"/>
  <c r="BC55" i="29"/>
  <c r="AE94" i="29"/>
  <c r="U45" i="29"/>
  <c r="BC67" i="29"/>
  <c r="U83" i="29"/>
  <c r="BC89" i="29"/>
  <c r="U62" i="29"/>
  <c r="AE39" i="29"/>
  <c r="U33" i="29"/>
  <c r="AE53" i="29"/>
  <c r="U79" i="29"/>
  <c r="U54" i="29"/>
  <c r="AE31" i="29"/>
  <c r="I220" i="23"/>
  <c r="I221" i="23"/>
  <c r="I222" i="23" s="1"/>
  <c r="I203" i="23" s="1"/>
  <c r="D203" i="23"/>
  <c r="D7" i="23" s="1"/>
  <c r="D200" i="23" s="1"/>
  <c r="H200" i="23" s="1"/>
  <c r="AG199" i="38"/>
  <c r="V199" i="38"/>
  <c r="AC199" i="38"/>
  <c r="I11" i="38" s="1"/>
  <c r="M199" i="38"/>
  <c r="G8" i="38" s="1"/>
  <c r="E199" i="38"/>
  <c r="N199" i="38"/>
  <c r="G10" i="38" s="1"/>
  <c r="P199" i="38"/>
  <c r="G9" i="38" s="1"/>
  <c r="T199" i="38"/>
  <c r="G5" i="38" s="1"/>
  <c r="D531" i="38" s="1"/>
  <c r="AA199" i="38"/>
  <c r="I1" i="38" s="1"/>
  <c r="D50" i="38" s="1"/>
  <c r="I199" i="38"/>
  <c r="I3" i="38" s="1"/>
  <c r="Q199" i="38"/>
  <c r="I5" i="38" s="1"/>
  <c r="D93" i="38" s="1"/>
  <c r="W199" i="38"/>
  <c r="AB199" i="38"/>
  <c r="I10" i="38" s="1"/>
  <c r="Y199" i="38"/>
  <c r="I6" i="38" s="1"/>
  <c r="X199" i="38"/>
  <c r="G4" i="38" s="1"/>
  <c r="AE199" i="38"/>
  <c r="I8" i="38" s="1"/>
  <c r="D79" i="38" s="1"/>
  <c r="F199" i="38"/>
  <c r="I2" i="38" s="1"/>
  <c r="G199" i="38"/>
  <c r="AD199" i="38"/>
  <c r="I12" i="38" s="1"/>
  <c r="Z199" i="38"/>
  <c r="I7" i="38" s="1"/>
  <c r="D72" i="38" s="1"/>
  <c r="L199" i="38"/>
  <c r="G7" i="38" s="1"/>
  <c r="D53" i="38" s="1"/>
  <c r="R199" i="38"/>
  <c r="H199" i="38"/>
  <c r="G1" i="38" s="1"/>
  <c r="O199" i="38"/>
  <c r="G11" i="38" s="1"/>
  <c r="S199" i="38"/>
  <c r="K199" i="38"/>
  <c r="G6" i="38" s="1"/>
  <c r="U199" i="38"/>
  <c r="I4" i="38" s="1"/>
  <c r="AF199" i="38"/>
  <c r="I9" i="38" s="1"/>
  <c r="J199" i="38"/>
  <c r="G3" i="38" s="1"/>
  <c r="H221" i="38"/>
  <c r="H202" i="38" s="1"/>
  <c r="T220" i="38"/>
  <c r="X220" i="38" s="1"/>
  <c r="X221" i="38" s="1"/>
  <c r="X202" i="38" s="1"/>
  <c r="T219" i="38"/>
  <c r="X219" i="38" s="1"/>
  <c r="AA219" i="38" s="1"/>
  <c r="AN16" i="29"/>
  <c r="B18" i="29"/>
  <c r="AN18" i="29" s="1"/>
  <c r="B21" i="28"/>
  <c r="V147" i="29" l="1"/>
  <c r="V141" i="29"/>
  <c r="V131" i="29"/>
  <c r="V148" i="29"/>
  <c r="V138" i="29"/>
  <c r="V137" i="29"/>
  <c r="V140" i="29"/>
  <c r="V146" i="29"/>
  <c r="V130" i="29"/>
  <c r="V145" i="29"/>
  <c r="V143" i="29"/>
  <c r="V149" i="29"/>
  <c r="V133" i="29"/>
  <c r="V139" i="29"/>
  <c r="V136" i="29"/>
  <c r="V144" i="29"/>
  <c r="V135" i="29"/>
  <c r="V132" i="29"/>
  <c r="V150" i="29"/>
  <c r="V134" i="29"/>
  <c r="V142" i="29"/>
  <c r="V127" i="29"/>
  <c r="V129" i="29"/>
  <c r="V128" i="29"/>
  <c r="AF137" i="29"/>
  <c r="AF136" i="29"/>
  <c r="AF150" i="29"/>
  <c r="AF143" i="29"/>
  <c r="AF134" i="29"/>
  <c r="AF130" i="29"/>
  <c r="AF147" i="29"/>
  <c r="AF131" i="29"/>
  <c r="AF139" i="29"/>
  <c r="AF145" i="29"/>
  <c r="AF141" i="29"/>
  <c r="AF149" i="29"/>
  <c r="AF146" i="29"/>
  <c r="AF148" i="29"/>
  <c r="AF142" i="29"/>
  <c r="AF132" i="29"/>
  <c r="AF133" i="29"/>
  <c r="AF144" i="29"/>
  <c r="AF140" i="29"/>
  <c r="AF135" i="29"/>
  <c r="AF138" i="29"/>
  <c r="AF129" i="29"/>
  <c r="AF127" i="29"/>
  <c r="AF128" i="29"/>
  <c r="BD136" i="29"/>
  <c r="BD149" i="29"/>
  <c r="BD137" i="29"/>
  <c r="BD145" i="29"/>
  <c r="BD148" i="29"/>
  <c r="BD134" i="29"/>
  <c r="BD135" i="29"/>
  <c r="BD143" i="29"/>
  <c r="BD144" i="29"/>
  <c r="BD132" i="29"/>
  <c r="BD140" i="29"/>
  <c r="BD150" i="29"/>
  <c r="BD133" i="29"/>
  <c r="BD141" i="29"/>
  <c r="BD130" i="29"/>
  <c r="BD138" i="29"/>
  <c r="BD146" i="29"/>
  <c r="BD131" i="29"/>
  <c r="BD139" i="29"/>
  <c r="BD147" i="29"/>
  <c r="BD142" i="29"/>
  <c r="BD129" i="29"/>
  <c r="BD127" i="29"/>
  <c r="BD128" i="29"/>
  <c r="AF109" i="29"/>
  <c r="AF111" i="29"/>
  <c r="AF124" i="29"/>
  <c r="AF116" i="29"/>
  <c r="AF125" i="29"/>
  <c r="AF117" i="29"/>
  <c r="AF103" i="29"/>
  <c r="AF97" i="29"/>
  <c r="AF110" i="29"/>
  <c r="AF126" i="29"/>
  <c r="AF98" i="29"/>
  <c r="AF102" i="29"/>
  <c r="AF113" i="29"/>
  <c r="AF123" i="29"/>
  <c r="AF121" i="29"/>
  <c r="AF100" i="29"/>
  <c r="AF122" i="29"/>
  <c r="AF104" i="29"/>
  <c r="AF118" i="29"/>
  <c r="AF114" i="29"/>
  <c r="AF99" i="29"/>
  <c r="AF119" i="29"/>
  <c r="AF120" i="29"/>
  <c r="AF105" i="29"/>
  <c r="AF107" i="29"/>
  <c r="AF106" i="29"/>
  <c r="AF115" i="29"/>
  <c r="AF101" i="29"/>
  <c r="AF112" i="29"/>
  <c r="AF108" i="29"/>
  <c r="BD100" i="29"/>
  <c r="BD106" i="29"/>
  <c r="BD122" i="29"/>
  <c r="BD109" i="29"/>
  <c r="BD112" i="29"/>
  <c r="BD123" i="29"/>
  <c r="BD124" i="29"/>
  <c r="BD103" i="29"/>
  <c r="BD111" i="29"/>
  <c r="BD119" i="29"/>
  <c r="BD125" i="29"/>
  <c r="BD102" i="29"/>
  <c r="BD110" i="29"/>
  <c r="BD121" i="29"/>
  <c r="BD104" i="29"/>
  <c r="BD113" i="29"/>
  <c r="BD101" i="29"/>
  <c r="BD99" i="29"/>
  <c r="BD105" i="29"/>
  <c r="BD114" i="29"/>
  <c r="BD126" i="29"/>
  <c r="BD118" i="29"/>
  <c r="BD108" i="29"/>
  <c r="BD97" i="29"/>
  <c r="BD117" i="29"/>
  <c r="BD115" i="29"/>
  <c r="BD107" i="29"/>
  <c r="BD116" i="29"/>
  <c r="BD98" i="29"/>
  <c r="BD120" i="29"/>
  <c r="V119" i="29"/>
  <c r="V118" i="29"/>
  <c r="V109" i="29"/>
  <c r="V115" i="29"/>
  <c r="V97" i="29"/>
  <c r="V125" i="29"/>
  <c r="V105" i="29"/>
  <c r="V113" i="29"/>
  <c r="V121" i="29"/>
  <c r="V98" i="29"/>
  <c r="V104" i="29"/>
  <c r="V101" i="29"/>
  <c r="V122" i="29"/>
  <c r="V124" i="29"/>
  <c r="V117" i="29"/>
  <c r="V112" i="29"/>
  <c r="V102" i="29"/>
  <c r="V99" i="29"/>
  <c r="V120" i="29"/>
  <c r="V106" i="29"/>
  <c r="V111" i="29"/>
  <c r="V114" i="29"/>
  <c r="V116" i="29"/>
  <c r="V108" i="29"/>
  <c r="V107" i="29"/>
  <c r="V110" i="29"/>
  <c r="V103" i="29"/>
  <c r="V100" i="29"/>
  <c r="V126" i="29"/>
  <c r="V123" i="29"/>
  <c r="AA220" i="38"/>
  <c r="D102" i="38"/>
  <c r="D89" i="38"/>
  <c r="D527" i="38"/>
  <c r="D513" i="38"/>
  <c r="D528" i="38"/>
  <c r="D87" i="38" s="1"/>
  <c r="G200" i="23"/>
  <c r="W200" i="23"/>
  <c r="O200" i="23"/>
  <c r="G11" i="23" s="1"/>
  <c r="AK200" i="23"/>
  <c r="R200" i="23"/>
  <c r="M200" i="23"/>
  <c r="G8" i="23" s="1"/>
  <c r="AJ200" i="23"/>
  <c r="Z200" i="23"/>
  <c r="I7" i="23" s="1"/>
  <c r="V200" i="23"/>
  <c r="AI200" i="23"/>
  <c r="U200" i="23"/>
  <c r="I4" i="23" s="1"/>
  <c r="AG200" i="23"/>
  <c r="P200" i="23"/>
  <c r="G9" i="23" s="1"/>
  <c r="AL200" i="23"/>
  <c r="AH200" i="23"/>
  <c r="I200" i="23"/>
  <c r="I3" i="23" s="1"/>
  <c r="E79" i="23" s="1"/>
  <c r="J200" i="23"/>
  <c r="G3" i="23" s="1"/>
  <c r="F200" i="23"/>
  <c r="S200" i="23"/>
  <c r="N200" i="23"/>
  <c r="B104" i="56" s="1"/>
  <c r="Q200" i="23"/>
  <c r="AE200" i="23"/>
  <c r="I8" i="23" s="1"/>
  <c r="D11" i="25" s="1"/>
  <c r="E200" i="23"/>
  <c r="L200" i="23"/>
  <c r="G7" i="23" s="1"/>
  <c r="K200" i="23"/>
  <c r="G6" i="23" s="1"/>
  <c r="Y200" i="23"/>
  <c r="I6" i="23" s="1"/>
  <c r="G1" i="23"/>
  <c r="G31" i="29"/>
  <c r="T221" i="38"/>
  <c r="T202" i="38" s="1"/>
  <c r="D86" i="38"/>
  <c r="D88" i="38"/>
  <c r="D76" i="38"/>
  <c r="BD77" i="29"/>
  <c r="BD52" i="29"/>
  <c r="BD45" i="29"/>
  <c r="BD62" i="29"/>
  <c r="BD80" i="29"/>
  <c r="BD59" i="29"/>
  <c r="BD79" i="29"/>
  <c r="BD88" i="29"/>
  <c r="BD32" i="29"/>
  <c r="BD87" i="29"/>
  <c r="BD35" i="29"/>
  <c r="BD96" i="29"/>
  <c r="BD36" i="29"/>
  <c r="BD39" i="29"/>
  <c r="BD48" i="29"/>
  <c r="BD75" i="29"/>
  <c r="BD42" i="29"/>
  <c r="BD68" i="29"/>
  <c r="BD95" i="29"/>
  <c r="BD56" i="29"/>
  <c r="BD76" i="29"/>
  <c r="BD58" i="29"/>
  <c r="BD81" i="29"/>
  <c r="BD89" i="29"/>
  <c r="BD66" i="29"/>
  <c r="BD63" i="29"/>
  <c r="BD85" i="29"/>
  <c r="BD43" i="29"/>
  <c r="BD34" i="29"/>
  <c r="BD38" i="29"/>
  <c r="BD60" i="29"/>
  <c r="BD73" i="29"/>
  <c r="BD92" i="29"/>
  <c r="BD40" i="29"/>
  <c r="BD54" i="29"/>
  <c r="BD86" i="29"/>
  <c r="BD64" i="29"/>
  <c r="BD84" i="29"/>
  <c r="BD51" i="29"/>
  <c r="BD82" i="29"/>
  <c r="BD83" i="29"/>
  <c r="BD65" i="29"/>
  <c r="BD46" i="29"/>
  <c r="BD49" i="29"/>
  <c r="BD50" i="29"/>
  <c r="BD37" i="29"/>
  <c r="BD70" i="29"/>
  <c r="BD47" i="29"/>
  <c r="BD78" i="29"/>
  <c r="BD33" i="29"/>
  <c r="BD90" i="29"/>
  <c r="BD93" i="29"/>
  <c r="BD44" i="29"/>
  <c r="BD41" i="29"/>
  <c r="BD91" i="29"/>
  <c r="BD69" i="29"/>
  <c r="BD72" i="29"/>
  <c r="BD74" i="29"/>
  <c r="BD55" i="29"/>
  <c r="BD61" i="29"/>
  <c r="BD71" i="29"/>
  <c r="BD94" i="29"/>
  <c r="BD67" i="29"/>
  <c r="BD53" i="29"/>
  <c r="BD57" i="29"/>
  <c r="BD31" i="29"/>
  <c r="V66" i="29"/>
  <c r="V87" i="29"/>
  <c r="V76" i="29"/>
  <c r="V89" i="29"/>
  <c r="V57" i="29"/>
  <c r="V41" i="29"/>
  <c r="V75" i="29"/>
  <c r="V47" i="29"/>
  <c r="V91" i="29"/>
  <c r="V81" i="29"/>
  <c r="V85" i="29"/>
  <c r="V46" i="29"/>
  <c r="V93" i="29"/>
  <c r="V94" i="29"/>
  <c r="V37" i="29"/>
  <c r="V33" i="29"/>
  <c r="V70" i="29"/>
  <c r="V79" i="29"/>
  <c r="V40" i="29"/>
  <c r="V63" i="29"/>
  <c r="V58" i="29"/>
  <c r="V36" i="29"/>
  <c r="V88" i="29"/>
  <c r="V72" i="29"/>
  <c r="V34" i="29"/>
  <c r="V44" i="29"/>
  <c r="V53" i="29"/>
  <c r="V96" i="29"/>
  <c r="V52" i="29"/>
  <c r="V54" i="29"/>
  <c r="V62" i="29"/>
  <c r="V42" i="29"/>
  <c r="V74" i="29"/>
  <c r="V64" i="29"/>
  <c r="V45" i="29"/>
  <c r="V55" i="29"/>
  <c r="V67" i="29"/>
  <c r="V60" i="29"/>
  <c r="V61" i="29"/>
  <c r="V83" i="29"/>
  <c r="V68" i="29"/>
  <c r="V50" i="29"/>
  <c r="V92" i="29"/>
  <c r="V86" i="29"/>
  <c r="V38" i="29"/>
  <c r="V56" i="29"/>
  <c r="V51" i="29"/>
  <c r="V69" i="29"/>
  <c r="V78" i="29"/>
  <c r="V49" i="29"/>
  <c r="V48" i="29"/>
  <c r="V84" i="29"/>
  <c r="V80" i="29"/>
  <c r="V82" i="29"/>
  <c r="V73" i="29"/>
  <c r="V71" i="29"/>
  <c r="V31" i="29"/>
  <c r="V90" i="29"/>
  <c r="V77" i="29"/>
  <c r="V95" i="29"/>
  <c r="V35" i="29"/>
  <c r="V43" i="29"/>
  <c r="V32" i="29"/>
  <c r="V59" i="29"/>
  <c r="V65" i="29"/>
  <c r="V39" i="29"/>
  <c r="D56" i="38"/>
  <c r="F56" i="38"/>
  <c r="D69" i="38"/>
  <c r="T220" i="23"/>
  <c r="X220" i="23" s="1"/>
  <c r="AF84" i="29"/>
  <c r="AF58" i="29"/>
  <c r="AF35" i="29"/>
  <c r="AF55" i="29"/>
  <c r="AF96" i="29"/>
  <c r="AF53" i="29"/>
  <c r="AF34" i="29"/>
  <c r="AF65" i="29"/>
  <c r="AF52" i="29"/>
  <c r="AF41" i="29"/>
  <c r="AF87" i="29"/>
  <c r="AF74" i="29"/>
  <c r="AF50" i="29"/>
  <c r="AF45" i="29"/>
  <c r="AF83" i="29"/>
  <c r="AF76" i="29"/>
  <c r="AF31" i="29"/>
  <c r="AF51" i="29"/>
  <c r="AF64" i="29"/>
  <c r="AF89" i="29"/>
  <c r="AF44" i="29"/>
  <c r="AF32" i="29"/>
  <c r="AF36" i="29"/>
  <c r="AF81" i="29"/>
  <c r="AF78" i="29"/>
  <c r="AF71" i="29"/>
  <c r="AF38" i="29"/>
  <c r="AF59" i="29"/>
  <c r="AF88" i="29"/>
  <c r="AF92" i="29"/>
  <c r="AF85" i="29"/>
  <c r="AF80" i="29"/>
  <c r="AF70" i="29"/>
  <c r="AF40" i="29"/>
  <c r="AF37" i="29"/>
  <c r="AF46" i="29"/>
  <c r="AF66" i="29"/>
  <c r="AF60" i="29"/>
  <c r="AF77" i="29"/>
  <c r="AF61" i="29"/>
  <c r="AF57" i="29"/>
  <c r="AF95" i="29"/>
  <c r="AF42" i="29"/>
  <c r="AF79" i="29"/>
  <c r="AF47" i="29"/>
  <c r="AF49" i="29"/>
  <c r="AF56" i="29"/>
  <c r="AF75" i="29"/>
  <c r="AF67" i="29"/>
  <c r="AF90" i="29"/>
  <c r="AF69" i="29"/>
  <c r="AF43" i="29"/>
  <c r="AF94" i="29"/>
  <c r="AF33" i="29"/>
  <c r="AF63" i="29"/>
  <c r="AF48" i="29"/>
  <c r="AF93" i="29"/>
  <c r="AF86" i="29"/>
  <c r="AF72" i="29"/>
  <c r="AF68" i="29"/>
  <c r="AF39" i="29"/>
  <c r="AF73" i="29"/>
  <c r="AF62" i="29"/>
  <c r="AF82" i="29"/>
  <c r="AF91" i="29"/>
  <c r="AF54" i="29"/>
  <c r="B98" i="56" l="1"/>
  <c r="F79" i="23"/>
  <c r="D535" i="23"/>
  <c r="D534" i="23"/>
  <c r="D549" i="23"/>
  <c r="J6" i="23"/>
  <c r="D529" i="23"/>
  <c r="G10" i="23"/>
  <c r="B30" i="56"/>
  <c r="D53" i="23"/>
  <c r="AA220" i="23"/>
  <c r="F538" i="23"/>
  <c r="V28" i="29"/>
  <c r="W28" i="29" s="1"/>
  <c r="W30" i="29" s="1"/>
  <c r="BO31" i="29"/>
  <c r="D80" i="23"/>
  <c r="C3" i="26"/>
  <c r="F9" i="26" s="1"/>
  <c r="D9" i="26" s="1"/>
  <c r="I2" i="23"/>
  <c r="AA221" i="38"/>
  <c r="AA202" i="38" s="1"/>
  <c r="BD28" i="29"/>
  <c r="E536" i="23"/>
  <c r="I5" i="23"/>
  <c r="D94" i="23" s="1"/>
  <c r="E533" i="23"/>
  <c r="E532" i="23"/>
  <c r="D543" i="23"/>
  <c r="AF28" i="29"/>
  <c r="T222" i="23"/>
  <c r="T203" i="23" s="1"/>
  <c r="T200" i="23" s="1"/>
  <c r="X221" i="23"/>
  <c r="X222" i="23" s="1"/>
  <c r="X203" i="23" s="1"/>
  <c r="X200" i="23" s="1"/>
  <c r="G4" i="23" s="1"/>
  <c r="B140" i="56" s="1"/>
  <c r="E538" i="23"/>
  <c r="D87" i="23"/>
  <c r="E4" i="23"/>
  <c r="D550" i="23" s="1"/>
  <c r="D539" i="23"/>
  <c r="E539" i="23" s="1"/>
  <c r="D544" i="23"/>
  <c r="AM200" i="23"/>
  <c r="D545" i="23"/>
  <c r="G5" i="23" l="1"/>
  <c r="B111" i="56"/>
  <c r="D78" i="23"/>
  <c r="B78" i="56" s="1"/>
  <c r="D76" i="23"/>
  <c r="D10" i="25" s="1"/>
  <c r="B54" i="56"/>
  <c r="B66" i="56"/>
  <c r="D56" i="23"/>
  <c r="D528" i="23"/>
  <c r="D88" i="23" s="1"/>
  <c r="D77" i="23"/>
  <c r="E145" i="29"/>
  <c r="E143" i="29"/>
  <c r="E141" i="29"/>
  <c r="E137" i="29"/>
  <c r="E135" i="29"/>
  <c r="E146" i="29"/>
  <c r="E149" i="29"/>
  <c r="E132" i="29"/>
  <c r="E131" i="29"/>
  <c r="E144" i="29"/>
  <c r="E140" i="29"/>
  <c r="E138" i="29"/>
  <c r="E139" i="29"/>
  <c r="E134" i="29"/>
  <c r="E148" i="29"/>
  <c r="E136" i="29"/>
  <c r="E130" i="29"/>
  <c r="E133" i="29"/>
  <c r="E147" i="29"/>
  <c r="E142" i="29"/>
  <c r="AQ132" i="29"/>
  <c r="AQ148" i="29"/>
  <c r="AQ145" i="29"/>
  <c r="AQ138" i="29"/>
  <c r="AQ131" i="29"/>
  <c r="AQ147" i="29"/>
  <c r="AQ137" i="29"/>
  <c r="AQ139" i="29"/>
  <c r="AQ144" i="29"/>
  <c r="AQ141" i="29"/>
  <c r="AQ134" i="29"/>
  <c r="AQ143" i="29"/>
  <c r="AQ136" i="29"/>
  <c r="AQ133" i="29"/>
  <c r="AQ149" i="29"/>
  <c r="AQ142" i="29"/>
  <c r="AQ135" i="29"/>
  <c r="AQ140" i="29"/>
  <c r="AQ146" i="29"/>
  <c r="AQ150" i="29"/>
  <c r="AQ130" i="29"/>
  <c r="AQ129" i="29"/>
  <c r="E127" i="29"/>
  <c r="AQ127" i="29"/>
  <c r="E128" i="29"/>
  <c r="AQ128" i="29"/>
  <c r="E129" i="29"/>
  <c r="E534" i="23"/>
  <c r="E535" i="23"/>
  <c r="AQ113" i="29"/>
  <c r="AX113" i="29" s="1"/>
  <c r="BF113" i="29" s="1"/>
  <c r="AQ98" i="29"/>
  <c r="AX98" i="29" s="1"/>
  <c r="BF98" i="29" s="1"/>
  <c r="AQ119" i="29"/>
  <c r="AX119" i="29" s="1"/>
  <c r="BF119" i="29" s="1"/>
  <c r="E103" i="29"/>
  <c r="AQ109" i="29"/>
  <c r="AX109" i="29" s="1"/>
  <c r="BF109" i="29" s="1"/>
  <c r="E107" i="29"/>
  <c r="E113" i="29"/>
  <c r="AQ122" i="29"/>
  <c r="AX122" i="29" s="1"/>
  <c r="BF122" i="29" s="1"/>
  <c r="E116" i="29"/>
  <c r="AQ101" i="29"/>
  <c r="AX101" i="29" s="1"/>
  <c r="BF101" i="29" s="1"/>
  <c r="E120" i="29"/>
  <c r="E117" i="29"/>
  <c r="AQ102" i="29"/>
  <c r="AX102" i="29" s="1"/>
  <c r="BF102" i="29" s="1"/>
  <c r="AQ114" i="29"/>
  <c r="AX114" i="29" s="1"/>
  <c r="BF114" i="29" s="1"/>
  <c r="AQ97" i="29"/>
  <c r="AX97" i="29" s="1"/>
  <c r="BF97" i="29" s="1"/>
  <c r="E118" i="29"/>
  <c r="AQ107" i="29"/>
  <c r="AX107" i="29" s="1"/>
  <c r="BF107" i="29" s="1"/>
  <c r="E104" i="29"/>
  <c r="E100" i="29"/>
  <c r="E108" i="29"/>
  <c r="AQ120" i="29"/>
  <c r="AX120" i="29" s="1"/>
  <c r="BF120" i="29" s="1"/>
  <c r="E122" i="29"/>
  <c r="AQ100" i="29"/>
  <c r="AX100" i="29" s="1"/>
  <c r="BF100" i="29" s="1"/>
  <c r="AQ124" i="29"/>
  <c r="AX124" i="29" s="1"/>
  <c r="BF124" i="29" s="1"/>
  <c r="AQ104" i="29"/>
  <c r="AX104" i="29" s="1"/>
  <c r="BF104" i="29" s="1"/>
  <c r="AQ103" i="29"/>
  <c r="AX103" i="29" s="1"/>
  <c r="BF103" i="29" s="1"/>
  <c r="E105" i="29"/>
  <c r="E115" i="29"/>
  <c r="AQ123" i="29"/>
  <c r="AX123" i="29" s="1"/>
  <c r="BF123" i="29" s="1"/>
  <c r="AQ117" i="29"/>
  <c r="AX117" i="29" s="1"/>
  <c r="BF117" i="29" s="1"/>
  <c r="E110" i="29"/>
  <c r="AQ116" i="29"/>
  <c r="AX116" i="29" s="1"/>
  <c r="BF116" i="29" s="1"/>
  <c r="E121" i="29"/>
  <c r="E99" i="29"/>
  <c r="E114" i="29"/>
  <c r="AQ99" i="29"/>
  <c r="AX99" i="29" s="1"/>
  <c r="BF99" i="29" s="1"/>
  <c r="AQ112" i="29"/>
  <c r="AX112" i="29" s="1"/>
  <c r="BF112" i="29" s="1"/>
  <c r="AQ111" i="29"/>
  <c r="AX111" i="29" s="1"/>
  <c r="BF111" i="29" s="1"/>
  <c r="E111" i="29"/>
  <c r="AQ108" i="29"/>
  <c r="AX108" i="29" s="1"/>
  <c r="BF108" i="29" s="1"/>
  <c r="AQ106" i="29"/>
  <c r="AX106" i="29" s="1"/>
  <c r="BF106" i="29" s="1"/>
  <c r="E125" i="29"/>
  <c r="AQ115" i="29"/>
  <c r="AX115" i="29" s="1"/>
  <c r="BF115" i="29" s="1"/>
  <c r="AQ110" i="29"/>
  <c r="AX110" i="29" s="1"/>
  <c r="BF110" i="29" s="1"/>
  <c r="AQ105" i="29"/>
  <c r="AX105" i="29" s="1"/>
  <c r="BF105" i="29" s="1"/>
  <c r="E119" i="29"/>
  <c r="E124" i="29"/>
  <c r="E123" i="29"/>
  <c r="AQ121" i="29"/>
  <c r="AX121" i="29" s="1"/>
  <c r="BF121" i="29" s="1"/>
  <c r="AQ126" i="29"/>
  <c r="AX126" i="29" s="1"/>
  <c r="BF126" i="29" s="1"/>
  <c r="E109" i="29"/>
  <c r="AQ118" i="29"/>
  <c r="AX118" i="29" s="1"/>
  <c r="BF118" i="29" s="1"/>
  <c r="AQ125" i="29"/>
  <c r="AX125" i="29" s="1"/>
  <c r="BF125" i="29" s="1"/>
  <c r="E106" i="29"/>
  <c r="E112" i="29"/>
  <c r="E98" i="29"/>
  <c r="D57" i="23"/>
  <c r="D57" i="38" s="1"/>
  <c r="AA221" i="23"/>
  <c r="AA222" i="23" s="1"/>
  <c r="AA203" i="23" s="1"/>
  <c r="AA200" i="23" s="1"/>
  <c r="I1" i="23" s="1"/>
  <c r="E26" i="26"/>
  <c r="E543" i="23"/>
  <c r="D91" i="23" s="1"/>
  <c r="D90" i="38" s="1"/>
  <c r="F56" i="23"/>
  <c r="D115" i="23"/>
  <c r="AQ79" i="29"/>
  <c r="AQ58" i="29"/>
  <c r="AQ47" i="29"/>
  <c r="AQ94" i="29"/>
  <c r="AQ66" i="29"/>
  <c r="AQ72" i="29"/>
  <c r="AQ41" i="29"/>
  <c r="AQ39" i="29"/>
  <c r="AQ43" i="29"/>
  <c r="AQ44" i="29"/>
  <c r="AQ36" i="29"/>
  <c r="AQ69" i="29"/>
  <c r="AQ33" i="29"/>
  <c r="AQ38" i="29"/>
  <c r="AQ81" i="29"/>
  <c r="AQ75" i="29"/>
  <c r="AQ67" i="29"/>
  <c r="AQ87" i="29"/>
  <c r="AQ61" i="29"/>
  <c r="AQ77" i="29"/>
  <c r="AQ46" i="29"/>
  <c r="E37" i="29"/>
  <c r="AQ65" i="29"/>
  <c r="E48" i="29"/>
  <c r="AQ52" i="29"/>
  <c r="E35" i="29"/>
  <c r="E59" i="29"/>
  <c r="E83" i="29"/>
  <c r="E71" i="29"/>
  <c r="BN7" i="29"/>
  <c r="B13" i="29"/>
  <c r="AN13" i="29" s="1"/>
  <c r="AQ63" i="29"/>
  <c r="AQ42" i="29"/>
  <c r="AQ49" i="29"/>
  <c r="AQ40" i="29"/>
  <c r="AQ93" i="29"/>
  <c r="AQ96" i="29"/>
  <c r="AQ35" i="29"/>
  <c r="AQ32" i="29"/>
  <c r="AQ60" i="29"/>
  <c r="AQ82" i="29"/>
  <c r="AQ70" i="29"/>
  <c r="AQ53" i="29"/>
  <c r="E33" i="29"/>
  <c r="AQ51" i="29"/>
  <c r="AQ95" i="29"/>
  <c r="AQ31" i="29"/>
  <c r="AQ50" i="29"/>
  <c r="AQ76" i="29"/>
  <c r="AQ55" i="29"/>
  <c r="AQ54" i="29"/>
  <c r="E57" i="29"/>
  <c r="E93" i="29"/>
  <c r="AQ64" i="29"/>
  <c r="E45" i="29"/>
  <c r="E61" i="29"/>
  <c r="E81" i="29"/>
  <c r="AQ68" i="29"/>
  <c r="E34" i="29"/>
  <c r="E88" i="29"/>
  <c r="AQ91" i="29"/>
  <c r="AQ45" i="29"/>
  <c r="AQ92" i="29"/>
  <c r="AQ57" i="29"/>
  <c r="AQ90" i="29"/>
  <c r="AQ74" i="29"/>
  <c r="AQ48" i="29"/>
  <c r="AQ86" i="29"/>
  <c r="AQ80" i="29"/>
  <c r="AQ59" i="29"/>
  <c r="E38" i="29"/>
  <c r="E63" i="29"/>
  <c r="E56" i="29"/>
  <c r="E62" i="29"/>
  <c r="E94" i="29"/>
  <c r="E31" i="29"/>
  <c r="AQ83" i="29"/>
  <c r="AQ37" i="29"/>
  <c r="E69" i="29"/>
  <c r="AQ73" i="29"/>
  <c r="E36" i="29"/>
  <c r="E85" i="29"/>
  <c r="E73" i="29"/>
  <c r="E79" i="29"/>
  <c r="E46" i="29"/>
  <c r="E52" i="29"/>
  <c r="E72" i="29"/>
  <c r="E80" i="29"/>
  <c r="E40" i="29"/>
  <c r="AQ78" i="29"/>
  <c r="AQ56" i="29"/>
  <c r="AQ85" i="29"/>
  <c r="E49" i="29"/>
  <c r="E64" i="29"/>
  <c r="E47" i="29"/>
  <c r="AQ71" i="29"/>
  <c r="E68" i="29"/>
  <c r="AQ88" i="29"/>
  <c r="E87" i="29"/>
  <c r="E86" i="29"/>
  <c r="E84" i="29"/>
  <c r="AQ84" i="29"/>
  <c r="AQ34" i="29"/>
  <c r="AQ62" i="29"/>
  <c r="AQ89" i="29"/>
  <c r="E41" i="29"/>
  <c r="E58" i="29"/>
  <c r="E82" i="29"/>
  <c r="E43" i="29"/>
  <c r="J17" i="4"/>
  <c r="D6" i="25"/>
  <c r="D103" i="23"/>
  <c r="J5" i="23" l="1"/>
  <c r="J11" i="4" s="1"/>
  <c r="D532" i="23"/>
  <c r="D7" i="25"/>
  <c r="AX127" i="29"/>
  <c r="BF127" i="29" s="1"/>
  <c r="AX150" i="29"/>
  <c r="BF150" i="29" s="1"/>
  <c r="BN142" i="29"/>
  <c r="AX142" i="29"/>
  <c r="BF142" i="29" s="1"/>
  <c r="BN143" i="29"/>
  <c r="AX143" i="29"/>
  <c r="BF143" i="29" s="1"/>
  <c r="BN139" i="29"/>
  <c r="AX139" i="29"/>
  <c r="BF139" i="29" s="1"/>
  <c r="BN138" i="29"/>
  <c r="AX138" i="29"/>
  <c r="BF138" i="29" s="1"/>
  <c r="A142" i="29"/>
  <c r="Z142" i="29"/>
  <c r="AH142" i="29" s="1"/>
  <c r="A136" i="29"/>
  <c r="Z136" i="29"/>
  <c r="AH136" i="29" s="1"/>
  <c r="Z138" i="29"/>
  <c r="AH138" i="29" s="1"/>
  <c r="A138" i="29"/>
  <c r="A132" i="29"/>
  <c r="Z132" i="29"/>
  <c r="AH132" i="29" s="1"/>
  <c r="A137" i="29"/>
  <c r="Z137" i="29"/>
  <c r="AH137" i="29" s="1"/>
  <c r="Z129" i="29"/>
  <c r="AH129" i="29" s="1"/>
  <c r="A129" i="29"/>
  <c r="BN129" i="29"/>
  <c r="BN127" i="29"/>
  <c r="Z127" i="29"/>
  <c r="AH127" i="29" s="1"/>
  <c r="BN146" i="29"/>
  <c r="AX146" i="29"/>
  <c r="BF146" i="29" s="1"/>
  <c r="BN149" i="29"/>
  <c r="AX149" i="29"/>
  <c r="BF149" i="29" s="1"/>
  <c r="BN134" i="29"/>
  <c r="AX134" i="29"/>
  <c r="BF134" i="29" s="1"/>
  <c r="BN137" i="29"/>
  <c r="AX137" i="29"/>
  <c r="BF137" i="29" s="1"/>
  <c r="BN145" i="29"/>
  <c r="AX145" i="29"/>
  <c r="BF145" i="29" s="1"/>
  <c r="A147" i="29"/>
  <c r="Z147" i="29"/>
  <c r="AH147" i="29" s="1"/>
  <c r="Z148" i="29"/>
  <c r="AH148" i="29" s="1"/>
  <c r="A148" i="29"/>
  <c r="A140" i="29"/>
  <c r="Z140" i="29"/>
  <c r="AH140" i="29" s="1"/>
  <c r="A149" i="29"/>
  <c r="Z149" i="29"/>
  <c r="AH149" i="29" s="1"/>
  <c r="A141" i="29"/>
  <c r="Z141" i="29"/>
  <c r="AH141" i="29" s="1"/>
  <c r="AX128" i="29"/>
  <c r="BF128" i="29" s="1"/>
  <c r="AX129" i="29"/>
  <c r="BF129" i="29" s="1"/>
  <c r="BN140" i="29"/>
  <c r="AX140" i="29"/>
  <c r="BF140" i="29" s="1"/>
  <c r="BN133" i="29"/>
  <c r="AX133" i="29"/>
  <c r="BF133" i="29" s="1"/>
  <c r="BN141" i="29"/>
  <c r="AX141" i="29"/>
  <c r="BF141" i="29" s="1"/>
  <c r="BN147" i="29"/>
  <c r="AX147" i="29"/>
  <c r="BF147" i="29" s="1"/>
  <c r="BN148" i="29"/>
  <c r="AX148" i="29"/>
  <c r="BF148" i="29" s="1"/>
  <c r="A133" i="29"/>
  <c r="Z133" i="29"/>
  <c r="AH133" i="29" s="1"/>
  <c r="A134" i="29"/>
  <c r="Z134" i="29"/>
  <c r="AH134" i="29" s="1"/>
  <c r="A144" i="29"/>
  <c r="Z144" i="29"/>
  <c r="AH144" i="29" s="1"/>
  <c r="A146" i="29"/>
  <c r="Z146" i="29"/>
  <c r="AH146" i="29" s="1"/>
  <c r="A143" i="29"/>
  <c r="Z143" i="29"/>
  <c r="AH143" i="29" s="1"/>
  <c r="BN128" i="29"/>
  <c r="A128" i="29"/>
  <c r="Z128" i="29"/>
  <c r="AH128" i="29" s="1"/>
  <c r="BN130" i="29"/>
  <c r="AX130" i="29"/>
  <c r="BF130" i="29" s="1"/>
  <c r="BN135" i="29"/>
  <c r="AX135" i="29"/>
  <c r="BF135" i="29" s="1"/>
  <c r="BN136" i="29"/>
  <c r="AX136" i="29"/>
  <c r="BF136" i="29" s="1"/>
  <c r="BN144" i="29"/>
  <c r="AX144" i="29"/>
  <c r="BF144" i="29" s="1"/>
  <c r="BN131" i="29"/>
  <c r="AX131" i="29"/>
  <c r="BF131" i="29" s="1"/>
  <c r="BN132" i="29"/>
  <c r="AX132" i="29"/>
  <c r="BF132" i="29" s="1"/>
  <c r="A130" i="29"/>
  <c r="Z130" i="29"/>
  <c r="AH130" i="29" s="1"/>
  <c r="A139" i="29"/>
  <c r="Z139" i="29"/>
  <c r="AH139" i="29" s="1"/>
  <c r="Z131" i="29"/>
  <c r="AH131" i="29" s="1"/>
  <c r="A131" i="29"/>
  <c r="A135" i="29"/>
  <c r="Z135" i="29"/>
  <c r="AH135" i="29" s="1"/>
  <c r="A145" i="29"/>
  <c r="Z145" i="29"/>
  <c r="AH145" i="29" s="1"/>
  <c r="D6" i="58"/>
  <c r="D21" i="58" s="1"/>
  <c r="D6" i="57"/>
  <c r="D96" i="23"/>
  <c r="D95" i="38" s="1"/>
  <c r="BN125" i="29"/>
  <c r="A125" i="29"/>
  <c r="Z125" i="29"/>
  <c r="AH125" i="29" s="1"/>
  <c r="BN111" i="29"/>
  <c r="Z111" i="29"/>
  <c r="AH111" i="29" s="1"/>
  <c r="A111" i="29"/>
  <c r="BN114" i="29"/>
  <c r="A114" i="29"/>
  <c r="Z114" i="29"/>
  <c r="AH114" i="29" s="1"/>
  <c r="A115" i="29"/>
  <c r="Z115" i="29"/>
  <c r="AH115" i="29" s="1"/>
  <c r="BN115" i="29"/>
  <c r="BN108" i="29"/>
  <c r="Z108" i="29"/>
  <c r="AH108" i="29" s="1"/>
  <c r="A108" i="29"/>
  <c r="BN118" i="29"/>
  <c r="Z118" i="29"/>
  <c r="AH118" i="29" s="1"/>
  <c r="A118" i="29"/>
  <c r="Z117" i="29"/>
  <c r="AH117" i="29" s="1"/>
  <c r="A117" i="29"/>
  <c r="BN117" i="29"/>
  <c r="BN103" i="29"/>
  <c r="Z103" i="29"/>
  <c r="AH103" i="29" s="1"/>
  <c r="BN98" i="29"/>
  <c r="Z98" i="29"/>
  <c r="AH98" i="29" s="1"/>
  <c r="A123" i="29"/>
  <c r="BN123" i="29"/>
  <c r="Z123" i="29"/>
  <c r="AH123" i="29" s="1"/>
  <c r="A99" i="29"/>
  <c r="BN99" i="29"/>
  <c r="Z99" i="29"/>
  <c r="AH99" i="29" s="1"/>
  <c r="A110" i="29"/>
  <c r="BN110" i="29"/>
  <c r="Z110" i="29"/>
  <c r="AH110" i="29" s="1"/>
  <c r="Z105" i="29"/>
  <c r="AH105" i="29" s="1"/>
  <c r="BN105" i="29"/>
  <c r="A105" i="29"/>
  <c r="A100" i="29"/>
  <c r="Z100" i="29"/>
  <c r="AH100" i="29" s="1"/>
  <c r="BN100" i="29"/>
  <c r="BN120" i="29"/>
  <c r="Z120" i="29"/>
  <c r="AH120" i="29" s="1"/>
  <c r="A120" i="29"/>
  <c r="A113" i="29"/>
  <c r="BN113" i="29"/>
  <c r="Z113" i="29"/>
  <c r="AH113" i="29" s="1"/>
  <c r="A112" i="29"/>
  <c r="BN112" i="29"/>
  <c r="Z112" i="29"/>
  <c r="AH112" i="29" s="1"/>
  <c r="A109" i="29"/>
  <c r="BN109" i="29"/>
  <c r="Z109" i="29"/>
  <c r="AH109" i="29" s="1"/>
  <c r="Z124" i="29"/>
  <c r="AH124" i="29" s="1"/>
  <c r="A124" i="29"/>
  <c r="BN124" i="29"/>
  <c r="BN121" i="29"/>
  <c r="A121" i="29"/>
  <c r="Z121" i="29"/>
  <c r="AH121" i="29" s="1"/>
  <c r="BN122" i="29"/>
  <c r="A122" i="29"/>
  <c r="Z122" i="29"/>
  <c r="AH122" i="29" s="1"/>
  <c r="A104" i="29"/>
  <c r="BN104" i="29"/>
  <c r="Z104" i="29"/>
  <c r="AH104" i="29" s="1"/>
  <c r="BN107" i="29"/>
  <c r="Z107" i="29"/>
  <c r="AH107" i="29" s="1"/>
  <c r="A107" i="29"/>
  <c r="BN106" i="29"/>
  <c r="A106" i="29"/>
  <c r="Z106" i="29"/>
  <c r="AH106" i="29" s="1"/>
  <c r="A119" i="29"/>
  <c r="Z119" i="29"/>
  <c r="AH119" i="29" s="1"/>
  <c r="BN119" i="29"/>
  <c r="Z116" i="29"/>
  <c r="AH116" i="29" s="1"/>
  <c r="A116" i="29"/>
  <c r="BN116" i="29"/>
  <c r="D82" i="23"/>
  <c r="D81" i="38" s="1"/>
  <c r="A87" i="29"/>
  <c r="Z87" i="29"/>
  <c r="AH87" i="29" s="1"/>
  <c r="BN87" i="29"/>
  <c r="AX85" i="29"/>
  <c r="BF85" i="29" s="1"/>
  <c r="BN40" i="29"/>
  <c r="Z40" i="29"/>
  <c r="AH40" i="29" s="1"/>
  <c r="Z69" i="29"/>
  <c r="AH69" i="29" s="1"/>
  <c r="A69" i="29"/>
  <c r="BN69" i="29"/>
  <c r="H31" i="29"/>
  <c r="Z31" i="29"/>
  <c r="AH31" i="29" s="1"/>
  <c r="BN31" i="29"/>
  <c r="A34" i="29"/>
  <c r="BN34" i="29"/>
  <c r="Z34" i="29"/>
  <c r="AH34" i="29" s="1"/>
  <c r="A57" i="29"/>
  <c r="Z57" i="29"/>
  <c r="AH57" i="29" s="1"/>
  <c r="BN57" i="29"/>
  <c r="AX51" i="29"/>
  <c r="BF51" i="29" s="1"/>
  <c r="AX82" i="29"/>
  <c r="BF82" i="29" s="1"/>
  <c r="AX42" i="29"/>
  <c r="BF42" i="29" s="1"/>
  <c r="BN83" i="29"/>
  <c r="A83" i="29"/>
  <c r="Z83" i="29"/>
  <c r="AH83" i="29" s="1"/>
  <c r="A58" i="29"/>
  <c r="BN58" i="29"/>
  <c r="Z58" i="29"/>
  <c r="AH58" i="29" s="1"/>
  <c r="A84" i="29"/>
  <c r="Z84" i="29"/>
  <c r="AH84" i="29" s="1"/>
  <c r="BN84" i="29"/>
  <c r="AX88" i="29"/>
  <c r="BF88" i="29" s="1"/>
  <c r="Z80" i="29"/>
  <c r="AH80" i="29" s="1"/>
  <c r="A80" i="29"/>
  <c r="BN80" i="29"/>
  <c r="A94" i="29"/>
  <c r="Z94" i="29"/>
  <c r="AH94" i="29" s="1"/>
  <c r="BN94" i="29"/>
  <c r="AX59" i="29"/>
  <c r="BF59" i="29" s="1"/>
  <c r="AX45" i="29"/>
  <c r="BF45" i="29" s="1"/>
  <c r="Z33" i="29"/>
  <c r="AH33" i="29" s="1"/>
  <c r="BN33" i="29"/>
  <c r="AX93" i="29"/>
  <c r="BF93" i="29" s="1"/>
  <c r="Z37" i="29"/>
  <c r="AH37" i="29" s="1"/>
  <c r="A37" i="29"/>
  <c r="BN37" i="29"/>
  <c r="AX38" i="29"/>
  <c r="BF38" i="29" s="1"/>
  <c r="AX72" i="29"/>
  <c r="BF72" i="29" s="1"/>
  <c r="AX58" i="29"/>
  <c r="BF58" i="29" s="1"/>
  <c r="A82" i="29"/>
  <c r="Z82" i="29"/>
  <c r="AH82" i="29" s="1"/>
  <c r="BN82" i="29"/>
  <c r="AX89" i="29"/>
  <c r="BF89" i="29" s="1"/>
  <c r="AX34" i="29"/>
  <c r="BF34" i="29" s="1"/>
  <c r="AX71" i="29"/>
  <c r="BF71" i="29" s="1"/>
  <c r="Z49" i="29"/>
  <c r="AH49" i="29" s="1"/>
  <c r="BN49" i="29"/>
  <c r="A49" i="29"/>
  <c r="Z73" i="29"/>
  <c r="AH73" i="29" s="1"/>
  <c r="A73" i="29"/>
  <c r="BN73" i="29"/>
  <c r="AX73" i="29"/>
  <c r="BF73" i="29" s="1"/>
  <c r="BN56" i="29"/>
  <c r="Z56" i="29"/>
  <c r="AH56" i="29" s="1"/>
  <c r="A38" i="29"/>
  <c r="Z38" i="29"/>
  <c r="AH38" i="29" s="1"/>
  <c r="BN38" i="29"/>
  <c r="AX86" i="29"/>
  <c r="BF86" i="29" s="1"/>
  <c r="AX57" i="29"/>
  <c r="BF57" i="29" s="1"/>
  <c r="Z88" i="29"/>
  <c r="AH88" i="29" s="1"/>
  <c r="A88" i="29"/>
  <c r="BN88" i="29"/>
  <c r="Z93" i="29"/>
  <c r="AH93" i="29" s="1"/>
  <c r="BN93" i="29"/>
  <c r="AX55" i="29"/>
  <c r="BF55" i="29" s="1"/>
  <c r="AX95" i="29"/>
  <c r="BF95" i="29" s="1"/>
  <c r="AX70" i="29"/>
  <c r="BF70" i="29" s="1"/>
  <c r="AX35" i="29"/>
  <c r="BF35" i="29" s="1"/>
  <c r="AX49" i="29"/>
  <c r="BF49" i="29" s="1"/>
  <c r="BN71" i="29"/>
  <c r="Z71" i="29"/>
  <c r="AH71" i="29" s="1"/>
  <c r="Z48" i="29"/>
  <c r="AH48" i="29" s="1"/>
  <c r="A48" i="29"/>
  <c r="BN48" i="29"/>
  <c r="AX77" i="29"/>
  <c r="BF77" i="29" s="1"/>
  <c r="AX75" i="29"/>
  <c r="BF75" i="29" s="1"/>
  <c r="AX69" i="29"/>
  <c r="BF69" i="29" s="1"/>
  <c r="AX39" i="29"/>
  <c r="BF39" i="29" s="1"/>
  <c r="AX94" i="29"/>
  <c r="BF94" i="29" s="1"/>
  <c r="AX84" i="29"/>
  <c r="BF84" i="29" s="1"/>
  <c r="A47" i="29"/>
  <c r="Z47" i="29"/>
  <c r="AH47" i="29" s="1"/>
  <c r="BN47" i="29"/>
  <c r="Z52" i="29"/>
  <c r="AH52" i="29" s="1"/>
  <c r="BN52" i="29"/>
  <c r="A85" i="29"/>
  <c r="BN85" i="29"/>
  <c r="Z85" i="29"/>
  <c r="AH85" i="29" s="1"/>
  <c r="AX48" i="29"/>
  <c r="BF48" i="29" s="1"/>
  <c r="AX92" i="29"/>
  <c r="BF92" i="29" s="1"/>
  <c r="Z61" i="29"/>
  <c r="AH61" i="29" s="1"/>
  <c r="BN61" i="29"/>
  <c r="AX76" i="29"/>
  <c r="BF76" i="29" s="1"/>
  <c r="AX96" i="29"/>
  <c r="BF96" i="29" s="1"/>
  <c r="AX65" i="29"/>
  <c r="BF65" i="29" s="1"/>
  <c r="AX61" i="29"/>
  <c r="BF61" i="29" s="1"/>
  <c r="AX81" i="29"/>
  <c r="BF81" i="29" s="1"/>
  <c r="AX36" i="29"/>
  <c r="BF36" i="29" s="1"/>
  <c r="AX41" i="29"/>
  <c r="BF41" i="29" s="1"/>
  <c r="AX47" i="29"/>
  <c r="BF47" i="29" s="1"/>
  <c r="AB219" i="38"/>
  <c r="D6" i="39"/>
  <c r="D17" i="39" s="1"/>
  <c r="D20" i="39" s="1"/>
  <c r="AB220" i="38"/>
  <c r="AB221" i="38" s="1"/>
  <c r="AB202" i="38" s="1"/>
  <c r="J18" i="4"/>
  <c r="D6" i="40"/>
  <c r="D15" i="40" s="1"/>
  <c r="D19" i="40" s="1"/>
  <c r="B14" i="28"/>
  <c r="AB221" i="23"/>
  <c r="AB222" i="23" s="1"/>
  <c r="AB203" i="23" s="1"/>
  <c r="AB200" i="23" s="1"/>
  <c r="I10" i="23" s="1"/>
  <c r="AX62" i="29"/>
  <c r="BF62" i="29" s="1"/>
  <c r="A64" i="29"/>
  <c r="BN64" i="29"/>
  <c r="Z64" i="29"/>
  <c r="AH64" i="29" s="1"/>
  <c r="AX56" i="29"/>
  <c r="BF56" i="29" s="1"/>
  <c r="A46" i="29"/>
  <c r="Z46" i="29"/>
  <c r="AH46" i="29" s="1"/>
  <c r="BN46" i="29"/>
  <c r="AX37" i="29"/>
  <c r="BF37" i="29" s="1"/>
  <c r="AX74" i="29"/>
  <c r="BF74" i="29" s="1"/>
  <c r="AX68" i="29"/>
  <c r="BF68" i="29" s="1"/>
  <c r="Z45" i="29"/>
  <c r="AH45" i="29" s="1"/>
  <c r="BN45" i="29"/>
  <c r="AX50" i="29"/>
  <c r="BF50" i="29" s="1"/>
  <c r="AX60" i="29"/>
  <c r="BF60" i="29" s="1"/>
  <c r="AX63" i="29"/>
  <c r="BF63" i="29" s="1"/>
  <c r="BN35" i="29"/>
  <c r="A35" i="29"/>
  <c r="Z35" i="29"/>
  <c r="AH35" i="29" s="1"/>
  <c r="AX87" i="29"/>
  <c r="BF87" i="29" s="1"/>
  <c r="AX44" i="29"/>
  <c r="BF44" i="29" s="1"/>
  <c r="Z43" i="29"/>
  <c r="AH43" i="29" s="1"/>
  <c r="BN43" i="29"/>
  <c r="A41" i="29"/>
  <c r="Z41" i="29"/>
  <c r="AH41" i="29" s="1"/>
  <c r="BN41" i="29"/>
  <c r="A86" i="29"/>
  <c r="Z86" i="29"/>
  <c r="AH86" i="29" s="1"/>
  <c r="BN86" i="29"/>
  <c r="BN68" i="29"/>
  <c r="Z68" i="29"/>
  <c r="AH68" i="29" s="1"/>
  <c r="AX78" i="29"/>
  <c r="BF78" i="29" s="1"/>
  <c r="Z72" i="29"/>
  <c r="AH72" i="29" s="1"/>
  <c r="BN72" i="29"/>
  <c r="A72" i="29"/>
  <c r="Z79" i="29"/>
  <c r="AH79" i="29" s="1"/>
  <c r="BN79" i="29"/>
  <c r="A36" i="29"/>
  <c r="BN36" i="29"/>
  <c r="Z36" i="29"/>
  <c r="AH36" i="29" s="1"/>
  <c r="AX83" i="29"/>
  <c r="BF83" i="29" s="1"/>
  <c r="Z62" i="29"/>
  <c r="AH62" i="29" s="1"/>
  <c r="A62" i="29"/>
  <c r="BN62" i="29"/>
  <c r="A63" i="29"/>
  <c r="Z63" i="29"/>
  <c r="AH63" i="29" s="1"/>
  <c r="BN63" i="29"/>
  <c r="AX80" i="29"/>
  <c r="BF80" i="29" s="1"/>
  <c r="AX90" i="29"/>
  <c r="BF90" i="29" s="1"/>
  <c r="AX91" i="29"/>
  <c r="BF91" i="29" s="1"/>
  <c r="BN81" i="29"/>
  <c r="A81" i="29"/>
  <c r="Z81" i="29"/>
  <c r="AH81" i="29" s="1"/>
  <c r="AX64" i="29"/>
  <c r="BF64" i="29" s="1"/>
  <c r="AX54" i="29"/>
  <c r="BF54" i="29" s="1"/>
  <c r="AS31" i="29"/>
  <c r="AT31" i="29" s="1"/>
  <c r="AX31" i="29"/>
  <c r="BF31" i="29" s="1"/>
  <c r="AX53" i="29"/>
  <c r="BF53" i="29" s="1"/>
  <c r="AX32" i="29"/>
  <c r="BF32" i="29" s="1"/>
  <c r="AX40" i="29"/>
  <c r="BF40" i="29" s="1"/>
  <c r="A59" i="29"/>
  <c r="BN59" i="29"/>
  <c r="Z59" i="29"/>
  <c r="AH59" i="29" s="1"/>
  <c r="AX52" i="29"/>
  <c r="BF52" i="29" s="1"/>
  <c r="AX46" i="29"/>
  <c r="BF46" i="29" s="1"/>
  <c r="AX67" i="29"/>
  <c r="BF67" i="29" s="1"/>
  <c r="AX33" i="29"/>
  <c r="BF33" i="29" s="1"/>
  <c r="AX43" i="29"/>
  <c r="BF43" i="29" s="1"/>
  <c r="AX66" i="29"/>
  <c r="BF66" i="29" s="1"/>
  <c r="AX79" i="29"/>
  <c r="BF79" i="29" s="1"/>
  <c r="G120" i="26" l="1"/>
  <c r="C120" i="26"/>
  <c r="G123" i="26"/>
  <c r="C123" i="26"/>
  <c r="G143" i="26"/>
  <c r="C143" i="26"/>
  <c r="C136" i="26"/>
  <c r="G136" i="26"/>
  <c r="C135" i="26"/>
  <c r="G135" i="26"/>
  <c r="G132" i="26"/>
  <c r="C132" i="26"/>
  <c r="G144" i="26"/>
  <c r="C144" i="26"/>
  <c r="C122" i="26"/>
  <c r="G122" i="26"/>
  <c r="C126" i="26"/>
  <c r="G126" i="26"/>
  <c r="G131" i="26"/>
  <c r="C131" i="26"/>
  <c r="C125" i="26"/>
  <c r="G125" i="26"/>
  <c r="C124" i="26"/>
  <c r="G124" i="26"/>
  <c r="C134" i="26"/>
  <c r="G134" i="26"/>
  <c r="C137" i="26"/>
  <c r="G137" i="26"/>
  <c r="C142" i="26"/>
  <c r="G142" i="26"/>
  <c r="C128" i="26"/>
  <c r="G128" i="26"/>
  <c r="C140" i="26"/>
  <c r="G140" i="26"/>
  <c r="C129" i="26"/>
  <c r="G129" i="26"/>
  <c r="C141" i="26"/>
  <c r="G141" i="26"/>
  <c r="C127" i="26"/>
  <c r="G127" i="26"/>
  <c r="C139" i="26"/>
  <c r="G139" i="26"/>
  <c r="C130" i="26"/>
  <c r="G130" i="26"/>
  <c r="C133" i="26"/>
  <c r="G133" i="26"/>
  <c r="C138" i="26"/>
  <c r="G138" i="26"/>
  <c r="D16" i="58"/>
  <c r="D7" i="58"/>
  <c r="D7" i="57"/>
  <c r="D19" i="58"/>
  <c r="D514" i="23"/>
  <c r="C111" i="26"/>
  <c r="G111" i="26"/>
  <c r="C95" i="26"/>
  <c r="G95" i="26"/>
  <c r="C112" i="26"/>
  <c r="G112" i="26"/>
  <c r="C99" i="26"/>
  <c r="G99" i="26"/>
  <c r="C104" i="26"/>
  <c r="G104" i="26"/>
  <c r="C107" i="26"/>
  <c r="G107" i="26"/>
  <c r="C108" i="26"/>
  <c r="G108" i="26"/>
  <c r="C100" i="26"/>
  <c r="G100" i="26"/>
  <c r="C105" i="26"/>
  <c r="G105" i="26"/>
  <c r="C94" i="26"/>
  <c r="G94" i="26"/>
  <c r="C118" i="26"/>
  <c r="G118" i="26"/>
  <c r="C98" i="26"/>
  <c r="G98" i="26"/>
  <c r="C114" i="26"/>
  <c r="G114" i="26"/>
  <c r="C119" i="26"/>
  <c r="G119" i="26"/>
  <c r="C110" i="26"/>
  <c r="G110" i="26"/>
  <c r="C101" i="26"/>
  <c r="G101" i="26"/>
  <c r="C102" i="26"/>
  <c r="G102" i="26"/>
  <c r="C117" i="26"/>
  <c r="G117" i="26"/>
  <c r="C116" i="26"/>
  <c r="G116" i="26"/>
  <c r="C115" i="26"/>
  <c r="G115" i="26"/>
  <c r="C93" i="26"/>
  <c r="G93" i="26"/>
  <c r="C113" i="26"/>
  <c r="G113" i="26"/>
  <c r="C103" i="26"/>
  <c r="G103" i="26"/>
  <c r="C109" i="26"/>
  <c r="G109" i="26"/>
  <c r="C106" i="26"/>
  <c r="G106" i="26"/>
  <c r="C76" i="26"/>
  <c r="G76" i="26"/>
  <c r="C43" i="26"/>
  <c r="G43" i="26"/>
  <c r="C79" i="26"/>
  <c r="G79" i="26"/>
  <c r="C53" i="26"/>
  <c r="G53" i="26"/>
  <c r="C63" i="26"/>
  <c r="G63" i="26"/>
  <c r="C33" i="26"/>
  <c r="G33" i="26"/>
  <c r="C77" i="26"/>
  <c r="G77" i="26"/>
  <c r="C75" i="26"/>
  <c r="G75" i="26"/>
  <c r="C54" i="26"/>
  <c r="G54" i="26"/>
  <c r="BF28" i="29"/>
  <c r="BG28" i="29" s="1"/>
  <c r="C31" i="26"/>
  <c r="G31" i="26"/>
  <c r="C67" i="26"/>
  <c r="G67" i="26"/>
  <c r="C81" i="26"/>
  <c r="G81" i="26"/>
  <c r="C36" i="26"/>
  <c r="G36" i="26"/>
  <c r="C38" i="26"/>
  <c r="G38" i="26"/>
  <c r="C41" i="26"/>
  <c r="G41" i="26"/>
  <c r="C59" i="26"/>
  <c r="G59" i="26"/>
  <c r="C42" i="26"/>
  <c r="G42" i="26"/>
  <c r="C68" i="26"/>
  <c r="G68" i="26"/>
  <c r="C29" i="26"/>
  <c r="G29" i="26"/>
  <c r="BP31" i="29"/>
  <c r="I31" i="29"/>
  <c r="C35" i="26"/>
  <c r="G35" i="26"/>
  <c r="C82" i="26"/>
  <c r="G82" i="26"/>
  <c r="C58" i="26"/>
  <c r="G58" i="26"/>
  <c r="C57" i="26"/>
  <c r="G57" i="26"/>
  <c r="C56" i="26"/>
  <c r="G56" i="26"/>
  <c r="C51" i="26"/>
  <c r="G51" i="26"/>
  <c r="C32" i="26"/>
  <c r="G32" i="26"/>
  <c r="C80" i="26"/>
  <c r="G80" i="26"/>
  <c r="C47" i="26"/>
  <c r="G47" i="26"/>
  <c r="C83" i="26"/>
  <c r="G83" i="26"/>
  <c r="C44" i="26"/>
  <c r="G44" i="26"/>
  <c r="C89" i="26"/>
  <c r="G89" i="26"/>
  <c r="C26" i="26"/>
  <c r="G26" i="26"/>
  <c r="C64" i="26"/>
  <c r="G64" i="26"/>
  <c r="C74" i="26"/>
  <c r="G74" i="26"/>
  <c r="C30" i="26"/>
  <c r="G30" i="26"/>
  <c r="C40" i="26"/>
  <c r="G40" i="26"/>
  <c r="D7" i="39"/>
  <c r="D7" i="40"/>
  <c r="C66" i="26"/>
  <c r="G66" i="26"/>
  <c r="C88" i="26"/>
  <c r="G88" i="26"/>
  <c r="C28" i="26"/>
  <c r="G28" i="26"/>
  <c r="C78" i="26"/>
  <c r="G78" i="26"/>
  <c r="C52" i="26"/>
  <c r="G52" i="26"/>
  <c r="F16" i="26" l="1"/>
  <c r="D23" i="58"/>
  <c r="BQ31" i="29"/>
  <c r="F32" i="29"/>
  <c r="BX31" i="29"/>
  <c r="D26" i="26"/>
  <c r="AR32" i="29" l="1"/>
  <c r="AS32" i="29" s="1"/>
  <c r="AT32" i="29" s="1"/>
  <c r="AR33" i="29" s="1"/>
  <c r="F26" i="26"/>
  <c r="BY31" i="29"/>
  <c r="G32" i="29"/>
  <c r="E32" i="29" s="1"/>
  <c r="A33" i="29" s="1"/>
  <c r="Z32" i="29" l="1"/>
  <c r="AH32" i="29" s="1"/>
  <c r="BN32" i="29"/>
  <c r="A32" i="29"/>
  <c r="AS33" i="29"/>
  <c r="AT33" i="29" s="1"/>
  <c r="BO32" i="29"/>
  <c r="H32" i="29"/>
  <c r="G27" i="26" l="1"/>
  <c r="C27" i="26"/>
  <c r="BP32" i="29"/>
  <c r="I32" i="29"/>
  <c r="AR34" i="29"/>
  <c r="E27" i="26"/>
  <c r="BX32" i="29" l="1"/>
  <c r="D27" i="26"/>
  <c r="AS34" i="29"/>
  <c r="AT34" i="29" s="1"/>
  <c r="BQ32" i="29"/>
  <c r="F33" i="29"/>
  <c r="F27" i="26" l="1"/>
  <c r="BY32" i="29"/>
  <c r="G33" i="29"/>
  <c r="AR35" i="29"/>
  <c r="AS35" i="29" l="1"/>
  <c r="AT35" i="29" s="1"/>
  <c r="BO33" i="29"/>
  <c r="H33" i="29"/>
  <c r="BP33" i="29" l="1"/>
  <c r="I33" i="29"/>
  <c r="AR36" i="29"/>
  <c r="AS36" i="29" s="1"/>
  <c r="AT36" i="29" s="1"/>
  <c r="E28" i="26"/>
  <c r="AR37" i="29" l="1"/>
  <c r="AS37" i="29" s="1"/>
  <c r="AT37" i="29" s="1"/>
  <c r="D28" i="26"/>
  <c r="BX33" i="29"/>
  <c r="BQ33" i="29"/>
  <c r="F34" i="29"/>
  <c r="F28" i="26" l="1"/>
  <c r="BY33" i="29"/>
  <c r="AR38" i="29"/>
  <c r="AS38" i="29" s="1"/>
  <c r="AT38" i="29" s="1"/>
  <c r="G34" i="29"/>
  <c r="BO34" i="29" l="1"/>
  <c r="H34" i="29"/>
  <c r="BP34" i="29" l="1"/>
  <c r="I34" i="29"/>
  <c r="E29" i="26"/>
  <c r="BQ34" i="29" l="1"/>
  <c r="F35" i="29"/>
  <c r="D29" i="26"/>
  <c r="BX34" i="29"/>
  <c r="F29" i="26" l="1"/>
  <c r="BY34" i="29"/>
  <c r="G35" i="29"/>
  <c r="BO35" i="29" l="1"/>
  <c r="H35" i="29"/>
  <c r="E30" i="26" l="1"/>
  <c r="BP35" i="29"/>
  <c r="I35" i="29"/>
  <c r="BQ35" i="29" l="1"/>
  <c r="F36" i="29"/>
  <c r="G36" i="29" s="1"/>
  <c r="D30" i="26"/>
  <c r="BX35" i="29"/>
  <c r="F30" i="26" l="1"/>
  <c r="BO36" i="29"/>
  <c r="H36" i="29"/>
  <c r="BY35" i="29"/>
  <c r="E31" i="26" l="1"/>
  <c r="BP36" i="29"/>
  <c r="I36" i="29"/>
  <c r="BQ36" i="29" l="1"/>
  <c r="F37" i="29"/>
  <c r="G37" i="29" s="1"/>
  <c r="D31" i="26"/>
  <c r="BX36" i="29"/>
  <c r="BY36" i="29" s="1"/>
  <c r="F31" i="26" l="1"/>
  <c r="BO37" i="29"/>
  <c r="H37" i="29"/>
  <c r="E32" i="26" l="1"/>
  <c r="BP37" i="29"/>
  <c r="I37" i="29"/>
  <c r="BQ37" i="29" l="1"/>
  <c r="F38" i="29"/>
  <c r="G38" i="29" s="1"/>
  <c r="D32" i="26"/>
  <c r="BX37" i="29"/>
  <c r="BY37" i="29" s="1"/>
  <c r="F32" i="26" l="1"/>
  <c r="BO38" i="29"/>
  <c r="H38" i="29"/>
  <c r="E33" i="26" l="1"/>
  <c r="BP38" i="29"/>
  <c r="I38" i="29"/>
  <c r="BQ38" i="29" l="1"/>
  <c r="F39" i="29"/>
  <c r="G39" i="29" s="1"/>
  <c r="E39" i="29" s="1"/>
  <c r="A40" i="29" s="1"/>
  <c r="D33" i="26"/>
  <c r="BX38" i="29"/>
  <c r="BY38" i="29" s="1"/>
  <c r="Z39" i="29" l="1"/>
  <c r="AH39" i="29" s="1"/>
  <c r="A39" i="29"/>
  <c r="BN39" i="29"/>
  <c r="F33" i="26"/>
  <c r="BO39" i="29"/>
  <c r="H39" i="29"/>
  <c r="C34" i="26" l="1"/>
  <c r="G34" i="26"/>
  <c r="E34" i="26"/>
  <c r="BP39" i="29"/>
  <c r="I39" i="29"/>
  <c r="BQ39" i="29" l="1"/>
  <c r="F40" i="29"/>
  <c r="G40" i="29" s="1"/>
  <c r="D34" i="26"/>
  <c r="BX39" i="29"/>
  <c r="BY39" i="29" s="1"/>
  <c r="F34" i="26" l="1"/>
  <c r="BO40" i="29"/>
  <c r="H40" i="29"/>
  <c r="E35" i="26" l="1"/>
  <c r="BP40" i="29"/>
  <c r="I40" i="29"/>
  <c r="BQ40" i="29" l="1"/>
  <c r="F41" i="29"/>
  <c r="G41" i="29" s="1"/>
  <c r="D35" i="26"/>
  <c r="BX40" i="29"/>
  <c r="BY40" i="29" s="1"/>
  <c r="F35" i="26" l="1"/>
  <c r="BO41" i="29"/>
  <c r="H41" i="29"/>
  <c r="E36" i="26" l="1"/>
  <c r="BP41" i="29"/>
  <c r="I41" i="29"/>
  <c r="BQ41" i="29" l="1"/>
  <c r="F42" i="29"/>
  <c r="G42" i="29" s="1"/>
  <c r="E42" i="29" s="1"/>
  <c r="A43" i="29" s="1"/>
  <c r="D36" i="26"/>
  <c r="BX41" i="29"/>
  <c r="BY41" i="29" s="1"/>
  <c r="BN42" i="29" l="1"/>
  <c r="Z42" i="29"/>
  <c r="AH42" i="29" s="1"/>
  <c r="A42" i="29"/>
  <c r="F36" i="26"/>
  <c r="BO42" i="29"/>
  <c r="H42" i="29"/>
  <c r="C37" i="26" l="1"/>
  <c r="G37" i="26"/>
  <c r="E37" i="26"/>
  <c r="BP42" i="29"/>
  <c r="I42" i="29"/>
  <c r="BQ42" i="29" l="1"/>
  <c r="F43" i="29"/>
  <c r="G43" i="29" s="1"/>
  <c r="BX42" i="29"/>
  <c r="BY42" i="29" s="1"/>
  <c r="D37" i="26"/>
  <c r="F37" i="26" l="1"/>
  <c r="BO43" i="29"/>
  <c r="H43" i="29"/>
  <c r="E38" i="26" l="1"/>
  <c r="BP43" i="29"/>
  <c r="I43" i="29"/>
  <c r="D38" i="26" l="1"/>
  <c r="BX43" i="29"/>
  <c r="BY43" i="29" s="1"/>
  <c r="BQ43" i="29"/>
  <c r="F44" i="29"/>
  <c r="G44" i="29" s="1"/>
  <c r="E44" i="29" s="1"/>
  <c r="A45" i="29" s="1"/>
  <c r="BN44" i="29" l="1"/>
  <c r="A44" i="29"/>
  <c r="Z44" i="29"/>
  <c r="AH44" i="29" s="1"/>
  <c r="F38" i="26"/>
  <c r="BO44" i="29"/>
  <c r="H44" i="29"/>
  <c r="G39" i="26" l="1"/>
  <c r="C39" i="26"/>
  <c r="E39" i="26"/>
  <c r="BP44" i="29"/>
  <c r="I44" i="29"/>
  <c r="BQ44" i="29" l="1"/>
  <c r="F45" i="29"/>
  <c r="G45" i="29" s="1"/>
  <c r="D39" i="26"/>
  <c r="BX44" i="29"/>
  <c r="BY44" i="29" s="1"/>
  <c r="F39" i="26" l="1"/>
  <c r="BO45" i="29"/>
  <c r="H45" i="29"/>
  <c r="E40" i="26" l="1"/>
  <c r="BP45" i="29"/>
  <c r="I45" i="29"/>
  <c r="BQ45" i="29" l="1"/>
  <c r="F46" i="29"/>
  <c r="G46" i="29" s="1"/>
  <c r="D40" i="26"/>
  <c r="BX45" i="29"/>
  <c r="BY45" i="29" s="1"/>
  <c r="F40" i="26" l="1"/>
  <c r="BO46" i="29"/>
  <c r="H46" i="29"/>
  <c r="E41" i="26" l="1"/>
  <c r="BP46" i="29"/>
  <c r="I46" i="29"/>
  <c r="BQ46" i="29" l="1"/>
  <c r="F47" i="29"/>
  <c r="G47" i="29" s="1"/>
  <c r="BX46" i="29"/>
  <c r="BY46" i="29" s="1"/>
  <c r="D41" i="26"/>
  <c r="F41" i="26" l="1"/>
  <c r="BO47" i="29"/>
  <c r="H47" i="29"/>
  <c r="E42" i="26" l="1"/>
  <c r="BP47" i="29"/>
  <c r="I47" i="29"/>
  <c r="BQ47" i="29" l="1"/>
  <c r="F48" i="29"/>
  <c r="G48" i="29" s="1"/>
  <c r="D42" i="26"/>
  <c r="BX47" i="29"/>
  <c r="BY47" i="29" s="1"/>
  <c r="F42" i="26" l="1"/>
  <c r="BO48" i="29"/>
  <c r="H48" i="29"/>
  <c r="E43" i="26" l="1"/>
  <c r="BP48" i="29"/>
  <c r="I48" i="29"/>
  <c r="BQ48" i="29" l="1"/>
  <c r="F49" i="29"/>
  <c r="G49" i="29" s="1"/>
  <c r="D43" i="26"/>
  <c r="BX48" i="29"/>
  <c r="BY48" i="29" s="1"/>
  <c r="F43" i="26" l="1"/>
  <c r="BO49" i="29"/>
  <c r="H49" i="29"/>
  <c r="E44" i="26" l="1"/>
  <c r="BP49" i="29"/>
  <c r="I49" i="29"/>
  <c r="D44" i="26" l="1"/>
  <c r="BX49" i="29"/>
  <c r="BY49" i="29" s="1"/>
  <c r="BQ49" i="29"/>
  <c r="F50" i="29"/>
  <c r="G50" i="29" s="1"/>
  <c r="E50" i="29" s="1"/>
  <c r="A50" i="29" l="1"/>
  <c r="Z50" i="29"/>
  <c r="AH50" i="29" s="1"/>
  <c r="BN50" i="29"/>
  <c r="F44" i="26"/>
  <c r="BO50" i="29"/>
  <c r="H50" i="29"/>
  <c r="C45" i="26" l="1"/>
  <c r="G45" i="26"/>
  <c r="E45" i="26"/>
  <c r="BP50" i="29"/>
  <c r="I50" i="29"/>
  <c r="BQ50" i="29" l="1"/>
  <c r="F51" i="29"/>
  <c r="G51" i="29" s="1"/>
  <c r="E51" i="29" s="1"/>
  <c r="A52" i="29" s="1"/>
  <c r="BX50" i="29"/>
  <c r="BY50" i="29" s="1"/>
  <c r="D45" i="26"/>
  <c r="Z51" i="29" l="1"/>
  <c r="AH51" i="29" s="1"/>
  <c r="BN51" i="29"/>
  <c r="A51" i="29"/>
  <c r="F45" i="26"/>
  <c r="BO51" i="29"/>
  <c r="H51" i="29"/>
  <c r="C46" i="26" l="1"/>
  <c r="G46" i="26"/>
  <c r="E46" i="26"/>
  <c r="BP51" i="29"/>
  <c r="I51" i="29"/>
  <c r="BQ51" i="29" l="1"/>
  <c r="F52" i="29"/>
  <c r="G52" i="29" s="1"/>
  <c r="D46" i="26"/>
  <c r="BX51" i="29"/>
  <c r="BY51" i="29" s="1"/>
  <c r="F46" i="26" l="1"/>
  <c r="BO52" i="29"/>
  <c r="H52" i="29"/>
  <c r="E47" i="26" l="1"/>
  <c r="BP52" i="29"/>
  <c r="I52" i="29"/>
  <c r="BQ52" i="29" l="1"/>
  <c r="F53" i="29"/>
  <c r="G53" i="29" s="1"/>
  <c r="E53" i="29" s="1"/>
  <c r="D47" i="26"/>
  <c r="BX52" i="29"/>
  <c r="BY52" i="29" s="1"/>
  <c r="Z53" i="29" l="1"/>
  <c r="AH53" i="29" s="1"/>
  <c r="A53" i="29"/>
  <c r="BN53" i="29"/>
  <c r="F47" i="26"/>
  <c r="BO53" i="29"/>
  <c r="H53" i="29"/>
  <c r="C48" i="26" l="1"/>
  <c r="G48" i="26"/>
  <c r="E48" i="26"/>
  <c r="BP53" i="29"/>
  <c r="I53" i="29"/>
  <c r="BQ53" i="29" l="1"/>
  <c r="F54" i="29"/>
  <c r="G54" i="29" s="1"/>
  <c r="E54" i="29" s="1"/>
  <c r="D48" i="26"/>
  <c r="BX53" i="29"/>
  <c r="BY53" i="29" s="1"/>
  <c r="Z54" i="29" l="1"/>
  <c r="AH54" i="29" s="1"/>
  <c r="A54" i="29"/>
  <c r="BN54" i="29"/>
  <c r="F48" i="26"/>
  <c r="BO54" i="29"/>
  <c r="H54" i="29"/>
  <c r="C49" i="26" l="1"/>
  <c r="G49" i="26"/>
  <c r="E49" i="26"/>
  <c r="BP54" i="29"/>
  <c r="I54" i="29"/>
  <c r="BQ54" i="29" l="1"/>
  <c r="F55" i="29"/>
  <c r="G55" i="29" s="1"/>
  <c r="E55" i="29" s="1"/>
  <c r="A56" i="29" s="1"/>
  <c r="BX54" i="29"/>
  <c r="BY54" i="29" s="1"/>
  <c r="D49" i="26"/>
  <c r="BN55" i="29" l="1"/>
  <c r="A55" i="29"/>
  <c r="Z55" i="29"/>
  <c r="AH55" i="29" s="1"/>
  <c r="F49" i="26"/>
  <c r="BO55" i="29"/>
  <c r="H55" i="29"/>
  <c r="G50" i="26" l="1"/>
  <c r="C50" i="26"/>
  <c r="E50" i="26"/>
  <c r="BP55" i="29"/>
  <c r="I55" i="29"/>
  <c r="BQ55" i="29" l="1"/>
  <c r="F56" i="29"/>
  <c r="G56" i="29" s="1"/>
  <c r="D50" i="26"/>
  <c r="BX55" i="29"/>
  <c r="BY55" i="29" s="1"/>
  <c r="F50" i="26" l="1"/>
  <c r="BO56" i="29"/>
  <c r="H56" i="29"/>
  <c r="E51" i="26" l="1"/>
  <c r="BP56" i="29"/>
  <c r="I56" i="29"/>
  <c r="BQ56" i="29" l="1"/>
  <c r="F57" i="29"/>
  <c r="G57" i="29" s="1"/>
  <c r="D51" i="26"/>
  <c r="BX56" i="29"/>
  <c r="BY56" i="29" s="1"/>
  <c r="F51" i="26" l="1"/>
  <c r="BO57" i="29"/>
  <c r="H57" i="29"/>
  <c r="E52" i="26" l="1"/>
  <c r="BP57" i="29"/>
  <c r="I57" i="29"/>
  <c r="BQ57" i="29" l="1"/>
  <c r="F58" i="29"/>
  <c r="G58" i="29" s="1"/>
  <c r="D52" i="26"/>
  <c r="BX57" i="29"/>
  <c r="BY57" i="29" s="1"/>
  <c r="F52" i="26" l="1"/>
  <c r="BO58" i="29"/>
  <c r="H58" i="29"/>
  <c r="E53" i="26" l="1"/>
  <c r="BP58" i="29"/>
  <c r="I58" i="29"/>
  <c r="BQ58" i="29" l="1"/>
  <c r="F59" i="29"/>
  <c r="G59" i="29" s="1"/>
  <c r="D53" i="26"/>
  <c r="BX58" i="29"/>
  <c r="BY58" i="29" s="1"/>
  <c r="F53" i="26" l="1"/>
  <c r="BO59" i="29"/>
  <c r="H59" i="29"/>
  <c r="E54" i="26" l="1"/>
  <c r="BP59" i="29"/>
  <c r="I59" i="29"/>
  <c r="BQ59" i="29" l="1"/>
  <c r="F60" i="29"/>
  <c r="G60" i="29" s="1"/>
  <c r="E60" i="29" s="1"/>
  <c r="A61" i="29" s="1"/>
  <c r="BX59" i="29"/>
  <c r="BY59" i="29" s="1"/>
  <c r="D54" i="26"/>
  <c r="F54" i="26" l="1"/>
  <c r="BN60" i="29"/>
  <c r="Z60" i="29"/>
  <c r="AH60" i="29" s="1"/>
  <c r="A60" i="29"/>
  <c r="BO60" i="29"/>
  <c r="H60" i="29"/>
  <c r="E55" i="26" l="1"/>
  <c r="G55" i="26"/>
  <c r="C55" i="26"/>
  <c r="BP60" i="29"/>
  <c r="I60" i="29"/>
  <c r="BQ60" i="29" l="1"/>
  <c r="F61" i="29"/>
  <c r="G61" i="29" s="1"/>
  <c r="D55" i="26"/>
  <c r="BX60" i="29"/>
  <c r="BY60" i="29" s="1"/>
  <c r="F55" i="26" l="1"/>
  <c r="BO61" i="29"/>
  <c r="H61" i="29"/>
  <c r="E56" i="26" l="1"/>
  <c r="BP61" i="29"/>
  <c r="I61" i="29"/>
  <c r="BQ61" i="29" l="1"/>
  <c r="F62" i="29"/>
  <c r="G62" i="29" s="1"/>
  <c r="D56" i="26"/>
  <c r="BX61" i="29"/>
  <c r="BY61" i="29" s="1"/>
  <c r="F56" i="26" l="1"/>
  <c r="BO62" i="29"/>
  <c r="H62" i="29"/>
  <c r="E57" i="26" l="1"/>
  <c r="BP62" i="29"/>
  <c r="I62" i="29"/>
  <c r="BQ62" i="29" l="1"/>
  <c r="F63" i="29"/>
  <c r="G63" i="29" s="1"/>
  <c r="BX62" i="29"/>
  <c r="BY62" i="29" s="1"/>
  <c r="D57" i="26"/>
  <c r="F57" i="26" l="1"/>
  <c r="BO63" i="29"/>
  <c r="H63" i="29"/>
  <c r="E58" i="26" l="1"/>
  <c r="BP63" i="29"/>
  <c r="I63" i="29"/>
  <c r="BQ63" i="29" l="1"/>
  <c r="F64" i="29"/>
  <c r="G64" i="29" s="1"/>
  <c r="BX63" i="29"/>
  <c r="BY63" i="29" s="1"/>
  <c r="D58" i="26"/>
  <c r="F58" i="26" l="1"/>
  <c r="BO64" i="29"/>
  <c r="H64" i="29"/>
  <c r="E59" i="26" l="1"/>
  <c r="BP64" i="29"/>
  <c r="I64" i="29"/>
  <c r="BQ64" i="29" l="1"/>
  <c r="F65" i="29"/>
  <c r="G65" i="29" s="1"/>
  <c r="E65" i="29" s="1"/>
  <c r="D59" i="26"/>
  <c r="BX64" i="29"/>
  <c r="BY64" i="29" s="1"/>
  <c r="F59" i="26" l="1"/>
  <c r="BN65" i="29"/>
  <c r="Z65" i="29"/>
  <c r="AH65" i="29" s="1"/>
  <c r="A65" i="29"/>
  <c r="BO65" i="29"/>
  <c r="H65" i="29"/>
  <c r="E60" i="26" l="1"/>
  <c r="C60" i="26"/>
  <c r="G60" i="26"/>
  <c r="BP65" i="29"/>
  <c r="I65" i="29"/>
  <c r="BQ65" i="29" l="1"/>
  <c r="F66" i="29"/>
  <c r="G66" i="29" s="1"/>
  <c r="E66" i="29" s="1"/>
  <c r="D60" i="26"/>
  <c r="BX65" i="29"/>
  <c r="BY65" i="29" s="1"/>
  <c r="F60" i="26" l="1"/>
  <c r="BN66" i="29"/>
  <c r="Z66" i="29"/>
  <c r="AH66" i="29" s="1"/>
  <c r="A66" i="29"/>
  <c r="BO66" i="29"/>
  <c r="E61" i="26" s="1"/>
  <c r="H66" i="29"/>
  <c r="C61" i="26" l="1"/>
  <c r="G61" i="26"/>
  <c r="BP66" i="29"/>
  <c r="I66" i="29"/>
  <c r="BQ66" i="29" l="1"/>
  <c r="F61" i="26" s="1"/>
  <c r="F67" i="29"/>
  <c r="G67" i="29" s="1"/>
  <c r="E67" i="29" s="1"/>
  <c r="A68" i="29" s="1"/>
  <c r="D61" i="26"/>
  <c r="BX66" i="29"/>
  <c r="BY66" i="29" s="1"/>
  <c r="BN67" i="29" l="1"/>
  <c r="Z67" i="29"/>
  <c r="AH67" i="29" s="1"/>
  <c r="A67" i="29"/>
  <c r="BO67" i="29"/>
  <c r="E62" i="26" s="1"/>
  <c r="H67" i="29"/>
  <c r="G62" i="26" l="1"/>
  <c r="C62" i="26"/>
  <c r="BP67" i="29"/>
  <c r="I67" i="29"/>
  <c r="BQ67" i="29" l="1"/>
  <c r="F62" i="26" s="1"/>
  <c r="F68" i="29"/>
  <c r="G68" i="29" s="1"/>
  <c r="D62" i="26"/>
  <c r="BX67" i="29"/>
  <c r="BY67" i="29" s="1"/>
  <c r="BO68" i="29" l="1"/>
  <c r="E63" i="26" s="1"/>
  <c r="H68" i="29"/>
  <c r="BP68" i="29" l="1"/>
  <c r="I68" i="29"/>
  <c r="BQ68" i="29" l="1"/>
  <c r="F63" i="26" s="1"/>
  <c r="F69" i="29"/>
  <c r="G69" i="29" s="1"/>
  <c r="D63" i="26"/>
  <c r="BX68" i="29"/>
  <c r="BY68" i="29" s="1"/>
  <c r="BO69" i="29" l="1"/>
  <c r="E64" i="26" s="1"/>
  <c r="H69" i="29"/>
  <c r="BP69" i="29" l="1"/>
  <c r="I69" i="29"/>
  <c r="BQ69" i="29" l="1"/>
  <c r="F64" i="26" s="1"/>
  <c r="F70" i="29"/>
  <c r="G70" i="29" s="1"/>
  <c r="E70" i="29" s="1"/>
  <c r="A71" i="29" s="1"/>
  <c r="BX69" i="29"/>
  <c r="BY69" i="29" s="1"/>
  <c r="D64" i="26"/>
  <c r="BN70" i="29" l="1"/>
  <c r="A70" i="29"/>
  <c r="Z70" i="29"/>
  <c r="AH70" i="29" s="1"/>
  <c r="BO70" i="29"/>
  <c r="E65" i="26" s="1"/>
  <c r="H70" i="29"/>
  <c r="G65" i="26" l="1"/>
  <c r="C65" i="26"/>
  <c r="BP70" i="29"/>
  <c r="I70" i="29"/>
  <c r="BQ70" i="29" l="1"/>
  <c r="F65" i="26" s="1"/>
  <c r="F71" i="29"/>
  <c r="G71" i="29" s="1"/>
  <c r="BX70" i="29"/>
  <c r="BY70" i="29" s="1"/>
  <c r="D65" i="26"/>
  <c r="BO71" i="29" l="1"/>
  <c r="E66" i="26" s="1"/>
  <c r="H71" i="29"/>
  <c r="BP71" i="29" l="1"/>
  <c r="I71" i="29"/>
  <c r="BQ71" i="29" l="1"/>
  <c r="F66" i="26" s="1"/>
  <c r="F72" i="29"/>
  <c r="G72" i="29" s="1"/>
  <c r="D66" i="26"/>
  <c r="BX71" i="29"/>
  <c r="BY71" i="29" s="1"/>
  <c r="BO72" i="29" l="1"/>
  <c r="E67" i="26" s="1"/>
  <c r="H72" i="29"/>
  <c r="BP72" i="29" l="1"/>
  <c r="I72" i="29"/>
  <c r="BQ72" i="29" l="1"/>
  <c r="F67" i="26" s="1"/>
  <c r="F73" i="29"/>
  <c r="G73" i="29" s="1"/>
  <c r="D67" i="26"/>
  <c r="BX72" i="29"/>
  <c r="BY72" i="29" s="1"/>
  <c r="BO73" i="29" l="1"/>
  <c r="E68" i="26" s="1"/>
  <c r="H73" i="29"/>
  <c r="BP73" i="29" l="1"/>
  <c r="I73" i="29"/>
  <c r="BQ73" i="29" l="1"/>
  <c r="F68" i="26" s="1"/>
  <c r="F74" i="29"/>
  <c r="G74" i="29" s="1"/>
  <c r="E74" i="29" s="1"/>
  <c r="D68" i="26"/>
  <c r="BX73" i="29"/>
  <c r="BY73" i="29" s="1"/>
  <c r="Z74" i="29" l="1"/>
  <c r="AH74" i="29" s="1"/>
  <c r="BN74" i="29"/>
  <c r="A74" i="29"/>
  <c r="BO74" i="29"/>
  <c r="E69" i="26" s="1"/>
  <c r="H74" i="29"/>
  <c r="C69" i="26" l="1"/>
  <c r="G69" i="26"/>
  <c r="BP74" i="29"/>
  <c r="I74" i="29"/>
  <c r="BQ74" i="29" l="1"/>
  <c r="F69" i="26" s="1"/>
  <c r="F75" i="29"/>
  <c r="G75" i="29" s="1"/>
  <c r="E75" i="29" s="1"/>
  <c r="D69" i="26"/>
  <c r="BX74" i="29"/>
  <c r="BY74" i="29" s="1"/>
  <c r="Z75" i="29" l="1"/>
  <c r="AH75" i="29" s="1"/>
  <c r="BN75" i="29"/>
  <c r="A75" i="29"/>
  <c r="BO75" i="29"/>
  <c r="E70" i="26" s="1"/>
  <c r="H75" i="29"/>
  <c r="C70" i="26" l="1"/>
  <c r="G70" i="26"/>
  <c r="BP75" i="29"/>
  <c r="I75" i="29"/>
  <c r="BQ75" i="29" l="1"/>
  <c r="F70" i="26" s="1"/>
  <c r="F76" i="29"/>
  <c r="G76" i="29" s="1"/>
  <c r="E76" i="29" s="1"/>
  <c r="D70" i="26"/>
  <c r="BX75" i="29"/>
  <c r="BY75" i="29" s="1"/>
  <c r="A76" i="29" l="1"/>
  <c r="BN76" i="29"/>
  <c r="Z76" i="29"/>
  <c r="AH76" i="29" s="1"/>
  <c r="BO76" i="29"/>
  <c r="E71" i="26" s="1"/>
  <c r="H76" i="29"/>
  <c r="C71" i="26" l="1"/>
  <c r="G71" i="26"/>
  <c r="BP76" i="29"/>
  <c r="I76" i="29"/>
  <c r="BQ76" i="29" l="1"/>
  <c r="F71" i="26" s="1"/>
  <c r="F77" i="29"/>
  <c r="G77" i="29" s="1"/>
  <c r="E77" i="29" s="1"/>
  <c r="BX76" i="29"/>
  <c r="BY76" i="29" s="1"/>
  <c r="D71" i="26"/>
  <c r="Z77" i="29" l="1"/>
  <c r="AH77" i="29" s="1"/>
  <c r="A77" i="29"/>
  <c r="BN77" i="29"/>
  <c r="BO77" i="29"/>
  <c r="E72" i="26" s="1"/>
  <c r="H77" i="29"/>
  <c r="C72" i="26" l="1"/>
  <c r="G72" i="26"/>
  <c r="BP77" i="29"/>
  <c r="I77" i="29"/>
  <c r="BQ77" i="29" l="1"/>
  <c r="F72" i="26" s="1"/>
  <c r="F78" i="29"/>
  <c r="G78" i="29" s="1"/>
  <c r="E78" i="29" s="1"/>
  <c r="A79" i="29" s="1"/>
  <c r="BX77" i="29"/>
  <c r="BY77" i="29" s="1"/>
  <c r="D72" i="26"/>
  <c r="BN78" i="29" l="1"/>
  <c r="Z78" i="29"/>
  <c r="AH78" i="29" s="1"/>
  <c r="A78" i="29"/>
  <c r="BO78" i="29"/>
  <c r="E73" i="26" s="1"/>
  <c r="H78" i="29"/>
  <c r="C73" i="26" l="1"/>
  <c r="G73" i="26"/>
  <c r="BP78" i="29"/>
  <c r="I78" i="29"/>
  <c r="BQ78" i="29" l="1"/>
  <c r="F73" i="26" s="1"/>
  <c r="F79" i="29"/>
  <c r="G79" i="29" s="1"/>
  <c r="D73" i="26"/>
  <c r="BX78" i="29"/>
  <c r="BY78" i="29" s="1"/>
  <c r="BO79" i="29" l="1"/>
  <c r="E74" i="26" s="1"/>
  <c r="H79" i="29"/>
  <c r="BP79" i="29" l="1"/>
  <c r="I79" i="29"/>
  <c r="BQ79" i="29" l="1"/>
  <c r="F74" i="26" s="1"/>
  <c r="F80" i="29"/>
  <c r="G80" i="29" s="1"/>
  <c r="BX79" i="29"/>
  <c r="BY79" i="29" s="1"/>
  <c r="D74" i="26"/>
  <c r="BO80" i="29" l="1"/>
  <c r="E75" i="26" s="1"/>
  <c r="H80" i="29"/>
  <c r="BP80" i="29" l="1"/>
  <c r="I80" i="29"/>
  <c r="BQ80" i="29" l="1"/>
  <c r="F75" i="26" s="1"/>
  <c r="F81" i="29"/>
  <c r="G81" i="29" s="1"/>
  <c r="BX80" i="29"/>
  <c r="BY80" i="29" s="1"/>
  <c r="D75" i="26"/>
  <c r="BO81" i="29" l="1"/>
  <c r="E76" i="26" s="1"/>
  <c r="H81" i="29"/>
  <c r="BP81" i="29" l="1"/>
  <c r="I81" i="29"/>
  <c r="BQ81" i="29" l="1"/>
  <c r="F76" i="26" s="1"/>
  <c r="F82" i="29"/>
  <c r="G82" i="29" s="1"/>
  <c r="D76" i="26"/>
  <c r="BX81" i="29"/>
  <c r="BY81" i="29" s="1"/>
  <c r="BO82" i="29" l="1"/>
  <c r="E77" i="26" s="1"/>
  <c r="H82" i="29"/>
  <c r="BP82" i="29" l="1"/>
  <c r="I82" i="29"/>
  <c r="BQ82" i="29" l="1"/>
  <c r="F77" i="26" s="1"/>
  <c r="F83" i="29"/>
  <c r="G83" i="29" s="1"/>
  <c r="D77" i="26"/>
  <c r="BX82" i="29"/>
  <c r="BY82" i="29" s="1"/>
  <c r="BO83" i="29" l="1"/>
  <c r="E78" i="26" s="1"/>
  <c r="H83" i="29"/>
  <c r="BP83" i="29" l="1"/>
  <c r="I83" i="29"/>
  <c r="BQ83" i="29" l="1"/>
  <c r="F78" i="26" s="1"/>
  <c r="F84" i="29"/>
  <c r="G84" i="29" s="1"/>
  <c r="D78" i="26"/>
  <c r="BX83" i="29"/>
  <c r="BY83" i="29" s="1"/>
  <c r="BO84" i="29" l="1"/>
  <c r="E79" i="26" s="1"/>
  <c r="H84" i="29"/>
  <c r="BP84" i="29" l="1"/>
  <c r="I84" i="29"/>
  <c r="BQ84" i="29" l="1"/>
  <c r="F79" i="26" s="1"/>
  <c r="F85" i="29"/>
  <c r="G85" i="29" s="1"/>
  <c r="BX84" i="29"/>
  <c r="BY84" i="29" s="1"/>
  <c r="D79" i="26"/>
  <c r="BO85" i="29" l="1"/>
  <c r="E80" i="26" s="1"/>
  <c r="H85" i="29"/>
  <c r="BP85" i="29" l="1"/>
  <c r="I85" i="29"/>
  <c r="BQ85" i="29" l="1"/>
  <c r="F80" i="26" s="1"/>
  <c r="F86" i="29"/>
  <c r="G86" i="29" s="1"/>
  <c r="BX85" i="29"/>
  <c r="BY85" i="29" s="1"/>
  <c r="D80" i="26"/>
  <c r="BO86" i="29" l="1"/>
  <c r="E81" i="26" s="1"/>
  <c r="H86" i="29"/>
  <c r="BP86" i="29" l="1"/>
  <c r="I86" i="29"/>
  <c r="BQ86" i="29" l="1"/>
  <c r="F81" i="26" s="1"/>
  <c r="F87" i="29"/>
  <c r="G87" i="29" s="1"/>
  <c r="D81" i="26"/>
  <c r="BX86" i="29"/>
  <c r="BY86" i="29" s="1"/>
  <c r="BO87" i="29" l="1"/>
  <c r="E82" i="26" s="1"/>
  <c r="H87" i="29"/>
  <c r="BP87" i="29" l="1"/>
  <c r="I87" i="29"/>
  <c r="BQ87" i="29" l="1"/>
  <c r="F82" i="26" s="1"/>
  <c r="F88" i="29"/>
  <c r="G88" i="29" s="1"/>
  <c r="BX87" i="29"/>
  <c r="BY87" i="29" s="1"/>
  <c r="D82" i="26"/>
  <c r="BO88" i="29" l="1"/>
  <c r="E83" i="26" s="1"/>
  <c r="H88" i="29"/>
  <c r="BP88" i="29" l="1"/>
  <c r="I88" i="29"/>
  <c r="BQ88" i="29" l="1"/>
  <c r="F83" i="26" s="1"/>
  <c r="F89" i="29"/>
  <c r="G89" i="29" s="1"/>
  <c r="E89" i="29" s="1"/>
  <c r="D83" i="26"/>
  <c r="BX88" i="29"/>
  <c r="BY88" i="29" s="1"/>
  <c r="Z89" i="29" l="1"/>
  <c r="AH89" i="29" s="1"/>
  <c r="BN89" i="29"/>
  <c r="A89" i="29"/>
  <c r="BO89" i="29"/>
  <c r="E84" i="26" s="1"/>
  <c r="H89" i="29"/>
  <c r="G84" i="26" l="1"/>
  <c r="C84" i="26"/>
  <c r="BP89" i="29"/>
  <c r="I89" i="29"/>
  <c r="BQ89" i="29" l="1"/>
  <c r="F84" i="26" s="1"/>
  <c r="F90" i="29"/>
  <c r="G90" i="29" s="1"/>
  <c r="E90" i="29" s="1"/>
  <c r="BX89" i="29"/>
  <c r="BY89" i="29" s="1"/>
  <c r="D84" i="26"/>
  <c r="Z90" i="29" l="1"/>
  <c r="AH90" i="29" s="1"/>
  <c r="BN90" i="29"/>
  <c r="A90" i="29"/>
  <c r="BO90" i="29"/>
  <c r="E85" i="26" s="1"/>
  <c r="H90" i="29"/>
  <c r="G85" i="26" l="1"/>
  <c r="C85" i="26"/>
  <c r="BP90" i="29"/>
  <c r="I90" i="29"/>
  <c r="BQ90" i="29" l="1"/>
  <c r="F85" i="26" s="1"/>
  <c r="F91" i="29"/>
  <c r="G91" i="29" s="1"/>
  <c r="E91" i="29" s="1"/>
  <c r="D85" i="26"/>
  <c r="BX90" i="29"/>
  <c r="BY90" i="29" s="1"/>
  <c r="BN91" i="29" l="1"/>
  <c r="Z91" i="29"/>
  <c r="AH91" i="29" s="1"/>
  <c r="A91" i="29"/>
  <c r="BO91" i="29"/>
  <c r="E86" i="26" s="1"/>
  <c r="H91" i="29"/>
  <c r="C86" i="26" l="1"/>
  <c r="G86" i="26"/>
  <c r="BP91" i="29"/>
  <c r="I91" i="29"/>
  <c r="BQ91" i="29" l="1"/>
  <c r="F86" i="26" s="1"/>
  <c r="F92" i="29"/>
  <c r="G92" i="29" s="1"/>
  <c r="E92" i="29" s="1"/>
  <c r="A93" i="29" s="1"/>
  <c r="BX91" i="29"/>
  <c r="BY91" i="29" s="1"/>
  <c r="D86" i="26"/>
  <c r="Z92" i="29" l="1"/>
  <c r="AH92" i="29" s="1"/>
  <c r="BN92" i="29"/>
  <c r="A92" i="29"/>
  <c r="BO92" i="29"/>
  <c r="E87" i="26" s="1"/>
  <c r="H92" i="29"/>
  <c r="C87" i="26" l="1"/>
  <c r="G87" i="26"/>
  <c r="BP92" i="29"/>
  <c r="I92" i="29"/>
  <c r="BQ92" i="29" l="1"/>
  <c r="F87" i="26" s="1"/>
  <c r="F93" i="29"/>
  <c r="G93" i="29" s="1"/>
  <c r="BX92" i="29"/>
  <c r="BY92" i="29" s="1"/>
  <c r="D87" i="26"/>
  <c r="BO93" i="29" l="1"/>
  <c r="E88" i="26" s="1"/>
  <c r="H93" i="29"/>
  <c r="BP93" i="29" l="1"/>
  <c r="I93" i="29"/>
  <c r="BQ93" i="29" l="1"/>
  <c r="F88" i="26" s="1"/>
  <c r="F94" i="29"/>
  <c r="G94" i="29" s="1"/>
  <c r="D88" i="26"/>
  <c r="BX93" i="29"/>
  <c r="BY93" i="29" s="1"/>
  <c r="BO94" i="29" l="1"/>
  <c r="E89" i="26" s="1"/>
  <c r="H94" i="29"/>
  <c r="BP94" i="29" l="1"/>
  <c r="I94" i="29"/>
  <c r="BQ94" i="29" l="1"/>
  <c r="F89" i="26" s="1"/>
  <c r="F95" i="29"/>
  <c r="G95" i="29" s="1"/>
  <c r="E95" i="29" s="1"/>
  <c r="BX94" i="29"/>
  <c r="BY94" i="29" s="1"/>
  <c r="D89" i="26"/>
  <c r="A95" i="29" l="1"/>
  <c r="Z95" i="29"/>
  <c r="AH95" i="29" s="1"/>
  <c r="BN95" i="29"/>
  <c r="BO95" i="29"/>
  <c r="E90" i="26" s="1"/>
  <c r="H95" i="29"/>
  <c r="C90" i="26" l="1"/>
  <c r="G90" i="26"/>
  <c r="BP95" i="29"/>
  <c r="I95" i="29"/>
  <c r="BQ95" i="29" l="1"/>
  <c r="F90" i="26" s="1"/>
  <c r="F96" i="29"/>
  <c r="G96" i="29" s="1"/>
  <c r="D90" i="26"/>
  <c r="BX95" i="29"/>
  <c r="BY95" i="29" s="1"/>
  <c r="BO96" i="29" l="1"/>
  <c r="E96" i="29"/>
  <c r="H96" i="29" l="1"/>
  <c r="Z96" i="29"/>
  <c r="AH96" i="29" s="1"/>
  <c r="BN96" i="29"/>
  <c r="A96" i="29"/>
  <c r="E91" i="26"/>
  <c r="I96" i="29" l="1"/>
  <c r="BP96" i="29"/>
  <c r="C91" i="26"/>
  <c r="G91" i="26"/>
  <c r="BX96" i="29" l="1"/>
  <c r="D91" i="26"/>
  <c r="BQ96" i="29"/>
  <c r="F91" i="26" s="1"/>
  <c r="F97" i="29"/>
  <c r="G97" i="29" s="1"/>
  <c r="E97" i="29" s="1"/>
  <c r="A98" i="29" s="1"/>
  <c r="Z97" i="29" l="1"/>
  <c r="AH97" i="29" s="1"/>
  <c r="BN97" i="29"/>
  <c r="A97" i="29"/>
  <c r="BO97" i="29"/>
  <c r="H97" i="29"/>
  <c r="BY96" i="29"/>
  <c r="G92" i="26" l="1"/>
  <c r="C92" i="26"/>
  <c r="BP97" i="29"/>
  <c r="I97" i="29"/>
  <c r="E92" i="26"/>
  <c r="BQ97" i="29" l="1"/>
  <c r="F92" i="26" s="1"/>
  <c r="F98" i="29"/>
  <c r="G98" i="29" s="1"/>
  <c r="D92" i="26"/>
  <c r="BX97" i="29"/>
  <c r="BO98" i="29" l="1"/>
  <c r="H98" i="29"/>
  <c r="BY97" i="29"/>
  <c r="BP98" i="29" l="1"/>
  <c r="I98" i="29"/>
  <c r="E93" i="26"/>
  <c r="D93" i="26" l="1"/>
  <c r="BX98" i="29"/>
  <c r="BQ98" i="29"/>
  <c r="F93" i="26" s="1"/>
  <c r="F99" i="29"/>
  <c r="G99" i="29" s="1"/>
  <c r="BO99" i="29" l="1"/>
  <c r="H99" i="29"/>
  <c r="BY98" i="29"/>
  <c r="E94" i="26" l="1"/>
  <c r="BP99" i="29"/>
  <c r="I99" i="29"/>
  <c r="BQ99" i="29" l="1"/>
  <c r="F94" i="26" s="1"/>
  <c r="F100" i="29"/>
  <c r="G100" i="29" s="1"/>
  <c r="D94" i="26"/>
  <c r="BX99" i="29"/>
  <c r="BY99" i="29" l="1"/>
  <c r="BO100" i="29"/>
  <c r="H100" i="29"/>
  <c r="BP100" i="29" l="1"/>
  <c r="I100" i="29"/>
  <c r="E95" i="26"/>
  <c r="BX100" i="29" l="1"/>
  <c r="D95" i="26"/>
  <c r="BQ100" i="29"/>
  <c r="F95" i="26" s="1"/>
  <c r="F101" i="29"/>
  <c r="G101" i="29" s="1"/>
  <c r="E101" i="29" s="1"/>
  <c r="A101" i="29" l="1"/>
  <c r="BN101" i="29"/>
  <c r="Z101" i="29"/>
  <c r="AH101" i="29" s="1"/>
  <c r="BO101" i="29"/>
  <c r="H101" i="29"/>
  <c r="BY100" i="29"/>
  <c r="G96" i="26" l="1"/>
  <c r="C96" i="26"/>
  <c r="BP101" i="29"/>
  <c r="I101" i="29"/>
  <c r="E96" i="26"/>
  <c r="D96" i="26" l="1"/>
  <c r="BX101" i="29"/>
  <c r="BY101" i="29" s="1"/>
  <c r="BQ101" i="29"/>
  <c r="F96" i="26" s="1"/>
  <c r="F102" i="29"/>
  <c r="G102" i="29" s="1"/>
  <c r="E102" i="29" s="1"/>
  <c r="A103" i="29" s="1"/>
  <c r="Z102" i="29" l="1"/>
  <c r="AH102" i="29" s="1"/>
  <c r="BN102" i="29"/>
  <c r="A102" i="29"/>
  <c r="BO102" i="29"/>
  <c r="E97" i="26" s="1"/>
  <c r="H102" i="29"/>
  <c r="C97" i="26" l="1"/>
  <c r="G97" i="26"/>
  <c r="BP102" i="29"/>
  <c r="I102" i="29"/>
  <c r="BX102" i="29" l="1"/>
  <c r="BY102" i="29" s="1"/>
  <c r="D97" i="26"/>
  <c r="BQ102" i="29"/>
  <c r="F97" i="26" s="1"/>
  <c r="F103" i="29"/>
  <c r="G103" i="29" s="1"/>
  <c r="BO103" i="29" l="1"/>
  <c r="E98" i="26" s="1"/>
  <c r="H103" i="29"/>
  <c r="BP103" i="29" l="1"/>
  <c r="I103" i="29"/>
  <c r="D98" i="26" l="1"/>
  <c r="BX103" i="29"/>
  <c r="BY103" i="29" s="1"/>
  <c r="BQ103" i="29"/>
  <c r="F98" i="26" s="1"/>
  <c r="F104" i="29"/>
  <c r="G104" i="29" s="1"/>
  <c r="BO104" i="29" l="1"/>
  <c r="E99" i="26" s="1"/>
  <c r="H104" i="29"/>
  <c r="BP104" i="29" l="1"/>
  <c r="I104" i="29"/>
  <c r="D99" i="26" l="1"/>
  <c r="BX104" i="29"/>
  <c r="BY104" i="29" s="1"/>
  <c r="BQ104" i="29"/>
  <c r="F99" i="26" s="1"/>
  <c r="F105" i="29"/>
  <c r="G105" i="29" s="1"/>
  <c r="BO105" i="29" l="1"/>
  <c r="E100" i="26" s="1"/>
  <c r="H105" i="29"/>
  <c r="BP105" i="29" l="1"/>
  <c r="I105" i="29"/>
  <c r="BX105" i="29" l="1"/>
  <c r="BY105" i="29" s="1"/>
  <c r="D100" i="26"/>
  <c r="BQ105" i="29"/>
  <c r="F100" i="26" s="1"/>
  <c r="F106" i="29"/>
  <c r="G106" i="29" s="1"/>
  <c r="BO106" i="29" l="1"/>
  <c r="E101" i="26" s="1"/>
  <c r="H106" i="29"/>
  <c r="BP106" i="29" l="1"/>
  <c r="I106" i="29"/>
  <c r="BX106" i="29" l="1"/>
  <c r="BY106" i="29" s="1"/>
  <c r="D101" i="26"/>
  <c r="BQ106" i="29"/>
  <c r="F101" i="26" s="1"/>
  <c r="F107" i="29"/>
  <c r="G107" i="29" s="1"/>
  <c r="BO107" i="29" l="1"/>
  <c r="E102" i="26" s="1"/>
  <c r="H107" i="29"/>
  <c r="BP107" i="29" l="1"/>
  <c r="I107" i="29"/>
  <c r="BX107" i="29" l="1"/>
  <c r="BY107" i="29" s="1"/>
  <c r="D102" i="26"/>
  <c r="BQ107" i="29"/>
  <c r="F102" i="26" s="1"/>
  <c r="F108" i="29"/>
  <c r="G108" i="29" s="1"/>
  <c r="BO108" i="29" l="1"/>
  <c r="E103" i="26" s="1"/>
  <c r="H108" i="29"/>
  <c r="BP108" i="29" l="1"/>
  <c r="I108" i="29"/>
  <c r="BX108" i="29" l="1"/>
  <c r="BY108" i="29" s="1"/>
  <c r="D103" i="26"/>
  <c r="BQ108" i="29"/>
  <c r="F103" i="26" s="1"/>
  <c r="F109" i="29"/>
  <c r="G109" i="29" s="1"/>
  <c r="BO109" i="29" l="1"/>
  <c r="E104" i="26" s="1"/>
  <c r="H109" i="29"/>
  <c r="BP109" i="29" l="1"/>
  <c r="I109" i="29"/>
  <c r="BX109" i="29" l="1"/>
  <c r="BY109" i="29" s="1"/>
  <c r="D104" i="26"/>
  <c r="BQ109" i="29"/>
  <c r="F104" i="26" s="1"/>
  <c r="F110" i="29"/>
  <c r="G110" i="29" s="1"/>
  <c r="BO110" i="29" l="1"/>
  <c r="E105" i="26" s="1"/>
  <c r="H110" i="29"/>
  <c r="BP110" i="29" l="1"/>
  <c r="I110" i="29"/>
  <c r="BX110" i="29" l="1"/>
  <c r="BY110" i="29" s="1"/>
  <c r="D105" i="26"/>
  <c r="BQ110" i="29"/>
  <c r="F105" i="26" s="1"/>
  <c r="F111" i="29"/>
  <c r="G111" i="29" s="1"/>
  <c r="BO111" i="29" l="1"/>
  <c r="E106" i="26" s="1"/>
  <c r="H111" i="29"/>
  <c r="BP111" i="29" l="1"/>
  <c r="I111" i="29"/>
  <c r="BX111" i="29" l="1"/>
  <c r="BY111" i="29" s="1"/>
  <c r="D106" i="26"/>
  <c r="BQ111" i="29"/>
  <c r="F106" i="26" s="1"/>
  <c r="F112" i="29"/>
  <c r="G112" i="29" s="1"/>
  <c r="BO112" i="29" l="1"/>
  <c r="E107" i="26" s="1"/>
  <c r="H112" i="29"/>
  <c r="BP112" i="29" l="1"/>
  <c r="I112" i="29"/>
  <c r="BX112" i="29" l="1"/>
  <c r="BY112" i="29" s="1"/>
  <c r="D107" i="26"/>
  <c r="BQ112" i="29"/>
  <c r="F107" i="26" s="1"/>
  <c r="F113" i="29"/>
  <c r="G113" i="29" s="1"/>
  <c r="BO113" i="29" l="1"/>
  <c r="E108" i="26" s="1"/>
  <c r="H113" i="29"/>
  <c r="BP113" i="29" l="1"/>
  <c r="I113" i="29"/>
  <c r="D108" i="26" l="1"/>
  <c r="BX113" i="29"/>
  <c r="BY113" i="29" s="1"/>
  <c r="BQ113" i="29"/>
  <c r="F108" i="26" s="1"/>
  <c r="F114" i="29"/>
  <c r="G114" i="29" s="1"/>
  <c r="BO114" i="29" l="1"/>
  <c r="E109" i="26" s="1"/>
  <c r="H114" i="29"/>
  <c r="BP114" i="29" l="1"/>
  <c r="I114" i="29"/>
  <c r="D109" i="26" l="1"/>
  <c r="BX114" i="29"/>
  <c r="BY114" i="29" s="1"/>
  <c r="BQ114" i="29"/>
  <c r="F109" i="26" s="1"/>
  <c r="F115" i="29"/>
  <c r="G115" i="29" s="1"/>
  <c r="BO115" i="29" l="1"/>
  <c r="E110" i="26" s="1"/>
  <c r="H115" i="29"/>
  <c r="BP115" i="29" l="1"/>
  <c r="I115" i="29"/>
  <c r="D110" i="26" l="1"/>
  <c r="BX115" i="29"/>
  <c r="BY115" i="29" s="1"/>
  <c r="BQ115" i="29"/>
  <c r="F110" i="26" s="1"/>
  <c r="F116" i="29"/>
  <c r="G116" i="29" s="1"/>
  <c r="BO116" i="29" l="1"/>
  <c r="E111" i="26" s="1"/>
  <c r="H116" i="29"/>
  <c r="BP116" i="29" l="1"/>
  <c r="I116" i="29"/>
  <c r="BQ116" i="29" l="1"/>
  <c r="F111" i="26" s="1"/>
  <c r="F117" i="29"/>
  <c r="G117" i="29" s="1"/>
  <c r="BX116" i="29"/>
  <c r="BY116" i="29" s="1"/>
  <c r="D111" i="26"/>
  <c r="BO117" i="29" l="1"/>
  <c r="E112" i="26" s="1"/>
  <c r="H117" i="29"/>
  <c r="BP117" i="29" l="1"/>
  <c r="I117" i="29"/>
  <c r="BX117" i="29" l="1"/>
  <c r="BY117" i="29" s="1"/>
  <c r="D112" i="26"/>
  <c r="BQ117" i="29"/>
  <c r="F112" i="26" s="1"/>
  <c r="F118" i="29"/>
  <c r="G118" i="29" s="1"/>
  <c r="BO118" i="29" l="1"/>
  <c r="E113" i="26" s="1"/>
  <c r="H118" i="29"/>
  <c r="BP118" i="29" l="1"/>
  <c r="I118" i="29"/>
  <c r="BQ118" i="29" l="1"/>
  <c r="F113" i="26" s="1"/>
  <c r="F119" i="29"/>
  <c r="G119" i="29" s="1"/>
  <c r="D113" i="26"/>
  <c r="BX118" i="29"/>
  <c r="BY118" i="29" s="1"/>
  <c r="BO119" i="29" l="1"/>
  <c r="E114" i="26" s="1"/>
  <c r="H119" i="29"/>
  <c r="BP119" i="29" l="1"/>
  <c r="I119" i="29"/>
  <c r="BX119" i="29" l="1"/>
  <c r="BY119" i="29" s="1"/>
  <c r="D114" i="26"/>
  <c r="BQ119" i="29"/>
  <c r="F114" i="26" s="1"/>
  <c r="F120" i="29"/>
  <c r="G120" i="29" s="1"/>
  <c r="BO120" i="29" l="1"/>
  <c r="E115" i="26" s="1"/>
  <c r="H120" i="29"/>
  <c r="BP120" i="29" l="1"/>
  <c r="I120" i="29"/>
  <c r="BX120" i="29" l="1"/>
  <c r="BY120" i="29" s="1"/>
  <c r="D115" i="26"/>
  <c r="BQ120" i="29"/>
  <c r="F115" i="26" s="1"/>
  <c r="F121" i="29"/>
  <c r="G121" i="29" s="1"/>
  <c r="BO121" i="29" l="1"/>
  <c r="E116" i="26" s="1"/>
  <c r="H121" i="29"/>
  <c r="BP121" i="29" l="1"/>
  <c r="I121" i="29"/>
  <c r="BX121" i="29" l="1"/>
  <c r="BY121" i="29" s="1"/>
  <c r="D116" i="26"/>
  <c r="BQ121" i="29"/>
  <c r="F116" i="26" s="1"/>
  <c r="F122" i="29"/>
  <c r="G122" i="29" s="1"/>
  <c r="BO122" i="29" l="1"/>
  <c r="E117" i="26" s="1"/>
  <c r="H122" i="29"/>
  <c r="BP122" i="29" l="1"/>
  <c r="I122" i="29"/>
  <c r="BQ122" i="29" l="1"/>
  <c r="F117" i="26" s="1"/>
  <c r="F123" i="29"/>
  <c r="G123" i="29" s="1"/>
  <c r="BX122" i="29"/>
  <c r="BY122" i="29" s="1"/>
  <c r="D117" i="26"/>
  <c r="BO123" i="29" l="1"/>
  <c r="E118" i="26" s="1"/>
  <c r="H123" i="29"/>
  <c r="BP123" i="29" l="1"/>
  <c r="I123" i="29"/>
  <c r="BX123" i="29" l="1"/>
  <c r="BY123" i="29" s="1"/>
  <c r="D118" i="26"/>
  <c r="BQ123" i="29"/>
  <c r="F118" i="26" s="1"/>
  <c r="F124" i="29"/>
  <c r="G124" i="29" s="1"/>
  <c r="BO124" i="29" l="1"/>
  <c r="E119" i="26" s="1"/>
  <c r="H124" i="29"/>
  <c r="BP124" i="29" l="1"/>
  <c r="I124" i="29"/>
  <c r="BX124" i="29" l="1"/>
  <c r="BY124" i="29" s="1"/>
  <c r="D119" i="26"/>
  <c r="BQ124" i="29"/>
  <c r="F119" i="26" s="1"/>
  <c r="F125" i="29"/>
  <c r="G125" i="29" s="1"/>
  <c r="BO125" i="29" l="1"/>
  <c r="E120" i="26" s="1"/>
  <c r="H125" i="29"/>
  <c r="BP125" i="29" l="1"/>
  <c r="D120" i="26" s="1"/>
  <c r="I125" i="29"/>
  <c r="BQ125" i="29" l="1"/>
  <c r="F120" i="26" s="1"/>
  <c r="F126" i="29"/>
  <c r="G126" i="29" s="1"/>
  <c r="BX125" i="29"/>
  <c r="BY125" i="29" s="1"/>
  <c r="E126" i="29" l="1"/>
  <c r="BO126" i="29"/>
  <c r="E121" i="26" s="1"/>
  <c r="A127" i="29" l="1"/>
  <c r="H126" i="29"/>
  <c r="Z126" i="29"/>
  <c r="AH126" i="29" s="1"/>
  <c r="A126" i="29"/>
  <c r="BN126" i="29"/>
  <c r="C121" i="26" l="1"/>
  <c r="G121" i="26"/>
  <c r="I126" i="29"/>
  <c r="BP126" i="29"/>
  <c r="D121" i="26" s="1"/>
  <c r="BX126" i="29" l="1"/>
  <c r="BQ126" i="29"/>
  <c r="F121" i="26" s="1"/>
  <c r="F127" i="29"/>
  <c r="G127" i="29" s="1"/>
  <c r="BY126" i="29" l="1"/>
  <c r="H127" i="29"/>
  <c r="I127" i="29" l="1"/>
  <c r="E11" i="51"/>
  <c r="E11" i="46"/>
  <c r="BQ127" i="29" l="1"/>
  <c r="F122" i="26" s="1"/>
  <c r="F128" i="29"/>
  <c r="G128" i="29" s="1"/>
  <c r="F11" i="46"/>
  <c r="G11" i="46" s="1"/>
  <c r="F11" i="51"/>
  <c r="G11" i="51" s="1"/>
  <c r="H128" i="29" l="1"/>
  <c r="E11" i="44"/>
  <c r="E11" i="50"/>
  <c r="F11" i="50" s="1"/>
  <c r="G11" i="50" s="1"/>
  <c r="E11" i="17"/>
  <c r="F11" i="17" s="1"/>
  <c r="G11" i="17" s="1"/>
  <c r="E11" i="52"/>
  <c r="F11" i="52" s="1"/>
  <c r="G11" i="52" s="1"/>
  <c r="E11" i="45"/>
  <c r="F11" i="45" s="1"/>
  <c r="G11" i="45" s="1"/>
  <c r="E11" i="43"/>
  <c r="F11" i="43" s="1"/>
  <c r="G11" i="43" s="1"/>
  <c r="I128" i="29" l="1"/>
  <c r="E12" i="51"/>
  <c r="F12" i="51" s="1"/>
  <c r="G12" i="51" s="1"/>
  <c r="E13" i="51" s="1"/>
  <c r="F13" i="51" s="1"/>
  <c r="G13" i="51" s="1"/>
  <c r="E14" i="51" s="1"/>
  <c r="F14" i="51" s="1"/>
  <c r="G14" i="51" s="1"/>
  <c r="E15" i="51" s="1"/>
  <c r="F15" i="51" s="1"/>
  <c r="G15" i="51" s="1"/>
  <c r="E16" i="51" s="1"/>
  <c r="F16" i="51" s="1"/>
  <c r="G16" i="51" s="1"/>
  <c r="E17" i="51" s="1"/>
  <c r="F17" i="51" s="1"/>
  <c r="G17" i="51" s="1"/>
  <c r="E18" i="51" s="1"/>
  <c r="F18" i="51" s="1"/>
  <c r="G18" i="51" s="1"/>
  <c r="F11" i="44"/>
  <c r="G11" i="44" s="1"/>
  <c r="BQ128" i="29" l="1"/>
  <c r="F123" i="26" s="1"/>
  <c r="F129" i="29"/>
  <c r="G129" i="29" s="1"/>
  <c r="E12" i="52"/>
  <c r="F12" i="52" s="1"/>
  <c r="G12" i="52" s="1"/>
  <c r="E13" i="52" s="1"/>
  <c r="H129" i="29" l="1"/>
  <c r="E12" i="45"/>
  <c r="F12" i="45" s="1"/>
  <c r="G12" i="45" s="1"/>
  <c r="E13" i="45" s="1"/>
  <c r="E12" i="50"/>
  <c r="F12" i="50" s="1"/>
  <c r="G12" i="50" s="1"/>
  <c r="E13" i="50" s="1"/>
  <c r="E12" i="17"/>
  <c r="F12" i="17" s="1"/>
  <c r="G12" i="17" s="1"/>
  <c r="E13" i="17" s="1"/>
  <c r="F13" i="52"/>
  <c r="G13" i="52" s="1"/>
  <c r="I129" i="29" l="1"/>
  <c r="E12" i="44"/>
  <c r="F12" i="44" s="1"/>
  <c r="G12" i="44" s="1"/>
  <c r="E13" i="44" s="1"/>
  <c r="F13" i="45"/>
  <c r="G13" i="45" s="1"/>
  <c r="E14" i="52"/>
  <c r="F13" i="17"/>
  <c r="G13" i="17" s="1"/>
  <c r="F13" i="50"/>
  <c r="G13" i="50" s="1"/>
  <c r="BQ129" i="29" l="1"/>
  <c r="F124" i="26" s="1"/>
  <c r="F130" i="29"/>
  <c r="G130" i="29" s="1"/>
  <c r="E14" i="50"/>
  <c r="F14" i="52"/>
  <c r="G14" i="52" s="1"/>
  <c r="E14" i="45"/>
  <c r="F13" i="44"/>
  <c r="G13" i="44" s="1"/>
  <c r="E14" i="17"/>
  <c r="BO130" i="29" l="1"/>
  <c r="E125" i="26" s="1"/>
  <c r="H130" i="29"/>
  <c r="F14" i="17"/>
  <c r="G14" i="17" s="1"/>
  <c r="E14" i="44"/>
  <c r="E15" i="52"/>
  <c r="F14" i="50"/>
  <c r="G14" i="50" s="1"/>
  <c r="F14" i="45"/>
  <c r="G14" i="45" s="1"/>
  <c r="BP130" i="29" l="1"/>
  <c r="I130" i="29"/>
  <c r="E15" i="45"/>
  <c r="E15" i="50"/>
  <c r="F14" i="44"/>
  <c r="G14" i="44" s="1"/>
  <c r="F15" i="52"/>
  <c r="G15" i="52" s="1"/>
  <c r="E15" i="17"/>
  <c r="BX130" i="29" l="1"/>
  <c r="BY130" i="29" s="1"/>
  <c r="D125" i="26"/>
  <c r="BQ130" i="29"/>
  <c r="F125" i="26" s="1"/>
  <c r="F131" i="29"/>
  <c r="G131" i="29" s="1"/>
  <c r="F15" i="17"/>
  <c r="G15" i="17" s="1"/>
  <c r="F15" i="50"/>
  <c r="G15" i="50" s="1"/>
  <c r="E16" i="52"/>
  <c r="E15" i="44"/>
  <c r="F15" i="45"/>
  <c r="G15" i="45" s="1"/>
  <c r="BO131" i="29" l="1"/>
  <c r="E126" i="26" s="1"/>
  <c r="H131" i="29"/>
  <c r="F16" i="52"/>
  <c r="G16" i="52" s="1"/>
  <c r="E16" i="45"/>
  <c r="E16" i="50"/>
  <c r="F15" i="44"/>
  <c r="G15" i="44" s="1"/>
  <c r="E16" i="17"/>
  <c r="BP131" i="29" l="1"/>
  <c r="I131" i="29"/>
  <c r="F16" i="17"/>
  <c r="G16" i="17" s="1"/>
  <c r="E16" i="44"/>
  <c r="F16" i="44" s="1"/>
  <c r="G16" i="44" s="1"/>
  <c r="F16" i="45"/>
  <c r="G16" i="45" s="1"/>
  <c r="F16" i="50"/>
  <c r="G16" i="50" s="1"/>
  <c r="E17" i="52"/>
  <c r="F17" i="52" s="1"/>
  <c r="G17" i="52" s="1"/>
  <c r="BX131" i="29" l="1"/>
  <c r="BY131" i="29" s="1"/>
  <c r="D126" i="26"/>
  <c r="BQ131" i="29"/>
  <c r="F126" i="26" s="1"/>
  <c r="F132" i="29"/>
  <c r="G132" i="29" s="1"/>
  <c r="E17" i="44"/>
  <c r="F17" i="44" s="1"/>
  <c r="G17" i="44" s="1"/>
  <c r="E18" i="52"/>
  <c r="F18" i="52" s="1"/>
  <c r="G18" i="52" s="1"/>
  <c r="E17" i="50"/>
  <c r="F17" i="50" s="1"/>
  <c r="G17" i="50" s="1"/>
  <c r="E17" i="45"/>
  <c r="F17" i="45" s="1"/>
  <c r="G17" i="45" s="1"/>
  <c r="E17" i="17"/>
  <c r="F17" i="17" s="1"/>
  <c r="G17" i="17" s="1"/>
  <c r="BO132" i="29" l="1"/>
  <c r="E127" i="26" s="1"/>
  <c r="H132" i="29"/>
  <c r="E18" i="45"/>
  <c r="F18" i="45" s="1"/>
  <c r="G18" i="45" s="1"/>
  <c r="E18" i="44"/>
  <c r="F18" i="44" s="1"/>
  <c r="G18" i="44" s="1"/>
  <c r="E18" i="17"/>
  <c r="F18" i="17" s="1"/>
  <c r="G18" i="17" s="1"/>
  <c r="E18" i="50"/>
  <c r="F18" i="50" s="1"/>
  <c r="G18" i="50" s="1"/>
  <c r="BP132" i="29" l="1"/>
  <c r="I132" i="29"/>
  <c r="BX132" i="29" l="1"/>
  <c r="BY132" i="29" s="1"/>
  <c r="D127" i="26"/>
  <c r="BQ132" i="29"/>
  <c r="F127" i="26" s="1"/>
  <c r="F133" i="29"/>
  <c r="G133" i="29" s="1"/>
  <c r="BO133" i="29" l="1"/>
  <c r="E128" i="26" s="1"/>
  <c r="H133" i="29"/>
  <c r="BP133" i="29" l="1"/>
  <c r="I133" i="29"/>
  <c r="E12" i="46"/>
  <c r="F12" i="46" s="1"/>
  <c r="G12" i="46" s="1"/>
  <c r="E12" i="43"/>
  <c r="F12" i="43" s="1"/>
  <c r="G12" i="43" s="1"/>
  <c r="E13" i="43" s="1"/>
  <c r="F13" i="43" s="1"/>
  <c r="G13" i="43" s="1"/>
  <c r="E14" i="43" s="1"/>
  <c r="F14" i="43" s="1"/>
  <c r="G14" i="43" s="1"/>
  <c r="E15" i="43" s="1"/>
  <c r="F15" i="43" s="1"/>
  <c r="G15" i="43" s="1"/>
  <c r="E16" i="43" s="1"/>
  <c r="F16" i="43" s="1"/>
  <c r="G16" i="43" s="1"/>
  <c r="E17" i="43" s="1"/>
  <c r="F17" i="43" s="1"/>
  <c r="G17" i="43" s="1"/>
  <c r="E18" i="43" s="1"/>
  <c r="F18" i="43" s="1"/>
  <c r="G18" i="43" s="1"/>
  <c r="BX133" i="29" l="1"/>
  <c r="BY133" i="29" s="1"/>
  <c r="D128" i="26"/>
  <c r="BQ133" i="29"/>
  <c r="F128" i="26" s="1"/>
  <c r="F134" i="29"/>
  <c r="G134" i="29" s="1"/>
  <c r="E13" i="46"/>
  <c r="BO134" i="29" l="1"/>
  <c r="E129" i="26" s="1"/>
  <c r="H134" i="29"/>
  <c r="F13" i="46"/>
  <c r="G13" i="46" s="1"/>
  <c r="BP134" i="29" l="1"/>
  <c r="I134" i="29"/>
  <c r="E14" i="46"/>
  <c r="BX134" i="29" l="1"/>
  <c r="BY134" i="29" s="1"/>
  <c r="D129" i="26"/>
  <c r="BQ134" i="29"/>
  <c r="F129" i="26" s="1"/>
  <c r="F135" i="29"/>
  <c r="G135" i="29" s="1"/>
  <c r="F14" i="46"/>
  <c r="G14" i="46" s="1"/>
  <c r="BO135" i="29" l="1"/>
  <c r="E130" i="26" s="1"/>
  <c r="H135" i="29"/>
  <c r="E15" i="46"/>
  <c r="BP135" i="29" l="1"/>
  <c r="I135" i="29"/>
  <c r="F15" i="46"/>
  <c r="G15" i="46" s="1"/>
  <c r="BX135" i="29" l="1"/>
  <c r="BY135" i="29" s="1"/>
  <c r="D130" i="26"/>
  <c r="BQ135" i="29"/>
  <c r="F130" i="26" s="1"/>
  <c r="F136" i="29"/>
  <c r="G136" i="29" s="1"/>
  <c r="E16" i="46"/>
  <c r="BO136" i="29" l="1"/>
  <c r="E131" i="26" s="1"/>
  <c r="H136" i="29"/>
  <c r="F16" i="46"/>
  <c r="G16" i="46" s="1"/>
  <c r="BP136" i="29" l="1"/>
  <c r="I136" i="29"/>
  <c r="E17" i="46"/>
  <c r="BX136" i="29" l="1"/>
  <c r="BY136" i="29" s="1"/>
  <c r="D131" i="26"/>
  <c r="BQ136" i="29"/>
  <c r="F131" i="26" s="1"/>
  <c r="F137" i="29"/>
  <c r="G137" i="29" s="1"/>
  <c r="F17" i="46"/>
  <c r="G17" i="46" s="1"/>
  <c r="BO137" i="29" l="1"/>
  <c r="E132" i="26" s="1"/>
  <c r="H137" i="29"/>
  <c r="E18" i="46"/>
  <c r="F18" i="46" s="1"/>
  <c r="G18" i="46" s="1"/>
  <c r="BP137" i="29" l="1"/>
  <c r="I137" i="29"/>
  <c r="BX137" i="29" l="1"/>
  <c r="BY137" i="29" s="1"/>
  <c r="D132" i="26"/>
  <c r="BQ137" i="29"/>
  <c r="F132" i="26" s="1"/>
  <c r="F138" i="29"/>
  <c r="G138" i="29" s="1"/>
  <c r="BO138" i="29" l="1"/>
  <c r="E133" i="26" s="1"/>
  <c r="H138" i="29"/>
  <c r="BP138" i="29" l="1"/>
  <c r="I138" i="29"/>
  <c r="BX138" i="29" l="1"/>
  <c r="BY138" i="29" s="1"/>
  <c r="D133" i="26"/>
  <c r="BQ138" i="29"/>
  <c r="F133" i="26" s="1"/>
  <c r="F139" i="29"/>
  <c r="G139" i="29" s="1"/>
  <c r="BO139" i="29" l="1"/>
  <c r="E134" i="26" s="1"/>
  <c r="H139" i="29"/>
  <c r="BP139" i="29" l="1"/>
  <c r="I139" i="29"/>
  <c r="BX139" i="29" l="1"/>
  <c r="BY139" i="29" s="1"/>
  <c r="D134" i="26"/>
  <c r="BQ139" i="29"/>
  <c r="F134" i="26" s="1"/>
  <c r="F140" i="29"/>
  <c r="G140" i="29" s="1"/>
  <c r="BO140" i="29" l="1"/>
  <c r="E135" i="26" s="1"/>
  <c r="H140" i="29"/>
  <c r="BP140" i="29" l="1"/>
  <c r="I140" i="29"/>
  <c r="BX140" i="29" l="1"/>
  <c r="BY140" i="29" s="1"/>
  <c r="D135" i="26"/>
  <c r="BQ140" i="29"/>
  <c r="F135" i="26" s="1"/>
  <c r="F141" i="29"/>
  <c r="G141" i="29" s="1"/>
  <c r="BO141" i="29" l="1"/>
  <c r="E136" i="26" s="1"/>
  <c r="H141" i="29"/>
  <c r="BP141" i="29" l="1"/>
  <c r="I141" i="29"/>
  <c r="BX141" i="29" l="1"/>
  <c r="BY141" i="29" s="1"/>
  <c r="D136" i="26"/>
  <c r="BQ141" i="29"/>
  <c r="F136" i="26" s="1"/>
  <c r="F142" i="29"/>
  <c r="G142" i="29" s="1"/>
  <c r="BO142" i="29" l="1"/>
  <c r="E137" i="26" s="1"/>
  <c r="H142" i="29"/>
  <c r="BP142" i="29" l="1"/>
  <c r="I142" i="29"/>
  <c r="BX142" i="29" l="1"/>
  <c r="BY142" i="29" s="1"/>
  <c r="D137" i="26"/>
  <c r="BQ142" i="29"/>
  <c r="F137" i="26" s="1"/>
  <c r="F143" i="29"/>
  <c r="G143" i="29" s="1"/>
  <c r="BO143" i="29" l="1"/>
  <c r="E138" i="26" s="1"/>
  <c r="H143" i="29"/>
  <c r="BP143" i="29" l="1"/>
  <c r="I143" i="29"/>
  <c r="BX143" i="29" l="1"/>
  <c r="BY143" i="29" s="1"/>
  <c r="D138" i="26"/>
  <c r="BQ143" i="29"/>
  <c r="F138" i="26" s="1"/>
  <c r="F144" i="29"/>
  <c r="G144" i="29" s="1"/>
  <c r="BO144" i="29" l="1"/>
  <c r="E139" i="26" s="1"/>
  <c r="H144" i="29"/>
  <c r="BP144" i="29" l="1"/>
  <c r="I144" i="29"/>
  <c r="BX144" i="29" l="1"/>
  <c r="BY144" i="29" s="1"/>
  <c r="D139" i="26"/>
  <c r="BQ144" i="29"/>
  <c r="F139" i="26" s="1"/>
  <c r="F145" i="29"/>
  <c r="G145" i="29" s="1"/>
  <c r="BO145" i="29" l="1"/>
  <c r="E140" i="26" s="1"/>
  <c r="H145" i="29"/>
  <c r="BP145" i="29" l="1"/>
  <c r="I145" i="29"/>
  <c r="BX145" i="29" l="1"/>
  <c r="BY145" i="29" s="1"/>
  <c r="D140" i="26"/>
  <c r="BQ145" i="29"/>
  <c r="F140" i="26" s="1"/>
  <c r="F146" i="29"/>
  <c r="G146" i="29" s="1"/>
  <c r="BO146" i="29" l="1"/>
  <c r="E141" i="26" s="1"/>
  <c r="H146" i="29"/>
  <c r="BP146" i="29" l="1"/>
  <c r="I146" i="29"/>
  <c r="BX146" i="29" l="1"/>
  <c r="BY146" i="29" s="1"/>
  <c r="D141" i="26"/>
  <c r="BQ146" i="29"/>
  <c r="F141" i="26" s="1"/>
  <c r="F147" i="29"/>
  <c r="G147" i="29" s="1"/>
  <c r="BO147" i="29" l="1"/>
  <c r="E142" i="26" s="1"/>
  <c r="H147" i="29"/>
  <c r="BP147" i="29" l="1"/>
  <c r="I147" i="29"/>
  <c r="BX147" i="29" l="1"/>
  <c r="BY147" i="29" s="1"/>
  <c r="D142" i="26"/>
  <c r="BQ147" i="29"/>
  <c r="F142" i="26" s="1"/>
  <c r="F148" i="29"/>
  <c r="G148" i="29" s="1"/>
  <c r="BO148" i="29" l="1"/>
  <c r="E143" i="26" s="1"/>
  <c r="H148" i="29"/>
  <c r="BP148" i="29" l="1"/>
  <c r="I148" i="29"/>
  <c r="BX148" i="29" l="1"/>
  <c r="BY148" i="29" s="1"/>
  <c r="D143" i="26"/>
  <c r="BQ148" i="29"/>
  <c r="F143" i="26" s="1"/>
  <c r="F149" i="29"/>
  <c r="G149" i="29" s="1"/>
  <c r="BO149" i="29" l="1"/>
  <c r="E144" i="26" s="1"/>
  <c r="H149" i="29"/>
  <c r="BP149" i="29" l="1"/>
  <c r="I149" i="29"/>
  <c r="BX149" i="29" l="1"/>
  <c r="BY149" i="29" s="1"/>
  <c r="D144" i="26"/>
  <c r="H150" i="29"/>
  <c r="I150" i="29" s="1"/>
  <c r="BQ150" i="29" s="1"/>
  <c r="F145" i="26" s="1"/>
  <c r="BQ149" i="29"/>
  <c r="F144" i="26" s="1"/>
  <c r="F150" i="29"/>
  <c r="G150" i="29" s="1"/>
  <c r="BP150" i="29" l="1"/>
  <c r="H27" i="29"/>
  <c r="BO150" i="29"/>
  <c r="E145" i="26" s="1"/>
  <c r="BL5" i="29"/>
  <c r="G27" i="29"/>
  <c r="F2" i="36" s="1"/>
  <c r="H2" i="36" s="1"/>
  <c r="E150" i="29"/>
  <c r="BX150" i="29" l="1"/>
  <c r="BY150" i="29" s="1"/>
  <c r="D145" i="26"/>
  <c r="AC221" i="23"/>
  <c r="BN5" i="29"/>
  <c r="AC220" i="38"/>
  <c r="A150" i="29"/>
  <c r="A30" i="29" s="1"/>
  <c r="Z150" i="29"/>
  <c r="AH150" i="29" s="1"/>
  <c r="AH28" i="29" s="1"/>
  <c r="AI28" i="29" s="1"/>
  <c r="BN150" i="29"/>
  <c r="D24" i="29"/>
  <c r="BL8" i="29" s="1"/>
  <c r="BN8" i="29" s="1"/>
  <c r="E27" i="29"/>
  <c r="BN27" i="29" l="1"/>
  <c r="C145" i="26"/>
  <c r="C25" i="26" s="1"/>
  <c r="G145" i="26"/>
  <c r="D515" i="23"/>
  <c r="D55" i="23" s="1"/>
  <c r="D514" i="38"/>
  <c r="D55" i="38" s="1"/>
  <c r="AD220" i="38"/>
  <c r="AC221" i="38"/>
  <c r="AC202" i="38" s="1"/>
  <c r="AD221" i="23"/>
  <c r="AC222" i="23"/>
  <c r="AC203" i="23" s="1"/>
  <c r="AC200" i="23" s="1"/>
  <c r="I11" i="23" s="1"/>
  <c r="D8" i="25" s="1"/>
  <c r="AF221" i="23" l="1"/>
  <c r="AF222" i="23" s="1"/>
  <c r="AF203" i="23" s="1"/>
  <c r="AF200" i="23" s="1"/>
  <c r="I9" i="23" s="1"/>
  <c r="AD222" i="23"/>
  <c r="AD203" i="23" s="1"/>
  <c r="AD200" i="23" s="1"/>
  <c r="I12" i="23" s="1"/>
  <c r="C11" i="26" s="1"/>
  <c r="F11" i="26" s="1"/>
  <c r="AD221" i="38"/>
  <c r="AD202" i="38" s="1"/>
  <c r="AF220" i="38"/>
  <c r="AF221" i="38" s="1"/>
  <c r="AF202" i="38" s="1"/>
  <c r="B34" i="56"/>
  <c r="D4" i="25"/>
  <c r="D69" i="23" l="1"/>
  <c r="D5" i="25" s="1"/>
  <c r="B47" i="56"/>
  <c r="BP127" i="29" l="1"/>
  <c r="D122" i="26" s="1"/>
  <c r="BP128" i="29"/>
  <c r="BP129" i="29"/>
  <c r="BO127" i="29"/>
  <c r="E122" i="26" s="1"/>
  <c r="BO128" i="29"/>
  <c r="E123" i="26" s="1"/>
  <c r="BO129" i="29"/>
  <c r="E124" i="26" s="1"/>
  <c r="E25" i="26" l="1"/>
  <c r="BX127" i="29"/>
  <c r="BY127" i="29" s="1"/>
  <c r="BX129" i="29"/>
  <c r="BY129" i="29" s="1"/>
  <c r="D124" i="26"/>
  <c r="BX128" i="29"/>
  <c r="BY128" i="29" s="1"/>
  <c r="D123" i="26"/>
  <c r="BP27" i="29"/>
  <c r="BO27" i="29"/>
  <c r="B18" i="28" s="1"/>
  <c r="B19" i="28" s="1"/>
  <c r="BY30" i="29" l="1"/>
  <c r="D25" i="26"/>
  <c r="BX30" i="29"/>
  <c r="BZ30" i="29" l="1"/>
  <c r="E19" i="52"/>
  <c r="F19" i="52" s="1"/>
  <c r="G19" i="52" s="1"/>
  <c r="E20" i="52" s="1"/>
  <c r="F20" i="52" s="1"/>
  <c r="G20" i="52" s="1"/>
  <c r="E21" i="52" s="1"/>
  <c r="F21" i="52" s="1"/>
  <c r="G21" i="52" s="1"/>
  <c r="E19" i="50"/>
  <c r="AR39" i="29"/>
  <c r="F19" i="50" l="1"/>
  <c r="G19" i="50" s="1"/>
  <c r="E20" i="50" s="1"/>
  <c r="F20" i="50" s="1"/>
  <c r="G20" i="50" s="1"/>
  <c r="E21" i="50" s="1"/>
  <c r="F21" i="50" s="1"/>
  <c r="G21" i="50" s="1"/>
  <c r="AS39" i="29"/>
  <c r="AT39" i="29" s="1"/>
  <c r="AR40" i="29" l="1"/>
  <c r="AS40" i="29" l="1"/>
  <c r="AT40" i="29" s="1"/>
  <c r="AR41" i="29" l="1"/>
  <c r="AS41" i="29" l="1"/>
  <c r="AT41" i="29" s="1"/>
  <c r="E19" i="43" l="1"/>
  <c r="F19" i="43" s="1"/>
  <c r="G19" i="43" s="1"/>
  <c r="E19" i="51"/>
  <c r="F19" i="51" s="1"/>
  <c r="G19" i="51" s="1"/>
  <c r="E19" i="17"/>
  <c r="F19" i="17" s="1"/>
  <c r="G19" i="17" s="1"/>
  <c r="E19" i="45"/>
  <c r="F19" i="45" s="1"/>
  <c r="G19" i="45" s="1"/>
  <c r="E19" i="44"/>
  <c r="F19" i="44" s="1"/>
  <c r="G19" i="44" s="1"/>
  <c r="E19" i="46"/>
  <c r="F19" i="46" s="1"/>
  <c r="G19" i="46" s="1"/>
  <c r="E20" i="17" l="1"/>
  <c r="E20" i="44"/>
  <c r="F20" i="44" s="1"/>
  <c r="G20" i="44" s="1"/>
  <c r="E20" i="51"/>
  <c r="E20" i="45"/>
  <c r="E20" i="46"/>
  <c r="E20" i="43"/>
  <c r="F20" i="43" s="1"/>
  <c r="G20" i="43" s="1"/>
  <c r="E21" i="43" l="1"/>
  <c r="F21" i="43" s="1"/>
  <c r="G21" i="43" s="1"/>
  <c r="E21" i="44"/>
  <c r="F21" i="44" s="1"/>
  <c r="G21" i="44" s="1"/>
  <c r="F20" i="45"/>
  <c r="G20" i="45" s="1"/>
  <c r="F20" i="17"/>
  <c r="G20" i="17" s="1"/>
  <c r="F20" i="46"/>
  <c r="G20" i="46" s="1"/>
  <c r="F20" i="51"/>
  <c r="G20" i="51" s="1"/>
  <c r="E21" i="17" l="1"/>
  <c r="E21" i="46"/>
  <c r="E21" i="51"/>
  <c r="E21" i="45"/>
  <c r="F21" i="17" l="1"/>
  <c r="G21" i="17" s="1"/>
  <c r="F21" i="45"/>
  <c r="G21" i="45" s="1"/>
  <c r="F21" i="51"/>
  <c r="G21" i="51" s="1"/>
  <c r="F21" i="46"/>
  <c r="G21" i="46" s="1"/>
  <c r="E22" i="52" l="1"/>
  <c r="F22" i="52" s="1"/>
  <c r="G22" i="52" s="1"/>
  <c r="E23" i="52" s="1"/>
  <c r="F23" i="52" s="1"/>
  <c r="G23" i="52" s="1"/>
  <c r="E24" i="52" s="1"/>
  <c r="F24" i="52" s="1"/>
  <c r="G24" i="52" s="1"/>
  <c r="E25" i="52" s="1"/>
  <c r="F25" i="52" s="1"/>
  <c r="G25" i="52" s="1"/>
  <c r="E26" i="52" s="1"/>
  <c r="F26" i="52" s="1"/>
  <c r="G26" i="52" s="1"/>
  <c r="E27" i="52" s="1"/>
  <c r="F27" i="52" s="1"/>
  <c r="G27" i="52" s="1"/>
  <c r="E28" i="52" s="1"/>
  <c r="F28" i="52" s="1"/>
  <c r="G28" i="52" s="1"/>
  <c r="E29" i="52" s="1"/>
  <c r="F29" i="52" s="1"/>
  <c r="G29" i="52" s="1"/>
  <c r="E30" i="52" s="1"/>
  <c r="F30" i="52" s="1"/>
  <c r="G30" i="52" s="1"/>
  <c r="E31" i="52" s="1"/>
  <c r="F31" i="52" s="1"/>
  <c r="G31" i="52" s="1"/>
  <c r="E32" i="52" s="1"/>
  <c r="F32" i="52" s="1"/>
  <c r="G32" i="52" s="1"/>
  <c r="E22" i="43"/>
  <c r="F22" i="43" s="1"/>
  <c r="G22" i="43" s="1"/>
  <c r="E23" i="43" s="1"/>
  <c r="F23" i="43" s="1"/>
  <c r="G23" i="43" s="1"/>
  <c r="E24" i="43" s="1"/>
  <c r="F24" i="43" s="1"/>
  <c r="G24" i="43" s="1"/>
  <c r="E25" i="43" s="1"/>
  <c r="F25" i="43" s="1"/>
  <c r="G25" i="43" s="1"/>
  <c r="E26" i="43" s="1"/>
  <c r="F26" i="43" s="1"/>
  <c r="G26" i="43" s="1"/>
  <c r="E27" i="43" s="1"/>
  <c r="F27" i="43" s="1"/>
  <c r="G27" i="43" s="1"/>
  <c r="E28" i="43" s="1"/>
  <c r="F28" i="43" s="1"/>
  <c r="G28" i="43" s="1"/>
  <c r="E29" i="43" s="1"/>
  <c r="F29" i="43" s="1"/>
  <c r="G29" i="43" s="1"/>
  <c r="E30" i="43" s="1"/>
  <c r="F30" i="43" s="1"/>
  <c r="G30" i="43" s="1"/>
  <c r="E31" i="43" s="1"/>
  <c r="F31" i="43" s="1"/>
  <c r="G31" i="43" s="1"/>
  <c r="E32" i="43" s="1"/>
  <c r="F32" i="43" s="1"/>
  <c r="G32" i="43" s="1"/>
  <c r="E22" i="44"/>
  <c r="F22" i="44" s="1"/>
  <c r="G22" i="44" s="1"/>
  <c r="E23" i="44" s="1"/>
  <c r="F23" i="44" s="1"/>
  <c r="G23" i="44" s="1"/>
  <c r="E24" i="44" s="1"/>
  <c r="F24" i="44" s="1"/>
  <c r="G24" i="44" s="1"/>
  <c r="E25" i="44" s="1"/>
  <c r="F25" i="44" s="1"/>
  <c r="G25" i="44" s="1"/>
  <c r="E26" i="44" s="1"/>
  <c r="F26" i="44" s="1"/>
  <c r="G26" i="44" s="1"/>
  <c r="E27" i="44" s="1"/>
  <c r="F27" i="44" s="1"/>
  <c r="G27" i="44" s="1"/>
  <c r="E28" i="44" s="1"/>
  <c r="F28" i="44" s="1"/>
  <c r="G28" i="44" s="1"/>
  <c r="E29" i="44" s="1"/>
  <c r="F29" i="44" s="1"/>
  <c r="G29" i="44" s="1"/>
  <c r="E30" i="44" s="1"/>
  <c r="F30" i="44" s="1"/>
  <c r="G30" i="44" s="1"/>
  <c r="E31" i="44" s="1"/>
  <c r="F31" i="44" s="1"/>
  <c r="G31" i="44" s="1"/>
  <c r="E32" i="44" s="1"/>
  <c r="F32" i="44" s="1"/>
  <c r="G32" i="44" s="1"/>
  <c r="AR42" i="29"/>
  <c r="AS42" i="29" s="1"/>
  <c r="AT42" i="29" s="1"/>
  <c r="AR43" i="29" s="1"/>
  <c r="E22" i="17"/>
  <c r="F22" i="17" s="1"/>
  <c r="G22" i="17" s="1"/>
  <c r="E23" i="17" s="1"/>
  <c r="F23" i="17" s="1"/>
  <c r="G23" i="17" s="1"/>
  <c r="E24" i="17" s="1"/>
  <c r="F24" i="17" s="1"/>
  <c r="G24" i="17" s="1"/>
  <c r="E25" i="17" s="1"/>
  <c r="F25" i="17" s="1"/>
  <c r="G25" i="17" s="1"/>
  <c r="E26" i="17" s="1"/>
  <c r="F26" i="17" s="1"/>
  <c r="G26" i="17" s="1"/>
  <c r="E27" i="17" s="1"/>
  <c r="F27" i="17" s="1"/>
  <c r="G27" i="17" s="1"/>
  <c r="E28" i="17" s="1"/>
  <c r="F28" i="17" s="1"/>
  <c r="G28" i="17" s="1"/>
  <c r="E29" i="17" s="1"/>
  <c r="F29" i="17" s="1"/>
  <c r="G29" i="17" s="1"/>
  <c r="E30" i="17" s="1"/>
  <c r="F30" i="17" s="1"/>
  <c r="G30" i="17" s="1"/>
  <c r="E31" i="17" s="1"/>
  <c r="F31" i="17" s="1"/>
  <c r="G31" i="17" s="1"/>
  <c r="E32" i="17" s="1"/>
  <c r="F32" i="17" s="1"/>
  <c r="G32" i="17" s="1"/>
  <c r="AS43" i="29" l="1"/>
  <c r="AT43" i="29" s="1"/>
  <c r="AR44" i="29" l="1"/>
  <c r="AS44" i="29" l="1"/>
  <c r="AT44" i="29" s="1"/>
  <c r="AR45" i="29" l="1"/>
  <c r="AS45" i="29" l="1"/>
  <c r="AT45" i="29" s="1"/>
  <c r="AR46" i="29" l="1"/>
  <c r="AS46" i="29" l="1"/>
  <c r="AT46" i="29" s="1"/>
  <c r="AR47" i="29" l="1"/>
  <c r="AS47" i="29" l="1"/>
  <c r="AT47" i="29" s="1"/>
  <c r="AR48" i="29" l="1"/>
  <c r="AS48" i="29" s="1"/>
  <c r="AT48" i="29" s="1"/>
  <c r="AR49" i="29" l="1"/>
  <c r="AS49" i="29" s="1"/>
  <c r="AT49" i="29" s="1"/>
  <c r="AR50" i="29" l="1"/>
  <c r="AS50" i="29" s="1"/>
  <c r="AT50" i="29" s="1"/>
  <c r="AR51" i="29" l="1"/>
  <c r="AS51" i="29" s="1"/>
  <c r="AT51" i="29" s="1"/>
  <c r="AR52" i="29" l="1"/>
  <c r="AS52" i="29" s="1"/>
  <c r="AT52" i="29" s="1"/>
  <c r="E22" i="45" l="1"/>
  <c r="E22" i="46"/>
  <c r="F22" i="46" s="1"/>
  <c r="G22" i="46" s="1"/>
  <c r="E23" i="46" s="1"/>
  <c r="E22" i="50"/>
  <c r="F22" i="50" s="1"/>
  <c r="G22" i="50" s="1"/>
  <c r="E23" i="50" s="1"/>
  <c r="F23" i="50" s="1"/>
  <c r="G23" i="50" s="1"/>
  <c r="E24" i="50" s="1"/>
  <c r="F24" i="50" s="1"/>
  <c r="G24" i="50" s="1"/>
  <c r="E25" i="50" s="1"/>
  <c r="F25" i="50" s="1"/>
  <c r="G25" i="50" s="1"/>
  <c r="E26" i="50" s="1"/>
  <c r="F26" i="50" s="1"/>
  <c r="G26" i="50" s="1"/>
  <c r="E27" i="50" s="1"/>
  <c r="F27" i="50" s="1"/>
  <c r="G27" i="50" s="1"/>
  <c r="E28" i="50" s="1"/>
  <c r="F28" i="50" s="1"/>
  <c r="G28" i="50" s="1"/>
  <c r="E29" i="50" s="1"/>
  <c r="F29" i="50" s="1"/>
  <c r="G29" i="50" s="1"/>
  <c r="E30" i="50" s="1"/>
  <c r="F30" i="50" s="1"/>
  <c r="G30" i="50" s="1"/>
  <c r="E31" i="50" s="1"/>
  <c r="F31" i="50" s="1"/>
  <c r="G31" i="50" s="1"/>
  <c r="E32" i="50" s="1"/>
  <c r="F32" i="50" s="1"/>
  <c r="G32" i="50" s="1"/>
  <c r="F23" i="46" l="1"/>
  <c r="G23" i="46" s="1"/>
  <c r="E24" i="46" s="1"/>
  <c r="F24" i="46" s="1"/>
  <c r="G24" i="46" s="1"/>
  <c r="E25" i="46" s="1"/>
  <c r="F25" i="46" s="1"/>
  <c r="G25" i="46" s="1"/>
  <c r="E26" i="46" s="1"/>
  <c r="F26" i="46" s="1"/>
  <c r="G26" i="46" s="1"/>
  <c r="E27" i="46" s="1"/>
  <c r="F27" i="46" s="1"/>
  <c r="G27" i="46" s="1"/>
  <c r="E28" i="46" s="1"/>
  <c r="F28" i="46" s="1"/>
  <c r="G28" i="46" s="1"/>
  <c r="E29" i="46" s="1"/>
  <c r="F29" i="46" s="1"/>
  <c r="G29" i="46" s="1"/>
  <c r="E30" i="46" s="1"/>
  <c r="F30" i="46" s="1"/>
  <c r="G30" i="46" s="1"/>
  <c r="E31" i="46" s="1"/>
  <c r="F31" i="46" s="1"/>
  <c r="G31" i="46" s="1"/>
  <c r="E32" i="46" s="1"/>
  <c r="F32" i="46" s="1"/>
  <c r="G32" i="46" s="1"/>
  <c r="F22" i="45"/>
  <c r="G22" i="45" s="1"/>
  <c r="E23" i="45" s="1"/>
  <c r="F23" i="45" s="1"/>
  <c r="G23" i="45" s="1"/>
  <c r="E24" i="45" s="1"/>
  <c r="F24" i="45" s="1"/>
  <c r="G24" i="45" s="1"/>
  <c r="E25" i="45" s="1"/>
  <c r="F25" i="45" s="1"/>
  <c r="G25" i="45" s="1"/>
  <c r="E26" i="45" s="1"/>
  <c r="F26" i="45" s="1"/>
  <c r="G26" i="45" s="1"/>
  <c r="E27" i="45" s="1"/>
  <c r="F27" i="45" s="1"/>
  <c r="G27" i="45" s="1"/>
  <c r="E28" i="45" s="1"/>
  <c r="F28" i="45" s="1"/>
  <c r="G28" i="45" s="1"/>
  <c r="E29" i="45" s="1"/>
  <c r="F29" i="45" s="1"/>
  <c r="G29" i="45" s="1"/>
  <c r="E30" i="45" s="1"/>
  <c r="F30" i="45" s="1"/>
  <c r="G30" i="45" s="1"/>
  <c r="E31" i="45" s="1"/>
  <c r="F31" i="45" s="1"/>
  <c r="G31" i="45" s="1"/>
  <c r="E32" i="45" s="1"/>
  <c r="F32" i="45" s="1"/>
  <c r="G32" i="45" s="1"/>
  <c r="E22" i="51" l="1"/>
  <c r="F22" i="51" l="1"/>
  <c r="G22" i="51" s="1"/>
  <c r="E23" i="51" l="1"/>
  <c r="F23" i="51" l="1"/>
  <c r="G23" i="51" s="1"/>
  <c r="E24" i="51" l="1"/>
  <c r="F24" i="51" l="1"/>
  <c r="G24" i="51" s="1"/>
  <c r="E25" i="51" l="1"/>
  <c r="F25" i="51" l="1"/>
  <c r="G25" i="51" s="1"/>
  <c r="E26" i="51" l="1"/>
  <c r="F26" i="51" s="1"/>
  <c r="G26" i="51" s="1"/>
  <c r="E27" i="51" l="1"/>
  <c r="F27" i="51" s="1"/>
  <c r="G27" i="51" s="1"/>
  <c r="E28" i="51" l="1"/>
  <c r="F28" i="51" s="1"/>
  <c r="G28" i="51" s="1"/>
  <c r="E29" i="51" l="1"/>
  <c r="F29" i="51" s="1"/>
  <c r="G29" i="51" s="1"/>
  <c r="E30" i="51" l="1"/>
  <c r="F30" i="51" s="1"/>
  <c r="G30" i="51" s="1"/>
  <c r="E31" i="51" l="1"/>
  <c r="F31" i="51" s="1"/>
  <c r="G31" i="51" s="1"/>
  <c r="E32" i="51" l="1"/>
  <c r="F32" i="51" s="1"/>
  <c r="G32" i="51" s="1"/>
  <c r="E82" i="45" l="1"/>
  <c r="F82" i="45" s="1"/>
  <c r="G82" i="45" s="1"/>
  <c r="AR102" i="29"/>
  <c r="AS102" i="29" s="1"/>
  <c r="E82" i="43"/>
  <c r="F82" i="43" s="1"/>
  <c r="G82" i="43" s="1"/>
  <c r="E82" i="17"/>
  <c r="F82" i="17" s="1"/>
  <c r="G82" i="17" s="1"/>
  <c r="E82" i="52"/>
  <c r="F82" i="52" s="1"/>
  <c r="G82" i="52" s="1"/>
  <c r="E82" i="46"/>
  <c r="F82" i="46" s="1"/>
  <c r="G82" i="46" s="1"/>
  <c r="E82" i="44"/>
  <c r="F82" i="44" s="1"/>
  <c r="G82" i="44" s="1"/>
  <c r="E82" i="51"/>
  <c r="F82" i="51" s="1"/>
  <c r="G82" i="51" s="1"/>
  <c r="E82" i="50"/>
  <c r="F82" i="50" s="1"/>
  <c r="G82" i="50" s="1"/>
  <c r="E83" i="44" l="1"/>
  <c r="F83" i="44" s="1"/>
  <c r="G83" i="44" s="1"/>
  <c r="E83" i="46"/>
  <c r="F83" i="46" s="1"/>
  <c r="G83" i="46" s="1"/>
  <c r="E83" i="52"/>
  <c r="F83" i="52" s="1"/>
  <c r="G83" i="52" s="1"/>
  <c r="E83" i="43"/>
  <c r="F83" i="43" s="1"/>
  <c r="G83" i="43" s="1"/>
  <c r="AR103" i="29"/>
  <c r="AS103" i="29" s="1"/>
  <c r="E83" i="51"/>
  <c r="F83" i="51" s="1"/>
  <c r="G83" i="51" s="1"/>
  <c r="E83" i="45"/>
  <c r="F83" i="45" s="1"/>
  <c r="G83" i="45" s="1"/>
  <c r="E83" i="17"/>
  <c r="F83" i="17" s="1"/>
  <c r="G83" i="17" s="1"/>
  <c r="E83" i="50"/>
  <c r="F83" i="50" s="1"/>
  <c r="G83" i="50" s="1"/>
  <c r="E84" i="43" l="1"/>
  <c r="F84" i="43" s="1"/>
  <c r="G84" i="43" s="1"/>
  <c r="E84" i="52"/>
  <c r="F84" i="52" s="1"/>
  <c r="G84" i="52" s="1"/>
  <c r="E84" i="50"/>
  <c r="F84" i="50" s="1"/>
  <c r="G84" i="50" s="1"/>
  <c r="E84" i="17"/>
  <c r="F84" i="17" s="1"/>
  <c r="G84" i="17" s="1"/>
  <c r="E84" i="46"/>
  <c r="F84" i="46" s="1"/>
  <c r="G84" i="46" s="1"/>
  <c r="AR104" i="29"/>
  <c r="AS104" i="29" s="1"/>
  <c r="E84" i="44"/>
  <c r="F84" i="44" s="1"/>
  <c r="G84" i="44" s="1"/>
  <c r="E84" i="45"/>
  <c r="F84" i="45" s="1"/>
  <c r="G84" i="45" s="1"/>
  <c r="E84" i="51"/>
  <c r="F84" i="51" s="1"/>
  <c r="G84" i="51" s="1"/>
  <c r="E85" i="17" l="1"/>
  <c r="F85" i="17" s="1"/>
  <c r="G85" i="17" s="1"/>
  <c r="E85" i="50"/>
  <c r="F85" i="50" s="1"/>
  <c r="G85" i="50" s="1"/>
  <c r="E85" i="52"/>
  <c r="F85" i="52" s="1"/>
  <c r="G85" i="52" s="1"/>
  <c r="E85" i="51"/>
  <c r="F85" i="51" s="1"/>
  <c r="G85" i="51" s="1"/>
  <c r="AR105" i="29"/>
  <c r="AS105" i="29" s="1"/>
  <c r="E85" i="45"/>
  <c r="F85" i="45" s="1"/>
  <c r="G85" i="45" s="1"/>
  <c r="E85" i="46"/>
  <c r="F85" i="46" s="1"/>
  <c r="G85" i="46" s="1"/>
  <c r="E85" i="43"/>
  <c r="F85" i="43" s="1"/>
  <c r="G85" i="43" s="1"/>
  <c r="E85" i="44"/>
  <c r="F85" i="44" s="1"/>
  <c r="G85" i="44" s="1"/>
  <c r="E86" i="51" l="1"/>
  <c r="F86" i="51" s="1"/>
  <c r="G86" i="51" s="1"/>
  <c r="E86" i="52"/>
  <c r="F86" i="52" s="1"/>
  <c r="G86" i="52" s="1"/>
  <c r="E86" i="50"/>
  <c r="F86" i="50" s="1"/>
  <c r="G86" i="50" s="1"/>
  <c r="E86" i="46"/>
  <c r="F86" i="46" s="1"/>
  <c r="G86" i="46" s="1"/>
  <c r="E86" i="44"/>
  <c r="F86" i="44" s="1"/>
  <c r="G86" i="44" s="1"/>
  <c r="E86" i="45"/>
  <c r="F86" i="45" s="1"/>
  <c r="G86" i="45" s="1"/>
  <c r="AR106" i="29"/>
  <c r="AS106" i="29" s="1"/>
  <c r="E86" i="17"/>
  <c r="F86" i="17" s="1"/>
  <c r="G86" i="17" s="1"/>
  <c r="E86" i="43"/>
  <c r="F86" i="43" s="1"/>
  <c r="G86" i="43" s="1"/>
  <c r="E87" i="46" l="1"/>
  <c r="F87" i="46" s="1"/>
  <c r="G87" i="46" s="1"/>
  <c r="E87" i="50"/>
  <c r="F87" i="50" s="1"/>
  <c r="G87" i="50" s="1"/>
  <c r="E87" i="17"/>
  <c r="F87" i="17" s="1"/>
  <c r="G87" i="17" s="1"/>
  <c r="AR107" i="29"/>
  <c r="AS107" i="29" s="1"/>
  <c r="E87" i="45"/>
  <c r="F87" i="45" s="1"/>
  <c r="G87" i="45" s="1"/>
  <c r="E87" i="52"/>
  <c r="F87" i="52" s="1"/>
  <c r="G87" i="52" s="1"/>
  <c r="E87" i="44"/>
  <c r="F87" i="44" s="1"/>
  <c r="G87" i="44" s="1"/>
  <c r="E87" i="51"/>
  <c r="F87" i="51" s="1"/>
  <c r="G87" i="51" s="1"/>
  <c r="E87" i="43"/>
  <c r="F87" i="43" s="1"/>
  <c r="G87" i="43" s="1"/>
  <c r="AR108" i="29" l="1"/>
  <c r="AS108" i="29" s="1"/>
  <c r="E88" i="43"/>
  <c r="F88" i="43" s="1"/>
  <c r="G88" i="43" s="1"/>
  <c r="E88" i="44"/>
  <c r="F88" i="44" s="1"/>
  <c r="G88" i="44" s="1"/>
  <c r="E88" i="52"/>
  <c r="F88" i="52" s="1"/>
  <c r="G88" i="52" s="1"/>
  <c r="E88" i="17"/>
  <c r="F88" i="17" s="1"/>
  <c r="G88" i="17" s="1"/>
  <c r="E88" i="50"/>
  <c r="F88" i="50" s="1"/>
  <c r="G88" i="50" s="1"/>
  <c r="E88" i="46"/>
  <c r="F88" i="46" s="1"/>
  <c r="G88" i="46" s="1"/>
  <c r="E88" i="51"/>
  <c r="F88" i="51" s="1"/>
  <c r="G88" i="51" s="1"/>
  <c r="E88" i="45"/>
  <c r="F88" i="45" s="1"/>
  <c r="G88" i="45" s="1"/>
  <c r="E89" i="51" l="1"/>
  <c r="F89" i="51" s="1"/>
  <c r="G89" i="51" s="1"/>
  <c r="E89" i="46"/>
  <c r="F89" i="46" s="1"/>
  <c r="G89" i="46" s="1"/>
  <c r="E89" i="43"/>
  <c r="F89" i="43" s="1"/>
  <c r="G89" i="43" s="1"/>
  <c r="E89" i="52"/>
  <c r="F89" i="52" s="1"/>
  <c r="G89" i="52" s="1"/>
  <c r="AR109" i="29"/>
  <c r="AS109" i="29" s="1"/>
  <c r="E89" i="45"/>
  <c r="F89" i="45" s="1"/>
  <c r="G89" i="45" s="1"/>
  <c r="E89" i="50"/>
  <c r="F89" i="50" s="1"/>
  <c r="G89" i="50" s="1"/>
  <c r="E89" i="17"/>
  <c r="F89" i="17" s="1"/>
  <c r="G89" i="17" s="1"/>
  <c r="E89" i="44"/>
  <c r="F89" i="44" s="1"/>
  <c r="G89" i="44" s="1"/>
  <c r="E90" i="52" l="1"/>
  <c r="F90" i="52" s="1"/>
  <c r="G90" i="52" s="1"/>
  <c r="E90" i="17"/>
  <c r="F90" i="17" s="1"/>
  <c r="G90" i="17" s="1"/>
  <c r="E90" i="45"/>
  <c r="F90" i="45" s="1"/>
  <c r="G90" i="45" s="1"/>
  <c r="E90" i="50"/>
  <c r="F90" i="50" s="1"/>
  <c r="G90" i="50" s="1"/>
  <c r="E90" i="43"/>
  <c r="F90" i="43" s="1"/>
  <c r="G90" i="43" s="1"/>
  <c r="E90" i="46"/>
  <c r="F90" i="46" s="1"/>
  <c r="G90" i="46" s="1"/>
  <c r="E90" i="44"/>
  <c r="F90" i="44" s="1"/>
  <c r="G90" i="44" s="1"/>
  <c r="AR110" i="29"/>
  <c r="AS110" i="29" s="1"/>
  <c r="E90" i="51"/>
  <c r="F90" i="51" s="1"/>
  <c r="G90" i="51" s="1"/>
  <c r="E91" i="44" l="1"/>
  <c r="F91" i="44" s="1"/>
  <c r="G91" i="44" s="1"/>
  <c r="E91" i="46"/>
  <c r="F91" i="46" s="1"/>
  <c r="G91" i="46" s="1"/>
  <c r="E91" i="45"/>
  <c r="F91" i="45" s="1"/>
  <c r="G91" i="45" s="1"/>
  <c r="E91" i="43"/>
  <c r="F91" i="43" s="1"/>
  <c r="G91" i="43" s="1"/>
  <c r="E91" i="17"/>
  <c r="F91" i="17" s="1"/>
  <c r="G91" i="17" s="1"/>
  <c r="AR111" i="29"/>
  <c r="AS111" i="29" s="1"/>
  <c r="E91" i="52"/>
  <c r="F91" i="52" s="1"/>
  <c r="G91" i="52" s="1"/>
  <c r="E91" i="50"/>
  <c r="F91" i="50" s="1"/>
  <c r="G91" i="50" s="1"/>
  <c r="E91" i="51"/>
  <c r="F91" i="51" s="1"/>
  <c r="G91" i="51" s="1"/>
  <c r="E92" i="43" l="1"/>
  <c r="F92" i="43" s="1"/>
  <c r="G92" i="43" s="1"/>
  <c r="E92" i="50"/>
  <c r="F92" i="50" s="1"/>
  <c r="G92" i="50" s="1"/>
  <c r="E92" i="45"/>
  <c r="F92" i="45" s="1"/>
  <c r="G92" i="45" s="1"/>
  <c r="E92" i="52"/>
  <c r="F92" i="52" s="1"/>
  <c r="G92" i="52" s="1"/>
  <c r="AR112" i="29"/>
  <c r="AS112" i="29" s="1"/>
  <c r="E92" i="46"/>
  <c r="F92" i="46" s="1"/>
  <c r="G92" i="46" s="1"/>
  <c r="E92" i="51"/>
  <c r="F92" i="51" s="1"/>
  <c r="G92" i="51" s="1"/>
  <c r="E92" i="17"/>
  <c r="F92" i="17" s="1"/>
  <c r="G92" i="17" s="1"/>
  <c r="E92" i="44"/>
  <c r="F92" i="44" s="1"/>
  <c r="G92" i="44" s="1"/>
  <c r="E93" i="51" l="1"/>
  <c r="F93" i="51" s="1"/>
  <c r="G93" i="51" s="1"/>
  <c r="E93" i="46"/>
  <c r="F93" i="46" s="1"/>
  <c r="G93" i="46" s="1"/>
  <c r="AR113" i="29"/>
  <c r="AS113" i="29" s="1"/>
  <c r="E93" i="45"/>
  <c r="F93" i="45" s="1"/>
  <c r="G93" i="45" s="1"/>
  <c r="E93" i="50"/>
  <c r="F93" i="50" s="1"/>
  <c r="G93" i="50" s="1"/>
  <c r="E93" i="43"/>
  <c r="F93" i="43" s="1"/>
  <c r="G93" i="43" s="1"/>
  <c r="E93" i="17"/>
  <c r="F93" i="17" s="1"/>
  <c r="G93" i="17" s="1"/>
  <c r="E93" i="52"/>
  <c r="F93" i="52" s="1"/>
  <c r="G93" i="52" s="1"/>
  <c r="E93" i="44"/>
  <c r="F93" i="44" s="1"/>
  <c r="G93" i="44" s="1"/>
  <c r="E94" i="45" l="1"/>
  <c r="F94" i="45" s="1"/>
  <c r="G94" i="45" s="1"/>
  <c r="AR114" i="29"/>
  <c r="AS114" i="29" s="1"/>
  <c r="E94" i="52"/>
  <c r="F94" i="52" s="1"/>
  <c r="G94" i="52" s="1"/>
  <c r="E94" i="46"/>
  <c r="F94" i="46" s="1"/>
  <c r="G94" i="46" s="1"/>
  <c r="E94" i="17"/>
  <c r="F94" i="17" s="1"/>
  <c r="G94" i="17" s="1"/>
  <c r="E94" i="43"/>
  <c r="F94" i="43" s="1"/>
  <c r="G94" i="43" s="1"/>
  <c r="E94" i="44"/>
  <c r="F94" i="44" s="1"/>
  <c r="G94" i="44" s="1"/>
  <c r="E94" i="50"/>
  <c r="F94" i="50" s="1"/>
  <c r="G94" i="50" s="1"/>
  <c r="E94" i="51"/>
  <c r="F94" i="51" s="1"/>
  <c r="G94" i="51" s="1"/>
  <c r="E95" i="46" l="1"/>
  <c r="F95" i="46" s="1"/>
  <c r="G95" i="46" s="1"/>
  <c r="E95" i="44"/>
  <c r="F95" i="44" s="1"/>
  <c r="G95" i="44" s="1"/>
  <c r="AR115" i="29"/>
  <c r="AS115" i="29" s="1"/>
  <c r="E95" i="52"/>
  <c r="F95" i="52" s="1"/>
  <c r="G95" i="52" s="1"/>
  <c r="E95" i="50"/>
  <c r="F95" i="50" s="1"/>
  <c r="G95" i="50" s="1"/>
  <c r="E95" i="17"/>
  <c r="F95" i="17" s="1"/>
  <c r="G95" i="17" s="1"/>
  <c r="E95" i="45"/>
  <c r="F95" i="45" s="1"/>
  <c r="G95" i="45" s="1"/>
  <c r="E95" i="43"/>
  <c r="F95" i="43" s="1"/>
  <c r="G95" i="43" s="1"/>
  <c r="E95" i="51"/>
  <c r="F95" i="51" s="1"/>
  <c r="G95" i="51" s="1"/>
  <c r="E96" i="52" l="1"/>
  <c r="F96" i="52" s="1"/>
  <c r="G96" i="52" s="1"/>
  <c r="AR116" i="29"/>
  <c r="AS116" i="29" s="1"/>
  <c r="E96" i="17"/>
  <c r="F96" i="17" s="1"/>
  <c r="G96" i="17" s="1"/>
  <c r="E96" i="44"/>
  <c r="F96" i="44" s="1"/>
  <c r="G96" i="44" s="1"/>
  <c r="E96" i="51"/>
  <c r="F96" i="51" s="1"/>
  <c r="G96" i="51" s="1"/>
  <c r="E96" i="43"/>
  <c r="F96" i="43" s="1"/>
  <c r="G96" i="43" s="1"/>
  <c r="E96" i="50"/>
  <c r="F96" i="50" s="1"/>
  <c r="G96" i="50" s="1"/>
  <c r="E96" i="46"/>
  <c r="F96" i="46" s="1"/>
  <c r="G96" i="46" s="1"/>
  <c r="E96" i="45"/>
  <c r="F96" i="45" s="1"/>
  <c r="G96" i="45" s="1"/>
  <c r="E97" i="17" l="1"/>
  <c r="F97" i="17" s="1"/>
  <c r="G97" i="17" s="1"/>
  <c r="E97" i="51"/>
  <c r="F97" i="51" s="1"/>
  <c r="G97" i="51" s="1"/>
  <c r="E97" i="46"/>
  <c r="F97" i="46" s="1"/>
  <c r="G97" i="46" s="1"/>
  <c r="AR117" i="29"/>
  <c r="AS117" i="29" s="1"/>
  <c r="E97" i="50"/>
  <c r="F97" i="50" s="1"/>
  <c r="G97" i="50" s="1"/>
  <c r="E97" i="52"/>
  <c r="F97" i="52" s="1"/>
  <c r="G97" i="52" s="1"/>
  <c r="E97" i="44"/>
  <c r="F97" i="44" s="1"/>
  <c r="G97" i="44" s="1"/>
  <c r="E97" i="45"/>
  <c r="F97" i="45" s="1"/>
  <c r="G97" i="45" s="1"/>
  <c r="E97" i="43"/>
  <c r="F97" i="43" s="1"/>
  <c r="G97" i="43" s="1"/>
  <c r="AR118" i="29" l="1"/>
  <c r="AS118" i="29" s="1"/>
  <c r="E98" i="45"/>
  <c r="F98" i="45" s="1"/>
  <c r="G98" i="45" s="1"/>
  <c r="E98" i="46"/>
  <c r="F98" i="46" s="1"/>
  <c r="G98" i="46" s="1"/>
  <c r="E98" i="44"/>
  <c r="F98" i="44" s="1"/>
  <c r="G98" i="44" s="1"/>
  <c r="E98" i="52"/>
  <c r="F98" i="52" s="1"/>
  <c r="G98" i="52" s="1"/>
  <c r="E98" i="51"/>
  <c r="F98" i="51" s="1"/>
  <c r="G98" i="51" s="1"/>
  <c r="E98" i="43"/>
  <c r="F98" i="43" s="1"/>
  <c r="G98" i="43" s="1"/>
  <c r="E98" i="50"/>
  <c r="F98" i="50" s="1"/>
  <c r="G98" i="50" s="1"/>
  <c r="E98" i="17"/>
  <c r="F98" i="17" s="1"/>
  <c r="G98" i="17" s="1"/>
  <c r="E99" i="44" l="1"/>
  <c r="F99" i="44" s="1"/>
  <c r="G99" i="44" s="1"/>
  <c r="E99" i="50"/>
  <c r="F99" i="50" s="1"/>
  <c r="G99" i="50" s="1"/>
  <c r="E99" i="46"/>
  <c r="F99" i="46" s="1"/>
  <c r="G99" i="46" s="1"/>
  <c r="E99" i="45"/>
  <c r="F99" i="45" s="1"/>
  <c r="G99" i="45" s="1"/>
  <c r="AR119" i="29"/>
  <c r="AS119" i="29" s="1"/>
  <c r="E99" i="17"/>
  <c r="F99" i="17" s="1"/>
  <c r="G99" i="17" s="1"/>
  <c r="E99" i="52"/>
  <c r="F99" i="52" s="1"/>
  <c r="G99" i="52" s="1"/>
  <c r="E99" i="51"/>
  <c r="F99" i="51" s="1"/>
  <c r="G99" i="51" s="1"/>
  <c r="E99" i="43"/>
  <c r="F99" i="43" s="1"/>
  <c r="G99" i="43" s="1"/>
  <c r="E100" i="45" l="1"/>
  <c r="F100" i="45" s="1"/>
  <c r="G100" i="45" s="1"/>
  <c r="E100" i="51"/>
  <c r="F100" i="51" s="1"/>
  <c r="G100" i="51" s="1"/>
  <c r="E100" i="46"/>
  <c r="F100" i="46" s="1"/>
  <c r="G100" i="46" s="1"/>
  <c r="E100" i="52"/>
  <c r="F100" i="52" s="1"/>
  <c r="G100" i="52" s="1"/>
  <c r="E100" i="17"/>
  <c r="F100" i="17" s="1"/>
  <c r="G100" i="17" s="1"/>
  <c r="E100" i="50"/>
  <c r="F100" i="50" s="1"/>
  <c r="G100" i="50" s="1"/>
  <c r="E100" i="43"/>
  <c r="F100" i="43" s="1"/>
  <c r="G100" i="43" s="1"/>
  <c r="AR120" i="29"/>
  <c r="AS120" i="29" s="1"/>
  <c r="E100" i="44"/>
  <c r="F100" i="44" s="1"/>
  <c r="G100" i="44" s="1"/>
  <c r="E101" i="52" l="1"/>
  <c r="F101" i="52" s="1"/>
  <c r="G101" i="52" s="1"/>
  <c r="E101" i="43"/>
  <c r="F101" i="43" s="1"/>
  <c r="G101" i="43" s="1"/>
  <c r="E101" i="46"/>
  <c r="F101" i="46" s="1"/>
  <c r="G101" i="46" s="1"/>
  <c r="E101" i="51"/>
  <c r="F101" i="51" s="1"/>
  <c r="G101" i="51" s="1"/>
  <c r="AR121" i="29"/>
  <c r="AS121" i="29" s="1"/>
  <c r="E101" i="50"/>
  <c r="F101" i="50" s="1"/>
  <c r="G101" i="50" s="1"/>
  <c r="E101" i="44"/>
  <c r="F101" i="44" s="1"/>
  <c r="G101" i="44" s="1"/>
  <c r="E101" i="17"/>
  <c r="F101" i="17" s="1"/>
  <c r="G101" i="17" s="1"/>
  <c r="E101" i="45"/>
  <c r="F101" i="45" s="1"/>
  <c r="G101" i="45" s="1"/>
  <c r="E102" i="51" l="1"/>
  <c r="F102" i="51" s="1"/>
  <c r="G102" i="51" s="1"/>
  <c r="E102" i="44"/>
  <c r="F102" i="44" s="1"/>
  <c r="G102" i="44" s="1"/>
  <c r="E102" i="46"/>
  <c r="F102" i="46" s="1"/>
  <c r="G102" i="46" s="1"/>
  <c r="E102" i="17"/>
  <c r="F102" i="17" s="1"/>
  <c r="G102" i="17" s="1"/>
  <c r="E102" i="50"/>
  <c r="F102" i="50" s="1"/>
  <c r="G102" i="50" s="1"/>
  <c r="E102" i="43"/>
  <c r="F102" i="43" s="1"/>
  <c r="G102" i="43" s="1"/>
  <c r="AR122" i="29"/>
  <c r="AS122" i="29" s="1"/>
  <c r="E102" i="52"/>
  <c r="F102" i="52" s="1"/>
  <c r="G102" i="52" s="1"/>
  <c r="E102" i="45"/>
  <c r="F102" i="45" s="1"/>
  <c r="G102" i="45" s="1"/>
  <c r="E103" i="17" l="1"/>
  <c r="F103" i="17" s="1"/>
  <c r="G103" i="17" s="1"/>
  <c r="AR123" i="29"/>
  <c r="AS123" i="29" s="1"/>
  <c r="E103" i="52"/>
  <c r="F103" i="52" s="1"/>
  <c r="G103" i="52" s="1"/>
  <c r="E103" i="43"/>
  <c r="F103" i="43" s="1"/>
  <c r="G103" i="43" s="1"/>
  <c r="E103" i="46"/>
  <c r="F103" i="46" s="1"/>
  <c r="G103" i="46" s="1"/>
  <c r="E103" i="44"/>
  <c r="F103" i="44" s="1"/>
  <c r="G103" i="44" s="1"/>
  <c r="E103" i="50"/>
  <c r="F103" i="50" s="1"/>
  <c r="G103" i="50" s="1"/>
  <c r="E103" i="51"/>
  <c r="F103" i="51" s="1"/>
  <c r="G103" i="51" s="1"/>
  <c r="E103" i="45"/>
  <c r="F103" i="45" s="1"/>
  <c r="G103" i="45" s="1"/>
  <c r="E104" i="43" l="1"/>
  <c r="F104" i="43" s="1"/>
  <c r="G104" i="43" s="1"/>
  <c r="E104" i="50"/>
  <c r="F104" i="50" s="1"/>
  <c r="G104" i="50" s="1"/>
  <c r="E104" i="44"/>
  <c r="F104" i="44" s="1"/>
  <c r="G104" i="44" s="1"/>
  <c r="E104" i="52"/>
  <c r="F104" i="52" s="1"/>
  <c r="G104" i="52" s="1"/>
  <c r="AR124" i="29"/>
  <c r="AS124" i="29" s="1"/>
  <c r="E104" i="46"/>
  <c r="F104" i="46" s="1"/>
  <c r="G104" i="46" s="1"/>
  <c r="E104" i="17"/>
  <c r="F104" i="17" s="1"/>
  <c r="G104" i="17" s="1"/>
  <c r="E104" i="51"/>
  <c r="F104" i="51" s="1"/>
  <c r="G104" i="51" s="1"/>
  <c r="E104" i="45"/>
  <c r="F104" i="45" s="1"/>
  <c r="G104" i="45" s="1"/>
  <c r="E105" i="52" l="1"/>
  <c r="F105" i="52" s="1"/>
  <c r="G105" i="52" s="1"/>
  <c r="E105" i="45"/>
  <c r="F105" i="45" s="1"/>
  <c r="G105" i="45" s="1"/>
  <c r="E105" i="50"/>
  <c r="F105" i="50" s="1"/>
  <c r="G105" i="50" s="1"/>
  <c r="E105" i="44"/>
  <c r="F105" i="44" s="1"/>
  <c r="G105" i="44" s="1"/>
  <c r="E105" i="51"/>
  <c r="F105" i="51" s="1"/>
  <c r="G105" i="51" s="1"/>
  <c r="AR125" i="29"/>
  <c r="AS125" i="29" s="1"/>
  <c r="E105" i="43"/>
  <c r="F105" i="43" s="1"/>
  <c r="G105" i="43" s="1"/>
  <c r="E105" i="46"/>
  <c r="F105" i="46" s="1"/>
  <c r="G105" i="46" s="1"/>
  <c r="E105" i="17"/>
  <c r="F105" i="17" s="1"/>
  <c r="G105" i="17" s="1"/>
  <c r="E106" i="44" l="1"/>
  <c r="F106" i="44" s="1"/>
  <c r="G106" i="44" s="1"/>
  <c r="AR126" i="29"/>
  <c r="AS126" i="29" s="1"/>
  <c r="E106" i="17"/>
  <c r="F106" i="17" s="1"/>
  <c r="G106" i="17" s="1"/>
  <c r="E106" i="43"/>
  <c r="F106" i="43" s="1"/>
  <c r="G106" i="43" s="1"/>
  <c r="E106" i="50"/>
  <c r="F106" i="50" s="1"/>
  <c r="G106" i="50" s="1"/>
  <c r="E106" i="45"/>
  <c r="F106" i="45" s="1"/>
  <c r="G106" i="45" s="1"/>
  <c r="E106" i="46"/>
  <c r="F106" i="46" s="1"/>
  <c r="G106" i="46" s="1"/>
  <c r="E106" i="52"/>
  <c r="F106" i="52" s="1"/>
  <c r="G106" i="52" s="1"/>
  <c r="E106" i="51"/>
  <c r="F106" i="51" s="1"/>
  <c r="G106" i="51" s="1"/>
  <c r="E107" i="17" l="1"/>
  <c r="E107" i="51"/>
  <c r="F107" i="51" s="1"/>
  <c r="G107" i="51" s="1"/>
  <c r="AR127" i="29"/>
  <c r="AS127" i="29" s="1"/>
  <c r="E107" i="44"/>
  <c r="F107" i="44" s="1"/>
  <c r="G107" i="44" s="1"/>
  <c r="E107" i="52"/>
  <c r="F107" i="52" s="1"/>
  <c r="G107" i="52" s="1"/>
  <c r="E107" i="45"/>
  <c r="F107" i="45" s="1"/>
  <c r="G107" i="45" s="1"/>
  <c r="E107" i="43"/>
  <c r="F107" i="43" s="1"/>
  <c r="G107" i="43" s="1"/>
  <c r="E107" i="46"/>
  <c r="F107" i="46" s="1"/>
  <c r="G107" i="46" s="1"/>
  <c r="E107" i="50"/>
  <c r="F107" i="50" s="1"/>
  <c r="G107" i="50" s="1"/>
  <c r="E108" i="44" l="1"/>
  <c r="F108" i="44" s="1"/>
  <c r="G108" i="44" s="1"/>
  <c r="E108" i="43"/>
  <c r="F108" i="43" s="1"/>
  <c r="G108" i="43" s="1"/>
  <c r="AR128" i="29"/>
  <c r="AS128" i="29" s="1"/>
  <c r="E108" i="45"/>
  <c r="F108" i="45" s="1"/>
  <c r="G108" i="45" s="1"/>
  <c r="E108" i="50"/>
  <c r="F108" i="50" s="1"/>
  <c r="G108" i="50" s="1"/>
  <c r="E108" i="51"/>
  <c r="F108" i="51" s="1"/>
  <c r="G108" i="51" s="1"/>
  <c r="E108" i="52"/>
  <c r="F108" i="52" s="1"/>
  <c r="G108" i="52" s="1"/>
  <c r="E108" i="46"/>
  <c r="F108" i="46" s="1"/>
  <c r="G108" i="46" s="1"/>
  <c r="F107" i="17"/>
  <c r="E146" i="26"/>
  <c r="E109" i="45" l="1"/>
  <c r="F109" i="45" s="1"/>
  <c r="G109" i="45" s="1"/>
  <c r="E109" i="46"/>
  <c r="F109" i="46" s="1"/>
  <c r="G109" i="46" s="1"/>
  <c r="AR129" i="29"/>
  <c r="AS129" i="29" s="1"/>
  <c r="E109" i="43"/>
  <c r="F109" i="43" s="1"/>
  <c r="G109" i="43" s="1"/>
  <c r="E109" i="50"/>
  <c r="F109" i="50" s="1"/>
  <c r="G109" i="50" s="1"/>
  <c r="E109" i="44"/>
  <c r="F109" i="44" s="1"/>
  <c r="G109" i="44" s="1"/>
  <c r="E109" i="52"/>
  <c r="F109" i="52" s="1"/>
  <c r="G109" i="52" s="1"/>
  <c r="E109" i="51"/>
  <c r="F109" i="51" s="1"/>
  <c r="G109" i="51" s="1"/>
  <c r="D146" i="26"/>
  <c r="G107" i="17"/>
  <c r="E110" i="43" l="1"/>
  <c r="F110" i="43" s="1"/>
  <c r="G110" i="43" s="1"/>
  <c r="AR130" i="29"/>
  <c r="AS130" i="29" s="1"/>
  <c r="E110" i="52"/>
  <c r="F110" i="52" s="1"/>
  <c r="G110" i="52" s="1"/>
  <c r="E110" i="46"/>
  <c r="F110" i="46" s="1"/>
  <c r="G110" i="46" s="1"/>
  <c r="E110" i="44"/>
  <c r="F110" i="44" s="1"/>
  <c r="G110" i="44" s="1"/>
  <c r="E110" i="50"/>
  <c r="F110" i="50" s="1"/>
  <c r="G110" i="50" s="1"/>
  <c r="E110" i="45"/>
  <c r="F110" i="45" s="1"/>
  <c r="G110" i="45" s="1"/>
  <c r="E108" i="17"/>
  <c r="F108" i="17" s="1"/>
  <c r="G108" i="17" s="1"/>
  <c r="F146" i="26"/>
  <c r="E110" i="51"/>
  <c r="F110" i="51" s="1"/>
  <c r="G110" i="51" s="1"/>
  <c r="E111" i="46" l="1"/>
  <c r="F111" i="46" s="1"/>
  <c r="G111" i="46" s="1"/>
  <c r="E109" i="17"/>
  <c r="F109" i="17" s="1"/>
  <c r="G109" i="17" s="1"/>
  <c r="E111" i="45"/>
  <c r="F111" i="45" s="1"/>
  <c r="G111" i="45" s="1"/>
  <c r="E111" i="52"/>
  <c r="F111" i="52" s="1"/>
  <c r="G111" i="52" s="1"/>
  <c r="E111" i="50"/>
  <c r="F111" i="50" s="1"/>
  <c r="G111" i="50" s="1"/>
  <c r="AR131" i="29"/>
  <c r="AS131" i="29" s="1"/>
  <c r="E111" i="44"/>
  <c r="F111" i="44" s="1"/>
  <c r="G111" i="44" s="1"/>
  <c r="E111" i="43"/>
  <c r="F111" i="43" s="1"/>
  <c r="G111" i="43" s="1"/>
  <c r="E111" i="51"/>
  <c r="F111" i="51" s="1"/>
  <c r="G111" i="51" s="1"/>
  <c r="E112" i="52" l="1"/>
  <c r="F112" i="52" s="1"/>
  <c r="G112" i="52" s="1"/>
  <c r="E112" i="44"/>
  <c r="F112" i="44" s="1"/>
  <c r="G112" i="44" s="1"/>
  <c r="E112" i="43"/>
  <c r="F112" i="43" s="1"/>
  <c r="G112" i="43" s="1"/>
  <c r="E110" i="17"/>
  <c r="F110" i="17" s="1"/>
  <c r="G110" i="17" s="1"/>
  <c r="E112" i="45"/>
  <c r="F112" i="45" s="1"/>
  <c r="G112" i="45" s="1"/>
  <c r="AR132" i="29"/>
  <c r="AS132" i="29" s="1"/>
  <c r="E112" i="51"/>
  <c r="F112" i="51" s="1"/>
  <c r="G112" i="51" s="1"/>
  <c r="E112" i="50"/>
  <c r="F112" i="50" s="1"/>
  <c r="G112" i="50" s="1"/>
  <c r="E112" i="46"/>
  <c r="F112" i="46" s="1"/>
  <c r="G112" i="46" s="1"/>
  <c r="E111" i="17" l="1"/>
  <c r="F111" i="17" s="1"/>
  <c r="G111" i="17" s="1"/>
  <c r="E113" i="43"/>
  <c r="F113" i="43" s="1"/>
  <c r="G113" i="43" s="1"/>
  <c r="E113" i="44"/>
  <c r="F113" i="44" s="1"/>
  <c r="G113" i="44" s="1"/>
  <c r="E113" i="46"/>
  <c r="F113" i="46" s="1"/>
  <c r="G113" i="46" s="1"/>
  <c r="AR133" i="29"/>
  <c r="AS133" i="29" s="1"/>
  <c r="E113" i="50"/>
  <c r="F113" i="50" s="1"/>
  <c r="G113" i="50" s="1"/>
  <c r="E113" i="45"/>
  <c r="F113" i="45" s="1"/>
  <c r="G113" i="45" s="1"/>
  <c r="E113" i="52"/>
  <c r="F113" i="52" s="1"/>
  <c r="G113" i="52" s="1"/>
  <c r="E113" i="51"/>
  <c r="F113" i="51" s="1"/>
  <c r="G113" i="51" s="1"/>
  <c r="E114" i="46" l="1"/>
  <c r="F114" i="46" s="1"/>
  <c r="G114" i="46" s="1"/>
  <c r="E114" i="44"/>
  <c r="F114" i="44" s="1"/>
  <c r="G114" i="44" s="1"/>
  <c r="E114" i="43"/>
  <c r="F114" i="43" s="1"/>
  <c r="G114" i="43" s="1"/>
  <c r="E114" i="50"/>
  <c r="F114" i="50" s="1"/>
  <c r="G114" i="50" s="1"/>
  <c r="E114" i="52"/>
  <c r="F114" i="52" s="1"/>
  <c r="G114" i="52" s="1"/>
  <c r="AR134" i="29"/>
  <c r="AS134" i="29" s="1"/>
  <c r="E112" i="17"/>
  <c r="F112" i="17" s="1"/>
  <c r="G112" i="17" s="1"/>
  <c r="E114" i="45"/>
  <c r="F114" i="45" s="1"/>
  <c r="G114" i="45" s="1"/>
  <c r="E114" i="51"/>
  <c r="F114" i="51" s="1"/>
  <c r="G114" i="51" s="1"/>
  <c r="E115" i="50" l="1"/>
  <c r="F115" i="50" s="1"/>
  <c r="G115" i="50" s="1"/>
  <c r="E115" i="51"/>
  <c r="F115" i="51" s="1"/>
  <c r="G115" i="51" s="1"/>
  <c r="E115" i="43"/>
  <c r="F115" i="43" s="1"/>
  <c r="G115" i="43" s="1"/>
  <c r="AR135" i="29"/>
  <c r="AS135" i="29" s="1"/>
  <c r="E115" i="44"/>
  <c r="F115" i="44" s="1"/>
  <c r="G115" i="44" s="1"/>
  <c r="E115" i="52"/>
  <c r="F115" i="52" s="1"/>
  <c r="G115" i="52" s="1"/>
  <c r="E115" i="46"/>
  <c r="F115" i="46" s="1"/>
  <c r="G115" i="46" s="1"/>
  <c r="E115" i="45"/>
  <c r="F115" i="45" s="1"/>
  <c r="G115" i="45" s="1"/>
  <c r="E113" i="17"/>
  <c r="F113" i="17" s="1"/>
  <c r="G113" i="17" s="1"/>
  <c r="AR136" i="29" l="1"/>
  <c r="AS136" i="29" s="1"/>
  <c r="E116" i="46"/>
  <c r="F116" i="46" s="1"/>
  <c r="G116" i="46" s="1"/>
  <c r="E116" i="45"/>
  <c r="F116" i="45" s="1"/>
  <c r="G116" i="45" s="1"/>
  <c r="E116" i="52"/>
  <c r="F116" i="52" s="1"/>
  <c r="G116" i="52" s="1"/>
  <c r="E116" i="43"/>
  <c r="F116" i="43" s="1"/>
  <c r="G116" i="43" s="1"/>
  <c r="E116" i="51"/>
  <c r="F116" i="51" s="1"/>
  <c r="G116" i="51" s="1"/>
  <c r="E116" i="44"/>
  <c r="F116" i="44" s="1"/>
  <c r="G116" i="44" s="1"/>
  <c r="E116" i="50"/>
  <c r="F116" i="50" s="1"/>
  <c r="G116" i="50" s="1"/>
  <c r="E114" i="17"/>
  <c r="F114" i="17" s="1"/>
  <c r="G114" i="17" s="1"/>
  <c r="E117" i="50" l="1"/>
  <c r="F117" i="50" s="1"/>
  <c r="G117" i="50" s="1"/>
  <c r="E117" i="46"/>
  <c r="F117" i="46" s="1"/>
  <c r="G117" i="46" s="1"/>
  <c r="E115" i="17"/>
  <c r="F115" i="17" s="1"/>
  <c r="G115" i="17" s="1"/>
  <c r="E117" i="51"/>
  <c r="F117" i="51" s="1"/>
  <c r="G117" i="51" s="1"/>
  <c r="AR137" i="29"/>
  <c r="AS137" i="29" s="1"/>
  <c r="E117" i="44"/>
  <c r="F117" i="44" s="1"/>
  <c r="G117" i="44" s="1"/>
  <c r="E117" i="52"/>
  <c r="F117" i="52" s="1"/>
  <c r="G117" i="52" s="1"/>
  <c r="E117" i="43"/>
  <c r="F117" i="43" s="1"/>
  <c r="G117" i="43" s="1"/>
  <c r="E117" i="45"/>
  <c r="F117" i="45" s="1"/>
  <c r="G117" i="45" s="1"/>
  <c r="E118" i="52" l="1"/>
  <c r="F118" i="52" s="1"/>
  <c r="G118" i="52" s="1"/>
  <c r="AR138" i="29"/>
  <c r="AS138" i="29" s="1"/>
  <c r="E118" i="46"/>
  <c r="F118" i="46" s="1"/>
  <c r="G118" i="46" s="1"/>
  <c r="E118" i="44"/>
  <c r="F118" i="44" s="1"/>
  <c r="G118" i="44" s="1"/>
  <c r="E118" i="43"/>
  <c r="F118" i="43" s="1"/>
  <c r="G118" i="43" s="1"/>
  <c r="E118" i="51"/>
  <c r="F118" i="51" s="1"/>
  <c r="G118" i="51" s="1"/>
  <c r="E118" i="50"/>
  <c r="F118" i="50" s="1"/>
  <c r="G118" i="50" s="1"/>
  <c r="E118" i="45"/>
  <c r="F118" i="45" s="1"/>
  <c r="G118" i="45" s="1"/>
  <c r="E116" i="17"/>
  <c r="F116" i="17" s="1"/>
  <c r="G116" i="17" s="1"/>
  <c r="E119" i="43" l="1"/>
  <c r="F119" i="43" s="1"/>
  <c r="G119" i="43" s="1"/>
  <c r="E119" i="51"/>
  <c r="F119" i="51" s="1"/>
  <c r="G119" i="51" s="1"/>
  <c r="AR139" i="29"/>
  <c r="AS139" i="29" s="1"/>
  <c r="E119" i="52"/>
  <c r="F119" i="52" s="1"/>
  <c r="G119" i="52" s="1"/>
  <c r="E119" i="45"/>
  <c r="F119" i="45" s="1"/>
  <c r="G119" i="45" s="1"/>
  <c r="E117" i="17"/>
  <c r="F117" i="17" s="1"/>
  <c r="G117" i="17" s="1"/>
  <c r="E119" i="50"/>
  <c r="F119" i="50" s="1"/>
  <c r="G119" i="50" s="1"/>
  <c r="E119" i="46"/>
  <c r="F119" i="46" s="1"/>
  <c r="G119" i="46" s="1"/>
  <c r="E119" i="44"/>
  <c r="F119" i="44" s="1"/>
  <c r="G119" i="44" s="1"/>
  <c r="E120" i="52" l="1"/>
  <c r="F120" i="52" s="1"/>
  <c r="G120" i="52" s="1"/>
  <c r="E118" i="17"/>
  <c r="F118" i="17" s="1"/>
  <c r="G118" i="17" s="1"/>
  <c r="E120" i="50"/>
  <c r="F120" i="50" s="1"/>
  <c r="G120" i="50" s="1"/>
  <c r="E120" i="44"/>
  <c r="F120" i="44" s="1"/>
  <c r="G120" i="44" s="1"/>
  <c r="AR140" i="29"/>
  <c r="AS140" i="29" s="1"/>
  <c r="E120" i="51"/>
  <c r="F120" i="51" s="1"/>
  <c r="G120" i="51" s="1"/>
  <c r="E120" i="46"/>
  <c r="F120" i="46" s="1"/>
  <c r="G120" i="46" s="1"/>
  <c r="E120" i="43"/>
  <c r="F120" i="43" s="1"/>
  <c r="G120" i="43" s="1"/>
  <c r="E120" i="45"/>
  <c r="F120" i="45" s="1"/>
  <c r="G120" i="45" s="1"/>
  <c r="E121" i="44" l="1"/>
  <c r="F121" i="44" s="1"/>
  <c r="G121" i="44" s="1"/>
  <c r="E121" i="43"/>
  <c r="F121" i="43" s="1"/>
  <c r="G121" i="43" s="1"/>
  <c r="E121" i="50"/>
  <c r="F121" i="50" s="1"/>
  <c r="G121" i="50" s="1"/>
  <c r="E119" i="17"/>
  <c r="F119" i="17" s="1"/>
  <c r="G119" i="17" s="1"/>
  <c r="E121" i="46"/>
  <c r="F121" i="46" s="1"/>
  <c r="G121" i="46" s="1"/>
  <c r="E121" i="51"/>
  <c r="F121" i="51" s="1"/>
  <c r="G121" i="51" s="1"/>
  <c r="AR141" i="29"/>
  <c r="AS141" i="29" s="1"/>
  <c r="E121" i="52"/>
  <c r="F121" i="52" s="1"/>
  <c r="G121" i="52" s="1"/>
  <c r="E121" i="45"/>
  <c r="F121" i="45" s="1"/>
  <c r="G121" i="45" s="1"/>
  <c r="AR142" i="29" l="1"/>
  <c r="AS142" i="29" s="1"/>
  <c r="E122" i="51"/>
  <c r="F122" i="51" s="1"/>
  <c r="G122" i="51" s="1"/>
  <c r="E122" i="46"/>
  <c r="F122" i="46" s="1"/>
  <c r="G122" i="46" s="1"/>
  <c r="E122" i="50"/>
  <c r="F122" i="50" s="1"/>
  <c r="G122" i="50" s="1"/>
  <c r="E122" i="43"/>
  <c r="F122" i="43" s="1"/>
  <c r="G122" i="43" s="1"/>
  <c r="E122" i="52"/>
  <c r="F122" i="52" s="1"/>
  <c r="G122" i="52" s="1"/>
  <c r="E122" i="44"/>
  <c r="F122" i="44" s="1"/>
  <c r="G122" i="44" s="1"/>
  <c r="E120" i="17"/>
  <c r="F120" i="17" s="1"/>
  <c r="G120" i="17" s="1"/>
  <c r="E122" i="45"/>
  <c r="F122" i="45" s="1"/>
  <c r="G122" i="45" s="1"/>
  <c r="E123" i="50" l="1"/>
  <c r="F123" i="50" s="1"/>
  <c r="G123" i="50" s="1"/>
  <c r="E121" i="17"/>
  <c r="F121" i="17" s="1"/>
  <c r="G121" i="17" s="1"/>
  <c r="E123" i="45"/>
  <c r="F123" i="45" s="1"/>
  <c r="G123" i="45" s="1"/>
  <c r="E123" i="46"/>
  <c r="F123" i="46" s="1"/>
  <c r="G123" i="46" s="1"/>
  <c r="E123" i="51"/>
  <c r="F123" i="51" s="1"/>
  <c r="G123" i="51" s="1"/>
  <c r="AR143" i="29"/>
  <c r="AS143" i="29" s="1"/>
  <c r="E123" i="43"/>
  <c r="F123" i="43" s="1"/>
  <c r="G123" i="43" s="1"/>
  <c r="E123" i="52"/>
  <c r="F123" i="52" s="1"/>
  <c r="G123" i="52" s="1"/>
  <c r="E123" i="44"/>
  <c r="F123" i="44" s="1"/>
  <c r="G123" i="44" s="1"/>
  <c r="E124" i="46" l="1"/>
  <c r="F124" i="46" s="1"/>
  <c r="G124" i="46" s="1"/>
  <c r="E124" i="45"/>
  <c r="F124" i="45" s="1"/>
  <c r="G124" i="45" s="1"/>
  <c r="E124" i="44"/>
  <c r="F124" i="44" s="1"/>
  <c r="G124" i="44" s="1"/>
  <c r="E122" i="17"/>
  <c r="F122" i="17" s="1"/>
  <c r="G122" i="17" s="1"/>
  <c r="AR144" i="29"/>
  <c r="AS144" i="29" s="1"/>
  <c r="E124" i="52"/>
  <c r="F124" i="52" s="1"/>
  <c r="G124" i="52" s="1"/>
  <c r="E124" i="51"/>
  <c r="F124" i="51" s="1"/>
  <c r="G124" i="51" s="1"/>
  <c r="E124" i="50"/>
  <c r="F124" i="50" s="1"/>
  <c r="G124" i="50" s="1"/>
  <c r="E124" i="43"/>
  <c r="F124" i="43" s="1"/>
  <c r="G124" i="43" s="1"/>
  <c r="E125" i="52" l="1"/>
  <c r="F125" i="52" s="1"/>
  <c r="G125" i="52" s="1"/>
  <c r="E125" i="45"/>
  <c r="F125" i="45" s="1"/>
  <c r="G125" i="45" s="1"/>
  <c r="AR145" i="29"/>
  <c r="AS145" i="29" s="1"/>
  <c r="E125" i="51"/>
  <c r="F125" i="51" s="1"/>
  <c r="G125" i="51" s="1"/>
  <c r="E125" i="46"/>
  <c r="F125" i="46" s="1"/>
  <c r="G125" i="46" s="1"/>
  <c r="E125" i="43"/>
  <c r="F125" i="43" s="1"/>
  <c r="G125" i="43" s="1"/>
  <c r="E125" i="50"/>
  <c r="F125" i="50" s="1"/>
  <c r="G125" i="50" s="1"/>
  <c r="E123" i="17"/>
  <c r="F123" i="17" s="1"/>
  <c r="G123" i="17" s="1"/>
  <c r="E125" i="44"/>
  <c r="F125" i="44" s="1"/>
  <c r="G125" i="44" s="1"/>
  <c r="E126" i="51" l="1"/>
  <c r="F126" i="51" s="1"/>
  <c r="G126" i="51" s="1"/>
  <c r="E126" i="50"/>
  <c r="F126" i="50" s="1"/>
  <c r="G126" i="50" s="1"/>
  <c r="AR146" i="29"/>
  <c r="AS146" i="29" s="1"/>
  <c r="E126" i="45"/>
  <c r="F126" i="45" s="1"/>
  <c r="G126" i="45" s="1"/>
  <c r="E126" i="44"/>
  <c r="F126" i="44" s="1"/>
  <c r="G126" i="44" s="1"/>
  <c r="E124" i="17"/>
  <c r="F124" i="17" s="1"/>
  <c r="G124" i="17" s="1"/>
  <c r="E126" i="46"/>
  <c r="F126" i="46" s="1"/>
  <c r="G126" i="46" s="1"/>
  <c r="E126" i="52"/>
  <c r="F126" i="52" s="1"/>
  <c r="G126" i="52" s="1"/>
  <c r="E126" i="43"/>
  <c r="F126" i="43" s="1"/>
  <c r="G126" i="43" s="1"/>
  <c r="E125" i="17" l="1"/>
  <c r="F125" i="17" s="1"/>
  <c r="G125" i="17" s="1"/>
  <c r="AR147" i="29"/>
  <c r="AS147" i="29" s="1"/>
  <c r="E127" i="50"/>
  <c r="F127" i="50" s="1"/>
  <c r="G127" i="50" s="1"/>
  <c r="E127" i="46"/>
  <c r="F127" i="46" s="1"/>
  <c r="G127" i="46" s="1"/>
  <c r="E127" i="51"/>
  <c r="F127" i="51" s="1"/>
  <c r="G127" i="51" s="1"/>
  <c r="E127" i="44"/>
  <c r="F127" i="44" s="1"/>
  <c r="G127" i="44" s="1"/>
  <c r="E127" i="45"/>
  <c r="F127" i="45" s="1"/>
  <c r="G127" i="45" s="1"/>
  <c r="E127" i="43"/>
  <c r="F127" i="43" s="1"/>
  <c r="G127" i="43" s="1"/>
  <c r="E127" i="52"/>
  <c r="F127" i="52" s="1"/>
  <c r="G127" i="52" s="1"/>
  <c r="E128" i="45" l="1"/>
  <c r="F128" i="45" s="1"/>
  <c r="G128" i="45" s="1"/>
  <c r="E128" i="44"/>
  <c r="F128" i="44" s="1"/>
  <c r="G128" i="44" s="1"/>
  <c r="AR148" i="29"/>
  <c r="AS148" i="29" s="1"/>
  <c r="E128" i="51"/>
  <c r="F128" i="51" s="1"/>
  <c r="G128" i="51" s="1"/>
  <c r="E128" i="43"/>
  <c r="F128" i="43" s="1"/>
  <c r="G128" i="43" s="1"/>
  <c r="E128" i="46"/>
  <c r="F128" i="46" s="1"/>
  <c r="G128" i="46" s="1"/>
  <c r="E126" i="17"/>
  <c r="F126" i="17" s="1"/>
  <c r="G126" i="17" s="1"/>
  <c r="E128" i="50"/>
  <c r="F128" i="50" s="1"/>
  <c r="G128" i="50" s="1"/>
  <c r="E128" i="52"/>
  <c r="F128" i="52" s="1"/>
  <c r="G128" i="52" s="1"/>
  <c r="E129" i="46" l="1"/>
  <c r="F129" i="46" s="1"/>
  <c r="G129" i="46" s="1"/>
  <c r="E129" i="50"/>
  <c r="F129" i="50" s="1"/>
  <c r="G129" i="50" s="1"/>
  <c r="AR149" i="29"/>
  <c r="AS149" i="29" s="1"/>
  <c r="E129" i="44"/>
  <c r="F129" i="44" s="1"/>
  <c r="G129" i="44" s="1"/>
  <c r="E127" i="17"/>
  <c r="F127" i="17" s="1"/>
  <c r="G127" i="17" s="1"/>
  <c r="E129" i="45"/>
  <c r="F129" i="45" s="1"/>
  <c r="G129" i="45" s="1"/>
  <c r="E129" i="52"/>
  <c r="F129" i="52" s="1"/>
  <c r="G129" i="52" s="1"/>
  <c r="E129" i="51"/>
  <c r="F129" i="51" s="1"/>
  <c r="G129" i="51" s="1"/>
  <c r="E129" i="43"/>
  <c r="F129" i="43" s="1"/>
  <c r="G129" i="43" s="1"/>
  <c r="F130" i="44" l="1"/>
  <c r="E130" i="44" s="1"/>
  <c r="F130" i="52"/>
  <c r="E130" i="52" s="1"/>
  <c r="F130" i="43"/>
  <c r="E130" i="43" s="1"/>
  <c r="F130" i="45"/>
  <c r="E130" i="45" s="1"/>
  <c r="AS150" i="29"/>
  <c r="AR150" i="29" s="1"/>
  <c r="F130" i="50"/>
  <c r="E130" i="50" s="1"/>
  <c r="F130" i="51"/>
  <c r="E130" i="51" s="1"/>
  <c r="F130" i="46"/>
  <c r="E130" i="46" s="1"/>
  <c r="E128" i="17"/>
  <c r="F128" i="17" s="1"/>
  <c r="G128" i="17" s="1"/>
  <c r="G130" i="44" l="1"/>
  <c r="E129" i="17"/>
  <c r="F129" i="17" s="1"/>
  <c r="G129" i="17" s="1"/>
  <c r="G130" i="46"/>
  <c r="G130" i="50"/>
  <c r="G130" i="45"/>
  <c r="G130" i="52"/>
  <c r="G130" i="51"/>
  <c r="G130" i="43"/>
  <c r="F130" i="17" l="1"/>
  <c r="E130" i="17" s="1"/>
  <c r="G130" i="17" l="1"/>
  <c r="E33" i="17"/>
  <c r="F33" i="17" s="1"/>
  <c r="G33" i="17" s="1"/>
  <c r="E34" i="17" s="1"/>
  <c r="F34" i="17" s="1"/>
  <c r="G34" i="17" s="1"/>
  <c r="E33" i="45"/>
  <c r="F33" i="45" s="1"/>
  <c r="G33" i="45" s="1"/>
  <c r="E33" i="44"/>
  <c r="F33" i="44" s="1"/>
  <c r="G33" i="44" s="1"/>
  <c r="E33" i="50"/>
  <c r="F33" i="50" s="1"/>
  <c r="G33" i="50" s="1"/>
  <c r="E34" i="50" s="1"/>
  <c r="E33" i="46"/>
  <c r="F33" i="46" s="1"/>
  <c r="G33" i="46" s="1"/>
  <c r="E33" i="52"/>
  <c r="F33" i="52" s="1"/>
  <c r="G33" i="52" s="1"/>
  <c r="AR53" i="29"/>
  <c r="AS53" i="29" s="1"/>
  <c r="AT53" i="29" s="1"/>
  <c r="E33" i="43"/>
  <c r="F33" i="43" s="1"/>
  <c r="G33" i="43" s="1"/>
  <c r="E33" i="51"/>
  <c r="F33" i="51" s="1"/>
  <c r="G33" i="51" s="1"/>
  <c r="E34" i="51" s="1"/>
  <c r="F34" i="51" s="1"/>
  <c r="E34" i="46" l="1"/>
  <c r="G34" i="51"/>
  <c r="E34" i="45"/>
  <c r="E34" i="43"/>
  <c r="F34" i="50"/>
  <c r="G34" i="50" s="1"/>
  <c r="AR54" i="29"/>
  <c r="E34" i="52"/>
  <c r="E34" i="44"/>
  <c r="E35" i="17"/>
  <c r="AS54" i="29" l="1"/>
  <c r="AT54" i="29" s="1"/>
  <c r="F34" i="52"/>
  <c r="G34" i="52" s="1"/>
  <c r="E35" i="50"/>
  <c r="F35" i="17"/>
  <c r="G35" i="17" s="1"/>
  <c r="E35" i="51"/>
  <c r="F34" i="43"/>
  <c r="G34" i="43" s="1"/>
  <c r="F34" i="45"/>
  <c r="G34" i="45" s="1"/>
  <c r="F34" i="44"/>
  <c r="G34" i="44" s="1"/>
  <c r="F34" i="46"/>
  <c r="G34" i="46" s="1"/>
  <c r="E36" i="17" l="1"/>
  <c r="E35" i="43"/>
  <c r="E35" i="46"/>
  <c r="E35" i="45"/>
  <c r="E35" i="52"/>
  <c r="F35" i="51"/>
  <c r="G35" i="51" s="1"/>
  <c r="F35" i="50"/>
  <c r="G35" i="50" s="1"/>
  <c r="E35" i="44"/>
  <c r="AR55" i="29"/>
  <c r="F35" i="44" l="1"/>
  <c r="G35" i="44" s="1"/>
  <c r="F35" i="45"/>
  <c r="G35" i="45" s="1"/>
  <c r="E36" i="50"/>
  <c r="F35" i="43"/>
  <c r="G35" i="43" s="1"/>
  <c r="F35" i="46"/>
  <c r="G35" i="46" s="1"/>
  <c r="E36" i="51"/>
  <c r="AS55" i="29"/>
  <c r="AT55" i="29" s="1"/>
  <c r="F35" i="52"/>
  <c r="G35" i="52" s="1"/>
  <c r="F36" i="17"/>
  <c r="G36" i="17" s="1"/>
  <c r="AR56" i="29" l="1"/>
  <c r="E36" i="45"/>
  <c r="E36" i="52"/>
  <c r="F36" i="51"/>
  <c r="G36" i="51" s="1"/>
  <c r="E37" i="17"/>
  <c r="E36" i="43"/>
  <c r="F36" i="50"/>
  <c r="G36" i="50" s="1"/>
  <c r="E36" i="46"/>
  <c r="E36" i="44"/>
  <c r="E37" i="51" l="1"/>
  <c r="F36" i="45"/>
  <c r="G36" i="45" s="1"/>
  <c r="F36" i="46"/>
  <c r="G36" i="46" s="1"/>
  <c r="F36" i="52"/>
  <c r="G36" i="52" s="1"/>
  <c r="E37" i="50"/>
  <c r="F36" i="43"/>
  <c r="G36" i="43" s="1"/>
  <c r="F36" i="44"/>
  <c r="G36" i="44" s="1"/>
  <c r="F37" i="17"/>
  <c r="G37" i="17" s="1"/>
  <c r="AS56" i="29"/>
  <c r="AT56" i="29" s="1"/>
  <c r="E37" i="52" l="1"/>
  <c r="E38" i="17"/>
  <c r="E37" i="45"/>
  <c r="E37" i="46"/>
  <c r="E37" i="43"/>
  <c r="F37" i="51"/>
  <c r="G37" i="51" s="1"/>
  <c r="E37" i="44"/>
  <c r="AR57" i="29"/>
  <c r="F37" i="50"/>
  <c r="G37" i="50" s="1"/>
  <c r="F37" i="46" l="1"/>
  <c r="G37" i="46" s="1"/>
  <c r="F37" i="44"/>
  <c r="G37" i="44" s="1"/>
  <c r="E38" i="51"/>
  <c r="F38" i="51" s="1"/>
  <c r="G38" i="51" s="1"/>
  <c r="F38" i="17"/>
  <c r="G38" i="17" s="1"/>
  <c r="AS57" i="29"/>
  <c r="AT57" i="29" s="1"/>
  <c r="F37" i="45"/>
  <c r="G37" i="45" s="1"/>
  <c r="E38" i="50"/>
  <c r="F37" i="43"/>
  <c r="G37" i="43" s="1"/>
  <c r="F37" i="52"/>
  <c r="G37" i="52" s="1"/>
  <c r="E39" i="51" l="1"/>
  <c r="F39" i="51" s="1"/>
  <c r="G39" i="51" s="1"/>
  <c r="E38" i="43"/>
  <c r="E39" i="17"/>
  <c r="E38" i="44"/>
  <c r="E38" i="45"/>
  <c r="E38" i="52"/>
  <c r="F38" i="50"/>
  <c r="G38" i="50" s="1"/>
  <c r="AR58" i="29"/>
  <c r="E38" i="46"/>
  <c r="E40" i="51" l="1"/>
  <c r="F40" i="51" s="1"/>
  <c r="G40" i="51" s="1"/>
  <c r="AS58" i="29"/>
  <c r="AT58" i="29" s="1"/>
  <c r="F38" i="52"/>
  <c r="G38" i="52" s="1"/>
  <c r="F38" i="44"/>
  <c r="G38" i="44" s="1"/>
  <c r="F39" i="17"/>
  <c r="G39" i="17" s="1"/>
  <c r="F38" i="43"/>
  <c r="G38" i="43" s="1"/>
  <c r="E39" i="50"/>
  <c r="F39" i="50" s="1"/>
  <c r="G39" i="50" s="1"/>
  <c r="F38" i="46"/>
  <c r="G38" i="46" s="1"/>
  <c r="F38" i="45"/>
  <c r="G38" i="45" s="1"/>
  <c r="E40" i="50" l="1"/>
  <c r="F40" i="50" s="1"/>
  <c r="G40" i="50" s="1"/>
  <c r="E41" i="51"/>
  <c r="F41" i="51" s="1"/>
  <c r="G41" i="51" s="1"/>
  <c r="E39" i="52"/>
  <c r="F39" i="52" s="1"/>
  <c r="G39" i="52" s="1"/>
  <c r="E39" i="46"/>
  <c r="F39" i="46" s="1"/>
  <c r="G39" i="46" s="1"/>
  <c r="AR59" i="29"/>
  <c r="AS59" i="29" s="1"/>
  <c r="AT59" i="29" s="1"/>
  <c r="E39" i="43"/>
  <c r="F39" i="43" s="1"/>
  <c r="G39" i="43" s="1"/>
  <c r="E39" i="45"/>
  <c r="F39" i="45" s="1"/>
  <c r="G39" i="45" s="1"/>
  <c r="E40" i="17"/>
  <c r="F40" i="17" s="1"/>
  <c r="G40" i="17" s="1"/>
  <c r="E39" i="44"/>
  <c r="F39" i="44" s="1"/>
  <c r="G39" i="44" s="1"/>
  <c r="E40" i="43" l="1"/>
  <c r="F40" i="43" s="1"/>
  <c r="G40" i="43" s="1"/>
  <c r="E40" i="52"/>
  <c r="F40" i="52" s="1"/>
  <c r="G40" i="52" s="1"/>
  <c r="AR60" i="29"/>
  <c r="AS60" i="29" s="1"/>
  <c r="AT60" i="29" s="1"/>
  <c r="E40" i="45"/>
  <c r="F40" i="45" s="1"/>
  <c r="G40" i="45" s="1"/>
  <c r="E40" i="46"/>
  <c r="F40" i="46" s="1"/>
  <c r="G40" i="46" s="1"/>
  <c r="E40" i="44"/>
  <c r="F40" i="44" s="1"/>
  <c r="G40" i="44" s="1"/>
  <c r="E41" i="17"/>
  <c r="F41" i="17" s="1"/>
  <c r="G41" i="17" s="1"/>
  <c r="E41" i="50"/>
  <c r="F41" i="50" s="1"/>
  <c r="G41" i="50" s="1"/>
  <c r="E42" i="51"/>
  <c r="F42" i="51" s="1"/>
  <c r="G42" i="51" s="1"/>
  <c r="E41" i="44" l="1"/>
  <c r="F41" i="44" s="1"/>
  <c r="G41" i="44" s="1"/>
  <c r="E41" i="46"/>
  <c r="F41" i="46" s="1"/>
  <c r="G41" i="46" s="1"/>
  <c r="E41" i="45"/>
  <c r="F41" i="45" s="1"/>
  <c r="G41" i="45" s="1"/>
  <c r="AR61" i="29"/>
  <c r="AS61" i="29" s="1"/>
  <c r="AT61" i="29" s="1"/>
  <c r="E42" i="50"/>
  <c r="F42" i="50" s="1"/>
  <c r="G42" i="50" s="1"/>
  <c r="E42" i="17"/>
  <c r="F42" i="17" s="1"/>
  <c r="G42" i="17" s="1"/>
  <c r="E41" i="52"/>
  <c r="F41" i="52" s="1"/>
  <c r="G41" i="52" s="1"/>
  <c r="E41" i="43"/>
  <c r="F41" i="43" s="1"/>
  <c r="G41" i="43" s="1"/>
  <c r="E43" i="51"/>
  <c r="F43" i="51" s="1"/>
  <c r="G43" i="51" s="1"/>
  <c r="AR62" i="29" l="1"/>
  <c r="AS62" i="29" s="1"/>
  <c r="AT62" i="29" s="1"/>
  <c r="E43" i="17"/>
  <c r="F43" i="17" s="1"/>
  <c r="G43" i="17" s="1"/>
  <c r="E43" i="50"/>
  <c r="F43" i="50" s="1"/>
  <c r="G43" i="50" s="1"/>
  <c r="E42" i="45"/>
  <c r="F42" i="45" s="1"/>
  <c r="G42" i="45" s="1"/>
  <c r="E44" i="51"/>
  <c r="F44" i="51" s="1"/>
  <c r="G44" i="51" s="1"/>
  <c r="E42" i="43"/>
  <c r="F42" i="43" s="1"/>
  <c r="G42" i="43" s="1"/>
  <c r="E42" i="52"/>
  <c r="F42" i="52" s="1"/>
  <c r="G42" i="52" s="1"/>
  <c r="E42" i="46"/>
  <c r="F42" i="46" s="1"/>
  <c r="G42" i="46" s="1"/>
  <c r="E42" i="44"/>
  <c r="F42" i="44" s="1"/>
  <c r="G42" i="44" s="1"/>
  <c r="E43" i="45" l="1"/>
  <c r="F43" i="45" s="1"/>
  <c r="G43" i="45" s="1"/>
  <c r="E43" i="52"/>
  <c r="F43" i="52" s="1"/>
  <c r="G43" i="52" s="1"/>
  <c r="E43" i="43"/>
  <c r="F43" i="43" s="1"/>
  <c r="G43" i="43" s="1"/>
  <c r="E44" i="50"/>
  <c r="F44" i="50" s="1"/>
  <c r="G44" i="50" s="1"/>
  <c r="E43" i="44"/>
  <c r="F43" i="44" s="1"/>
  <c r="G43" i="44" s="1"/>
  <c r="E44" i="17"/>
  <c r="F44" i="17" s="1"/>
  <c r="G44" i="17" s="1"/>
  <c r="E43" i="46"/>
  <c r="F43" i="46" s="1"/>
  <c r="G43" i="46" s="1"/>
  <c r="AR63" i="29"/>
  <c r="AS63" i="29" s="1"/>
  <c r="AT63" i="29" s="1"/>
  <c r="E45" i="51"/>
  <c r="F45" i="51" s="1"/>
  <c r="G45" i="51" s="1"/>
  <c r="E44" i="44" l="1"/>
  <c r="F44" i="44" s="1"/>
  <c r="G44" i="44" s="1"/>
  <c r="E44" i="46"/>
  <c r="F44" i="46" s="1"/>
  <c r="G44" i="46" s="1"/>
  <c r="E45" i="50"/>
  <c r="F45" i="50" s="1"/>
  <c r="G45" i="50" s="1"/>
  <c r="E44" i="43"/>
  <c r="F44" i="43" s="1"/>
  <c r="G44" i="43" s="1"/>
  <c r="E44" i="52"/>
  <c r="F44" i="52" s="1"/>
  <c r="G44" i="52" s="1"/>
  <c r="AR64" i="29"/>
  <c r="AS64" i="29" s="1"/>
  <c r="AT64" i="29" s="1"/>
  <c r="E44" i="45"/>
  <c r="F44" i="45" s="1"/>
  <c r="G44" i="45" s="1"/>
  <c r="E45" i="17"/>
  <c r="F45" i="17" s="1"/>
  <c r="G45" i="17" s="1"/>
  <c r="E45" i="52" l="1"/>
  <c r="F45" i="52" s="1"/>
  <c r="G45" i="52" s="1"/>
  <c r="E45" i="43"/>
  <c r="F45" i="43" s="1"/>
  <c r="G45" i="43" s="1"/>
  <c r="E45" i="45"/>
  <c r="F45" i="45" s="1"/>
  <c r="G45" i="45" s="1"/>
  <c r="AR65" i="29"/>
  <c r="AS65" i="29" s="1"/>
  <c r="AT65" i="29" s="1"/>
  <c r="E45" i="44"/>
  <c r="F45" i="44" s="1"/>
  <c r="G45" i="44" s="1"/>
  <c r="E45" i="46"/>
  <c r="F45" i="46" s="1"/>
  <c r="G45" i="46" s="1"/>
  <c r="F59" i="44" l="1"/>
  <c r="G59" i="44" s="1"/>
  <c r="E60" i="44" s="1"/>
  <c r="F60" i="44" s="1"/>
  <c r="G60" i="44" s="1"/>
  <c r="E61" i="44" s="1"/>
  <c r="F61" i="44" s="1"/>
  <c r="G61" i="44" s="1"/>
  <c r="E62" i="44" s="1"/>
  <c r="F62" i="44" s="1"/>
  <c r="G62" i="44" s="1"/>
  <c r="E63" i="44" s="1"/>
  <c r="F63" i="44" s="1"/>
  <c r="G63" i="44" s="1"/>
  <c r="E64" i="44" s="1"/>
  <c r="F64" i="44" s="1"/>
  <c r="G64" i="44" s="1"/>
  <c r="E65" i="44" s="1"/>
  <c r="F65" i="44" s="1"/>
  <c r="G65" i="44" s="1"/>
  <c r="E66" i="44" s="1"/>
  <c r="F66" i="44" s="1"/>
  <c r="G66" i="44" s="1"/>
  <c r="E67" i="44" s="1"/>
  <c r="F67" i="44" s="1"/>
  <c r="G67" i="44" s="1"/>
  <c r="E68" i="44" s="1"/>
  <c r="F68" i="44" s="1"/>
  <c r="G68" i="44" s="1"/>
  <c r="E69" i="44" s="1"/>
  <c r="F69" i="44" s="1"/>
  <c r="G69" i="44" s="1"/>
  <c r="E70" i="44" s="1"/>
  <c r="F70" i="44" s="1"/>
  <c r="G70" i="44" s="1"/>
  <c r="E71" i="44" s="1"/>
  <c r="F71" i="44" s="1"/>
  <c r="G71" i="44" s="1"/>
  <c r="E72" i="44" s="1"/>
  <c r="F72" i="44" s="1"/>
  <c r="G72" i="44" s="1"/>
  <c r="E73" i="44" s="1"/>
  <c r="F73" i="44" s="1"/>
  <c r="G73" i="44" s="1"/>
  <c r="E74" i="44" s="1"/>
  <c r="F74" i="44" s="1"/>
  <c r="G74" i="44" s="1"/>
  <c r="AR79" i="29" l="1"/>
  <c r="AS79" i="29" s="1"/>
  <c r="AR80" i="29" l="1"/>
  <c r="AS80" i="29" s="1"/>
  <c r="AR81" i="29" l="1"/>
  <c r="AS81" i="29" s="1"/>
  <c r="AR82" i="29" l="1"/>
  <c r="AS82" i="29" s="1"/>
  <c r="AR83" i="29" l="1"/>
  <c r="AS83" i="29" s="1"/>
  <c r="AR84" i="29" l="1"/>
  <c r="AS84" i="29" s="1"/>
  <c r="AR85" i="29" l="1"/>
  <c r="AS85" i="29" s="1"/>
  <c r="AR86" i="29" l="1"/>
  <c r="AS86" i="29" s="1"/>
  <c r="AR87" i="29" l="1"/>
  <c r="AS87" i="29" s="1"/>
  <c r="AR88" i="29" l="1"/>
  <c r="AS88" i="29" s="1"/>
  <c r="AR89" i="29" l="1"/>
  <c r="AS89" i="29" s="1"/>
  <c r="AR90" i="29" l="1"/>
  <c r="AS90" i="29" s="1"/>
  <c r="AR91" i="29" l="1"/>
  <c r="AS91" i="29" s="1"/>
  <c r="AR92" i="29" l="1"/>
  <c r="AS92" i="29" s="1"/>
  <c r="AR93" i="29" l="1"/>
  <c r="AS93" i="29" s="1"/>
  <c r="AR94" i="29" l="1"/>
  <c r="AS94" i="29" s="1"/>
  <c r="AR95" i="29" l="1"/>
  <c r="AS95" i="29" s="1"/>
  <c r="E75" i="44"/>
  <c r="F75" i="44" s="1"/>
  <c r="G75" i="44" s="1"/>
  <c r="E46" i="51" l="1"/>
  <c r="F46" i="51" s="1"/>
  <c r="G46" i="51" s="1"/>
  <c r="E47" i="51" s="1"/>
  <c r="F47" i="51" s="1"/>
  <c r="G47" i="51" s="1"/>
  <c r="E48" i="51" s="1"/>
  <c r="F48" i="51" s="1"/>
  <c r="G48" i="51" s="1"/>
  <c r="E49" i="51" s="1"/>
  <c r="F49" i="51" s="1"/>
  <c r="G49" i="51" s="1"/>
  <c r="E50" i="51" s="1"/>
  <c r="F50" i="51" s="1"/>
  <c r="G50" i="51" s="1"/>
  <c r="E51" i="51" s="1"/>
  <c r="F51" i="51" s="1"/>
  <c r="G51" i="51" s="1"/>
  <c r="E52" i="51" s="1"/>
  <c r="F52" i="51" s="1"/>
  <c r="G52" i="51" s="1"/>
  <c r="E53" i="51" s="1"/>
  <c r="F53" i="51" s="1"/>
  <c r="G53" i="51" s="1"/>
  <c r="E54" i="51" s="1"/>
  <c r="F54" i="51" s="1"/>
  <c r="G54" i="51" s="1"/>
  <c r="E55" i="51" s="1"/>
  <c r="F55" i="51" s="1"/>
  <c r="G55" i="51" s="1"/>
  <c r="E56" i="51" s="1"/>
  <c r="F56" i="51" s="1"/>
  <c r="G56" i="51" s="1"/>
  <c r="E57" i="51" s="1"/>
  <c r="F57" i="51" s="1"/>
  <c r="G57" i="51" s="1"/>
  <c r="E76" i="44"/>
  <c r="AR96" i="29"/>
  <c r="AS96" i="29" s="1"/>
  <c r="F58" i="51" l="1"/>
  <c r="G58" i="51" s="1"/>
  <c r="AR97" i="29"/>
  <c r="AS97" i="29" s="1"/>
  <c r="E59" i="51"/>
  <c r="F76" i="44"/>
  <c r="G76" i="44" s="1"/>
  <c r="E58" i="51" l="1"/>
  <c r="AR98" i="29"/>
  <c r="F59" i="51"/>
  <c r="G59" i="51" s="1"/>
  <c r="E77" i="44"/>
  <c r="E60" i="51" l="1"/>
  <c r="F77" i="44"/>
  <c r="G77" i="44" s="1"/>
  <c r="AS98" i="29"/>
  <c r="F60" i="51" l="1"/>
  <c r="G60" i="51" s="1"/>
  <c r="E78" i="44"/>
  <c r="AR99" i="29"/>
  <c r="AS99" i="29" l="1"/>
  <c r="E61" i="51"/>
  <c r="F78" i="44"/>
  <c r="G78" i="44" s="1"/>
  <c r="F61" i="51" l="1"/>
  <c r="G61" i="51" s="1"/>
  <c r="E79" i="44"/>
  <c r="AR100" i="29"/>
  <c r="E62" i="51" l="1"/>
  <c r="AS100" i="29"/>
  <c r="F79" i="44"/>
  <c r="G79" i="44" s="1"/>
  <c r="AS101" i="29" l="1"/>
  <c r="AR101" i="29" s="1"/>
  <c r="E80" i="44"/>
  <c r="F62" i="51"/>
  <c r="G62" i="51" s="1"/>
  <c r="F80" i="44" l="1"/>
  <c r="G80" i="44" s="1"/>
  <c r="E63" i="51"/>
  <c r="F63" i="51" s="1"/>
  <c r="G63" i="51" s="1"/>
  <c r="E64" i="51" l="1"/>
  <c r="F64" i="51" s="1"/>
  <c r="G64" i="51" s="1"/>
  <c r="F81" i="44"/>
  <c r="E81" i="44" s="1"/>
  <c r="E65" i="51" l="1"/>
  <c r="F65" i="51" s="1"/>
  <c r="G65" i="51" s="1"/>
  <c r="G81" i="44"/>
  <c r="E66" i="51" l="1"/>
  <c r="F66" i="51" s="1"/>
  <c r="G66" i="51" s="1"/>
  <c r="E67" i="51" l="1"/>
  <c r="F67" i="51" s="1"/>
  <c r="G67" i="51" s="1"/>
  <c r="E68" i="51" l="1"/>
  <c r="F68" i="51" s="1"/>
  <c r="G68" i="51" s="1"/>
  <c r="E69" i="51" l="1"/>
  <c r="F69" i="51" s="1"/>
  <c r="G69" i="51" s="1"/>
  <c r="E59" i="17" l="1"/>
  <c r="F59" i="17" s="1"/>
  <c r="G59" i="17" s="1"/>
  <c r="E70" i="51"/>
  <c r="F70" i="51" s="1"/>
  <c r="G70" i="51" s="1"/>
  <c r="E59" i="43"/>
  <c r="F59" i="43" s="1"/>
  <c r="G59" i="43" s="1"/>
  <c r="E59" i="50" l="1"/>
  <c r="F59" i="50" s="1"/>
  <c r="G59" i="50" s="1"/>
  <c r="E59" i="45"/>
  <c r="F59" i="45" s="1"/>
  <c r="G59" i="45" s="1"/>
  <c r="E60" i="43"/>
  <c r="F60" i="43" s="1"/>
  <c r="G60" i="43" s="1"/>
  <c r="E59" i="46"/>
  <c r="F59" i="46" s="1"/>
  <c r="G59" i="46" s="1"/>
  <c r="E59" i="52"/>
  <c r="F59" i="52" s="1"/>
  <c r="G59" i="52" s="1"/>
  <c r="E71" i="51"/>
  <c r="F71" i="51" s="1"/>
  <c r="G71" i="51" s="1"/>
  <c r="E60" i="17"/>
  <c r="F60" i="17" s="1"/>
  <c r="G60" i="17" s="1"/>
  <c r="E72" i="51" l="1"/>
  <c r="F72" i="51" s="1"/>
  <c r="G72" i="51" s="1"/>
  <c r="E60" i="52"/>
  <c r="F60" i="52" s="1"/>
  <c r="G60" i="52" s="1"/>
  <c r="E60" i="46"/>
  <c r="F60" i="46" s="1"/>
  <c r="G60" i="46" s="1"/>
  <c r="E61" i="43"/>
  <c r="F61" i="43" s="1"/>
  <c r="G61" i="43" s="1"/>
  <c r="E61" i="17"/>
  <c r="F61" i="17" s="1"/>
  <c r="G61" i="17" s="1"/>
  <c r="E60" i="45"/>
  <c r="F60" i="45" s="1"/>
  <c r="G60" i="45" s="1"/>
  <c r="E60" i="50"/>
  <c r="F60" i="50" s="1"/>
  <c r="G60" i="50" s="1"/>
  <c r="E62" i="17" l="1"/>
  <c r="F62" i="17" s="1"/>
  <c r="G62" i="17" s="1"/>
  <c r="E61" i="50"/>
  <c r="F61" i="50" s="1"/>
  <c r="G61" i="50" s="1"/>
  <c r="E62" i="43"/>
  <c r="F62" i="43" s="1"/>
  <c r="G62" i="43" s="1"/>
  <c r="E61" i="46"/>
  <c r="F61" i="46" s="1"/>
  <c r="G61" i="46" s="1"/>
  <c r="E61" i="52"/>
  <c r="F61" i="52" s="1"/>
  <c r="G61" i="52" s="1"/>
  <c r="E73" i="51"/>
  <c r="F73" i="51" s="1"/>
  <c r="G73" i="51" s="1"/>
  <c r="E61" i="45"/>
  <c r="F61" i="45" s="1"/>
  <c r="G61" i="45" s="1"/>
  <c r="E62" i="52" l="1"/>
  <c r="F62" i="52" s="1"/>
  <c r="G62" i="52" s="1"/>
  <c r="E62" i="45"/>
  <c r="F62" i="45" s="1"/>
  <c r="G62" i="45" s="1"/>
  <c r="E74" i="51"/>
  <c r="F74" i="51" s="1"/>
  <c r="G74" i="51" s="1"/>
  <c r="E62" i="46"/>
  <c r="F62" i="46" s="1"/>
  <c r="G62" i="46" s="1"/>
  <c r="E63" i="43"/>
  <c r="F63" i="43" s="1"/>
  <c r="G63" i="43" s="1"/>
  <c r="E62" i="50"/>
  <c r="F62" i="50" s="1"/>
  <c r="G62" i="50" s="1"/>
  <c r="E63" i="17"/>
  <c r="F63" i="17" s="1"/>
  <c r="G63" i="17" s="1"/>
  <c r="E63" i="46" l="1"/>
  <c r="F63" i="46" s="1"/>
  <c r="G63" i="46" s="1"/>
  <c r="E64" i="17"/>
  <c r="F64" i="17" s="1"/>
  <c r="G64" i="17" s="1"/>
  <c r="E63" i="50"/>
  <c r="F63" i="50" s="1"/>
  <c r="G63" i="50" s="1"/>
  <c r="E64" i="43"/>
  <c r="F64" i="43" s="1"/>
  <c r="G64" i="43" s="1"/>
  <c r="E75" i="51"/>
  <c r="F75" i="51" s="1"/>
  <c r="G75" i="51" s="1"/>
  <c r="E63" i="45"/>
  <c r="F63" i="45" s="1"/>
  <c r="G63" i="45" s="1"/>
  <c r="E63" i="52"/>
  <c r="F63" i="52" s="1"/>
  <c r="G63" i="52" s="1"/>
  <c r="E64" i="45" l="1"/>
  <c r="F64" i="45" s="1"/>
  <c r="G64" i="45" s="1"/>
  <c r="E64" i="52"/>
  <c r="F64" i="52" s="1"/>
  <c r="G64" i="52" s="1"/>
  <c r="E76" i="51"/>
  <c r="F76" i="51" s="1"/>
  <c r="G76" i="51" s="1"/>
  <c r="E65" i="43"/>
  <c r="F65" i="43" s="1"/>
  <c r="G65" i="43" s="1"/>
  <c r="E64" i="50"/>
  <c r="F64" i="50" s="1"/>
  <c r="G64" i="50" s="1"/>
  <c r="E65" i="17"/>
  <c r="F65" i="17" s="1"/>
  <c r="G65" i="17" s="1"/>
  <c r="E64" i="46"/>
  <c r="F64" i="46" s="1"/>
  <c r="G64" i="46" s="1"/>
  <c r="E66" i="17" l="1"/>
  <c r="F66" i="17" s="1"/>
  <c r="G66" i="17" s="1"/>
  <c r="E65" i="46"/>
  <c r="F65" i="46" s="1"/>
  <c r="G65" i="46" s="1"/>
  <c r="E65" i="50"/>
  <c r="F65" i="50" s="1"/>
  <c r="G65" i="50" s="1"/>
  <c r="E77" i="51"/>
  <c r="F77" i="51" s="1"/>
  <c r="G77" i="51" s="1"/>
  <c r="E65" i="52"/>
  <c r="F65" i="52" s="1"/>
  <c r="G65" i="52" s="1"/>
  <c r="E65" i="45"/>
  <c r="F65" i="45" s="1"/>
  <c r="G65" i="45" s="1"/>
  <c r="E66" i="43"/>
  <c r="F66" i="43" s="1"/>
  <c r="G66" i="43" s="1"/>
  <c r="E66" i="45" l="1"/>
  <c r="F66" i="45" s="1"/>
  <c r="G66" i="45" s="1"/>
  <c r="E78" i="51"/>
  <c r="F78" i="51" s="1"/>
  <c r="G78" i="51" s="1"/>
  <c r="E66" i="50"/>
  <c r="F66" i="50" s="1"/>
  <c r="G66" i="50" s="1"/>
  <c r="E67" i="43"/>
  <c r="F67" i="43" s="1"/>
  <c r="G67" i="43" s="1"/>
  <c r="E67" i="17"/>
  <c r="F67" i="17" s="1"/>
  <c r="G67" i="17" s="1"/>
  <c r="E66" i="46"/>
  <c r="F66" i="46" s="1"/>
  <c r="G66" i="46" s="1"/>
  <c r="E66" i="52"/>
  <c r="F66" i="52" s="1"/>
  <c r="G66" i="52" s="1"/>
  <c r="E68" i="43" l="1"/>
  <c r="F68" i="43" s="1"/>
  <c r="G68" i="43" s="1"/>
  <c r="E67" i="50"/>
  <c r="F67" i="50" s="1"/>
  <c r="G67" i="50" s="1"/>
  <c r="E79" i="51"/>
  <c r="F79" i="51" s="1"/>
  <c r="G79" i="51" s="1"/>
  <c r="E67" i="52"/>
  <c r="F67" i="52" s="1"/>
  <c r="G67" i="52" s="1"/>
  <c r="E67" i="45"/>
  <c r="F67" i="45" s="1"/>
  <c r="G67" i="45" s="1"/>
  <c r="E67" i="46"/>
  <c r="F67" i="46" s="1"/>
  <c r="G67" i="46" s="1"/>
  <c r="E68" i="17"/>
  <c r="F68" i="17" s="1"/>
  <c r="G68" i="17" s="1"/>
  <c r="E68" i="52" l="1"/>
  <c r="F68" i="52" s="1"/>
  <c r="G68" i="52" s="1"/>
  <c r="E80" i="51"/>
  <c r="F80" i="51" s="1"/>
  <c r="G80" i="51" s="1"/>
  <c r="E69" i="17"/>
  <c r="F69" i="17" s="1"/>
  <c r="G69" i="17" s="1"/>
  <c r="E69" i="43"/>
  <c r="F69" i="43" s="1"/>
  <c r="G69" i="43" s="1"/>
  <c r="E68" i="50"/>
  <c r="F68" i="50" s="1"/>
  <c r="G68" i="50" s="1"/>
  <c r="E68" i="46"/>
  <c r="F68" i="46" s="1"/>
  <c r="G68" i="46" s="1"/>
  <c r="E68" i="45"/>
  <c r="F68" i="45" s="1"/>
  <c r="G68" i="45" s="1"/>
  <c r="E69" i="45" l="1"/>
  <c r="F69" i="45" s="1"/>
  <c r="G69" i="45" s="1"/>
  <c r="E70" i="43"/>
  <c r="F70" i="43" s="1"/>
  <c r="G70" i="43" s="1"/>
  <c r="E69" i="46"/>
  <c r="F69" i="46" s="1"/>
  <c r="G69" i="46" s="1"/>
  <c r="E69" i="50"/>
  <c r="F69" i="50" s="1"/>
  <c r="G69" i="50" s="1"/>
  <c r="E70" i="17"/>
  <c r="F70" i="17" s="1"/>
  <c r="G70" i="17" s="1"/>
  <c r="F81" i="51"/>
  <c r="E81" i="51" s="1"/>
  <c r="A25" i="51" s="1"/>
  <c r="E69" i="52"/>
  <c r="F69" i="52" s="1"/>
  <c r="G69" i="52" s="1"/>
  <c r="G81" i="51" l="1"/>
  <c r="E70" i="50"/>
  <c r="F70" i="50" s="1"/>
  <c r="G70" i="50" s="1"/>
  <c r="E70" i="46"/>
  <c r="F70" i="46" s="1"/>
  <c r="G70" i="46" s="1"/>
  <c r="E70" i="52"/>
  <c r="F70" i="52" s="1"/>
  <c r="G70" i="52" s="1"/>
  <c r="E71" i="43"/>
  <c r="F71" i="43" s="1"/>
  <c r="G71" i="43" s="1"/>
  <c r="A35" i="51"/>
  <c r="A31" i="51"/>
  <c r="A33" i="51" s="1"/>
  <c r="E70" i="45"/>
  <c r="F70" i="45" s="1"/>
  <c r="G70" i="45" s="1"/>
  <c r="E71" i="17"/>
  <c r="F71" i="17" s="1"/>
  <c r="G71" i="17" s="1"/>
  <c r="E71" i="45" l="1"/>
  <c r="F71" i="45" s="1"/>
  <c r="G71" i="45" s="1"/>
  <c r="E72" i="43"/>
  <c r="F72" i="43" s="1"/>
  <c r="G72" i="43" s="1"/>
  <c r="E71" i="52"/>
  <c r="F71" i="52" s="1"/>
  <c r="G71" i="52" s="1"/>
  <c r="E71" i="46"/>
  <c r="F71" i="46" s="1"/>
  <c r="G71" i="46" s="1"/>
  <c r="E72" i="17"/>
  <c r="F72" i="17" s="1"/>
  <c r="G72" i="17" s="1"/>
  <c r="E71" i="50"/>
  <c r="F71" i="50" s="1"/>
  <c r="G71" i="50" s="1"/>
  <c r="E72" i="50" l="1"/>
  <c r="F72" i="50" s="1"/>
  <c r="G72" i="50" s="1"/>
  <c r="E72" i="46"/>
  <c r="F72" i="46" s="1"/>
  <c r="G72" i="46" s="1"/>
  <c r="E72" i="52"/>
  <c r="F72" i="52" s="1"/>
  <c r="G72" i="52" s="1"/>
  <c r="E72" i="45"/>
  <c r="F72" i="45" s="1"/>
  <c r="G72" i="45" s="1"/>
  <c r="E73" i="43"/>
  <c r="F73" i="43" s="1"/>
  <c r="G73" i="43" s="1"/>
  <c r="E73" i="17"/>
  <c r="F73" i="17" s="1"/>
  <c r="G73" i="17" s="1"/>
  <c r="E74" i="17" l="1"/>
  <c r="F74" i="17" s="1"/>
  <c r="G74" i="17" s="1"/>
  <c r="E73" i="45"/>
  <c r="F73" i="45" s="1"/>
  <c r="G73" i="45" s="1"/>
  <c r="E73" i="52"/>
  <c r="F73" i="52" s="1"/>
  <c r="G73" i="52" s="1"/>
  <c r="E73" i="46"/>
  <c r="F73" i="46" s="1"/>
  <c r="G73" i="46" s="1"/>
  <c r="E73" i="50"/>
  <c r="F73" i="50" s="1"/>
  <c r="G73" i="50" s="1"/>
  <c r="E74" i="43"/>
  <c r="F74" i="43" s="1"/>
  <c r="G74" i="43" s="1"/>
  <c r="E75" i="43" l="1"/>
  <c r="F75" i="43" s="1"/>
  <c r="G75" i="43" s="1"/>
  <c r="E74" i="46"/>
  <c r="F74" i="46" s="1"/>
  <c r="G74" i="46" s="1"/>
  <c r="E74" i="52"/>
  <c r="F74" i="52" s="1"/>
  <c r="G74" i="52" s="1"/>
  <c r="E75" i="17"/>
  <c r="F75" i="17" s="1"/>
  <c r="G75" i="17" s="1"/>
  <c r="E74" i="45"/>
  <c r="F74" i="45" s="1"/>
  <c r="G74" i="45" s="1"/>
  <c r="E74" i="50"/>
  <c r="F74" i="50" s="1"/>
  <c r="G74" i="50" s="1"/>
  <c r="E75" i="50" l="1"/>
  <c r="F75" i="50" s="1"/>
  <c r="G75" i="50" s="1"/>
  <c r="E75" i="45"/>
  <c r="F75" i="45" s="1"/>
  <c r="G75" i="45" s="1"/>
  <c r="E76" i="17"/>
  <c r="F76" i="17" s="1"/>
  <c r="G76" i="17" s="1"/>
  <c r="E75" i="52"/>
  <c r="F75" i="52" s="1"/>
  <c r="G75" i="52" s="1"/>
  <c r="E75" i="46"/>
  <c r="F75" i="46" s="1"/>
  <c r="G75" i="46" s="1"/>
  <c r="E76" i="43"/>
  <c r="F76" i="43" s="1"/>
  <c r="G76" i="43" s="1"/>
  <c r="E77" i="43" l="1"/>
  <c r="F77" i="43" s="1"/>
  <c r="G77" i="43" s="1"/>
  <c r="E76" i="52"/>
  <c r="F76" i="52" s="1"/>
  <c r="G76" i="52" s="1"/>
  <c r="E77" i="17"/>
  <c r="F77" i="17" s="1"/>
  <c r="G77" i="17" s="1"/>
  <c r="E76" i="45"/>
  <c r="F76" i="45" s="1"/>
  <c r="G76" i="45" s="1"/>
  <c r="E76" i="50"/>
  <c r="F76" i="50" s="1"/>
  <c r="G76" i="50" s="1"/>
  <c r="E76" i="46"/>
  <c r="F76" i="46" s="1"/>
  <c r="G76" i="46" s="1"/>
  <c r="E77" i="45" l="1"/>
  <c r="F77" i="45" s="1"/>
  <c r="G77" i="45" s="1"/>
  <c r="E78" i="17"/>
  <c r="F78" i="17" s="1"/>
  <c r="G78" i="17" s="1"/>
  <c r="E77" i="52"/>
  <c r="F77" i="52" s="1"/>
  <c r="G77" i="52" s="1"/>
  <c r="E77" i="46"/>
  <c r="F77" i="46" s="1"/>
  <c r="G77" i="46" s="1"/>
  <c r="E78" i="43"/>
  <c r="F78" i="43" s="1"/>
  <c r="G78" i="43" s="1"/>
  <c r="E77" i="50"/>
  <c r="F77" i="50" s="1"/>
  <c r="G77" i="50" s="1"/>
  <c r="E78" i="46" l="1"/>
  <c r="F78" i="46" s="1"/>
  <c r="G78" i="46" s="1"/>
  <c r="E78" i="52"/>
  <c r="F78" i="52" s="1"/>
  <c r="G78" i="52" s="1"/>
  <c r="E79" i="17"/>
  <c r="F79" i="17" s="1"/>
  <c r="G79" i="17" s="1"/>
  <c r="E78" i="50"/>
  <c r="F78" i="50" s="1"/>
  <c r="G78" i="50" s="1"/>
  <c r="E78" i="45"/>
  <c r="F78" i="45" s="1"/>
  <c r="G78" i="45" s="1"/>
  <c r="E79" i="43"/>
  <c r="F79" i="43" s="1"/>
  <c r="G79" i="43" s="1"/>
  <c r="E79" i="50" l="1"/>
  <c r="F79" i="50" s="1"/>
  <c r="G79" i="50" s="1"/>
  <c r="E80" i="17"/>
  <c r="F80" i="17" s="1"/>
  <c r="G80" i="17" s="1"/>
  <c r="E80" i="43"/>
  <c r="F80" i="43" s="1"/>
  <c r="G80" i="43" s="1"/>
  <c r="E79" i="52"/>
  <c r="F79" i="52" s="1"/>
  <c r="G79" i="52" s="1"/>
  <c r="E79" i="46"/>
  <c r="F79" i="46" s="1"/>
  <c r="G79" i="46" s="1"/>
  <c r="E79" i="45"/>
  <c r="F79" i="45" s="1"/>
  <c r="G79" i="45" s="1"/>
  <c r="E80" i="45" l="1"/>
  <c r="F80" i="45" s="1"/>
  <c r="G80" i="45" s="1"/>
  <c r="E80" i="52"/>
  <c r="F80" i="52" s="1"/>
  <c r="G80" i="52" s="1"/>
  <c r="F81" i="43"/>
  <c r="E81" i="43" s="1"/>
  <c r="F81" i="17"/>
  <c r="E81" i="17" s="1"/>
  <c r="E80" i="50"/>
  <c r="F80" i="50" s="1"/>
  <c r="G80" i="50" s="1"/>
  <c r="E80" i="46"/>
  <c r="F80" i="46" s="1"/>
  <c r="G80" i="46" s="1"/>
  <c r="F81" i="46" l="1"/>
  <c r="E81" i="46" s="1"/>
  <c r="F81" i="52"/>
  <c r="E81" i="52" s="1"/>
  <c r="G81" i="17"/>
  <c r="G81" i="43"/>
  <c r="F81" i="50"/>
  <c r="E81" i="50" s="1"/>
  <c r="F81" i="45"/>
  <c r="E81" i="45" s="1"/>
  <c r="G81" i="45" l="1"/>
  <c r="G81" i="52"/>
  <c r="G81" i="50"/>
  <c r="G81" i="46"/>
  <c r="E46" i="44"/>
  <c r="E59" i="44"/>
  <c r="AR66" i="29"/>
  <c r="AS66" i="29" s="1"/>
  <c r="AT66" i="29" s="1"/>
  <c r="E46" i="43"/>
  <c r="F46" i="43" s="1"/>
  <c r="G46" i="43" s="1"/>
  <c r="E47" i="43" s="1"/>
  <c r="F47" i="43" s="1"/>
  <c r="E46" i="17"/>
  <c r="F46" i="17" s="1"/>
  <c r="G46" i="17" s="1"/>
  <c r="E46" i="46"/>
  <c r="F46" i="46" s="1"/>
  <c r="G46" i="46" s="1"/>
  <c r="E47" i="46" s="1"/>
  <c r="F47" i="46" s="1"/>
  <c r="G47" i="46" s="1"/>
  <c r="E46" i="50"/>
  <c r="F46" i="50" s="1"/>
  <c r="G46" i="50" s="1"/>
  <c r="E46" i="45"/>
  <c r="F46" i="45" s="1"/>
  <c r="G46" i="45" s="1"/>
  <c r="E46" i="52"/>
  <c r="F46" i="52" s="1"/>
  <c r="G46" i="52" s="1"/>
  <c r="E47" i="52" s="1"/>
  <c r="AR67" i="29" l="1"/>
  <c r="E48" i="46"/>
  <c r="E47" i="17"/>
  <c r="F47" i="17" s="1"/>
  <c r="G47" i="17" s="1"/>
  <c r="F47" i="52"/>
  <c r="G47" i="52" s="1"/>
  <c r="E47" i="45"/>
  <c r="E47" i="50"/>
  <c r="F46" i="44"/>
  <c r="G46" i="44" s="1"/>
  <c r="G47" i="43"/>
  <c r="F47" i="50" l="1"/>
  <c r="G47" i="50" s="1"/>
  <c r="E48" i="17"/>
  <c r="F48" i="46"/>
  <c r="G48" i="46" s="1"/>
  <c r="E47" i="44"/>
  <c r="F47" i="45"/>
  <c r="G47" i="45" s="1"/>
  <c r="E48" i="43"/>
  <c r="E48" i="52"/>
  <c r="AS67" i="29"/>
  <c r="AT67" i="29" s="1"/>
  <c r="F47" i="44" l="1"/>
  <c r="G47" i="44" s="1"/>
  <c r="F48" i="43"/>
  <c r="G48" i="43" s="1"/>
  <c r="F48" i="52"/>
  <c r="G48" i="52" s="1"/>
  <c r="F48" i="17"/>
  <c r="G48" i="17" s="1"/>
  <c r="AR68" i="29"/>
  <c r="E49" i="46"/>
  <c r="E48" i="45"/>
  <c r="E48" i="50"/>
  <c r="F48" i="45" l="1"/>
  <c r="G48" i="45" s="1"/>
  <c r="E49" i="17"/>
  <c r="F48" i="50"/>
  <c r="G48" i="50" s="1"/>
  <c r="F49" i="46"/>
  <c r="G49" i="46" s="1"/>
  <c r="E49" i="52"/>
  <c r="E49" i="43"/>
  <c r="AS68" i="29"/>
  <c r="AT68" i="29" s="1"/>
  <c r="E48" i="44"/>
  <c r="E50" i="46" l="1"/>
  <c r="F48" i="44"/>
  <c r="G48" i="44" s="1"/>
  <c r="AR69" i="29"/>
  <c r="F49" i="43"/>
  <c r="G49" i="43" s="1"/>
  <c r="F49" i="17"/>
  <c r="G49" i="17" s="1"/>
  <c r="E49" i="50"/>
  <c r="F49" i="52"/>
  <c r="G49" i="52" s="1"/>
  <c r="E49" i="45"/>
  <c r="E50" i="43" l="1"/>
  <c r="AS69" i="29"/>
  <c r="AT69" i="29" s="1"/>
  <c r="F49" i="50"/>
  <c r="G49" i="50" s="1"/>
  <c r="F49" i="45"/>
  <c r="G49" i="45" s="1"/>
  <c r="E50" i="52"/>
  <c r="E49" i="44"/>
  <c r="E50" i="17"/>
  <c r="F50" i="46"/>
  <c r="G50" i="46" s="1"/>
  <c r="E50" i="50" l="1"/>
  <c r="AR70" i="29"/>
  <c r="E51" i="46"/>
  <c r="F50" i="52"/>
  <c r="G50" i="52" s="1"/>
  <c r="E50" i="45"/>
  <c r="F50" i="17"/>
  <c r="G50" i="17" s="1"/>
  <c r="F49" i="44"/>
  <c r="G49" i="44" s="1"/>
  <c r="F50" i="43"/>
  <c r="G50" i="43" s="1"/>
  <c r="E51" i="52" l="1"/>
  <c r="E50" i="44"/>
  <c r="F50" i="44" s="1"/>
  <c r="G50" i="44" s="1"/>
  <c r="E51" i="43"/>
  <c r="F51" i="43" s="1"/>
  <c r="G51" i="43" s="1"/>
  <c r="AS70" i="29"/>
  <c r="AT70" i="29" s="1"/>
  <c r="F51" i="46"/>
  <c r="G51" i="46" s="1"/>
  <c r="E51" i="17"/>
  <c r="F50" i="45"/>
  <c r="G50" i="45" s="1"/>
  <c r="F50" i="50"/>
  <c r="G50" i="50" s="1"/>
  <c r="E52" i="43" l="1"/>
  <c r="F52" i="43" s="1"/>
  <c r="G52" i="43" s="1"/>
  <c r="E51" i="44"/>
  <c r="F51" i="44" s="1"/>
  <c r="G51" i="44" s="1"/>
  <c r="E51" i="50"/>
  <c r="F51" i="17"/>
  <c r="G51" i="17" s="1"/>
  <c r="E51" i="45"/>
  <c r="E52" i="46"/>
  <c r="F51" i="52"/>
  <c r="G51" i="52" s="1"/>
  <c r="AR71" i="29"/>
  <c r="E52" i="44" l="1"/>
  <c r="F52" i="44" s="1"/>
  <c r="G52" i="44" s="1"/>
  <c r="E53" i="43"/>
  <c r="F53" i="43" s="1"/>
  <c r="G53" i="43" s="1"/>
  <c r="AS71" i="29"/>
  <c r="AT71" i="29" s="1"/>
  <c r="E52" i="17"/>
  <c r="F52" i="17" s="1"/>
  <c r="G52" i="17" s="1"/>
  <c r="E52" i="52"/>
  <c r="F52" i="52" s="1"/>
  <c r="G52" i="52" s="1"/>
  <c r="F51" i="50"/>
  <c r="G51" i="50" s="1"/>
  <c r="F52" i="46"/>
  <c r="G52" i="46" s="1"/>
  <c r="F51" i="45"/>
  <c r="G51" i="45" s="1"/>
  <c r="E54" i="43" l="1"/>
  <c r="F54" i="43" s="1"/>
  <c r="G54" i="43" s="1"/>
  <c r="E53" i="17"/>
  <c r="F53" i="17" s="1"/>
  <c r="G53" i="17" s="1"/>
  <c r="E53" i="44"/>
  <c r="F53" i="44" s="1"/>
  <c r="G53" i="44" s="1"/>
  <c r="E52" i="45"/>
  <c r="F52" i="45" s="1"/>
  <c r="G52" i="45" s="1"/>
  <c r="AR72" i="29"/>
  <c r="AS72" i="29" s="1"/>
  <c r="AT72" i="29" s="1"/>
  <c r="E53" i="46"/>
  <c r="F53" i="46" s="1"/>
  <c r="G53" i="46" s="1"/>
  <c r="E52" i="50"/>
  <c r="F52" i="50" s="1"/>
  <c r="G52" i="50" s="1"/>
  <c r="E53" i="52"/>
  <c r="F53" i="52" s="1"/>
  <c r="G53" i="52" s="1"/>
  <c r="E53" i="50" l="1"/>
  <c r="F53" i="50" s="1"/>
  <c r="G53" i="50" s="1"/>
  <c r="E54" i="46"/>
  <c r="F54" i="46" s="1"/>
  <c r="G54" i="46" s="1"/>
  <c r="E54" i="44"/>
  <c r="F54" i="44" s="1"/>
  <c r="G54" i="44" s="1"/>
  <c r="AR73" i="29"/>
  <c r="AS73" i="29" s="1"/>
  <c r="AT73" i="29" s="1"/>
  <c r="E53" i="45"/>
  <c r="F53" i="45" s="1"/>
  <c r="G53" i="45" s="1"/>
  <c r="E54" i="52"/>
  <c r="F54" i="52" s="1"/>
  <c r="G54" i="52" s="1"/>
  <c r="E55" i="43"/>
  <c r="F55" i="43" s="1"/>
  <c r="G55" i="43" s="1"/>
  <c r="E54" i="17"/>
  <c r="F54" i="17" s="1"/>
  <c r="G54" i="17" s="1"/>
  <c r="E55" i="46" l="1"/>
  <c r="F55" i="46" s="1"/>
  <c r="G55" i="46" s="1"/>
  <c r="E55" i="52"/>
  <c r="F55" i="52" s="1"/>
  <c r="G55" i="52" s="1"/>
  <c r="E54" i="45"/>
  <c r="F54" i="45" s="1"/>
  <c r="G54" i="45" s="1"/>
  <c r="AR74" i="29"/>
  <c r="AS74" i="29" s="1"/>
  <c r="AT74" i="29" s="1"/>
  <c r="E55" i="44"/>
  <c r="F55" i="44" s="1"/>
  <c r="G55" i="44" s="1"/>
  <c r="E55" i="17"/>
  <c r="F55" i="17" s="1"/>
  <c r="G55" i="17" s="1"/>
  <c r="E54" i="50"/>
  <c r="F54" i="50" s="1"/>
  <c r="G54" i="50" s="1"/>
  <c r="E56" i="43"/>
  <c r="F56" i="43" s="1"/>
  <c r="G56" i="43" s="1"/>
  <c r="E56" i="17" l="1"/>
  <c r="F56" i="17" s="1"/>
  <c r="G56" i="17" s="1"/>
  <c r="AR75" i="29"/>
  <c r="AS75" i="29" s="1"/>
  <c r="AT75" i="29" s="1"/>
  <c r="E56" i="52"/>
  <c r="F56" i="52" s="1"/>
  <c r="G56" i="52" s="1"/>
  <c r="E56" i="44"/>
  <c r="F56" i="44" s="1"/>
  <c r="G56" i="44" s="1"/>
  <c r="E55" i="45"/>
  <c r="F55" i="45" s="1"/>
  <c r="G55" i="45" s="1"/>
  <c r="E57" i="43"/>
  <c r="F57" i="43" s="1"/>
  <c r="G57" i="43" s="1"/>
  <c r="E56" i="46"/>
  <c r="F56" i="46" s="1"/>
  <c r="G56" i="46" s="1"/>
  <c r="E55" i="50"/>
  <c r="F55" i="50" s="1"/>
  <c r="G55" i="50" s="1"/>
  <c r="E56" i="45" l="1"/>
  <c r="F56" i="45" s="1"/>
  <c r="G56" i="45" s="1"/>
  <c r="AR76" i="29"/>
  <c r="AS76" i="29" s="1"/>
  <c r="AT76" i="29" s="1"/>
  <c r="E57" i="46"/>
  <c r="F57" i="46" s="1"/>
  <c r="G57" i="46" s="1"/>
  <c r="F58" i="43"/>
  <c r="E58" i="43" s="1"/>
  <c r="A25" i="43" s="1"/>
  <c r="E57" i="52"/>
  <c r="F57" i="52" s="1"/>
  <c r="G57" i="52" s="1"/>
  <c r="E57" i="17"/>
  <c r="F57" i="17" s="1"/>
  <c r="G57" i="17" s="1"/>
  <c r="E56" i="50"/>
  <c r="F56" i="50" s="1"/>
  <c r="G56" i="50" s="1"/>
  <c r="E57" i="44"/>
  <c r="F57" i="44" s="1"/>
  <c r="G57" i="44" s="1"/>
  <c r="G58" i="43" l="1"/>
  <c r="AR77" i="29"/>
  <c r="AS77" i="29" s="1"/>
  <c r="AT77" i="29" s="1"/>
  <c r="F58" i="44"/>
  <c r="E58" i="44" s="1"/>
  <c r="A25" i="44" s="1"/>
  <c r="E57" i="45"/>
  <c r="F57" i="45" s="1"/>
  <c r="G57" i="45" s="1"/>
  <c r="E57" i="50"/>
  <c r="F57" i="50" s="1"/>
  <c r="G57" i="50" s="1"/>
  <c r="F58" i="17"/>
  <c r="E58" i="17" s="1"/>
  <c r="A25" i="17" s="1"/>
  <c r="F58" i="46"/>
  <c r="E58" i="46" s="1"/>
  <c r="A25" i="46" s="1"/>
  <c r="A31" i="43"/>
  <c r="A33" i="43" s="1"/>
  <c r="A35" i="43"/>
  <c r="F58" i="52"/>
  <c r="E58" i="52" s="1"/>
  <c r="A25" i="52" s="1"/>
  <c r="G58" i="44" l="1"/>
  <c r="G58" i="52"/>
  <c r="G58" i="17"/>
  <c r="AS78" i="29"/>
  <c r="AR78" i="29" s="1"/>
  <c r="F58" i="50"/>
  <c r="E58" i="50" s="1"/>
  <c r="A25" i="50" s="1"/>
  <c r="F58" i="45"/>
  <c r="E58" i="45" s="1"/>
  <c r="A25" i="45" s="1"/>
  <c r="A31" i="46"/>
  <c r="A33" i="46" s="1"/>
  <c r="A35" i="46"/>
  <c r="G58" i="46"/>
  <c r="A35" i="52"/>
  <c r="A31" i="52"/>
  <c r="A33" i="52" s="1"/>
  <c r="A31" i="44"/>
  <c r="A33" i="44" s="1"/>
  <c r="A35" i="44"/>
  <c r="A35" i="17"/>
  <c r="A31" i="17"/>
  <c r="A33" i="17" s="1"/>
  <c r="G58" i="45" l="1"/>
  <c r="A35" i="45"/>
  <c r="A31" i="45"/>
  <c r="A33" i="45" s="1"/>
  <c r="AR25" i="29"/>
  <c r="BM5" i="29"/>
  <c r="A35" i="50"/>
  <c r="A31" i="50"/>
  <c r="A33" i="50" s="1"/>
  <c r="G58" i="50"/>
  <c r="AT78" i="29"/>
  <c r="AT79" i="29" s="1"/>
  <c r="AT80" i="29" s="1"/>
  <c r="AT81" i="29" s="1"/>
  <c r="AT82" i="29" s="1"/>
  <c r="AT83" i="29" s="1"/>
  <c r="AT84" i="29" s="1"/>
  <c r="AT85" i="29" s="1"/>
  <c r="AT86" i="29" s="1"/>
  <c r="AT87" i="29" s="1"/>
  <c r="AT88" i="29" s="1"/>
  <c r="AT89" i="29" s="1"/>
  <c r="AT90" i="29" s="1"/>
  <c r="AT91" i="29" s="1"/>
  <c r="AT92" i="29" s="1"/>
  <c r="AT93" i="29" s="1"/>
  <c r="AT94" i="29" s="1"/>
  <c r="AT95" i="29" s="1"/>
  <c r="AT96" i="29" s="1"/>
  <c r="AT97" i="29" s="1"/>
  <c r="AT98" i="29" s="1"/>
  <c r="AT99" i="29" s="1"/>
  <c r="AT100" i="29" s="1"/>
  <c r="AT101" i="29" s="1"/>
  <c r="AT102" i="29" s="1"/>
  <c r="AT103" i="29" s="1"/>
  <c r="AT104" i="29" s="1"/>
  <c r="AT105" i="29" s="1"/>
  <c r="AT106" i="29" s="1"/>
  <c r="AT107" i="29" s="1"/>
  <c r="AT108" i="29" s="1"/>
  <c r="AT109" i="29" s="1"/>
  <c r="AT110" i="29" s="1"/>
  <c r="AT111" i="29" s="1"/>
  <c r="AT112" i="29" s="1"/>
  <c r="AT113" i="29" s="1"/>
  <c r="AT114" i="29" s="1"/>
  <c r="AT115" i="29" s="1"/>
  <c r="AT116" i="29" s="1"/>
  <c r="AT117" i="29" s="1"/>
  <c r="AT118" i="29" s="1"/>
  <c r="AT119" i="29" s="1"/>
  <c r="AT120" i="29" s="1"/>
  <c r="AT121" i="29" s="1"/>
  <c r="AT122" i="29" s="1"/>
  <c r="AT123" i="29" s="1"/>
  <c r="AT124" i="29" s="1"/>
  <c r="AT125" i="29" s="1"/>
  <c r="AT126" i="29" s="1"/>
  <c r="AT127" i="29" s="1"/>
  <c r="AT128" i="29" s="1"/>
  <c r="AT129" i="29" s="1"/>
  <c r="AT130" i="29" s="1"/>
  <c r="AT131" i="29" s="1"/>
  <c r="AT132" i="29" s="1"/>
  <c r="AT133" i="29" s="1"/>
  <c r="AT134" i="29" s="1"/>
  <c r="AT135" i="29" s="1"/>
  <c r="AT136" i="29" s="1"/>
  <c r="AT137" i="29" s="1"/>
  <c r="AT138" i="29" s="1"/>
  <c r="AT139" i="29" s="1"/>
  <c r="AT140" i="29" s="1"/>
  <c r="AT141" i="29" s="1"/>
  <c r="AT142" i="29" s="1"/>
  <c r="AT143" i="29" s="1"/>
  <c r="AT144" i="29" s="1"/>
  <c r="AT145" i="29" s="1"/>
  <c r="AT146" i="29" s="1"/>
  <c r="AT147" i="29" s="1"/>
  <c r="AT148" i="29" s="1"/>
  <c r="AT149" i="29" s="1"/>
  <c r="AT150" i="29" s="1"/>
  <c r="AC219" i="38" l="1"/>
  <c r="AD219" i="38" s="1"/>
  <c r="AF219" i="38" s="1"/>
  <c r="BO5" i="29"/>
  <c r="AC220" i="23"/>
  <c r="AD220" i="23" s="1"/>
  <c r="AF220"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Korduła Grzegorz BANK</author>
    <author>tc={331165E5-5981-4BD7-B959-E025E151AC91}</author>
    <author>Janina Marszał-Siwakowska</author>
  </authors>
  <commentList>
    <comment ref="E4" authorId="0" shapeId="0" xr:uid="{00000000-0006-0000-0000-000001000000}">
      <text>
        <r>
          <rPr>
            <sz val="9"/>
            <color indexed="81"/>
            <rFont val="Tahoma"/>
            <family val="2"/>
            <charset val="238"/>
          </rPr>
          <t>Uwnioskowanie o pożyczkę z ubezpieczeniem możliwe jest tylko w placówce bankowej lub w bankowości elektronicznej</t>
        </r>
      </text>
    </comment>
    <comment ref="E8" authorId="1" shapeId="0" xr:uid="{331165E5-5981-4BD7-B959-E025E151AC91}">
      <text>
        <t xml:space="preserve">[Komentarz podzielony na wątki]
Używana wersja programu Excel umożliwia odczytanie tego komentarza podzielonego na wątki, jednak wszelkie wprowadzone w nim zmiany zostaną usunięte po otwarciu pliku w nowszej wersji programu Excel. Dowiedz się więcej: https://go.microsoft.com/fwlink/?linkid=870924
Komentarz:
    oprocentowanie/marża w przypadku pożyczek powyżej 30 tys. zł z konsolidacją min. 30 tys. zł zobowiązań kredytowych z innych banków </t>
      </text>
    </comment>
    <comment ref="E11" authorId="0" shapeId="0" xr:uid="{00000000-0006-0000-0000-000004000000}">
      <text>
        <r>
          <rPr>
            <b/>
            <sz val="9"/>
            <color indexed="81"/>
            <rFont val="Tahoma"/>
            <family val="2"/>
            <charset val="238"/>
          </rPr>
          <t xml:space="preserve">Jeżeli Klient będzie pożyczkę spłacał z rachunku oszczędnościowo-rozliczeniowego - należy każdorazowo wpisać koszt 1 lub 3 miesięcznego prowadzenia tego rachunku.
Miesięczne kwoty prowizji dla rachunku oszczędnościowo-rozliczeniowego
Konto z Lwem Direct PLN – 0 zł
Konto z Lwem  Studenta  - 2 zł
KONTO Z LWEM Klasyczne - 13 zł
Konto z Lwem Komfort – 15 zł
Konto z Lwem Active - 45 zł
 Konto z Lwem Mobi - 0zł
Jeżeli Klient będzie wnioskował w asyście w MOJE ING:  wpisz jedną miesięczną opłatę za prowadzenie rachunku oszczędnościowo-rozliczeniowego
Jeżeli KLient nie będzie wnioskował w MOJE ING  – wpisz sumę 3 opłat za prowadzenie rachunku oszczędnościowo-rozliczeniowego
</t>
        </r>
      </text>
    </comment>
    <comment ref="E13" authorId="0" shapeId="0" xr:uid="{00000000-0006-0000-0000-000005000000}">
      <text>
        <r>
          <rPr>
            <sz val="9"/>
            <color indexed="81"/>
            <rFont val="Tahoma"/>
            <family val="2"/>
            <charset val="238"/>
          </rPr>
          <t xml:space="preserve"> </t>
        </r>
        <r>
          <rPr>
            <b/>
            <sz val="9"/>
            <color indexed="81"/>
            <rFont val="Tahoma"/>
            <family val="2"/>
            <charset val="238"/>
          </rPr>
          <t>oprocentowanie stałe</t>
        </r>
        <r>
          <rPr>
            <sz val="9"/>
            <color indexed="81"/>
            <rFont val="Tahoma"/>
            <family val="2"/>
            <charset val="238"/>
          </rPr>
          <t xml:space="preserve"> - dla pożyczek, których okres spłaty wskazany w umowie nie przekracza 36 miesięcy (36 rat)
 </t>
        </r>
        <r>
          <rPr>
            <b/>
            <sz val="9"/>
            <color indexed="81"/>
            <rFont val="Tahoma"/>
            <family val="2"/>
            <charset val="238"/>
          </rPr>
          <t>oprocentowanie zmienne</t>
        </r>
        <r>
          <rPr>
            <sz val="9"/>
            <color indexed="81"/>
            <rFont val="Tahoma"/>
            <family val="2"/>
            <charset val="238"/>
          </rPr>
          <t xml:space="preserve"> - dla pożyczek, których okres spłaty wskazany  w umowie przekracza 36 miesięcy (powyżej 36 rat) – obowiązuje od początku trwania umowy</t>
        </r>
      </text>
    </comment>
    <comment ref="E19" authorId="0" shapeId="0" xr:uid="{00000000-0006-0000-0000-000006000000}">
      <text>
        <r>
          <rPr>
            <sz val="9"/>
            <color indexed="81"/>
            <rFont val="Tahoma"/>
            <family val="2"/>
            <charset val="238"/>
          </rPr>
          <t xml:space="preserve">Wpisz dzień miesiąca, w którym Klient chce spłacać ratę.
</t>
        </r>
      </text>
    </comment>
    <comment ref="E24" authorId="2" shapeId="0" xr:uid="{00000000-0006-0000-0000-000007000000}">
      <text>
        <r>
          <rPr>
            <b/>
            <sz val="10"/>
            <color indexed="81"/>
            <rFont val="Tahoma"/>
            <family val="2"/>
            <charset val="238"/>
          </rPr>
          <t xml:space="preserve">Wpisz </t>
        </r>
        <r>
          <rPr>
            <b/>
            <sz val="10"/>
            <color indexed="12"/>
            <rFont val="Tahoma"/>
            <family val="2"/>
            <charset val="238"/>
          </rPr>
          <t>łączny dochód osób będących kredytobiorcami</t>
        </r>
        <r>
          <rPr>
            <b/>
            <sz val="10"/>
            <color indexed="81"/>
            <rFont val="Tahoma"/>
            <family val="2"/>
            <charset val="238"/>
          </rPr>
          <t xml:space="preserve"> na wniosku. 
Pamiętaj !!! W ofercie standardowej </t>
        </r>
        <r>
          <rPr>
            <b/>
            <sz val="10"/>
            <color indexed="12"/>
            <rFont val="Tahoma"/>
            <family val="2"/>
            <charset val="238"/>
          </rPr>
          <t>okres osiągania dochodów</t>
        </r>
        <r>
          <rPr>
            <b/>
            <sz val="10"/>
            <color indexed="81"/>
            <rFont val="Tahoma"/>
            <family val="2"/>
            <charset val="238"/>
          </rPr>
          <t xml:space="preserve"> nie może być krótszy niż </t>
        </r>
        <r>
          <rPr>
            <b/>
            <sz val="10"/>
            <color indexed="12"/>
            <rFont val="Tahoma"/>
            <family val="2"/>
            <charset val="238"/>
          </rPr>
          <t>okres kredytowania</t>
        </r>
        <r>
          <rPr>
            <b/>
            <sz val="10"/>
            <color indexed="81"/>
            <rFont val="Tahoma"/>
            <family val="2"/>
            <charset val="238"/>
          </rPr>
          <t xml:space="preserve">. 
Jeżeli klient korzysta z </t>
        </r>
        <r>
          <rPr>
            <b/>
            <sz val="10"/>
            <color indexed="18"/>
            <rFont val="Tahoma"/>
            <family val="2"/>
            <charset val="238"/>
          </rPr>
          <t xml:space="preserve">oferty personalizowanej
</t>
        </r>
        <r>
          <rPr>
            <b/>
            <sz val="10"/>
            <color indexed="81"/>
            <rFont val="Tahoma"/>
            <family val="2"/>
            <charset val="238"/>
          </rPr>
          <t xml:space="preserve">wpisz </t>
        </r>
        <r>
          <rPr>
            <b/>
            <sz val="10"/>
            <color indexed="12"/>
            <rFont val="Tahoma"/>
            <family val="2"/>
            <charset val="238"/>
          </rPr>
          <t>niższy</t>
        </r>
        <r>
          <rPr>
            <b/>
            <sz val="10"/>
            <color indexed="81"/>
            <rFont val="Tahoma"/>
            <family val="2"/>
            <charset val="238"/>
          </rPr>
          <t xml:space="preserve"> spośród dochodów: 
</t>
        </r>
        <r>
          <rPr>
            <b/>
            <sz val="10"/>
            <color indexed="12"/>
            <rFont val="Tahoma"/>
            <family val="2"/>
            <charset val="238"/>
          </rPr>
          <t>oświadczony przez Klienta</t>
        </r>
        <r>
          <rPr>
            <b/>
            <sz val="10"/>
            <color indexed="81"/>
            <rFont val="Tahoma"/>
            <family val="2"/>
            <charset val="238"/>
          </rPr>
          <t xml:space="preserve"> lub </t>
        </r>
        <r>
          <rPr>
            <b/>
            <sz val="10"/>
            <color indexed="12"/>
            <rFont val="Tahoma"/>
            <family val="2"/>
            <charset val="238"/>
          </rPr>
          <t>oszacowany przez Bank</t>
        </r>
        <r>
          <rPr>
            <b/>
            <sz val="10"/>
            <color indexed="81"/>
            <rFont val="Tahoma"/>
            <family val="2"/>
            <charset val="238"/>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agnieszka gidek</author>
    <author xml:space="preserve">Janina Marszał-Siwakowska </author>
  </authors>
  <commentList>
    <comment ref="R11" authorId="0" shapeId="0" xr:uid="{00000000-0006-0000-0300-000001000000}">
      <text>
        <r>
          <rPr>
            <b/>
            <sz val="8"/>
            <color indexed="81"/>
            <rFont val="Tahoma"/>
            <family val="2"/>
            <charset val="238"/>
          </rPr>
          <t>pożyczka max brutto</t>
        </r>
        <r>
          <rPr>
            <sz val="8"/>
            <color indexed="81"/>
            <rFont val="Tahoma"/>
            <family val="2"/>
            <charset val="238"/>
          </rPr>
          <t xml:space="preserve">
</t>
        </r>
      </text>
    </comment>
    <comment ref="S11" authorId="0" shapeId="0" xr:uid="{00000000-0006-0000-0300-000002000000}">
      <text>
        <r>
          <rPr>
            <b/>
            <sz val="8"/>
            <color indexed="81"/>
            <rFont val="Tahoma"/>
            <family val="2"/>
            <charset val="238"/>
          </rPr>
          <t>pożyczka max brutto</t>
        </r>
        <r>
          <rPr>
            <sz val="8"/>
            <color indexed="81"/>
            <rFont val="Tahoma"/>
            <family val="2"/>
            <charset val="238"/>
          </rPr>
          <t xml:space="preserve">
</t>
        </r>
      </text>
    </comment>
    <comment ref="I12" authorId="0" shapeId="0" xr:uid="{00000000-0006-0000-0300-000003000000}">
      <text>
        <r>
          <rPr>
            <sz val="8"/>
            <color indexed="81"/>
            <rFont val="Tahoma"/>
            <family val="2"/>
            <charset val="238"/>
          </rPr>
          <t xml:space="preserve">suma zaangażowań niezabezpieczonych
</t>
        </r>
      </text>
    </comment>
    <comment ref="I13" authorId="0" shapeId="0" xr:uid="{00000000-0006-0000-0300-000004000000}">
      <text>
        <r>
          <rPr>
            <b/>
            <sz val="8"/>
            <color indexed="81"/>
            <rFont val="Tahoma"/>
            <family val="2"/>
            <charset val="238"/>
          </rPr>
          <t>miesięczne obciążenia</t>
        </r>
        <r>
          <rPr>
            <sz val="8"/>
            <color indexed="81"/>
            <rFont val="Tahoma"/>
            <family val="2"/>
            <charset val="238"/>
          </rPr>
          <t xml:space="preserve">
</t>
        </r>
      </text>
    </comment>
    <comment ref="S13" authorId="1" shapeId="0" xr:uid="{00000000-0006-0000-0300-000005000000}">
      <text>
        <r>
          <rPr>
            <b/>
            <sz val="10"/>
            <color indexed="81"/>
            <rFont val="Tahoma"/>
            <family val="2"/>
            <charset val="238"/>
          </rPr>
          <t xml:space="preserve">wyjątki dla paczek
</t>
        </r>
        <r>
          <rPr>
            <sz val="10"/>
            <color indexed="81"/>
            <rFont val="Tahoma"/>
            <family val="2"/>
            <charset val="238"/>
          </rPr>
          <t xml:space="preserve">
</t>
        </r>
      </text>
    </comment>
    <comment ref="L14" authorId="0" shapeId="0" xr:uid="{00000000-0006-0000-0300-000006000000}">
      <text>
        <r>
          <rPr>
            <sz val="8"/>
            <color indexed="81"/>
            <rFont val="Tahoma"/>
            <family val="2"/>
            <charset val="238"/>
          </rPr>
          <t xml:space="preserve">Krotność dochodu:
18 - klient stały;
6 - klient pozostały;
3 - oferta prescoringowa.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agnieszka gidek</author>
  </authors>
  <commentList>
    <comment ref="E5" authorId="0" shapeId="0" xr:uid="{00000000-0006-0000-0900-000001000000}">
      <text>
        <r>
          <rPr>
            <b/>
            <sz val="8"/>
            <color indexed="81"/>
            <rFont val="Tahoma"/>
            <family val="2"/>
            <charset val="238"/>
          </rPr>
          <t>zobowiązanie miesięczne</t>
        </r>
        <r>
          <rPr>
            <sz val="8"/>
            <color indexed="81"/>
            <rFont val="Tahoma"/>
            <family val="2"/>
            <charset val="238"/>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Korduła Grzegorz BANK</author>
  </authors>
  <commentList>
    <comment ref="D7" authorId="0" shapeId="0" xr:uid="{00000000-0006-0000-0A00-000001000000}">
      <text>
        <r>
          <rPr>
            <sz val="9"/>
            <color indexed="81"/>
            <rFont val="Tahoma"/>
            <family val="2"/>
            <charset val="238"/>
          </rPr>
          <t>Wydatki związane z utrzymaniem gospodarstwa domowego, w skład których wchodzą co najmniej następujące pozycje kosztowe: żywność, eksploatacja mieszkania, edukacja, odzież i obuwie, ochrona zdrowia, higiena, transport i łączność.</t>
        </r>
      </text>
    </comment>
    <comment ref="C56" authorId="0" shapeId="0" xr:uid="{00000000-0006-0000-0A00-000002000000}">
      <text>
        <r>
          <rPr>
            <b/>
            <sz val="9"/>
            <color indexed="81"/>
            <rFont val="Tahoma"/>
            <family val="2"/>
            <charset val="238"/>
          </rPr>
          <t>Pozostałe wydatki,</t>
        </r>
        <r>
          <rPr>
            <sz val="9"/>
            <color indexed="81"/>
            <rFont val="Tahoma"/>
            <family val="2"/>
            <charset val="238"/>
          </rPr>
          <t xml:space="preserve"> np..: alimenty, indywidualnie opłacane składki na ubezpieczenie społeczne, renty, odszkodowania, itp.
</t>
        </r>
        <r>
          <rPr>
            <b/>
            <sz val="9"/>
            <color indexed="81"/>
            <rFont val="Tahoma"/>
            <family val="2"/>
            <charset val="238"/>
          </rPr>
          <t>Składki na ubezpieczenie społeczne</t>
        </r>
        <r>
          <rPr>
            <sz val="9"/>
            <color indexed="81"/>
            <rFont val="Tahoma"/>
            <family val="2"/>
            <charset val="238"/>
          </rPr>
          <t xml:space="preserve"> należy wpisać, jeśli Kredytobiorca </t>
        </r>
        <r>
          <rPr>
            <b/>
            <sz val="9"/>
            <color indexed="81"/>
            <rFont val="Tahoma"/>
            <family val="2"/>
            <charset val="238"/>
          </rPr>
          <t>uzyskuje dochód wyłącznie z działalności gospodarczej</t>
        </r>
        <r>
          <rPr>
            <sz val="9"/>
            <color indexed="81"/>
            <rFont val="Tahoma"/>
            <family val="2"/>
            <charset val="238"/>
          </rPr>
          <t xml:space="preserve"> i nie uwzględnia ich w kosztach uzyskania dochodu.</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L27" authorId="0" shapeId="0" xr:uid="{00000000-0006-0000-0D00-000001000000}">
      <text>
        <r>
          <rPr>
            <b/>
            <sz val="10"/>
            <color indexed="81"/>
            <rFont val="Tahoma"/>
            <family val="2"/>
            <charset val="238"/>
          </rPr>
          <t>LP obliczane na podstawie _NrRaty i_NrWiersza0</t>
        </r>
      </text>
    </comment>
    <comment ref="Q27" authorId="0" shapeId="0" xr:uid="{00000000-0006-0000-0D00-000002000000}">
      <text>
        <r>
          <rPr>
            <b/>
            <sz val="10"/>
            <color indexed="81"/>
            <rFont val="Tahoma"/>
            <family val="2"/>
            <charset val="238"/>
          </rPr>
          <t>patrz komórka i5</t>
        </r>
      </text>
    </comment>
    <comment ref="AA27" authorId="0" shapeId="0" xr:uid="{00000000-0006-0000-0D00-000003000000}">
      <text>
        <r>
          <rPr>
            <b/>
            <sz val="10"/>
            <color indexed="81"/>
            <rFont val="Tahoma"/>
            <family val="2"/>
            <charset val="238"/>
          </rPr>
          <t>patrz komórka i7</t>
        </r>
      </text>
    </comment>
    <comment ref="AY27" authorId="0" shapeId="0" xr:uid="{00000000-0006-0000-0D00-000004000000}">
      <text>
        <r>
          <rPr>
            <b/>
            <sz val="10"/>
            <color indexed="81"/>
            <rFont val="Tahoma"/>
            <family val="2"/>
            <charset val="238"/>
          </rPr>
          <t>patrz komórka i7</t>
        </r>
      </text>
    </comment>
    <comment ref="AH29" authorId="0" shapeId="0" xr:uid="{00000000-0006-0000-0D00-000005000000}">
      <text>
        <r>
          <rPr>
            <b/>
            <sz val="10"/>
            <color indexed="81"/>
            <rFont val="Tahoma"/>
            <family val="2"/>
            <charset val="238"/>
          </rPr>
          <t>Obciazenia klienta/
(1+SzukaneRRSO)^(suma Cn)</t>
        </r>
      </text>
    </comment>
    <comment ref="BF29" authorId="0" shapeId="0" xr:uid="{00000000-0006-0000-0D00-000006000000}">
      <text>
        <r>
          <rPr>
            <b/>
            <sz val="10"/>
            <color indexed="81"/>
            <rFont val="Tahoma"/>
            <family val="2"/>
            <charset val="238"/>
          </rPr>
          <t>Obciazenia klienta/
(1+SzukaneRRSO)^(suma Cn)</t>
        </r>
      </text>
    </comment>
    <comment ref="N30" authorId="0" shapeId="0" xr:uid="{00000000-0006-0000-0D00-000007000000}">
      <text>
        <r>
          <rPr>
            <b/>
            <sz val="10"/>
            <color indexed="81"/>
            <rFont val="Tahoma"/>
            <family val="2"/>
            <charset val="238"/>
          </rPr>
          <t>cofanie dat do obliczeń pomocniczych</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Tochowicz Jacek BANK</author>
  </authors>
  <commentList>
    <comment ref="A62" authorId="0" shapeId="0" xr:uid="{00000000-0006-0000-0E00-000001000000}">
      <text>
        <r>
          <rPr>
            <b/>
            <sz val="9"/>
            <color indexed="81"/>
            <rFont val="Tahoma"/>
            <family val="2"/>
            <charset val="238"/>
          </rPr>
          <t>Tochowicz Jacek BANK:</t>
        </r>
        <r>
          <rPr>
            <sz val="9"/>
            <color indexed="81"/>
            <rFont val="Tahoma"/>
            <family val="2"/>
            <charset val="238"/>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AF10" authorId="0" shapeId="0" xr:uid="{00000000-0006-0000-1000-000001000000}">
      <text>
        <r>
          <rPr>
            <sz val="10"/>
            <color indexed="81"/>
            <rFont val="Tahoma"/>
            <family val="2"/>
            <charset val="238"/>
          </rPr>
          <t>Uwzględnia bufor na zmienną stopę</t>
        </r>
        <r>
          <rPr>
            <sz val="10"/>
            <color indexed="81"/>
            <rFont val="Tahoma"/>
            <family val="2"/>
            <charset val="238"/>
          </rPr>
          <t xml:space="preserve">
</t>
        </r>
      </text>
    </comment>
    <comment ref="AK19" authorId="0" shapeId="0" xr:uid="{00000000-0006-0000-1000-000002000000}">
      <text>
        <r>
          <rPr>
            <b/>
            <sz val="10"/>
            <color indexed="81"/>
            <rFont val="Tahoma"/>
            <family val="2"/>
            <charset val="238"/>
          </rPr>
          <t>bez zaokr.</t>
        </r>
      </text>
    </comment>
    <comment ref="AK23" authorId="0" shapeId="0" xr:uid="{00000000-0006-0000-1000-000003000000}">
      <text>
        <r>
          <rPr>
            <b/>
            <sz val="10"/>
            <color indexed="81"/>
            <rFont val="Tahoma"/>
            <family val="2"/>
            <charset val="238"/>
          </rPr>
          <t>bez zaokr.</t>
        </r>
      </text>
    </comment>
    <comment ref="Z30" authorId="0" shapeId="0" xr:uid="{00000000-0006-0000-1000-000004000000}">
      <text>
        <r>
          <rPr>
            <b/>
            <sz val="10"/>
            <color indexed="81"/>
            <rFont val="Tahoma"/>
            <family val="2"/>
            <charset val="238"/>
          </rPr>
          <t>Ślad:
wpisanie do ilu rat doszła petla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T10" authorId="0" shapeId="0" xr:uid="{00000000-0006-0000-1100-000001000000}">
      <text>
        <r>
          <rPr>
            <sz val="10"/>
            <color indexed="81"/>
            <rFont val="Tahoma"/>
            <family val="2"/>
            <charset val="238"/>
          </rPr>
          <t>Uwzględnia bufor na zmienną stopę</t>
        </r>
        <r>
          <rPr>
            <sz val="10"/>
            <color indexed="81"/>
            <rFont val="Tahoma"/>
            <family val="2"/>
            <charset val="238"/>
          </rPr>
          <t xml:space="preserve">
</t>
        </r>
      </text>
    </comment>
    <comment ref="Z10" authorId="0" shapeId="0" xr:uid="{00000000-0006-0000-1100-000002000000}">
      <text>
        <r>
          <rPr>
            <b/>
            <sz val="10"/>
            <color indexed="81"/>
            <rFont val="Tahoma"/>
            <family val="2"/>
            <charset val="238"/>
          </rPr>
          <t>nie uwzględniane we wzorach</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Korduła Grzegorz BANK</author>
    <author xml:space="preserve">Janina Marszał-Siwakowska </author>
  </authors>
  <commentList>
    <comment ref="I1" authorId="0" shapeId="0" xr:uid="{00000000-0006-0000-1B00-000001000000}">
      <text>
        <r>
          <rPr>
            <b/>
            <sz val="9"/>
            <color indexed="81"/>
            <rFont val="Tahoma"/>
            <family val="2"/>
            <charset val="238"/>
          </rPr>
          <t>Korduła Grzegorz BANK:</t>
        </r>
        <r>
          <rPr>
            <sz val="9"/>
            <color indexed="81"/>
            <rFont val="Tahoma"/>
            <family val="2"/>
            <charset val="238"/>
          </rPr>
          <t xml:space="preserve">
zmieniłem 01.04. wcześniej było odwołanie do pola AA199 (pewnie w przypadku kredyowania prowizji)</t>
        </r>
      </text>
    </comment>
    <comment ref="J202" authorId="1" shapeId="0" xr:uid="{00000000-0006-0000-1B00-000002000000}">
      <text>
        <r>
          <rPr>
            <b/>
            <sz val="10"/>
            <color indexed="81"/>
            <rFont val="Tahoma"/>
            <family val="2"/>
            <charset val="238"/>
          </rPr>
          <t xml:space="preserve">Janina Marszał-Siwakowska :
Dla 0%
wybrać NieDotyczy
</t>
        </r>
        <r>
          <rPr>
            <sz val="10"/>
            <color indexed="81"/>
            <rFont val="Tahoma"/>
            <family val="2"/>
            <charset val="238"/>
          </rPr>
          <t>w kolumnie P:
Prowizja kredytowana</t>
        </r>
        <r>
          <rPr>
            <b/>
            <sz val="10"/>
            <color indexed="81"/>
            <rFont val="Tahoma"/>
            <family val="2"/>
            <charset val="238"/>
          </rPr>
          <t xml:space="preserve">
</t>
        </r>
      </text>
    </comment>
    <comment ref="T204" authorId="1" shapeId="0" xr:uid="{00000000-0006-0000-1B00-000003000000}">
      <text>
        <r>
          <rPr>
            <b/>
            <sz val="10"/>
            <color indexed="81"/>
            <rFont val="Tahoma"/>
            <family val="2"/>
            <charset val="238"/>
          </rPr>
          <t>nie zapomniec o rodzajach ubezpiecz</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J201" authorId="0" shapeId="0" xr:uid="{00000000-0006-0000-1D00-000001000000}">
      <text>
        <r>
          <rPr>
            <b/>
            <sz val="10"/>
            <color indexed="81"/>
            <rFont val="Tahoma"/>
            <family val="2"/>
            <charset val="238"/>
          </rPr>
          <t xml:space="preserve">Janina Marszał-Siwakowska :
Dla 0%
wybrać NieDotyczy
</t>
        </r>
        <r>
          <rPr>
            <sz val="10"/>
            <color indexed="81"/>
            <rFont val="Tahoma"/>
            <family val="2"/>
            <charset val="238"/>
          </rPr>
          <t>w kolumnie P:
Prowizja kredytowana</t>
        </r>
        <r>
          <rPr>
            <b/>
            <sz val="10"/>
            <color indexed="81"/>
            <rFont val="Tahoma"/>
            <family val="2"/>
            <charset val="238"/>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agnieszka gidek</author>
  </authors>
  <commentList>
    <comment ref="L2" authorId="0" shapeId="0" xr:uid="{00000000-0006-0000-2000-000001000000}">
      <text>
        <r>
          <rPr>
            <sz val="8"/>
            <color indexed="81"/>
            <rFont val="Tahoma"/>
            <family val="2"/>
            <charset val="238"/>
          </rPr>
          <t xml:space="preserve">Krotność dochodu:
18 - klient stały;
6 - klient pozostały;
3 - oferta prescoringowa.
</t>
        </r>
      </text>
    </comment>
  </commentList>
</comments>
</file>

<file path=xl/sharedStrings.xml><?xml version="1.0" encoding="utf-8"?>
<sst xmlns="http://schemas.openxmlformats.org/spreadsheetml/2006/main" count="7370" uniqueCount="2459">
  <si>
    <t>STANDARDOWA</t>
  </si>
  <si>
    <t>POZOSTAŁY</t>
  </si>
  <si>
    <t>BEZ ZABEZPIECZENIA</t>
  </si>
  <si>
    <t>BEZ UBEZPIECZENIA</t>
  </si>
  <si>
    <t>Rodzaj Oferty</t>
  </si>
  <si>
    <t>Oprocentowanie</t>
  </si>
  <si>
    <t>Prowizja</t>
  </si>
  <si>
    <t xml:space="preserve">Z UBEZPIECZENIEM </t>
  </si>
  <si>
    <t>Rodzaj Pożyczki</t>
  </si>
  <si>
    <t>Status Klienta</t>
  </si>
  <si>
    <t>Zabezpieczenie</t>
  </si>
  <si>
    <t>brak oferty</t>
  </si>
  <si>
    <t>Okres kredytowania do</t>
  </si>
  <si>
    <t>Złączony tekst</t>
  </si>
  <si>
    <t>RRSO</t>
  </si>
  <si>
    <t>BRAK OFERTY</t>
  </si>
  <si>
    <t>do kalkulatora wpisał użytkownik</t>
  </si>
  <si>
    <t>odpowiedzi do użytkownika</t>
  </si>
  <si>
    <t>KOMUNIKATY</t>
  </si>
  <si>
    <t>ograniczenia</t>
  </si>
  <si>
    <t>szczeg oferty</t>
  </si>
  <si>
    <t>SUMARYCZNIE OGRANICZENIA</t>
  </si>
  <si>
    <t>zgoda współmałżonka</t>
  </si>
  <si>
    <t>Info3
max KWOTA</t>
  </si>
  <si>
    <t>Opcje Wyboru</t>
  </si>
  <si>
    <t>PRESCORING-OWA</t>
  </si>
  <si>
    <t>INFORMACJE</t>
  </si>
  <si>
    <t>WSP Ubezpieczenia</t>
  </si>
  <si>
    <t>SUGEROWANA MAX KWOTA NETTO</t>
  </si>
  <si>
    <t>max limit zaangażowan niezabezp</t>
  </si>
  <si>
    <t>info o przekroczonym max lim</t>
  </si>
  <si>
    <t>RODZAJ POŻYCZKI</t>
  </si>
  <si>
    <t>RODZAJ OFERTY</t>
  </si>
  <si>
    <t>ZABEZPIECZENIE</t>
  </si>
  <si>
    <t>STATUS KLIENTA</t>
  </si>
  <si>
    <t>WNIOSKOWANA KWOTA POŻYCZKI</t>
  </si>
  <si>
    <t>PROWIZJA (%)</t>
  </si>
  <si>
    <t>PROWIZJA (KWOTA)</t>
  </si>
  <si>
    <t>OPROCENTOWANIE POŻYCZKI</t>
  </si>
  <si>
    <t>KWOTA UBEZPIECZENIA</t>
  </si>
  <si>
    <t>KWOTA POŻYCZKI Z OPŁATAMI</t>
  </si>
  <si>
    <t>WYSOKOŚĆ MIESIĘCZNEJ RATY</t>
  </si>
  <si>
    <t>DOCHÓD NETTO</t>
  </si>
  <si>
    <t>ILOŚĆ OSÓB W RODZINIE</t>
  </si>
  <si>
    <t>DATA URUCHOMIENIA</t>
  </si>
  <si>
    <t>ZDOLNOŚĆ</t>
  </si>
  <si>
    <t>MAKSYMALNA KWOTA KREDYTU</t>
  </si>
  <si>
    <t>x</t>
  </si>
  <si>
    <t>Minimalny dochód Kontrola</t>
  </si>
  <si>
    <t>Info Minimalny dochód</t>
  </si>
  <si>
    <t>zobowiąz</t>
  </si>
  <si>
    <t>ilosc os w rodz</t>
  </si>
  <si>
    <t>gdy</t>
  </si>
  <si>
    <t xml:space="preserve">będzie </t>
  </si>
  <si>
    <t>zależała</t>
  </si>
  <si>
    <t xml:space="preserve">od </t>
  </si>
  <si>
    <t>rodz</t>
  </si>
  <si>
    <t>oferty</t>
  </si>
  <si>
    <t>odpowiedzi</t>
  </si>
  <si>
    <t>info z innych arkuszy</t>
  </si>
  <si>
    <t>podał użytkownik</t>
  </si>
  <si>
    <t>min</t>
  </si>
  <si>
    <t>max</t>
  </si>
  <si>
    <t>wspolcz</t>
  </si>
  <si>
    <t>dochod</t>
  </si>
  <si>
    <t>zobow</t>
  </si>
  <si>
    <t>ilosc_os</t>
  </si>
  <si>
    <t>koszt/1osobę</t>
  </si>
  <si>
    <t>oprocentowanie</t>
  </si>
  <si>
    <t>okres kredyt</t>
  </si>
  <si>
    <t>zdolność</t>
  </si>
  <si>
    <t>potencjał</t>
  </si>
  <si>
    <t>DZIEŃ NIETYPOWY SPŁATY</t>
  </si>
  <si>
    <t>DATA PIERWSZEJ RATY</t>
  </si>
  <si>
    <t xml:space="preserve"> -netto   </t>
  </si>
  <si>
    <t>LICZBA RAT W MIESIĄCACH</t>
  </si>
  <si>
    <t>RATY:</t>
  </si>
  <si>
    <t>poz netto</t>
  </si>
  <si>
    <t>poz brutto</t>
  </si>
  <si>
    <t>Lp.</t>
  </si>
  <si>
    <t>sum kr zabez</t>
  </si>
  <si>
    <t>czy liczymy zdolność
1 lub 0</t>
  </si>
  <si>
    <t>brutto</t>
  </si>
  <si>
    <t>netto</t>
  </si>
  <si>
    <t>wpisz liczbę KREDYTÓW:</t>
  </si>
  <si>
    <t>INNE OBCIĄŻENIA</t>
  </si>
  <si>
    <t>sum zaangaż niezab</t>
  </si>
  <si>
    <t>Procent limitu</t>
  </si>
  <si>
    <t>SUMA</t>
  </si>
  <si>
    <t>Nie liczymy zdolności kredytowej, wymagany dochód 400 zł !</t>
  </si>
  <si>
    <t>//info o max miesiącach kredytowania</t>
  </si>
  <si>
    <t>koment1
ZABEZP</t>
  </si>
  <si>
    <t>//do komunikatów</t>
  </si>
  <si>
    <t xml:space="preserve">info o max limicie/
</t>
  </si>
  <si>
    <t>//ogr w ramach produktu</t>
  </si>
  <si>
    <t>//ogr max limit zaangażowań niezabezpieczonych</t>
  </si>
  <si>
    <t>max limit niezabezp po uwzględnieniu 
ograniczeń prod i 
dochodów klienta</t>
  </si>
  <si>
    <t>wymagana
krotność
doch do 
kw poż</t>
  </si>
  <si>
    <t>//ogr klienta - dochód * krotność klienta</t>
  </si>
  <si>
    <t>//min (dochód; max limit)</t>
  </si>
  <si>
    <t>Uwaga!!! Zdolność klienta pozwala na udzielenie mu NIŻSZEJ kwoty!</t>
  </si>
  <si>
    <t>Klient nie może otrzymać wybranego produktu!!!</t>
  </si>
  <si>
    <t>potencjał brutto</t>
  </si>
  <si>
    <t>potencjał netto</t>
  </si>
  <si>
    <t xml:space="preserve">max pożyczka </t>
  </si>
  <si>
    <t>//zaangaż niezab</t>
  </si>
  <si>
    <t>//poz brutto</t>
  </si>
  <si>
    <t>//poz netto</t>
  </si>
  <si>
    <t>//z zabezp</t>
  </si>
  <si>
    <t>//po uwzględnieniu zaang niezabezp</t>
  </si>
  <si>
    <t>komunikaty</t>
  </si>
  <si>
    <t>zaokrąglenia poz max z zabezp</t>
  </si>
  <si>
    <t>zaokrąglenia poz max bez zabezp</t>
  </si>
  <si>
    <t xml:space="preserve">Klient posiada inne zaangażowania niezabezpieczone. </t>
  </si>
  <si>
    <t>rata</t>
  </si>
  <si>
    <t>//obciazenia</t>
  </si>
  <si>
    <t>//zdolność;jeśli rata większa od zdolności</t>
  </si>
  <si>
    <t>MIN kwota pożyczki</t>
  </si>
  <si>
    <t>Ilość rat</t>
  </si>
  <si>
    <t>Data uruchom</t>
  </si>
  <si>
    <t>Data pierwszej spłaty</t>
  </si>
  <si>
    <t>Rata</t>
  </si>
  <si>
    <t>Data</t>
  </si>
  <si>
    <t>K</t>
  </si>
  <si>
    <t>JEŻELI(ORAZ(H8&lt;&gt;H13;DOD1!G1&lt;&gt;1);JEŻELI(DOD1!I3&lt;&gt;1;JEŻELI(S7&lt;&gt;E8;JEŻELI(LUB(D13=D10;S7&gt;0);S5;R5);0);"Kwota możliwa do zaoferowania klientowi jest niższa od minimalnej kwoty wybranego produktu: ");0)</t>
  </si>
  <si>
    <t>BYŁO_W_83</t>
  </si>
  <si>
    <t>kontrola MAX kwota produktu</t>
  </si>
  <si>
    <t>//brutto max</t>
  </si>
  <si>
    <t>//kl_wn_brutto</t>
  </si>
  <si>
    <t>prescoring komunikat</t>
  </si>
  <si>
    <t>?</t>
  </si>
  <si>
    <t>Saldo</t>
  </si>
  <si>
    <t>Data Spłaty</t>
  </si>
  <si>
    <t>Q</t>
  </si>
  <si>
    <t>1/Q</t>
  </si>
  <si>
    <t>Kapitał_SOWK</t>
  </si>
  <si>
    <t>Rata_SOWK</t>
  </si>
  <si>
    <t>Odsetki_SOWK</t>
  </si>
  <si>
    <t>KWOTA RATY W PLN</t>
  </si>
  <si>
    <t>an</t>
  </si>
  <si>
    <t>an/rok</t>
  </si>
  <si>
    <t>bn/rok</t>
  </si>
  <si>
    <t>an/rok+bn/rok</t>
  </si>
  <si>
    <t>Klient</t>
  </si>
  <si>
    <t>Bank</t>
  </si>
  <si>
    <t>Dzień spłaty</t>
  </si>
  <si>
    <t>Rodz transakcji</t>
  </si>
  <si>
    <t>R</t>
  </si>
  <si>
    <t xml:space="preserve">bn </t>
  </si>
  <si>
    <t>dni w roku_RRSO</t>
  </si>
  <si>
    <t xml:space="preserve">RRSO </t>
  </si>
  <si>
    <t>//liczba miesięcy do pierwszej raty</t>
  </si>
  <si>
    <t>// różnica</t>
  </si>
  <si>
    <t>czy oferta prescoringowa</t>
  </si>
  <si>
    <t>przyznaną kwotę pożyczki, liczbę rat, datę uruchomienia, dzień spłaty.</t>
  </si>
  <si>
    <t>W celu obliczenia wysokości raty oraz RRSO należy wpisać w odpowiednie pola:</t>
  </si>
  <si>
    <t>//kl_wn_netto</t>
  </si>
  <si>
    <t>//netto max</t>
  </si>
  <si>
    <t>ŁĄCZNE KOSZTY z UBEZPIECZENIEM</t>
  </si>
  <si>
    <t>ŁĄCZNE KOSZTY ( Prowizja i odsetki )</t>
  </si>
  <si>
    <t xml:space="preserve">   </t>
  </si>
  <si>
    <t>CAŁKOWITA KWOTA DO SPŁATY</t>
  </si>
  <si>
    <t>SUMA ODSETEK</t>
  </si>
  <si>
    <t>STAŁE</t>
  </si>
  <si>
    <t>X</t>
  </si>
  <si>
    <t>rodz.oferty_wydruk</t>
  </si>
  <si>
    <t>Z UBEZPIECZENIEM</t>
  </si>
  <si>
    <t>//PIERWSZA RATA</t>
  </si>
  <si>
    <t>KLUCZ</t>
  </si>
  <si>
    <t>bufor na oprocentowanie</t>
  </si>
  <si>
    <t>RODZAJ OPROCENTOWANIA:</t>
  </si>
  <si>
    <t>i</t>
  </si>
  <si>
    <t>WYDATKI GOSP. DOMOWEGO</t>
  </si>
  <si>
    <t>ZMIENNE</t>
  </si>
  <si>
    <t xml:space="preserve"> </t>
  </si>
  <si>
    <t xml:space="preserve">Kwota możliwa do zaoferowania klientowi jest niższa od minimalnej kwoty wybranego produktu: </t>
  </si>
  <si>
    <t>OFERTA :</t>
  </si>
  <si>
    <t>KREDYTOWANA PROWIZJA</t>
  </si>
  <si>
    <t>KREDYTOWANE UBEZPIECZENIE</t>
  </si>
  <si>
    <t>BROKERSKI</t>
  </si>
  <si>
    <t>PARAMETR rok przestepny</t>
  </si>
  <si>
    <t>NIE</t>
  </si>
  <si>
    <t>Q dla rat</t>
  </si>
  <si>
    <t>1/Q dla rat</t>
  </si>
  <si>
    <t>0%_STANDARDOWA</t>
  </si>
  <si>
    <t>0%_MEGA_POŻYCZKA</t>
  </si>
  <si>
    <t>WYBIERZ lub WPISZ CK Oddziału:</t>
  </si>
  <si>
    <t>kwota netto:</t>
  </si>
  <si>
    <t>kwota brutto:</t>
  </si>
  <si>
    <t>Typ Oprocentow:</t>
  </si>
  <si>
    <t>Zmienne</t>
  </si>
  <si>
    <t>prowizja w proc:</t>
  </si>
  <si>
    <t>Wybrano uruchomienie na ROR</t>
  </si>
  <si>
    <t>prowizja w zł:</t>
  </si>
  <si>
    <t>Prowizja kredytowana:</t>
  </si>
  <si>
    <t>NieDotyczy</t>
  </si>
  <si>
    <t>WYBIERZ z listy: Formularz dla</t>
  </si>
  <si>
    <t>1.Oferty dla Klienta</t>
  </si>
  <si>
    <t>ubezpieczenie kwota całkowita:</t>
  </si>
  <si>
    <t>Ubezpieczenie kredytowane (dla Całkowitej Kwoty Ubezpiecz):</t>
  </si>
  <si>
    <t>umowa od::</t>
  </si>
  <si>
    <t>Składowe Kredytowane:</t>
  </si>
  <si>
    <t>Sporządzono w &lt;Nazwa miejscowości&gt;:</t>
  </si>
  <si>
    <t>umowa do:</t>
  </si>
  <si>
    <t>Wym Zabezpieczenie</t>
  </si>
  <si>
    <t>Partner nazwa:</t>
  </si>
  <si>
    <t>dzień nietypowy</t>
  </si>
  <si>
    <t>Wartość RRSO</t>
  </si>
  <si>
    <t>Partner Siedziba:</t>
  </si>
  <si>
    <t>ilość rat</t>
  </si>
  <si>
    <t>&lt;całkowita do zapłatyu&gt;</t>
  </si>
  <si>
    <t>data uruchomienia:</t>
  </si>
  <si>
    <t>kwota raty</t>
  </si>
  <si>
    <t>data pierwzej raty:</t>
  </si>
  <si>
    <t>całkowite odsetki</t>
  </si>
  <si>
    <t>&lt;całkowity koszt kredytu&gt;</t>
  </si>
  <si>
    <t>FORMULARZ INFORMACYJNY DOTYCZĄCY KREDYTU KONSUMENCKIEGO</t>
  </si>
  <si>
    <t>??</t>
  </si>
  <si>
    <t>u</t>
  </si>
  <si>
    <t>1. Imię, nazwisko (nazwa) i adres (siedziba) kredytodawcy lub pośrednika kredytowego</t>
  </si>
  <si>
    <t xml:space="preserve">
Kredytodawca:</t>
  </si>
  <si>
    <t xml:space="preserve">Dane identyfikacyjne:  </t>
  </si>
  <si>
    <t>ING Bank Śląski SA</t>
  </si>
  <si>
    <t>NIP  634-013-54-75</t>
  </si>
  <si>
    <t>KRS 0000005459</t>
  </si>
  <si>
    <t>Kapitał zakładowy - 130 100 000,00 zł</t>
  </si>
  <si>
    <t>Kapitał wpłacony - 130 100 000,00 zł</t>
  </si>
  <si>
    <t>Sąd Rejonowy Katowice - Wschód Wydział VIII Gospodarczy Krajowego Rejestru Sądowego</t>
  </si>
  <si>
    <r>
      <t xml:space="preserve">SWIFT (BIC) – INGBPLPW            </t>
    </r>
    <r>
      <rPr>
        <sz val="10"/>
        <rFont val="Calibri"/>
        <family val="2"/>
        <charset val="238"/>
      </rPr>
      <t xml:space="preserve">                                 </t>
    </r>
  </si>
  <si>
    <t xml:space="preserve">(Adres, z którego ma korzystać konsument)      </t>
  </si>
  <si>
    <t>"ING Bank Śląski SA"</t>
  </si>
  <si>
    <t>u1</t>
  </si>
  <si>
    <t>u2</t>
  </si>
  <si>
    <t>u3</t>
  </si>
  <si>
    <t xml:space="preserve">Adres:   (siedziba)                 </t>
  </si>
  <si>
    <t xml:space="preserve">ING Bank Śląski SA                                                                                                                                                                                    </t>
  </si>
  <si>
    <t>Ul. Sokolska 34</t>
  </si>
  <si>
    <t>40-086   Katowice</t>
  </si>
  <si>
    <t>Numer telefonu:</t>
  </si>
  <si>
    <t>801 222 222  (telefony stacjonarne i komórkowe)</t>
  </si>
  <si>
    <t>(informacja ta ma charakter opcjonalny)</t>
  </si>
  <si>
    <t xml:space="preserve">+48 (32) 357 00 69  (telefony stacjonarne i komórkowe) </t>
  </si>
  <si>
    <t>Adres poczty elektronicznej:
(informacja ta ma charakter opcjonalny)</t>
  </si>
  <si>
    <t>Numer faksu:
(informacja ta ma charakter opcjonalny)</t>
  </si>
  <si>
    <t>Adres strony internetowej:
(informacja ta ma charakter opcjonalny)</t>
  </si>
  <si>
    <t>www.ingbank.pl</t>
  </si>
  <si>
    <r>
      <rPr>
        <b/>
        <sz val="3"/>
        <rFont val="Calibri"/>
        <family val="2"/>
        <charset val="238"/>
      </rPr>
      <t xml:space="preserve"> 
 </t>
    </r>
    <r>
      <rPr>
        <b/>
        <sz val="10"/>
        <rFont val="Calibri"/>
        <family val="2"/>
        <charset val="238"/>
      </rPr>
      <t xml:space="preserve">Pośrednik kredytowy:* </t>
    </r>
  </si>
  <si>
    <t xml:space="preserve">Dane identyfikacyjne:   </t>
  </si>
  <si>
    <t>(Adres, z którego ma korzystać konsument)</t>
  </si>
  <si>
    <t>ALBO ADRES ALBO NIE DOTYCZY</t>
  </si>
  <si>
    <t>ul. Nazwa numer      kod pocztowy Miejscowość</t>
  </si>
  <si>
    <t xml:space="preserve">Adres: 
(siedziba)                 </t>
  </si>
  <si>
    <t>Numer telefonu:
(informacja ta ma charakter opcjonalny)</t>
  </si>
  <si>
    <t>2. Opis głównych cech kredytu</t>
  </si>
  <si>
    <t>Rodzaj kredytu</t>
  </si>
  <si>
    <t>Pożyczka Pieniężna</t>
  </si>
  <si>
    <r>
      <rPr>
        <b/>
        <sz val="10"/>
        <rFont val="Calibri"/>
        <family val="2"/>
        <charset val="238"/>
      </rPr>
      <t>Całkowita kwota kredytu</t>
    </r>
    <r>
      <rPr>
        <sz val="10"/>
        <rFont val="Calibri"/>
        <family val="2"/>
        <charset val="238"/>
      </rPr>
      <t xml:space="preserve">
Suma wszystkich środków pieniężnych, które zostaną Panu/Pani udostępnione</t>
    </r>
  </si>
  <si>
    <r>
      <t xml:space="preserve">Terminy i sposób wypłaty kredytu.
</t>
    </r>
    <r>
      <rPr>
        <sz val="10"/>
        <rFont val="Calibri"/>
        <family val="2"/>
        <charset val="238"/>
      </rPr>
      <t>W jaki sposób i w jakim terminie otrzyma Pan/Pani środki pieniężne</t>
    </r>
  </si>
  <si>
    <t>Czas obowiązywania umowy</t>
  </si>
  <si>
    <t xml:space="preserve">
Zasady i terminy spłaty kredytu</t>
  </si>
  <si>
    <t>łączenie tekstów</t>
  </si>
  <si>
    <t>Zadłużenie Pożyczkobiorcy wobec Banku będzie zaspokajane niezależnie od formy spłaty i dyspozycji Pożyczkobiorcy – według następującej kolejności:</t>
  </si>
  <si>
    <t>1) koszty windykacji wierzytelności, w tym: koszty wezwań do zapłaty i koszty sądowe,</t>
  </si>
  <si>
    <t>2) prowizje i opłaty;</t>
  </si>
  <si>
    <t>3) należności przeterminowane według następującej kolejności:</t>
  </si>
  <si>
    <t>a) odsetki podwyższone zadłużenia przeterminowanego,</t>
  </si>
  <si>
    <t>b) odsetki zwykłe (umowne) przeterminowane,</t>
  </si>
  <si>
    <t>c) kapitał przeterminowany,</t>
  </si>
  <si>
    <t>4) należności wymagalne według następującej kolejności:</t>
  </si>
  <si>
    <t>a) odsetki zwykłe (umowne) wymagalne,</t>
  </si>
  <si>
    <t>b) kapitał wymagalny.</t>
  </si>
  <si>
    <r>
      <t>Całkowita kwota do zapłaty przez  konsumenta</t>
    </r>
    <r>
      <rPr>
        <sz val="10"/>
        <rFont val="Calibri"/>
        <family val="2"/>
        <charset val="238"/>
      </rPr>
      <t xml:space="preserve">
Jest to suma wszystkich środków pieniężnych, które kredytodawca udostępnia Panu/Pani oraz wszelkie koszty, które zobowiązany/a będzie Pan/Pani ponieść w związku z umową o kredyt</t>
    </r>
  </si>
  <si>
    <r>
      <rPr>
        <b/>
        <sz val="10"/>
        <rFont val="Calibri"/>
        <family val="2"/>
        <charset val="238"/>
      </rPr>
      <t xml:space="preserve"> Kredyt wiązany lub w formie odroczonej
płatności*</t>
    </r>
    <r>
      <rPr>
        <sz val="10"/>
        <rFont val="Calibri"/>
        <family val="2"/>
        <charset val="238"/>
      </rPr>
      <t xml:space="preserve">
– opis towaru lub usługi:
– cena: </t>
    </r>
  </si>
  <si>
    <t>nie dotyczy</t>
  </si>
  <si>
    <t>Wymagane zabezpieczenia kredytu*</t>
  </si>
  <si>
    <t xml:space="preserve">
Zabezpieczenie jakie będzie Pan/Pani musiał/a przedstawić w związku z umową o kredyt</t>
  </si>
  <si>
    <t>Informacja czy umowa o kredyt przewiduje gwarancję spłaty całkowitej kwoty kredytu wypłaconej na jej podstawie*</t>
  </si>
  <si>
    <t xml:space="preserve">Jeżeli zgodnie z postanowieniami umowy  o kredyt, płatności dokonywane przez Pana/Panią nie są  zaliczane do spłaty całkowitej kwoty kredytu, ale będą wykorzystywane do zgromadzenia kapitału przez okresy i na zasadach określonych w umowie o kredyt lub w umowie dodatkowej, to umowa o kredyt nie przewiduje gwarancji spłaty całkowitej kwoty kredytu wypłaconej na jej podstawie.
</t>
  </si>
  <si>
    <t>3. Koszty kredytu</t>
  </si>
  <si>
    <t>Stopa oprocentowania kredytu oraz
warunki jej zmiany</t>
  </si>
  <si>
    <t>Zmienna stopa procentowa może zostać zmieniona przez Bank w przypadku wystąpienia 
co najmniej jednej z niżej wskazanych okoliczności:
1. zmianie ulegnie, co najmniej jedna ze stóp procentowych ustalanych lub ogłaszanych przez Narodowy Bank Polski (NBP), w tym Radę Polityki Pieniężnej takich jak stopa dyskontowa lub redyskontowa lub kredytu refinansowego lub kredytu lombardowego,
2. zmianie ulegnie ogłaszany przez Główny Urząd Statystyczny (GUS) którykolwiek wskaźnik wzrostu cen towarów i usług konsumpcyjnych, o co najmniej +/- 0,3 punktu procentowego w stosunku do poprzednio ogłaszanych wskaźników za analogiczny okres (roczny, kwartalny lub miesięczny) ,
3. zmianie ulegnie stopa WIBOR dla jednomiesięcznych lokat na rynku międzybankowym, o co najmniej +/- 0,02 punktu procentowego w stosunku do poprzednio ogłoszonej stopy przyjętej na koniec dnia roboczego w porównaniu do jakiegokolwiek dnia roboczego 
w okresie poprzednich 6 miesięcy,
4. zmianie ulegnie poziom rezerw obowiązkowych lub odpisów ustalonych przez Radę Polityki Pieniężnej lub inny właściwy organ,
5. zmianie ulegnie rentowność rocznych bonów skarbowych emitowanych przez Skarb Państwa, o co najmniej +/- 0,1 punktu procentowego w stosunku do poprzednio ogłoszonej/publikowanej rentowności,
6. zmianie ulegnie oprocentowanie obligacji emitowanych przez Skarb Państwa,
7. Bank będzie zobowiązany do utworzenia rezerw lub odpisów nieprzewidzianych w przepisach prawa w dacie zawarcia Umowy lub do zapłaty obowiązkowych opłat lub podatków lub innych kosztów, do zapłaty których nie był zobowiązany w dacie zawarcia Umowy.</t>
  </si>
  <si>
    <t xml:space="preserve">Wskazane powyżej obliczenie zostało wykonane w oparciu o informacje podane przez Pożyczkobiorcę dotyczące składników preferowanego przez Pożyczkobiorcą kredytu, wobec czego nie stosuje się reprezentatywnego przykładu. 
</t>
  </si>
  <si>
    <t>znika gdy w D5=1.Oferty dla Kienta
w makrze D80</t>
  </si>
  <si>
    <t xml:space="preserve"> - założenia przyjęte do obliczenia rzeczywistej rocznej stopy oprocentowania:</t>
  </si>
  <si>
    <t>1. odstępy czasu między datami przyjętymi dla obliczenia rzeczywistej rocznej stopy oprocentowania są zawsze równe rzeczywistej liczbie dni i wyrażane są w latach lub w ułamkach roku, przy czym rok liczy 365 dni (366 dni w przypadku lat przestępnych),
2. wynik obliczeń podawany jest z dokładnością do dwóch miejsc po przecinku,</t>
  </si>
  <si>
    <t>jeśli brak daty uruchomienia i daty spłaty rat prezentowane są następujące założenia lub gdy reprezentatywny przykład:</t>
  </si>
  <si>
    <t>dla reprezentatywnego przykladu będzie to data wsteczna</t>
  </si>
  <si>
    <t>zostawić gdy jest ubezpieczenie</t>
  </si>
  <si>
    <t>gdy ubezpieczenie nie dotyczy</t>
  </si>
  <si>
    <r>
      <t xml:space="preserve">Obowiązek zawarcia umowy dodatkowej
</t>
    </r>
    <r>
      <rPr>
        <sz val="10"/>
        <rFont val="Calibri"/>
        <family val="2"/>
        <charset val="238"/>
      </rPr>
      <t xml:space="preserve">Do uzyskania kredytu konieczne jest zawarcie przez Pana/Panią umowy dodatkowej w szczególności umowy ubezpieczenia lub innej umowy
</t>
    </r>
  </si>
  <si>
    <t>obszar fiolet dopasowanie</t>
  </si>
  <si>
    <t>zrodlo I5, czyli FkredytowaneUbezpiecz</t>
  </si>
  <si>
    <t>– rodzaj ubezpieczenia oraz jego koszt:</t>
  </si>
  <si>
    <t>obowiązek skorzystania z usługi dodatkowej: Tak/nie
- Nie
rodzaj usługi dodatkowej oraz jej koszt:
- Nie dotyczy</t>
  </si>
  <si>
    <t>Koszty, które zobowiązany/a będzie Pan/Pani ponieść w związku z umową o kredyt*</t>
  </si>
  <si>
    <t>Koszty prowadzenia jednego lub kilku rachunków w celu dokonywania wpłat i wypłat środków pieniężnych*</t>
  </si>
  <si>
    <t>Koszty korzystania z kart kredytowych*</t>
  </si>
  <si>
    <t>Inne koszty, które konsument zobowiązany jest ponieść w związku z umową*</t>
  </si>
  <si>
    <t>Warunki, na jakich koszty związane z umową o kredyt mogą ulegać zmianie*</t>
  </si>
  <si>
    <t>6. wprowadzenie nowych lub zmiana zakresu dotychczas świadczonych usług, zgodnie z zasadami określonymi w Umowie lub Ogólnych warunkach, 
7. wprowadzenie nowych przepisów prawa określających zasady świadczenia usług lub wykonywania czynności przez Bank lub określających obowiązki Banku związane z świadczeniem tych usług lub wykonywaniem czynności.</t>
  </si>
  <si>
    <t>Opłaty notarialne*</t>
  </si>
  <si>
    <r>
      <t xml:space="preserve">Skutek braku płatności
</t>
    </r>
    <r>
      <rPr>
        <sz val="10"/>
        <rFont val="Calibri"/>
        <family val="2"/>
        <charset val="238"/>
      </rPr>
      <t>Skutki braku płatności mogą być dla Pana/Pani następujące:</t>
    </r>
  </si>
  <si>
    <t>3. koszty w tym opłaty i wpisy określone w obowiązujących przepisach prawa dotyczące postępowań sądowych i postępowań zabezpieczających lub egzekucyjnych.
 - stopa oprocentowania zadłużenia przeterminowanego: 
Niespłacenie przez Pożyczkobiorcę raty pożyczki w terminie ustalonym w Umowie albo spłacenie jej w niepełnej wysokości powoduje uznanie niespłaconej należności za zadłużenie przeterminowane. Od zadłużenia przeterminowanego z tytułu kapitału Bank pobiera odsetki podwyższone.</t>
  </si>
  <si>
    <t>odsetki karne</t>
  </si>
  <si>
    <t>Odsetki podwyższone naliczane są według zmiennej stopy procentowej w wysokości czterokrotności stopy kredytu lombardowego Narodowego Banku Polskiego (NBP). W przypadku zmiany wysokości stopy kredytu lombardowego NBP wysokość odsetek podwyższonych ulega automatycznej zmianie tak, iż zawsze wynosi czterokrotność stopy kredytu lombardowego NBP.  Informacja o zmianie wysokości odsetek podwyższonych przekazywana jest Pożyczkobiorcy w formie komunikatu umieszczanego na stronie internetowej Banku: www.ingbank.pl.
Brak płatności skutkuje także powstaniem po stronie Banku uprawnienia do wypowiedzenia umowy pożyczki z zachowaniem 30-dniowego terminu wypowiedzenia.</t>
  </si>
  <si>
    <t>4. Inne ważne informacje:</t>
  </si>
  <si>
    <r>
      <t>Odstąpienie od umowy</t>
    </r>
    <r>
      <rPr>
        <sz val="10"/>
        <rFont val="Calibri"/>
        <family val="2"/>
        <charset val="238"/>
      </rPr>
      <t xml:space="preserve">
W terminie 14 dni od dnia zawarcia umowy ma Pan/Pani prawo do odstąpienia od umowy:</t>
    </r>
  </si>
  <si>
    <r>
      <t xml:space="preserve">Tak/nie
</t>
    </r>
    <r>
      <rPr>
        <b/>
        <sz val="10"/>
        <rFont val="Calibri"/>
        <family val="2"/>
        <charset val="238"/>
      </rPr>
      <t>Tak</t>
    </r>
    <r>
      <rPr>
        <sz val="10"/>
        <rFont val="Calibri"/>
        <family val="2"/>
        <charset val="238"/>
      </rPr>
      <t xml:space="preserve">
</t>
    </r>
  </si>
  <si>
    <r>
      <t>Spłata kredytu przed terminem określonym w umowie</t>
    </r>
    <r>
      <rPr>
        <sz val="10"/>
        <rFont val="Calibri"/>
        <family val="2"/>
        <charset val="238"/>
      </rPr>
      <t xml:space="preserve">
Ma Pan/Pani prawo w każdym czasie do spłaty całości lub części kredytu przed terminem określonym w umowie</t>
    </r>
  </si>
  <si>
    <t>Przedterminowej częściowej lub całkowitej spłaty pożyczki należy dokonać na wskazany w umowie rachunek. Przedterminowa częściowa spłata jest przeznaczana na zmniejszenie kapitału pozostającego do spłaty i skutkuje skróceniem okresu kredytowania i nie zmienia wysokości ustalonych rat pożyczki.</t>
  </si>
  <si>
    <t>Uprawnienie kredytodawcy do zastrzeżenia prowizji za spłatę kredytu przed terminem*</t>
  </si>
  <si>
    <t>W przypadku spłaty kredytu przed terminem określonym w umowie poniesie Pan/Pani następujące koszty:
Nie dotyczy</t>
  </si>
  <si>
    <r>
      <t xml:space="preserve">Sprawdzenie w bazie danych .
</t>
    </r>
    <r>
      <rPr>
        <sz val="10"/>
        <rFont val="Calibri"/>
        <family val="2"/>
        <charset val="238"/>
      </rPr>
      <t>Jeżeli kredytodawca odmówi Panu/Pani udzielenia kredytu konsumenckiego na podstawie informacji zawartych w bazie danych kredytodawca niezwłocznie zobowiązany jest przekazać Panu/Pani bezpłatną informację o wynikach tego sprawdzenia oraz wskazać bazę danych, w której tego sprawdzenia dokonano</t>
    </r>
  </si>
  <si>
    <r>
      <t>Prawo do otrzymania projektu umowy o kredyt</t>
    </r>
    <r>
      <rPr>
        <sz val="10"/>
        <rFont val="Calibri"/>
        <family val="2"/>
        <charset val="238"/>
      </rPr>
      <t xml:space="preserve">
Ma Pan/Pani prawo do otrzymania, na wniosek, bezpłatnego projektu umowy o kredyt konsumencki, jeżeli w ocenie kredytodawcy spełnia Pan/Pani warunki do udzielenia kredytu konsumenckiego.</t>
    </r>
    <r>
      <rPr>
        <b/>
        <sz val="10"/>
        <rFont val="Calibri"/>
        <family val="2"/>
        <charset val="238"/>
      </rPr>
      <t xml:space="preserve">
</t>
    </r>
  </si>
  <si>
    <t>Ma Pan/Pani prawo do bezpłatnego otrzymania egzemplarza projektu umowy o kredyt.
W przypadku, gdy w ocenie Banku spełni Pan/Pani warunki do udzielenia kredytu konsumenckiego zostanie Panu/Pani na Pana/Pani wniosek wydany bezpłatny egzemplarz projektu umowy o kredyt.</t>
  </si>
  <si>
    <t>Czas obowiązywania formularza*</t>
  </si>
  <si>
    <t>data bieżąca</t>
  </si>
  <si>
    <r>
      <t xml:space="preserve">5. Dodatkowe informacje podawane w przypadku sprzedaży usług finansowych na odległość
</t>
    </r>
    <r>
      <rPr>
        <sz val="10"/>
        <rFont val="Calibri"/>
        <family val="2"/>
        <charset val="238"/>
      </rPr>
      <t>a) dane kredytodawcy</t>
    </r>
  </si>
  <si>
    <t>Kredytodawca:*</t>
  </si>
  <si>
    <t>Dane identyfikacyjne:
(Adres, z którego ma korzystać konsument)</t>
  </si>
  <si>
    <t xml:space="preserve">Adres: (siedziba)                 </t>
  </si>
  <si>
    <r>
      <t>Numer telefonu:</t>
    </r>
    <r>
      <rPr>
        <sz val="10"/>
        <rFont val="Calibri"/>
        <family val="2"/>
        <charset val="238"/>
      </rPr>
      <t xml:space="preserve">
(informacja ta ma charakter opcjonalny)</t>
    </r>
  </si>
  <si>
    <r>
      <t>Adres poczty elektronicznej:</t>
    </r>
    <r>
      <rPr>
        <sz val="10"/>
        <rFont val="Calibri"/>
        <family val="2"/>
        <charset val="238"/>
      </rPr>
      <t xml:space="preserve">
(informacja ta ma charakter opcjonalny)</t>
    </r>
  </si>
  <si>
    <r>
      <t>Numer faksu:</t>
    </r>
    <r>
      <rPr>
        <sz val="10"/>
        <rFont val="Calibri"/>
        <family val="2"/>
        <charset val="238"/>
      </rPr>
      <t xml:space="preserve">
(informacja ta ma charakter opcjonalny)</t>
    </r>
  </si>
  <si>
    <r>
      <t>Adres strony internetowej:*</t>
    </r>
    <r>
      <rPr>
        <sz val="10"/>
        <rFont val="Calibri"/>
        <family val="2"/>
        <charset val="238"/>
      </rPr>
      <t xml:space="preserve">
(informacja ta ma charakter opcjonalny)</t>
    </r>
  </si>
  <si>
    <t>Rejestr*</t>
  </si>
  <si>
    <t>(Wskazanie organu, który zarejestrował działalność kredytodawcy wraz z podaniem numeru w tym rejestrze)
nie dotyczy</t>
  </si>
  <si>
    <t>Organ nadzoru*</t>
  </si>
  <si>
    <t>b) dane dotyczące umowy</t>
  </si>
  <si>
    <t>Odstąpienie od umowy*</t>
  </si>
  <si>
    <r>
      <t>Wybór prawa właściwego*</t>
    </r>
    <r>
      <rPr>
        <sz val="10"/>
        <rFont val="Calibri"/>
        <family val="2"/>
        <charset val="238"/>
      </rPr>
      <t xml:space="preserve">
Do zawartej z Panem/Panią umowy o kredyt będzie miało zastosowanie prawo:</t>
    </r>
  </si>
  <si>
    <t>Postanowienie umowy dotyczące wyboru prawa właściwego*</t>
  </si>
  <si>
    <t>Wskazanie właściwego postanowienia umowy: 
nie dotyczy</t>
  </si>
  <si>
    <t>Język umowy*</t>
  </si>
  <si>
    <t>Za Pana/Pani zgodą w okresie obowiązywania umowy o kredyt zamierzamy się z Panem/Panią porozumiewać w języku: 
nie dotyczy</t>
  </si>
  <si>
    <t>c) dane dotyczące odwołań</t>
  </si>
  <si>
    <t>Pozasądowe rozstrzyganie sporów</t>
  </si>
  <si>
    <t>* Kredytodawca lub pośrednik kredytowy wypełnia odpowiednie pole, w przypadku gdy informacja dotyczy danego kredytu, lub wskazuje, że dana informacja tego rodzaju kredytu nie dotyczy.</t>
  </si>
  <si>
    <t>KONIEC FORMULARZA INFORMACYJNEGO DOTYCZĄCEGO KREDYTU KONSUMENCKIEGO</t>
  </si>
  <si>
    <t>Formularz informacyjny dotyczący kredytu konsumenckiego (Formularz) przygotowany został przez ING Bank Śląski SA z siedzibą w Katowicach kod 40-086 ul. Sokolska 34 (BANK), wpisany do rejestru prowadzonego przez Sąd Rejonowy w Katowicach, Wydział Gospodarczy Krajowego Rejestru Sądowego KRS Nr 0000005459, NIP 634-013-54-75, Kapitał zakładowy i wpłacony  130.100.000zł, na podstawie oświadczeń lub informacji przedstawionych Bankowi przez Konsumenta  i jest aktualny na dzień jego sporządzenia.</t>
  </si>
  <si>
    <t>W przypadku, gdy Pożyczkobiorca zmieni oświadczenia lub  informację  stanowiące podstawę dla danych zawartych w niniejszym Formularzu zmianie ulegnie treść Formularza, w tym dane/ wyliczenia lub informacje w nim zmieszczone.    
Formularz, do którego załączono niniejszą klauzulę nie jest ofertą w rozumieniu przepisów prawa. Został on opracowany przy zachowaniu należytej staranności Banku jednak  dane zamieszczone w ewentualnie zawartej przez Pożyczkobiorcę umowie z Bankiem mogą się różnić od danych wskazanych w tym formularzu, z uwagi na życzenie klienta, inne informacje stanowiące podstawę wyliczeń lub z uwagi na dzień zawarcia umowy różny od daty sporządzenia Formularza. W przypadku, gdy Pożyczkobiorca podał Bankowi dane osobowe są one przetwarzane przez Bank w celu czynności przygotowawczych poprzedzających zawarcie umowy w szczególności oceny wniosku kredytowego, w celu oceny zdolności lub wiarygodności kredytowej przez czas wynikający z przepisów prawa. Dane zostały podane dobrowolnie i mogą być przekazywane podmiotom uprawnionym na podstawie przepisów prawa. Ma Pan/Pani prawo do dostępu do swoich danych i ich poprawiania, o ile są nieaktualne lub niezgodne ze stanem rzeczywistym</t>
  </si>
  <si>
    <t>Terminy i sposób wypłaty kredytu</t>
  </si>
  <si>
    <t>Wypłata kredytu nastąpi na rachunek oszczędnościowo rozliczeniowy Pożyczkobiorcy</t>
  </si>
  <si>
    <t>Wybrano uruchomienie na Atrapę</t>
  </si>
  <si>
    <t>Wypłata kredytu nastąpi gotówką  w kasie Banku.</t>
  </si>
  <si>
    <t>Nie wskazano sposobu uruchomienia</t>
  </si>
  <si>
    <t>Wypłata kredytu może mieć miejsce na :
1) rachunek oszczędnościowo rozliczeniowy Pożyczkobiorcy lub
2) gotówką  w kasie Banku.</t>
  </si>
  <si>
    <t>brak warunków przed uruchomieniem</t>
  </si>
  <si>
    <t xml:space="preserve">Wypłata kredytu nastąpi w dniu wskazanym w umowie , a w przypadku braku wskazania daty do czterech dni roboczych od dnia zawarcia umowy. W przypadku, gdy umowa kredytu przewidywać będzie warunki uruchomienia kredytu wówczas uruchomienie  nastąpi po spełnieniu tych warunków przez Pożyczkobiorcę. </t>
  </si>
  <si>
    <t>Tekst_stopa</t>
  </si>
  <si>
    <t>Stałe</t>
  </si>
  <si>
    <t>stałej</t>
  </si>
  <si>
    <t>stałą</t>
  </si>
  <si>
    <t>zmiennej</t>
  </si>
  <si>
    <t>zmienną</t>
  </si>
  <si>
    <t>OBSZAR</t>
  </si>
  <si>
    <t>UKRYWANIE ODKRYWANIE</t>
  </si>
  <si>
    <t>Zasady i terminy spłaty kredytu</t>
  </si>
  <si>
    <r>
      <t>jeżeli występuje</t>
    </r>
    <r>
      <rPr>
        <b/>
        <sz val="10"/>
        <color indexed="30"/>
        <rFont val="Arial"/>
        <family val="2"/>
        <charset val="238"/>
      </rPr>
      <t xml:space="preserve"> ubezpieczenie wówczas dodatkowo poniższy zapis</t>
    </r>
  </si>
  <si>
    <t>poniżej wsadowe</t>
  </si>
  <si>
    <t>Wiersze   601-1065</t>
  </si>
  <si>
    <t>ID_SL_PLACOWKA</t>
  </si>
  <si>
    <t>OPIS_PLACOWKI</t>
  </si>
  <si>
    <t>TYP_PLACOWKI</t>
  </si>
  <si>
    <t>MIASTO</t>
  </si>
  <si>
    <t>KOD_MIASTO</t>
  </si>
  <si>
    <t>ULICA_NR</t>
  </si>
  <si>
    <t>PARTNERNAZWA</t>
  </si>
  <si>
    <t>PARTNERNAZWISKO</t>
  </si>
  <si>
    <t>PARTNERNAZWISKOIMIE</t>
  </si>
  <si>
    <t>PARTNERSIEDZIBA</t>
  </si>
  <si>
    <t>Oddział w Bielsku Białej</t>
  </si>
  <si>
    <t>Oddział</t>
  </si>
  <si>
    <t>Bielsko-Biała</t>
  </si>
  <si>
    <t>43-300 Bielsko-Biała</t>
  </si>
  <si>
    <t>Plac Bolesława Chrobrego 1</t>
  </si>
  <si>
    <t>Oddział w Kętach</t>
  </si>
  <si>
    <t>Kęty</t>
  </si>
  <si>
    <t>32-650 Kęty</t>
  </si>
  <si>
    <t>Kościuszki 15</t>
  </si>
  <si>
    <t>Oddział w Cieszynie</t>
  </si>
  <si>
    <t>Cieszyn</t>
  </si>
  <si>
    <t>43-400 Cieszyn</t>
  </si>
  <si>
    <t>Mennicza 1</t>
  </si>
  <si>
    <t>Oddział w Wadowicach</t>
  </si>
  <si>
    <t>Wadowice</t>
  </si>
  <si>
    <t>34-100 Wadowice</t>
  </si>
  <si>
    <t>Plac Jana Pawła II 19</t>
  </si>
  <si>
    <t>Oddział w Ustroniu</t>
  </si>
  <si>
    <t>Ustroń</t>
  </si>
  <si>
    <t>43-450 Ustroń</t>
  </si>
  <si>
    <t>Daszyńskiego 6</t>
  </si>
  <si>
    <t>Oddział w Czechowicach - Dziedzicach</t>
  </si>
  <si>
    <t>Czechowice-Dziedzice</t>
  </si>
  <si>
    <t>43-502 Czechowice-Dziedzice</t>
  </si>
  <si>
    <t>Niepodległości 10 a</t>
  </si>
  <si>
    <t>Oddział w Pszczynie</t>
  </si>
  <si>
    <t>Pszczyna</t>
  </si>
  <si>
    <t>43-200 Pszczyna</t>
  </si>
  <si>
    <t>Oddział w Skoczowie</t>
  </si>
  <si>
    <t>Skoczów</t>
  </si>
  <si>
    <t>43-430 Skoczów</t>
  </si>
  <si>
    <t>ul.Rynek 9 i 10</t>
  </si>
  <si>
    <t>Oddział w Żywcu</t>
  </si>
  <si>
    <t>Żywiec</t>
  </si>
  <si>
    <t>34-300 Żywiec</t>
  </si>
  <si>
    <t>Kościuszki 45</t>
  </si>
  <si>
    <t>Oddział w Oświęcimiu</t>
  </si>
  <si>
    <t>Oświęcim</t>
  </si>
  <si>
    <t>32-600 Oświęcim</t>
  </si>
  <si>
    <t>Dąbrowskiego 3</t>
  </si>
  <si>
    <t xml:space="preserve">Oddział w Bielsku-Białej </t>
  </si>
  <si>
    <t>43-382 Bielsko-Biała</t>
  </si>
  <si>
    <t>Cieszyńska 394</t>
  </si>
  <si>
    <t>Oddział w Bielsku-Białej</t>
  </si>
  <si>
    <t>Jutrzenki 24B</t>
  </si>
  <si>
    <t>43-303 Bielsko-Biała</t>
  </si>
  <si>
    <t>Jesionowa 13</t>
  </si>
  <si>
    <t>Oddział w Brzeszczach</t>
  </si>
  <si>
    <t>Brzeszcze</t>
  </si>
  <si>
    <t>32-620 Brzeszcze</t>
  </si>
  <si>
    <t>Dworcowa 3</t>
  </si>
  <si>
    <t>Oddział w Andrychowie</t>
  </si>
  <si>
    <t>Andrychów</t>
  </si>
  <si>
    <t>34-120 Andrychów</t>
  </si>
  <si>
    <t>Włókniarzy 1 a</t>
  </si>
  <si>
    <t>Zespół Zamiejscowej Obsługi Klienta Oddział w Chybiu</t>
  </si>
  <si>
    <t>Chybie</t>
  </si>
  <si>
    <t>43-520 Chybie</t>
  </si>
  <si>
    <t>Bielska 53</t>
  </si>
  <si>
    <t>Oddział w Wiśle</t>
  </si>
  <si>
    <t>Wisła</t>
  </si>
  <si>
    <t>43-460 Wisła</t>
  </si>
  <si>
    <t>1 Maja 59</t>
  </si>
  <si>
    <t>43-301 Bielsko-Biała</t>
  </si>
  <si>
    <t>Wzgórze 19</t>
  </si>
  <si>
    <t>Oddział w Bytomiu</t>
  </si>
  <si>
    <t>Bytom</t>
  </si>
  <si>
    <t>41-902 Bytom</t>
  </si>
  <si>
    <t>Pl.Jana III Sobieskiego 2</t>
  </si>
  <si>
    <t xml:space="preserve">Oddział w Bytomiu </t>
  </si>
  <si>
    <t>Strzelców Bytomskich 1</t>
  </si>
  <si>
    <t>Oddział w Gliwicach</t>
  </si>
  <si>
    <t>Gliwice</t>
  </si>
  <si>
    <t>44-100 Gliwice</t>
  </si>
  <si>
    <t>Rynek 10</t>
  </si>
  <si>
    <t>Zwycięstwa 28</t>
  </si>
  <si>
    <t>Oddział w Tarnowskich Górach</t>
  </si>
  <si>
    <t>Tarnowskie Góry</t>
  </si>
  <si>
    <t>42-600 Tarnowskie Góry</t>
  </si>
  <si>
    <t>Sobieskiego 3</t>
  </si>
  <si>
    <t>Oddział w Piekarach Śląskich</t>
  </si>
  <si>
    <t>Piekary Śląskie</t>
  </si>
  <si>
    <t>41-940 Piekary Śląskie</t>
  </si>
  <si>
    <t>Bytomska 88</t>
  </si>
  <si>
    <t>Oddział w Zabrzu</t>
  </si>
  <si>
    <t>Zabrze</t>
  </si>
  <si>
    <t>41-800 Zabrze</t>
  </si>
  <si>
    <t>Wolności 305</t>
  </si>
  <si>
    <t>Wolności 339</t>
  </si>
  <si>
    <t>41-933 Bytom</t>
  </si>
  <si>
    <t>Strzelców Bytomskich 250 a</t>
  </si>
  <si>
    <t>41-909 Bytom</t>
  </si>
  <si>
    <t>Tatrzańska 2</t>
  </si>
  <si>
    <t>42-680 Tarnowskie Góry</t>
  </si>
  <si>
    <t>Zagórska 83</t>
  </si>
  <si>
    <t>Oddział w Miasteczku Śląskim</t>
  </si>
  <si>
    <t>Miasteczko Śląskie</t>
  </si>
  <si>
    <t>42-610 Miasteczko Śląskie</t>
  </si>
  <si>
    <t>ul.Rynek 8</t>
  </si>
  <si>
    <t xml:space="preserve">Oddział w Pyskowicach </t>
  </si>
  <si>
    <t>Pyskowice</t>
  </si>
  <si>
    <t>44-120 Pyskowice</t>
  </si>
  <si>
    <t>Plac Piłsudskiego 1</t>
  </si>
  <si>
    <t>Dworcowa 12</t>
  </si>
  <si>
    <t>41-908 Bytom</t>
  </si>
  <si>
    <t>Reptowska 53 a</t>
  </si>
  <si>
    <t>Oddział w Knurowie</t>
  </si>
  <si>
    <t>Knurów</t>
  </si>
  <si>
    <t>44-190 Knurów</t>
  </si>
  <si>
    <t>Oddział w Toszku</t>
  </si>
  <si>
    <t>Toszek</t>
  </si>
  <si>
    <t>44-180 Toszek</t>
  </si>
  <si>
    <t>Gliwicka 5</t>
  </si>
  <si>
    <t>Oddział w Radzionkowie</t>
  </si>
  <si>
    <t>Radzionków</t>
  </si>
  <si>
    <t>41-922 Radzionków</t>
  </si>
  <si>
    <t>Św.Wojciecha 2</t>
  </si>
  <si>
    <t xml:space="preserve">Oddział w Radomsku </t>
  </si>
  <si>
    <t>Radomsko</t>
  </si>
  <si>
    <t>97-500 Radomsko</t>
  </si>
  <si>
    <t>Tysiąclecia 1</t>
  </si>
  <si>
    <t>Oddział w Częstochowie</t>
  </si>
  <si>
    <t>Częstochowa</t>
  </si>
  <si>
    <t>42-200 Częstochowa</t>
  </si>
  <si>
    <t>Al.NMP 34 i 36/38</t>
  </si>
  <si>
    <t>Oddział w Lublińcu</t>
  </si>
  <si>
    <t>Lubliniec</t>
  </si>
  <si>
    <t>42-700 Lubliniec</t>
  </si>
  <si>
    <t>Pl.Sienkiewicza 8</t>
  </si>
  <si>
    <t>Oddział w Myszkowie</t>
  </si>
  <si>
    <t>Myszków</t>
  </si>
  <si>
    <t>42-300 Myszków</t>
  </si>
  <si>
    <t>Pułaskiego 12</t>
  </si>
  <si>
    <t>Oddział w Oleśnie</t>
  </si>
  <si>
    <t>Olesno</t>
  </si>
  <si>
    <t>46-300 Olesno</t>
  </si>
  <si>
    <t>Reymonta 3</t>
  </si>
  <si>
    <t xml:space="preserve">Oddział w Praszce </t>
  </si>
  <si>
    <t>Praszka</t>
  </si>
  <si>
    <t>46-320 Praszka</t>
  </si>
  <si>
    <t>Styczniowa 12</t>
  </si>
  <si>
    <t>Oddział w Wieluniu</t>
  </si>
  <si>
    <t>Wieluń</t>
  </si>
  <si>
    <t>98-300 Wieluń</t>
  </si>
  <si>
    <t>Śląska 17/7</t>
  </si>
  <si>
    <t xml:space="preserve">Oddział w Dobrodzieniu </t>
  </si>
  <si>
    <t>Dobrodzień</t>
  </si>
  <si>
    <t>46-380 Dobrodzień</t>
  </si>
  <si>
    <t>Plac Wolności 23</t>
  </si>
  <si>
    <t>Oddział w Poraju</t>
  </si>
  <si>
    <t>Poraj</t>
  </si>
  <si>
    <t>42-297 Poraj</t>
  </si>
  <si>
    <t>Jasna 21</t>
  </si>
  <si>
    <t>Oddział w Koziegłowach</t>
  </si>
  <si>
    <t>Koziegłowy</t>
  </si>
  <si>
    <t>42-350 Koziegłowy</t>
  </si>
  <si>
    <t>Plac Moniuszki 25</t>
  </si>
  <si>
    <t>Al.11 Listopada 7 a</t>
  </si>
  <si>
    <t>Sobieskiego 7</t>
  </si>
  <si>
    <t>Stanowisko Zamiejscowej Obsługi Klienta w Częstochowie</t>
  </si>
  <si>
    <t>Śląska 11/13</t>
  </si>
  <si>
    <t>Oddział w Katowicach</t>
  </si>
  <si>
    <t>Katowice</t>
  </si>
  <si>
    <t>40-487 Katowice</t>
  </si>
  <si>
    <t>Mysłowicka 28</t>
  </si>
  <si>
    <t>40-613 Katowice</t>
  </si>
  <si>
    <t>Gen. Jankego 122</t>
  </si>
  <si>
    <t>40-032 Katowice</t>
  </si>
  <si>
    <t>Pl.Sejmu Śląskiego 2</t>
  </si>
  <si>
    <t xml:space="preserve">Oddział w Katowicach </t>
  </si>
  <si>
    <t>40-752 Katowice</t>
  </si>
  <si>
    <t>40-092 Katowice</t>
  </si>
  <si>
    <t>Mickiewicza 3</t>
  </si>
  <si>
    <t>40-166 Katowice</t>
  </si>
  <si>
    <t>Pl.Gwarków 1</t>
  </si>
  <si>
    <t>Oddział w Tychach</t>
  </si>
  <si>
    <t>Tychy</t>
  </si>
  <si>
    <t>43-100 Tychy</t>
  </si>
  <si>
    <t>Al.Niepodległości 55</t>
  </si>
  <si>
    <t>Oddział w Lędzinach</t>
  </si>
  <si>
    <t>Lędziny</t>
  </si>
  <si>
    <t>43-143 Lędziny</t>
  </si>
  <si>
    <t>Lędzińska 55</t>
  </si>
  <si>
    <t>Oddział w Mikołowie</t>
  </si>
  <si>
    <t>Mikołów</t>
  </si>
  <si>
    <t>43-190 Mikołów</t>
  </si>
  <si>
    <t>Karola Miarki 20</t>
  </si>
  <si>
    <t>Oddział w Łaziskach Górnych</t>
  </si>
  <si>
    <t>Łaziska Górne</t>
  </si>
  <si>
    <t>43-170 Łaziska Górne</t>
  </si>
  <si>
    <t>Spokojna 2</t>
  </si>
  <si>
    <t>Oddział w Orzeszu</t>
  </si>
  <si>
    <t>Orzesze</t>
  </si>
  <si>
    <t>43-180 Orzesze</t>
  </si>
  <si>
    <t>Św. Wawrzyńca 1</t>
  </si>
  <si>
    <t>Oddział w Bieruniu Starym</t>
  </si>
  <si>
    <t>Bieruń Stary</t>
  </si>
  <si>
    <t>43-150 Bieruń Stary</t>
  </si>
  <si>
    <t>ul.Rynek 6</t>
  </si>
  <si>
    <t>Biskupa Burschego 3</t>
  </si>
  <si>
    <t>Al.Bielska 107</t>
  </si>
  <si>
    <t>Al.Niepodległości 31</t>
  </si>
  <si>
    <t>Dmowskiego 7</t>
  </si>
  <si>
    <t>Oddział w Kielcach</t>
  </si>
  <si>
    <t>Kielce</t>
  </si>
  <si>
    <t>25-303 Kielce</t>
  </si>
  <si>
    <t>ul.Rynek 1</t>
  </si>
  <si>
    <t>25-547 Kielce</t>
  </si>
  <si>
    <t>Warszawska 147</t>
  </si>
  <si>
    <t>25-008 Kielce</t>
  </si>
  <si>
    <t>Staszica 3</t>
  </si>
  <si>
    <t>25-501 Kielce</t>
  </si>
  <si>
    <t>Sienkiewicza 78</t>
  </si>
  <si>
    <t>Oddział w Kazimierzy Wielkiej</t>
  </si>
  <si>
    <t>Kazimierza Wielka</t>
  </si>
  <si>
    <t>28-500 Kazimierza Wielka</t>
  </si>
  <si>
    <t>Tadeusza Kościuszki 1</t>
  </si>
  <si>
    <t>Oddział w Chmielniku</t>
  </si>
  <si>
    <t>Chmielnik</t>
  </si>
  <si>
    <t>26-020 Chmielnik</t>
  </si>
  <si>
    <t>1 Maja 26</t>
  </si>
  <si>
    <t>25-515 Kielce</t>
  </si>
  <si>
    <t>Silniczna 26</t>
  </si>
  <si>
    <t>Oddział w Pińczowie</t>
  </si>
  <si>
    <t>Pińczów</t>
  </si>
  <si>
    <t>28-400 Pińczów</t>
  </si>
  <si>
    <t>Klasztorna 4</t>
  </si>
  <si>
    <t>Oddział w Starachowicach</t>
  </si>
  <si>
    <t>Starachowice</t>
  </si>
  <si>
    <t>27-200 Starachowice</t>
  </si>
  <si>
    <t>Krzosa 4</t>
  </si>
  <si>
    <t>Oddział w Iłży</t>
  </si>
  <si>
    <t>Iłża</t>
  </si>
  <si>
    <t>27-100 Iłża</t>
  </si>
  <si>
    <t>ul.Rynek 11</t>
  </si>
  <si>
    <t>Oddział w Radomiu</t>
  </si>
  <si>
    <t>Radom</t>
  </si>
  <si>
    <t>26-600 Radom</t>
  </si>
  <si>
    <t>Moniuszki 3/5</t>
  </si>
  <si>
    <t>26-610 Radom</t>
  </si>
  <si>
    <t>Poniatowskiego 4</t>
  </si>
  <si>
    <t>Żeromskiego 40</t>
  </si>
  <si>
    <t>Oddział w Lublinie</t>
  </si>
  <si>
    <t>Lublin</t>
  </si>
  <si>
    <t>20-092 Lublin</t>
  </si>
  <si>
    <t>Obywatelska 9</t>
  </si>
  <si>
    <t>20-016 Lublin</t>
  </si>
  <si>
    <t>Narutowicza 50</t>
  </si>
  <si>
    <t>20-601 Lublin</t>
  </si>
  <si>
    <t>T.Zana 39</t>
  </si>
  <si>
    <t>Chrobrego 42</t>
  </si>
  <si>
    <t>Oddział w Opolu</t>
  </si>
  <si>
    <t>Opole</t>
  </si>
  <si>
    <t>45-710 Opole</t>
  </si>
  <si>
    <t>Niemodlińska 21</t>
  </si>
  <si>
    <t xml:space="preserve">Oddział w Opolu </t>
  </si>
  <si>
    <t>45-061 Opole</t>
  </si>
  <si>
    <t>Katowicka 55</t>
  </si>
  <si>
    <t xml:space="preserve">Oddział w Namysłowie </t>
  </si>
  <si>
    <t>Namysłów</t>
  </si>
  <si>
    <t>46-100 Namysłów</t>
  </si>
  <si>
    <t>Partyzantów 1</t>
  </si>
  <si>
    <t>Oddział w Kluczborku</t>
  </si>
  <si>
    <t>Kluczbork</t>
  </si>
  <si>
    <t>46-200 Kluczbork</t>
  </si>
  <si>
    <t>Mickiewicza 14</t>
  </si>
  <si>
    <t>Zwierzyniecka 2</t>
  </si>
  <si>
    <t xml:space="preserve">Oddział w Kędzierzynie-Koźlu </t>
  </si>
  <si>
    <t>Kędzierzyn-Koźle</t>
  </si>
  <si>
    <t>47-200 Kędzierzyn-Koźle</t>
  </si>
  <si>
    <t>Piastowska 14</t>
  </si>
  <si>
    <t xml:space="preserve">Oddział w Krapkowicach </t>
  </si>
  <si>
    <t>Krapkowice</t>
  </si>
  <si>
    <t>47-300 Krapkowice</t>
  </si>
  <si>
    <t>1 Maja 2</t>
  </si>
  <si>
    <t>Oddział w Nysie</t>
  </si>
  <si>
    <t>Nysa</t>
  </si>
  <si>
    <t>48-300 Nysa</t>
  </si>
  <si>
    <t>Piastowska 33</t>
  </si>
  <si>
    <t>Prudnicka 9</t>
  </si>
  <si>
    <t xml:space="preserve">Oddział w Grodkowie </t>
  </si>
  <si>
    <t>Grodków</t>
  </si>
  <si>
    <t>49-200 Grodków</t>
  </si>
  <si>
    <t>Reymonta 7</t>
  </si>
  <si>
    <t xml:space="preserve">Oddział w Strzelcach Opolskich </t>
  </si>
  <si>
    <t>Strzelce Opolskie</t>
  </si>
  <si>
    <t>47-100 Strzelce Opolskie</t>
  </si>
  <si>
    <t>Krakowska 30</t>
  </si>
  <si>
    <t xml:space="preserve">Oddział w Prudniku </t>
  </si>
  <si>
    <t>Prudnik</t>
  </si>
  <si>
    <t>48-200 Prudnik</t>
  </si>
  <si>
    <t>Rynek 8</t>
  </si>
  <si>
    <t>Oddział w Gogolinie</t>
  </si>
  <si>
    <t>Gogolin</t>
  </si>
  <si>
    <t>47-320 Gogolin</t>
  </si>
  <si>
    <t>Strzelecka 1</t>
  </si>
  <si>
    <t>Oddział w Zdzieszowicach</t>
  </si>
  <si>
    <t>Zdzieszowice</t>
  </si>
  <si>
    <t>47-330 Zdzieszowice</t>
  </si>
  <si>
    <t>Powstańców Śląskich</t>
  </si>
  <si>
    <t xml:space="preserve">Oddział w Otmuchowie </t>
  </si>
  <si>
    <t>Otmuchów</t>
  </si>
  <si>
    <t>48-385 Otmuchów</t>
  </si>
  <si>
    <t>Rynek 33</t>
  </si>
  <si>
    <t>Oddział w Brzegu</t>
  </si>
  <si>
    <t>Brzeg</t>
  </si>
  <si>
    <t>49-300 Brzeg</t>
  </si>
  <si>
    <t>Lekarska 2</t>
  </si>
  <si>
    <t>Zespół Zamiejscowej Obsługi Klienta w Choruli</t>
  </si>
  <si>
    <t>Chorula</t>
  </si>
  <si>
    <t>47-316 Chorula</t>
  </si>
  <si>
    <t>Cementowa 1</t>
  </si>
  <si>
    <t>47-220 Kędzierzyn-Koźle</t>
  </si>
  <si>
    <t>Wojska Polskiego 1</t>
  </si>
  <si>
    <t xml:space="preserve">Oddział w Rybniku </t>
  </si>
  <si>
    <t>Rybnik</t>
  </si>
  <si>
    <t>44-217 Rybnik</t>
  </si>
  <si>
    <t>Zebrzydowicka  24 c</t>
  </si>
  <si>
    <t>Oddział w Rybniku</t>
  </si>
  <si>
    <t>44-200 Rybnik</t>
  </si>
  <si>
    <t>Wieniawskiego 3</t>
  </si>
  <si>
    <t>Oddział w Żorach</t>
  </si>
  <si>
    <t>Żory</t>
  </si>
  <si>
    <t>44-244 Żory</t>
  </si>
  <si>
    <t>Bankowa 4</t>
  </si>
  <si>
    <t>Oddział w Wodzisławiu Śląskim</t>
  </si>
  <si>
    <t>Wodzisław Śląski</t>
  </si>
  <si>
    <t>44-300 Wodzisław Śląski</t>
  </si>
  <si>
    <t>Płk.ks.W.Kubsza 27</t>
  </si>
  <si>
    <t>Oddział w Jastrzębiu Zdroju</t>
  </si>
  <si>
    <t>Jastrzębie Zdrój</t>
  </si>
  <si>
    <t>44-335 Jastrzębie Zdrój</t>
  </si>
  <si>
    <t>Mazowiecka 12</t>
  </si>
  <si>
    <t>Oddział w Raciborzu</t>
  </si>
  <si>
    <t>Racibórz</t>
  </si>
  <si>
    <t>47-400 Racibórz</t>
  </si>
  <si>
    <t>Sienkiewicza 2</t>
  </si>
  <si>
    <t>Zespół Zamiejscowej Obsługi Klienta w Żorach</t>
  </si>
  <si>
    <t>44-240 Żory</t>
  </si>
  <si>
    <t>Al.Wojska Polskiego 25</t>
  </si>
  <si>
    <t>Oddział w Czerwionce-Leszczynach</t>
  </si>
  <si>
    <t>Czerwionka-Leszczyny</t>
  </si>
  <si>
    <t>44-230 Czerwionka-Leszczyny</t>
  </si>
  <si>
    <t>Furgoła 8 A</t>
  </si>
  <si>
    <t>Oddział w Kuźni Raciborskiej</t>
  </si>
  <si>
    <t>Kuźnia Raciborska</t>
  </si>
  <si>
    <t>47-420 Kuźnia Raciborska</t>
  </si>
  <si>
    <t>Kościelna 4</t>
  </si>
  <si>
    <t>Oddział w Rydułtowach</t>
  </si>
  <si>
    <t>Rydułtowy</t>
  </si>
  <si>
    <t>44-280 Rydułtowy</t>
  </si>
  <si>
    <t>Ofiar Terroru 23</t>
  </si>
  <si>
    <t>Oddział w Radlinie</t>
  </si>
  <si>
    <t>Radlin</t>
  </si>
  <si>
    <t>44-310 Radlin</t>
  </si>
  <si>
    <t>Korfantego 3</t>
  </si>
  <si>
    <t>Oddział w Pawłowicach</t>
  </si>
  <si>
    <t>Pawłowice</t>
  </si>
  <si>
    <t>43-250 Pawłowice</t>
  </si>
  <si>
    <t>Górnicza 8</t>
  </si>
  <si>
    <t>Oddział w Sosnowcu</t>
  </si>
  <si>
    <t>Sosnowiec</t>
  </si>
  <si>
    <t>41-200 Sosnowiec</t>
  </si>
  <si>
    <t>Żytnia 15</t>
  </si>
  <si>
    <t>41-219 Sosnowiec</t>
  </si>
  <si>
    <t>Braci Mieroszewskich 2</t>
  </si>
  <si>
    <t>41-208 Sosnowiec</t>
  </si>
  <si>
    <t>Wojska Polskiego 25</t>
  </si>
  <si>
    <t>Oddział w Siewierzu</t>
  </si>
  <si>
    <t>Siewierz</t>
  </si>
  <si>
    <t>42-470 Siewierz</t>
  </si>
  <si>
    <t>Rynek 16</t>
  </si>
  <si>
    <t>Partyzantów 5</t>
  </si>
  <si>
    <t>41-214 Sosnowiec</t>
  </si>
  <si>
    <t>Gospodarcza 32</t>
  </si>
  <si>
    <t>Sienkiewicza 3</t>
  </si>
  <si>
    <t>Lenartowicza 104</t>
  </si>
  <si>
    <t>Małachowskiego 7</t>
  </si>
  <si>
    <t>Oddział w Będzinie</t>
  </si>
  <si>
    <t>Będzin</t>
  </si>
  <si>
    <t>42-500 Będzin</t>
  </si>
  <si>
    <t>Sączewskiego 12</t>
  </si>
  <si>
    <t>Oddział w Czeladzi</t>
  </si>
  <si>
    <t>Czeladź</t>
  </si>
  <si>
    <t>41-250 Czeladź</t>
  </si>
  <si>
    <t>Bytomska 2</t>
  </si>
  <si>
    <t>Oddział w Dąbrowie Górniczej</t>
  </si>
  <si>
    <t>Dąbrowa Górnicza</t>
  </si>
  <si>
    <t>41-300 Dąbrowa Górnicza</t>
  </si>
  <si>
    <t>3 Maja 1</t>
  </si>
  <si>
    <t>Oddział w Zawierciu</t>
  </si>
  <si>
    <t>Zawiercie</t>
  </si>
  <si>
    <t>42-400 Zawiercie</t>
  </si>
  <si>
    <t>Leśna 6</t>
  </si>
  <si>
    <t>Oddział w Olkuszu</t>
  </si>
  <si>
    <t>Olkusz</t>
  </si>
  <si>
    <t>32-300 Olkusz</t>
  </si>
  <si>
    <t>Króla Kazimierza Wlk. 21</t>
  </si>
  <si>
    <t xml:space="preserve">Oddział w Jaworznie </t>
  </si>
  <si>
    <t>Jaworzno</t>
  </si>
  <si>
    <t>43-600 Jaworzno</t>
  </si>
  <si>
    <t>Narutowicza 1 a</t>
  </si>
  <si>
    <t>41-303 Dąbrowa Górnicza</t>
  </si>
  <si>
    <t>Al.Piłsudskiego 32</t>
  </si>
  <si>
    <t>Oddział w Wolbromiu</t>
  </si>
  <si>
    <t>Wolbrom</t>
  </si>
  <si>
    <t>32-320 Wolbrom</t>
  </si>
  <si>
    <t>Piłsudskiego 1</t>
  </si>
  <si>
    <t>Oddział w Trzebini</t>
  </si>
  <si>
    <t>Trzebinia</t>
  </si>
  <si>
    <t>32-540 Trzebinia</t>
  </si>
  <si>
    <t>Rynek 3</t>
  </si>
  <si>
    <t xml:space="preserve">Oddział w Bukownie </t>
  </si>
  <si>
    <t>Bukowno</t>
  </si>
  <si>
    <t>32-332 Bukowno</t>
  </si>
  <si>
    <t>Kolejowa 3 a</t>
  </si>
  <si>
    <t xml:space="preserve">Oddział w Warszawie </t>
  </si>
  <si>
    <t>Warszawa</t>
  </si>
  <si>
    <t>02-697 Warszawa</t>
  </si>
  <si>
    <t>Rzymowskiego 30</t>
  </si>
  <si>
    <t>01-231 Warszawa</t>
  </si>
  <si>
    <t>Płocka 17</t>
  </si>
  <si>
    <t>02-664 Warszawa</t>
  </si>
  <si>
    <t>Odyńca 69</t>
  </si>
  <si>
    <t>Oddział w Warce</t>
  </si>
  <si>
    <t>Warka</t>
  </si>
  <si>
    <t>05-660 Warka</t>
  </si>
  <si>
    <t>Wójtowska 1</t>
  </si>
  <si>
    <t>Oddział w Warszawie</t>
  </si>
  <si>
    <t>03-801 Warszawa</t>
  </si>
  <si>
    <t>Zamoyskiego 51 a</t>
  </si>
  <si>
    <t>02-903 Warszawa</t>
  </si>
  <si>
    <t>Powsińska 64 a</t>
  </si>
  <si>
    <t>00-762 Warszawa</t>
  </si>
  <si>
    <t>Belwederska 20/22</t>
  </si>
  <si>
    <t>02-094 Warszawa</t>
  </si>
  <si>
    <t>Grójecka 81/87</t>
  </si>
  <si>
    <t>00-643 Warszawa</t>
  </si>
  <si>
    <t>Nowowiejska 5</t>
  </si>
  <si>
    <t>Oddział w Legionowie</t>
  </si>
  <si>
    <t>Legionowo</t>
  </si>
  <si>
    <t>05-120 Legionowo</t>
  </si>
  <si>
    <t>Handlowa 14</t>
  </si>
  <si>
    <t>Piłsudskiego 41</t>
  </si>
  <si>
    <t>00-867 Warszawa</t>
  </si>
  <si>
    <t>Aleja Jana Pawła II 29</t>
  </si>
  <si>
    <t>00-499 Warszawa</t>
  </si>
  <si>
    <t>Pl.Trzech Krzyży 10/14</t>
  </si>
  <si>
    <t>03-543 Warszawa</t>
  </si>
  <si>
    <t>Barkocińska 6</t>
  </si>
  <si>
    <t>01-864 Warszawa</t>
  </si>
  <si>
    <t>Kochanowskiego 51 a</t>
  </si>
  <si>
    <t>00-024 Warszawa</t>
  </si>
  <si>
    <t>Al.Jerozolimskie 32</t>
  </si>
  <si>
    <t>01-466 Warszawa</t>
  </si>
  <si>
    <t>Powstańców Śląskich 106</t>
  </si>
  <si>
    <t>02-670 Warszawa</t>
  </si>
  <si>
    <t>Puławska 152</t>
  </si>
  <si>
    <t>00-833 Warszawa</t>
  </si>
  <si>
    <t>Sienna 75</t>
  </si>
  <si>
    <t>02-390 Warszawa</t>
  </si>
  <si>
    <t>Grójecka 186</t>
  </si>
  <si>
    <t>02-158 Warszawa</t>
  </si>
  <si>
    <t>Wirażowa 35</t>
  </si>
  <si>
    <t>02-793 Warszawa</t>
  </si>
  <si>
    <t>Belgradzka 12</t>
  </si>
  <si>
    <t>01-013 Warszawa</t>
  </si>
  <si>
    <t>Kacza 8</t>
  </si>
  <si>
    <t>Oddział w Chorzowie</t>
  </si>
  <si>
    <t>Chorzów</t>
  </si>
  <si>
    <t>41-500 Chorzów</t>
  </si>
  <si>
    <t>Gałeczki 36</t>
  </si>
  <si>
    <t>41-506 Chorzów</t>
  </si>
  <si>
    <t>Wolności 41 a</t>
  </si>
  <si>
    <t>Oddział w Świętochłowicach</t>
  </si>
  <si>
    <t>Świętochłowice</t>
  </si>
  <si>
    <t>41-600 Świętochłowice</t>
  </si>
  <si>
    <t>Bytomska 8</t>
  </si>
  <si>
    <t>Oddział w Rudzie Śląskiej</t>
  </si>
  <si>
    <t>Ruda Śląska</t>
  </si>
  <si>
    <t>41-709 Ruda Śląska</t>
  </si>
  <si>
    <t>Niedurnego 54</t>
  </si>
  <si>
    <t>Oddział w Siemianowicach Śląskich</t>
  </si>
  <si>
    <t>Siemianowice Śląskie</t>
  </si>
  <si>
    <t>41-100 Siemianowice Śląskie</t>
  </si>
  <si>
    <t>Świerczewskiego 1</t>
  </si>
  <si>
    <t>41-707 Ruda Śląska</t>
  </si>
  <si>
    <t>41-706 Ruda Śląska</t>
  </si>
  <si>
    <t>Kłodnicka 54</t>
  </si>
  <si>
    <t>Stefana Batorego 48</t>
  </si>
  <si>
    <t>41-711 Ruda Śląska</t>
  </si>
  <si>
    <t>Halembska 160</t>
  </si>
  <si>
    <t xml:space="preserve">Oddział w Rudzie Śląskiej </t>
  </si>
  <si>
    <t>41-700 Ruda Śląska</t>
  </si>
  <si>
    <t>Wolności 4</t>
  </si>
  <si>
    <t>Łagiewnicka 57</t>
  </si>
  <si>
    <t>41-106 Siemianowice Śląskie</t>
  </si>
  <si>
    <t>Niepodległości 25</t>
  </si>
  <si>
    <t>41-710 Ruda Śląska</t>
  </si>
  <si>
    <t>Sienkiewicza 2 a</t>
  </si>
  <si>
    <t>Oddział w Jaworznie</t>
  </si>
  <si>
    <t>Grunwaldzka 53</t>
  </si>
  <si>
    <t>Oddział w Krakowie</t>
  </si>
  <si>
    <t>Kraków</t>
  </si>
  <si>
    <t>30-149 Kraków</t>
  </si>
  <si>
    <t>Balicka 14A</t>
  </si>
  <si>
    <t xml:space="preserve">Oddział w Krakowie </t>
  </si>
  <si>
    <t>30-835 Kraków</t>
  </si>
  <si>
    <t>Teligi 24</t>
  </si>
  <si>
    <t>31-020 Kraków</t>
  </si>
  <si>
    <t>Św.Tomasza 20</t>
  </si>
  <si>
    <t>30-509 Kraków</t>
  </si>
  <si>
    <t>Kalwaryjska 7</t>
  </si>
  <si>
    <t>31-462 Kraków</t>
  </si>
  <si>
    <t>Pilotów 6</t>
  </si>
  <si>
    <t>31-105 Kraków</t>
  </si>
  <si>
    <t>Zwierzyniecka 29</t>
  </si>
  <si>
    <t>31-946 Kraków</t>
  </si>
  <si>
    <t>Os.Teatralne 12</t>
  </si>
  <si>
    <t>30-069 Kraków</t>
  </si>
  <si>
    <t>Warmijska 1</t>
  </si>
  <si>
    <t>31-952 Kraków</t>
  </si>
  <si>
    <t>Os.Urocze 1</t>
  </si>
  <si>
    <t>31-542 Kraków</t>
  </si>
  <si>
    <t>Mogilska 21</t>
  </si>
  <si>
    <t>30-081 Kraków</t>
  </si>
  <si>
    <t>Królewska 57</t>
  </si>
  <si>
    <t>Placówka Partnerska Kraków</t>
  </si>
  <si>
    <t>31-154 Kraków</t>
  </si>
  <si>
    <t>Pawia 5</t>
  </si>
  <si>
    <t>ING Partner PIOTR ŻUREK</t>
  </si>
  <si>
    <t>Żurek</t>
  </si>
  <si>
    <t>Piotr Krzysztof</t>
  </si>
  <si>
    <t>31-549 Kraków</t>
  </si>
  <si>
    <t>Al.Powstania Warszawskiego 12</t>
  </si>
  <si>
    <t>30-348 Kraków</t>
  </si>
  <si>
    <t>Grota Roweckiego 6</t>
  </si>
  <si>
    <t>31-272 Kraków</t>
  </si>
  <si>
    <t>Krowoderskich Zuchów 2</t>
  </si>
  <si>
    <t>31-876 Kraków</t>
  </si>
  <si>
    <t>Al.Bora Komorowskiego 37</t>
  </si>
  <si>
    <t>31-564 Kraków</t>
  </si>
  <si>
    <t>Al.Pokoju 78</t>
  </si>
  <si>
    <t xml:space="preserve">Oddział w Tarnowie </t>
  </si>
  <si>
    <t>Tarnów</t>
  </si>
  <si>
    <t>33-100 Tarnów</t>
  </si>
  <si>
    <t>Słowackiego 33-37</t>
  </si>
  <si>
    <t>Oddział w Zakopanem</t>
  </si>
  <si>
    <t>Zakopane</t>
  </si>
  <si>
    <t>34-500 Zakopane</t>
  </si>
  <si>
    <t>Piaseckiego 28</t>
  </si>
  <si>
    <t xml:space="preserve">Oddział w Nowym Sączu </t>
  </si>
  <si>
    <t>Nowy Sącz</t>
  </si>
  <si>
    <t>33-300 Nowy Sącz</t>
  </si>
  <si>
    <t>Kościuszki 13</t>
  </si>
  <si>
    <t>Oddział w Przemyślu</t>
  </si>
  <si>
    <t>Przemyśl</t>
  </si>
  <si>
    <t>37-700 Przemyśl</t>
  </si>
  <si>
    <t xml:space="preserve">Oddział w Tarnowie-Mościcach </t>
  </si>
  <si>
    <t>Tarnów-Mościce</t>
  </si>
  <si>
    <t>33-101 Tarnów-Mościce</t>
  </si>
  <si>
    <t>Kwiatkowskiego 8</t>
  </si>
  <si>
    <t xml:space="preserve">Oddział w Dębicy </t>
  </si>
  <si>
    <t>Dębica</t>
  </si>
  <si>
    <t>39-200 Dębica</t>
  </si>
  <si>
    <t>Rynek 27</t>
  </si>
  <si>
    <t xml:space="preserve">Oddział w Krynicy-Zdroju </t>
  </si>
  <si>
    <t>Krynica-Zdrój</t>
  </si>
  <si>
    <t>33-380 Krynica-Zdrój</t>
  </si>
  <si>
    <t>Kraszewskiego 1</t>
  </si>
  <si>
    <t>Oddział w Nowym Sączu</t>
  </si>
  <si>
    <t>Nawojowska 3</t>
  </si>
  <si>
    <t xml:space="preserve">Oddział we Wrocławiu </t>
  </si>
  <si>
    <t>Wrocław</t>
  </si>
  <si>
    <t>53-661 Wrocław</t>
  </si>
  <si>
    <t>Pl.Solidarności 1/3/5</t>
  </si>
  <si>
    <t>Oddział we Wrocławiu</t>
  </si>
  <si>
    <t>50-048 Wrocław</t>
  </si>
  <si>
    <t>Piłsudskiego 13</t>
  </si>
  <si>
    <t>53-342 Wrocław</t>
  </si>
  <si>
    <t>Komandorska 53</t>
  </si>
  <si>
    <t>50-378 Wrocław</t>
  </si>
  <si>
    <t>Pl.Grunwaldzki 19</t>
  </si>
  <si>
    <t>54-130 Wrocław</t>
  </si>
  <si>
    <t>Horbaczewskiego 4-6</t>
  </si>
  <si>
    <t>Oddział w Jelczu-Laskowicach</t>
  </si>
  <si>
    <t>Jelcz-Laskowice</t>
  </si>
  <si>
    <t>55-230 Jelcz-Laskowice</t>
  </si>
  <si>
    <t>Oławska 23H</t>
  </si>
  <si>
    <t>50-014 Wrocław</t>
  </si>
  <si>
    <t>Piłsudskiego 100</t>
  </si>
  <si>
    <t>Oddział w Trzebnicy</t>
  </si>
  <si>
    <t>Trzebnica</t>
  </si>
  <si>
    <t>55-100 Trzebnica</t>
  </si>
  <si>
    <t>Kościelna 2/4</t>
  </si>
  <si>
    <t>50-121 Wrocław</t>
  </si>
  <si>
    <t>Szewska 72</t>
  </si>
  <si>
    <t xml:space="preserve">Oddział w Obornikach Śląskich </t>
  </si>
  <si>
    <t>Oborniki Śląskie</t>
  </si>
  <si>
    <t>55-120 Oborniki Śląskie</t>
  </si>
  <si>
    <t>Dworcowa 42</t>
  </si>
  <si>
    <t>51-642 Wrocław</t>
  </si>
  <si>
    <t>Olszewskiego 69</t>
  </si>
  <si>
    <t>Oddział w Jeleniej Górze</t>
  </si>
  <si>
    <t>Jelenia Góra</t>
  </si>
  <si>
    <t>58-500 Jelenia Góra</t>
  </si>
  <si>
    <t>Grodzka 1</t>
  </si>
  <si>
    <t>58-506 Jelenia Góra</t>
  </si>
  <si>
    <t>Moniuszki 3a</t>
  </si>
  <si>
    <t>Oddział w Świebodzicach</t>
  </si>
  <si>
    <t>Świebodzice</t>
  </si>
  <si>
    <t>58-160 Świebodzice</t>
  </si>
  <si>
    <t>Bolesława Prusa 7</t>
  </si>
  <si>
    <t>Oddział w Świdnicy</t>
  </si>
  <si>
    <t>Świdnica</t>
  </si>
  <si>
    <t>58-100 Świdnica</t>
  </si>
  <si>
    <t>Oddział w Legnicy</t>
  </si>
  <si>
    <t>Legnica</t>
  </si>
  <si>
    <t>59-220 Legnica</t>
  </si>
  <si>
    <t>F.Skarbka 2</t>
  </si>
  <si>
    <t>Oddział w Lubinie</t>
  </si>
  <si>
    <t>Lubin</t>
  </si>
  <si>
    <t>59-300 Lubin</t>
  </si>
  <si>
    <t>Leszczynowa 27</t>
  </si>
  <si>
    <t xml:space="preserve">Oddział w Zielonej Górze </t>
  </si>
  <si>
    <t>Zielona Góra</t>
  </si>
  <si>
    <t>65-536 Zielona Góra</t>
  </si>
  <si>
    <t>Wyszyńskiego 29</t>
  </si>
  <si>
    <t>65-042 Zielona Góra</t>
  </si>
  <si>
    <t>Al.Niepodległości 27</t>
  </si>
  <si>
    <t>Oddział w Gorzowie Wielkopolskim</t>
  </si>
  <si>
    <t>Gorzów Wielkopolski</t>
  </si>
  <si>
    <t>66-400 Gorzów Wielkopolski</t>
  </si>
  <si>
    <t>Pocztowa 3</t>
  </si>
  <si>
    <t>Kombatantów 34</t>
  </si>
  <si>
    <t>Oddział w Krośnie</t>
  </si>
  <si>
    <t>Krosno</t>
  </si>
  <si>
    <t>38-400 Krosno</t>
  </si>
  <si>
    <t>Oddział w Jaśle</t>
  </si>
  <si>
    <t>Jasło</t>
  </si>
  <si>
    <t>38-200 Jasło</t>
  </si>
  <si>
    <t>Słowackiego 4</t>
  </si>
  <si>
    <t>Oddział w Rzeszowie</t>
  </si>
  <si>
    <t>Rzeszów</t>
  </si>
  <si>
    <t>35-326 Rzeszów</t>
  </si>
  <si>
    <t>Al.Rejtana 33</t>
  </si>
  <si>
    <t>35-002 Rzeszów</t>
  </si>
  <si>
    <t>Sobieskiego 17</t>
  </si>
  <si>
    <t xml:space="preserve">Oddział w Białymstoku </t>
  </si>
  <si>
    <t>Białystok</t>
  </si>
  <si>
    <t>15-950 Białystok</t>
  </si>
  <si>
    <t>Branickiego 17 b</t>
  </si>
  <si>
    <t>15-879 Białystok</t>
  </si>
  <si>
    <t>Św.Rocha 6</t>
  </si>
  <si>
    <t>Oddział w Białymstoku</t>
  </si>
  <si>
    <t>15-845 Białystok</t>
  </si>
  <si>
    <t>Antoniukowska 11</t>
  </si>
  <si>
    <t>35-111 Rzeszów</t>
  </si>
  <si>
    <t>Al.Krakowska 20</t>
  </si>
  <si>
    <t>30-644 Kraków</t>
  </si>
  <si>
    <t>Kamieńskiego 11</t>
  </si>
  <si>
    <t>Oddział w Płocku</t>
  </si>
  <si>
    <t>Płock</t>
  </si>
  <si>
    <t>09-400 Płock</t>
  </si>
  <si>
    <t>Bielska 51</t>
  </si>
  <si>
    <t>Królewiecka 1</t>
  </si>
  <si>
    <t>Oddział w Olsztynie</t>
  </si>
  <si>
    <t>Olsztyn</t>
  </si>
  <si>
    <t>10-532 Olsztyn</t>
  </si>
  <si>
    <t>Plac Konsulatu Polskiego 1</t>
  </si>
  <si>
    <t xml:space="preserve">Oddział w Olsztynie </t>
  </si>
  <si>
    <t>10-416 Olsztyn</t>
  </si>
  <si>
    <t>Towarowa 1</t>
  </si>
  <si>
    <t xml:space="preserve">Oddział w Pruszkowie </t>
  </si>
  <si>
    <t>Pruszków</t>
  </si>
  <si>
    <t>05-800 Pruszków</t>
  </si>
  <si>
    <t>Kościuszki 50</t>
  </si>
  <si>
    <t>Oddział w Pruszkowie</t>
  </si>
  <si>
    <t>05-804 Pruszków</t>
  </si>
  <si>
    <t>Al.Wojska Polskiego 44 a</t>
  </si>
  <si>
    <t>Oddział w Skierniewicach</t>
  </si>
  <si>
    <t>Skierniewice</t>
  </si>
  <si>
    <t>96-100 Skierniewice</t>
  </si>
  <si>
    <t>Mszczonowska 8</t>
  </si>
  <si>
    <t xml:space="preserve">Oddział w Grodzisku Mazowieckim </t>
  </si>
  <si>
    <t>Grodzisk Mazowiecki</t>
  </si>
  <si>
    <t>05-825 Grodzisk Mazowiecki</t>
  </si>
  <si>
    <t>Pl.Wolności 21</t>
  </si>
  <si>
    <t>02-495 Warszawa</t>
  </si>
  <si>
    <t>Wojciechowskiego 37</t>
  </si>
  <si>
    <t>Oddział w Żyrardowie</t>
  </si>
  <si>
    <t>Żyrardów</t>
  </si>
  <si>
    <t>96-300 Żyrardów</t>
  </si>
  <si>
    <t>Okrzei 29</t>
  </si>
  <si>
    <t>Placówka Partnerska Gniezno</t>
  </si>
  <si>
    <t>Gniezno</t>
  </si>
  <si>
    <t>62-200 Gniezno</t>
  </si>
  <si>
    <t>Chrobrego 34</t>
  </si>
  <si>
    <t>Pośrednictwo Finansowe Janusz Wandelt</t>
  </si>
  <si>
    <t>Wandelt</t>
  </si>
  <si>
    <t>Janusz</t>
  </si>
  <si>
    <t>Oddział w Poznaniu</t>
  </si>
  <si>
    <t>Poznań</t>
  </si>
  <si>
    <t>61-693 Poznań</t>
  </si>
  <si>
    <t>K.Drużbickiego 2</t>
  </si>
  <si>
    <t>XXX</t>
  </si>
  <si>
    <t>61-841 Poznań</t>
  </si>
  <si>
    <t>ul. Plac Kolegiacki 17</t>
  </si>
  <si>
    <t>Oddział w Tomaszowie Mazowieckim</t>
  </si>
  <si>
    <t>Tomaszów Mazowiecki</t>
  </si>
  <si>
    <t>97-200 Tomaszów Mazowiecki</t>
  </si>
  <si>
    <t>ul. Polskiej Organizacji Wojskowej 3</t>
  </si>
  <si>
    <t xml:space="preserve">Oddział w Łodzi </t>
  </si>
  <si>
    <t>Łódź</t>
  </si>
  <si>
    <t>90-451 Łódź</t>
  </si>
  <si>
    <t>Piotrkowska 197</t>
  </si>
  <si>
    <t>Oddział w Łodzi</t>
  </si>
  <si>
    <t>92-504 Łódź</t>
  </si>
  <si>
    <t>Elsnera 21</t>
  </si>
  <si>
    <t>91-334 Łódź</t>
  </si>
  <si>
    <t>Srebrna 32</t>
  </si>
  <si>
    <t>93-342 Łódź</t>
  </si>
  <si>
    <t>Kolumny 36</t>
  </si>
  <si>
    <t>Oddział w Strykowie</t>
  </si>
  <si>
    <t>Stryków</t>
  </si>
  <si>
    <t>95-010 Stryków</t>
  </si>
  <si>
    <t>Grunwaldzka 4</t>
  </si>
  <si>
    <t>Stanowisko Zamiejscowej Obsługi Klienta w Łodzi</t>
  </si>
  <si>
    <t>93-116 Łódź</t>
  </si>
  <si>
    <t>Pl.Sałacińskiego 1</t>
  </si>
  <si>
    <t>90-418 Łódź</t>
  </si>
  <si>
    <t>Al.Kościuszki 1</t>
  </si>
  <si>
    <t>91-104 Łódź</t>
  </si>
  <si>
    <t>Plantowa 1</t>
  </si>
  <si>
    <t>94-035 Łódź</t>
  </si>
  <si>
    <t>Bratysławska 6 a</t>
  </si>
  <si>
    <t>93-219 Łódź</t>
  </si>
  <si>
    <t>Tatrzańska 42/44</t>
  </si>
  <si>
    <t xml:space="preserve">Oddział w Pabianicach </t>
  </si>
  <si>
    <t>Pabianice</t>
  </si>
  <si>
    <t>95-200 Pabianice</t>
  </si>
  <si>
    <t>Zamkowa  44</t>
  </si>
  <si>
    <t>Oddział w Zgierzu</t>
  </si>
  <si>
    <t>Zgierz</t>
  </si>
  <si>
    <t>95-100 Zgierz</t>
  </si>
  <si>
    <t>Łęczycka 2</t>
  </si>
  <si>
    <t>Oddział w Piotrkowie Trybunalskim</t>
  </si>
  <si>
    <t>Piotrków Trybunalski</t>
  </si>
  <si>
    <t>97-300 Piotrków Trybunalski</t>
  </si>
  <si>
    <t>Kostromska 51</t>
  </si>
  <si>
    <t>60-339 Poznań</t>
  </si>
  <si>
    <t>Grochowska 69</t>
  </si>
  <si>
    <t>60-741 Poznań</t>
  </si>
  <si>
    <t>Głogowska 80</t>
  </si>
  <si>
    <t>61-208 Poznań</t>
  </si>
  <si>
    <t>Os.Oświecenia 59</t>
  </si>
  <si>
    <t xml:space="preserve">Oddział w Poznaniu </t>
  </si>
  <si>
    <t>61-967 Poznań</t>
  </si>
  <si>
    <t>27 Grudnia 7</t>
  </si>
  <si>
    <t>60-527 Poznań</t>
  </si>
  <si>
    <t>Staszica 2</t>
  </si>
  <si>
    <t>61-655 Poznań</t>
  </si>
  <si>
    <t>Murawa 37 c</t>
  </si>
  <si>
    <t>61-047 Poznań</t>
  </si>
  <si>
    <t>Warszawska 98/100</t>
  </si>
  <si>
    <t>61-541 Poznań</t>
  </si>
  <si>
    <t>Przemysłowa 64</t>
  </si>
  <si>
    <t>61-823 Poznań</t>
  </si>
  <si>
    <t>Piekary 7</t>
  </si>
  <si>
    <t>Oddział w Ostrowie Wielkopolskim</t>
  </si>
  <si>
    <t>Ostrów Wielkopolski</t>
  </si>
  <si>
    <t>63-400 Ostrów Wielkopolski</t>
  </si>
  <si>
    <t>Oddział w Tarnowie Podgórnym</t>
  </si>
  <si>
    <t>Tarnowo Podgórne</t>
  </si>
  <si>
    <t>62-080 Tarnowo Podgórne</t>
  </si>
  <si>
    <t>Poznańska 84</t>
  </si>
  <si>
    <t>Oddział w Koninie</t>
  </si>
  <si>
    <t>Konin</t>
  </si>
  <si>
    <t>62-510 Konin</t>
  </si>
  <si>
    <t>Al. 1 Maja 15 a</t>
  </si>
  <si>
    <t>Oddział we Wrześni</t>
  </si>
  <si>
    <t>Września</t>
  </si>
  <si>
    <t>62-300 Września</t>
  </si>
  <si>
    <t>Oddział w Kostrzynie</t>
  </si>
  <si>
    <t>Kostrzyn</t>
  </si>
  <si>
    <t>62-025 Kostrzyn</t>
  </si>
  <si>
    <t>Dworcowa 1</t>
  </si>
  <si>
    <t xml:space="preserve">Oddział w Przeźmierowie </t>
  </si>
  <si>
    <t>Przeźmierowo</t>
  </si>
  <si>
    <t>62-081 Przeźmierowo</t>
  </si>
  <si>
    <t>Leśna 19 a</t>
  </si>
  <si>
    <t>Oddział w Przygodzicach</t>
  </si>
  <si>
    <t>Przygodzice</t>
  </si>
  <si>
    <t>63-421 Przygodzice</t>
  </si>
  <si>
    <t>Szkolna 7</t>
  </si>
  <si>
    <t xml:space="preserve">Oddział w Pobiedziskach </t>
  </si>
  <si>
    <t>Pobiedziska</t>
  </si>
  <si>
    <t>62-010 Pobiedziska</t>
  </si>
  <si>
    <t>Kościuszki 4</t>
  </si>
  <si>
    <t>62-028 Koziegłowy</t>
  </si>
  <si>
    <t>Os.Leśne 12</t>
  </si>
  <si>
    <t>Oddział w Kaliszu</t>
  </si>
  <si>
    <t>Kalisz</t>
  </si>
  <si>
    <t>62-800 Kalisz</t>
  </si>
  <si>
    <t>Górnośląska 67 a</t>
  </si>
  <si>
    <t>Oddział w Pile</t>
  </si>
  <si>
    <t>Piła</t>
  </si>
  <si>
    <t>64-920 Piła</t>
  </si>
  <si>
    <t>Al.Piastów 18</t>
  </si>
  <si>
    <t>Oddział w Gdańsku</t>
  </si>
  <si>
    <t>Gdańsk</t>
  </si>
  <si>
    <t>80-886 Gdańsk</t>
  </si>
  <si>
    <t>Targ Drzewny 3/7</t>
  </si>
  <si>
    <t>80-765 Gdańsk</t>
  </si>
  <si>
    <t>Długie Ogrody 6/14</t>
  </si>
  <si>
    <t>Oddział w Gdyni</t>
  </si>
  <si>
    <t>Gdynia</t>
  </si>
  <si>
    <t>81-370 Gdynia</t>
  </si>
  <si>
    <t>Skwer Kościuszki 13</t>
  </si>
  <si>
    <t xml:space="preserve">Oddział w Bydgoszczy </t>
  </si>
  <si>
    <t>Bydgoszcz</t>
  </si>
  <si>
    <t>85-433 Bydgoszcz</t>
  </si>
  <si>
    <t>Kolbego 48</t>
  </si>
  <si>
    <t>85-791 Bydgoszcz</t>
  </si>
  <si>
    <t>Skarżyńskiego 11 a</t>
  </si>
  <si>
    <t>85-733 Bydgoszcz</t>
  </si>
  <si>
    <t>Curie-Skłodowskiej 66 a</t>
  </si>
  <si>
    <t>Oddział w Bydgoszczy</t>
  </si>
  <si>
    <t>85-133 Bydgoszcz</t>
  </si>
  <si>
    <t>Lenartowicza 33/35</t>
  </si>
  <si>
    <t>Oddział w Nowej Wsi Wielkiej</t>
  </si>
  <si>
    <t>Nowa Wieś Wielka</t>
  </si>
  <si>
    <t>86-060 Nowa Wieś Wielka</t>
  </si>
  <si>
    <t>Al.Pokoju 16</t>
  </si>
  <si>
    <t>85-011 Bydgoszcz</t>
  </si>
  <si>
    <t>Śniadeckich 23</t>
  </si>
  <si>
    <t>80-241 Gdańsk</t>
  </si>
  <si>
    <t>Al.Grunwaldzka 56</t>
  </si>
  <si>
    <t>80-382 Gdańsk</t>
  </si>
  <si>
    <t>Beniowskiego 5</t>
  </si>
  <si>
    <t>80-850 Gdańsk</t>
  </si>
  <si>
    <t>Rajska 4</t>
  </si>
  <si>
    <t>Oddział w Wejherowie</t>
  </si>
  <si>
    <t>Wejherowo</t>
  </si>
  <si>
    <t>84-200 Wejherowo</t>
  </si>
  <si>
    <t>Rzeźnicka 8</t>
  </si>
  <si>
    <t>81-181 Gdynia</t>
  </si>
  <si>
    <t>Unruga 48 b</t>
  </si>
  <si>
    <t>81-364 Gdynia</t>
  </si>
  <si>
    <t>10 Lutego 30</t>
  </si>
  <si>
    <t>81-509 Gdynia</t>
  </si>
  <si>
    <t>Plac Górnośląski 21</t>
  </si>
  <si>
    <t>80-371 Gdańsk</t>
  </si>
  <si>
    <t>Jagiellońska 13</t>
  </si>
  <si>
    <t>Oddział w Elblągu</t>
  </si>
  <si>
    <t>Elbląg</t>
  </si>
  <si>
    <t>82-300 Elbląg</t>
  </si>
  <si>
    <t>12 Lutego 19</t>
  </si>
  <si>
    <t>Oddział w Szczecinie</t>
  </si>
  <si>
    <t>Szczecin</t>
  </si>
  <si>
    <t>70-215 Szczecin</t>
  </si>
  <si>
    <t>3 Maja 30</t>
  </si>
  <si>
    <t>71-784 Szczecin</t>
  </si>
  <si>
    <t>Struga 18</t>
  </si>
  <si>
    <t>71-154 Szczecin</t>
  </si>
  <si>
    <t>Lelewela 8 a</t>
  </si>
  <si>
    <t>70-473 Szczecin</t>
  </si>
  <si>
    <t>Aleja Wojska Polskiego 33</t>
  </si>
  <si>
    <t xml:space="preserve">Oddział w Szczecinie </t>
  </si>
  <si>
    <t>70-107 Szczecin</t>
  </si>
  <si>
    <t>Milczańska 50</t>
  </si>
  <si>
    <t>71-017 Szczecin</t>
  </si>
  <si>
    <t>Krakowska 67-68</t>
  </si>
  <si>
    <t>71-670 Szczecin</t>
  </si>
  <si>
    <t>Przyjaciół Żołnierza 4</t>
  </si>
  <si>
    <t>70-825 Szczecin</t>
  </si>
  <si>
    <t>E.Gierczak 24-25</t>
  </si>
  <si>
    <t>70-554 Szczecin</t>
  </si>
  <si>
    <t>Al.Wyzwolenia 21</t>
  </si>
  <si>
    <t>70-253 Szczecin</t>
  </si>
  <si>
    <t>Krzywoustego 60</t>
  </si>
  <si>
    <t>Oddział w Wałbrzychu</t>
  </si>
  <si>
    <t>Wałbrzych</t>
  </si>
  <si>
    <t>58-300 Wałbrzych</t>
  </si>
  <si>
    <t>Pl.Magistracki 8</t>
  </si>
  <si>
    <t>58-309 Wałbrzych</t>
  </si>
  <si>
    <t>Główna 13</t>
  </si>
  <si>
    <t>Oddział w Siedlcach</t>
  </si>
  <si>
    <t>Siedlce</t>
  </si>
  <si>
    <t>08-110 Siedlce</t>
  </si>
  <si>
    <t>Sokołowska 56</t>
  </si>
  <si>
    <t>Oddział w Mińsku Mazowieckim</t>
  </si>
  <si>
    <t>Mińsk Mazowiecki</t>
  </si>
  <si>
    <t>05-300 Mińsk Mazowiecki</t>
  </si>
  <si>
    <t>Warszawska 88</t>
  </si>
  <si>
    <t>Oddział we Włocławku</t>
  </si>
  <si>
    <t>Włocławek</t>
  </si>
  <si>
    <t>87-800 Włocławek</t>
  </si>
  <si>
    <t>Kościuszki 18/20</t>
  </si>
  <si>
    <t xml:space="preserve">Oddział w Bełchatowie </t>
  </si>
  <si>
    <t>Bełchatów</t>
  </si>
  <si>
    <t>97-400 Bełchatów</t>
  </si>
  <si>
    <t>Plac Gabriela Narutowicza 16</t>
  </si>
  <si>
    <t>44-119 Gliwice</t>
  </si>
  <si>
    <t>Jedności 9</t>
  </si>
  <si>
    <t xml:space="preserve">Oddział w Gliwicach </t>
  </si>
  <si>
    <t>44-117 Gliwice</t>
  </si>
  <si>
    <t>Kopernika 16</t>
  </si>
  <si>
    <t>Zubrzyckiego 18</t>
  </si>
  <si>
    <t>Łużycka 2</t>
  </si>
  <si>
    <t>Kopernika 4</t>
  </si>
  <si>
    <t>Berka Joselewicza 1</t>
  </si>
  <si>
    <t>Kiedrzyńska 134</t>
  </si>
  <si>
    <t>Piastowska 16</t>
  </si>
  <si>
    <t>Grunwaldzka 204</t>
  </si>
  <si>
    <t>Oddział w Chrzanowie</t>
  </si>
  <si>
    <t>Chrzanów</t>
  </si>
  <si>
    <t>32-500 Chrzanów</t>
  </si>
  <si>
    <t>Trzebińska 40</t>
  </si>
  <si>
    <t xml:space="preserve">Oddział w Dąbrowie Górniczej </t>
  </si>
  <si>
    <t>Królowej Jadwigi 23</t>
  </si>
  <si>
    <t>42-520 Dąbrowa Górnicza</t>
  </si>
  <si>
    <t>Armii Krajowej 40</t>
  </si>
  <si>
    <t>40-951 Katowice</t>
  </si>
  <si>
    <t>3-go Maja</t>
  </si>
  <si>
    <t>40-555 Katowice</t>
  </si>
  <si>
    <t>Rolna 28</t>
  </si>
  <si>
    <t>40-145 Katowice</t>
  </si>
  <si>
    <t>Józefowska 76</t>
  </si>
  <si>
    <t>40-049 Katowice</t>
  </si>
  <si>
    <t>Kościuszki 19</t>
  </si>
  <si>
    <t>40-086 Katowice</t>
  </si>
  <si>
    <t>Sokolska 34</t>
  </si>
  <si>
    <t>40-832 Katowice</t>
  </si>
  <si>
    <t>Witosa 3 c</t>
  </si>
  <si>
    <t>40-881 Katowice</t>
  </si>
  <si>
    <t>Chrobrego 29</t>
  </si>
  <si>
    <t xml:space="preserve">Oddział w Mysłowicach </t>
  </si>
  <si>
    <t>Mysłowice</t>
  </si>
  <si>
    <t>41-400 Mysłowice</t>
  </si>
  <si>
    <t>Pl.Wolności 1</t>
  </si>
  <si>
    <t xml:space="preserve">Oddział w Zabrzu </t>
  </si>
  <si>
    <t>Wolności 205</t>
  </si>
  <si>
    <t>41-808 Zabrze</t>
  </si>
  <si>
    <t>Krakowska 54</t>
  </si>
  <si>
    <t>41-806 Zabrze</t>
  </si>
  <si>
    <t>Korczoka 76</t>
  </si>
  <si>
    <t>Wolności 289</t>
  </si>
  <si>
    <t>90-033 Łódź</t>
  </si>
  <si>
    <t>ul. Doktora Kopcińskiego 73/75</t>
  </si>
  <si>
    <t>47-401 Racibórz</t>
  </si>
  <si>
    <t>Opawska 2</t>
  </si>
  <si>
    <t>ul. Dekabrystów 41</t>
  </si>
  <si>
    <t>Al.Sikorskiego 26</t>
  </si>
  <si>
    <t>43-316 Bielsko-Biała</t>
  </si>
  <si>
    <t>Doliny Miętusiej 10</t>
  </si>
  <si>
    <t>Słoneczna 29-33</t>
  </si>
  <si>
    <t>54-432 Wrocław</t>
  </si>
  <si>
    <t>Strzegomska 202-204 nr 13/2</t>
  </si>
  <si>
    <t>Oddział w Zgorzelcu</t>
  </si>
  <si>
    <t>Zgorzelec</t>
  </si>
  <si>
    <t>59-900 Zgorzelec</t>
  </si>
  <si>
    <t>Warszawska 10</t>
  </si>
  <si>
    <t>03-285 Warszawa</t>
  </si>
  <si>
    <t>Kondratowicza 22</t>
  </si>
  <si>
    <t>03-185 Warszawa</t>
  </si>
  <si>
    <t>Myśliborska 98A</t>
  </si>
  <si>
    <t>02-117 Warszawa</t>
  </si>
  <si>
    <t>Racławicka 133/2</t>
  </si>
  <si>
    <t>09-410 Płock</t>
  </si>
  <si>
    <t>Wyszogrodzka 144</t>
  </si>
  <si>
    <t>Oddział w Toruniu</t>
  </si>
  <si>
    <t>Toruń</t>
  </si>
  <si>
    <t>87-100 Toruń</t>
  </si>
  <si>
    <t>Szosa Chełmińska 26</t>
  </si>
  <si>
    <t>Łyskowskiego 18</t>
  </si>
  <si>
    <t>11 Listopada 36</t>
  </si>
  <si>
    <t>Łomża</t>
  </si>
  <si>
    <t>18-400 Łomża</t>
  </si>
  <si>
    <t>Prusa 18 lok. 45 i 46</t>
  </si>
  <si>
    <t>Placówka Partnerska Marki</t>
  </si>
  <si>
    <t>Marki</t>
  </si>
  <si>
    <t>05-270 Marki</t>
  </si>
  <si>
    <t>Al.Marszałka J.Piłsudskiego 115D</t>
  </si>
  <si>
    <t>BMK Management &amp; Services Bogdan Kobus</t>
  </si>
  <si>
    <t>Kobus</t>
  </si>
  <si>
    <t>Bogdan</t>
  </si>
  <si>
    <t>Oddział w Raszynie</t>
  </si>
  <si>
    <t>Raszyn</t>
  </si>
  <si>
    <t>05-090 Raszyn</t>
  </si>
  <si>
    <t>Al.Krakowska 63</t>
  </si>
  <si>
    <t>Placówka Partnerska Sieradz</t>
  </si>
  <si>
    <t>Sieradz</t>
  </si>
  <si>
    <t>98-200 Sieradz</t>
  </si>
  <si>
    <t>Jana Pawła II 12</t>
  </si>
  <si>
    <t>PIOTROWSKA WIOLETA POŚREDNICTWO FINANSOWE</t>
  </si>
  <si>
    <t>Piotrowska</t>
  </si>
  <si>
    <t>Wioleta Ewa</t>
  </si>
  <si>
    <t>01-460 Warszawa</t>
  </si>
  <si>
    <t>Górczewska 200/18</t>
  </si>
  <si>
    <t>Ząbki</t>
  </si>
  <si>
    <t>05-091 Ząbki</t>
  </si>
  <si>
    <t>Orla 8/81</t>
  </si>
  <si>
    <t>Ostróda</t>
  </si>
  <si>
    <t>14-104 Ostróda</t>
  </si>
  <si>
    <t>Czarnieckiego 16</t>
  </si>
  <si>
    <t>Oddział w Rumii</t>
  </si>
  <si>
    <t>Rumia</t>
  </si>
  <si>
    <t>84-230 Rumia</t>
  </si>
  <si>
    <t>ul. Dąbrowskiego 6F</t>
  </si>
  <si>
    <t>xxx</t>
  </si>
  <si>
    <t>60-523 Poznań</t>
  </si>
  <si>
    <t>Kraszewskiego 3/4</t>
  </si>
  <si>
    <t>44-102 Gliwice</t>
  </si>
  <si>
    <t>ul. Lipowa 3 (Forum)</t>
  </si>
  <si>
    <t>Placówka Partnerska Łódź</t>
  </si>
  <si>
    <t>91-848 Łódź</t>
  </si>
  <si>
    <t>Inflancka 45</t>
  </si>
  <si>
    <t>TRES SPÓŁKA KOMANDYTOWA LUIZA CIESIELSKA-JANIK</t>
  </si>
  <si>
    <t>91-071 Łódź</t>
  </si>
  <si>
    <t>ul. Karskiego 5 (Manufaktura)</t>
  </si>
  <si>
    <t>Ostrołęka</t>
  </si>
  <si>
    <t>07-410 Ostrołęka</t>
  </si>
  <si>
    <t>Łęczysk 2</t>
  </si>
  <si>
    <t>61-837 Poznań</t>
  </si>
  <si>
    <t>ul. Wrocławska 2</t>
  </si>
  <si>
    <t>Placówka Partnerska Stalowa Wola</t>
  </si>
  <si>
    <t xml:space="preserve">Stalowa Wola </t>
  </si>
  <si>
    <t xml:space="preserve">37-450 Stalowa Wola </t>
  </si>
  <si>
    <t>Al. Jana Pawła II 2B</t>
  </si>
  <si>
    <t>EWA KOWAL</t>
  </si>
  <si>
    <t>Kowal</t>
  </si>
  <si>
    <t>Ewa</t>
  </si>
  <si>
    <t>02-308 Warszawa</t>
  </si>
  <si>
    <t>ul. Grójecka 32</t>
  </si>
  <si>
    <t>Oddział w  Warszawie</t>
  </si>
  <si>
    <t>02-566 Warszawa</t>
  </si>
  <si>
    <t>Puławska 10</t>
  </si>
  <si>
    <t>ul. Plutonowego Szkubacza 1 C.H.M1</t>
  </si>
  <si>
    <t>Oddział we  Wrocławiu</t>
  </si>
  <si>
    <t>50-541 Wrocław</t>
  </si>
  <si>
    <t>Al. Armii Krajowej 4A/5</t>
  </si>
  <si>
    <t>Oddział w Józefowie</t>
  </si>
  <si>
    <t>Józefów</t>
  </si>
  <si>
    <t>05-420 Józefów</t>
  </si>
  <si>
    <t>Piłsudskiego 106</t>
  </si>
  <si>
    <t>Oddział w Ostrowii Mazowieckiej</t>
  </si>
  <si>
    <t>Ostrów Mazowiecka</t>
  </si>
  <si>
    <t>07-300 Ostrów Mazowiecka</t>
  </si>
  <si>
    <t>Mieczkowskiego 23</t>
  </si>
  <si>
    <t>ul.Sobieskiego 1</t>
  </si>
  <si>
    <t>Oddział w Turku</t>
  </si>
  <si>
    <t>Turek</t>
  </si>
  <si>
    <t>62-700 Turek</t>
  </si>
  <si>
    <t>Kościuszki 1</t>
  </si>
  <si>
    <t>80-324 Gdańsk</t>
  </si>
  <si>
    <t>Stary Rynek Oliwski 19</t>
  </si>
  <si>
    <t>61-886 Poznań</t>
  </si>
  <si>
    <t>Półwiejska 45</t>
  </si>
  <si>
    <t>Placówka Partnerska Tarnobrzeg</t>
  </si>
  <si>
    <t>Tarnobrzeg</t>
  </si>
  <si>
    <t>39-400 Tarnobrzeg</t>
  </si>
  <si>
    <t>ul. Mickiewicza 5c</t>
  </si>
  <si>
    <t>CZECHURA SYLWESTER</t>
  </si>
  <si>
    <t>Czechura</t>
  </si>
  <si>
    <t>Sylwester</t>
  </si>
  <si>
    <t>Placówka Partnerska Wrocław</t>
  </si>
  <si>
    <t>50-265 Wrocław</t>
  </si>
  <si>
    <t>ul. Generała Bema 2</t>
  </si>
  <si>
    <t>YANINA FINANSE JANINA DRABIAK</t>
  </si>
  <si>
    <t>Drabiak</t>
  </si>
  <si>
    <t>Janina Elżbieta</t>
  </si>
  <si>
    <t>Pl.Św.Józefa 1</t>
  </si>
  <si>
    <t>85-029 Bydgoszcz</t>
  </si>
  <si>
    <t>Bernardyńska 16</t>
  </si>
  <si>
    <t>Oddział w Sompolnie</t>
  </si>
  <si>
    <t>Sompolno</t>
  </si>
  <si>
    <t>62-610 Sompolno</t>
  </si>
  <si>
    <t>Kolejowa 7 a</t>
  </si>
  <si>
    <t>Oddział we Władysławowie</t>
  </si>
  <si>
    <t>Władysławowo</t>
  </si>
  <si>
    <t>62-710 Władysławowo</t>
  </si>
  <si>
    <t>Rynek 43</t>
  </si>
  <si>
    <t>Oddział w Koszalinie</t>
  </si>
  <si>
    <t>Koszalin</t>
  </si>
  <si>
    <t>75-025 Koszalin</t>
  </si>
  <si>
    <t>Zwycięstwa 21B</t>
  </si>
  <si>
    <t>02-797 Warszawa</t>
  </si>
  <si>
    <t>Klimczaka  5</t>
  </si>
  <si>
    <t>02-622 Warszawa</t>
  </si>
  <si>
    <t>Malczewskiego 45</t>
  </si>
  <si>
    <t>03-134 Warszawa</t>
  </si>
  <si>
    <t>Książkowa 9 c</t>
  </si>
  <si>
    <t>00-683 Warszawa</t>
  </si>
  <si>
    <t>Marszałkowska 85</t>
  </si>
  <si>
    <t>03-937 Warszawa</t>
  </si>
  <si>
    <t>Zwycięzców 42</t>
  </si>
  <si>
    <t>01-518 Warszawa</t>
  </si>
  <si>
    <t>Gen.Zajączka 9/11</t>
  </si>
  <si>
    <t>02-777 Warszawa</t>
  </si>
  <si>
    <t>Al.KEN 94</t>
  </si>
  <si>
    <t>00-819 Warszawa</t>
  </si>
  <si>
    <t>ul. Złota 59</t>
  </si>
  <si>
    <t>01-871 Warszawa</t>
  </si>
  <si>
    <t>Kasprowicza 54</t>
  </si>
  <si>
    <t>ul. Królowej Jadwigi 1</t>
  </si>
  <si>
    <t>Oddział w Lesznie</t>
  </si>
  <si>
    <t>Leszno</t>
  </si>
  <si>
    <t>64-100 Leszno</t>
  </si>
  <si>
    <t>Rynek 22</t>
  </si>
  <si>
    <t>ul. Władysława Sikorskiego 138/7</t>
  </si>
  <si>
    <t>80-041 Gdańsk</t>
  </si>
  <si>
    <t>ul.Fieldorfa 2</t>
  </si>
  <si>
    <t>31-870 Kraków</t>
  </si>
  <si>
    <t>ul.Medweckiego 2 CH Carrefour</t>
  </si>
  <si>
    <t>Oddział w Sopocie</t>
  </si>
  <si>
    <t>Sopot</t>
  </si>
  <si>
    <t>81-805 Sopot</t>
  </si>
  <si>
    <t>Al.Niepodległości 786</t>
  </si>
  <si>
    <t>Placówka Partnerska Otwock</t>
  </si>
  <si>
    <t>Otwock</t>
  </si>
  <si>
    <t>05-400 Otwock</t>
  </si>
  <si>
    <t>Andriollego 47</t>
  </si>
  <si>
    <t>PRZEDSTAWICIEL FINANSOWO-UBEZPIECZENIOWY SŁAWOMIR PRZEPIÓRKA</t>
  </si>
  <si>
    <t>Przepiórka</t>
  </si>
  <si>
    <t>Sławomir</t>
  </si>
  <si>
    <t>Piątkowska 161</t>
  </si>
  <si>
    <t>Oddział w  Grójcu</t>
  </si>
  <si>
    <t>Grójec</t>
  </si>
  <si>
    <t>05-600 Grójec</t>
  </si>
  <si>
    <t xml:space="preserve">ul. Bankowa 6  </t>
  </si>
  <si>
    <t>50-300 Wrocław</t>
  </si>
  <si>
    <t>Jedności Narodowej 111B</t>
  </si>
  <si>
    <t>60-190 Poznań</t>
  </si>
  <si>
    <t xml:space="preserve">Bukowska 146  </t>
  </si>
  <si>
    <t>Placówka Partnerska Kołobrzeg</t>
  </si>
  <si>
    <t>Kołobrzeg</t>
  </si>
  <si>
    <t>78-100 Kołobrzeg</t>
  </si>
  <si>
    <t xml:space="preserve">Armii Krajowej 3  </t>
  </si>
  <si>
    <t>MIROR</t>
  </si>
  <si>
    <t>Macharowicz-Kupczyk</t>
  </si>
  <si>
    <t>Katarzyna</t>
  </si>
  <si>
    <t>80-288 Gdańsk</t>
  </si>
  <si>
    <t>Rakoczego 17</t>
  </si>
  <si>
    <t>81-381 Gdynia</t>
  </si>
  <si>
    <t>Świętojańska 93</t>
  </si>
  <si>
    <t>Oddział w Tczewie</t>
  </si>
  <si>
    <t>Tczew</t>
  </si>
  <si>
    <t>Puławy</t>
  </si>
  <si>
    <t>24-100 Puławy</t>
  </si>
  <si>
    <t>Centralna 10</t>
  </si>
  <si>
    <t>Oddział w Polkowicach</t>
  </si>
  <si>
    <t>Polkowice</t>
  </si>
  <si>
    <t>59-100 Polkowice</t>
  </si>
  <si>
    <t>Kilińskiego 7</t>
  </si>
  <si>
    <t>Placówka Partnerska Oleśnica</t>
  </si>
  <si>
    <t>Oleśnica</t>
  </si>
  <si>
    <t>56-400 Oleśnica</t>
  </si>
  <si>
    <t>3 Maja 54/III</t>
  </si>
  <si>
    <t>POŚREDNICTWO FINANSOWE ANDRZEJ ORŁOWSKI</t>
  </si>
  <si>
    <t>Orłowski</t>
  </si>
  <si>
    <t xml:space="preserve">Andrzej </t>
  </si>
  <si>
    <t>Oddział Głogów</t>
  </si>
  <si>
    <t>Głogów</t>
  </si>
  <si>
    <t>67-200 Głogów</t>
  </si>
  <si>
    <t>ul. Grodzka 19</t>
  </si>
  <si>
    <t>Piaseczno</t>
  </si>
  <si>
    <t>05-500 Piaseczno</t>
  </si>
  <si>
    <t>ul. Kościuszki 26</t>
  </si>
  <si>
    <t>93-172 Łódź</t>
  </si>
  <si>
    <t>Rzgowska 62</t>
  </si>
  <si>
    <t>Oddział w Słupsku</t>
  </si>
  <si>
    <t>Słupsk</t>
  </si>
  <si>
    <t>76-200 Słupsk</t>
  </si>
  <si>
    <t>Stary Rynek 7</t>
  </si>
  <si>
    <t>Oddział w Kutnie</t>
  </si>
  <si>
    <t>Kutno</t>
  </si>
  <si>
    <t>99-300 Kutno</t>
  </si>
  <si>
    <t>Plac Piłsudskiego 11</t>
  </si>
  <si>
    <t xml:space="preserve">XXX </t>
  </si>
  <si>
    <t>20-029 Lublin</t>
  </si>
  <si>
    <t>Grottgera 8</t>
  </si>
  <si>
    <t>04-078 Warszawa</t>
  </si>
  <si>
    <t>Garibaldiego 4</t>
  </si>
  <si>
    <t>Oddział w  Łodzi</t>
  </si>
  <si>
    <t>90-130 Łódź</t>
  </si>
  <si>
    <t>Narutowicza 57</t>
  </si>
  <si>
    <t>00-195 Warszawa</t>
  </si>
  <si>
    <t>Słomińskiego 7</t>
  </si>
  <si>
    <t>Oddział w Swarzędzu</t>
  </si>
  <si>
    <t>Swarzędz</t>
  </si>
  <si>
    <t>62-020 Swarzędz</t>
  </si>
  <si>
    <t>Cieszkowskiego 33</t>
  </si>
  <si>
    <t>Oddział w Starogardzie Gdańskim</t>
  </si>
  <si>
    <t>Starogard Gdański</t>
  </si>
  <si>
    <t>83-200 Starogard Gdański</t>
  </si>
  <si>
    <t>ul. Gimnazjalna 2</t>
  </si>
  <si>
    <t>Oddział w  Elblągu</t>
  </si>
  <si>
    <t>Hetmańska 5/11</t>
  </si>
  <si>
    <t>Oddział w Środzie Wielkopolskiej</t>
  </si>
  <si>
    <t>Środa Wielkopolska</t>
  </si>
  <si>
    <t>63-000 Środa Wielkopolska</t>
  </si>
  <si>
    <t>Czerwonego Krzyża 23</t>
  </si>
  <si>
    <t>02-798 Warszawa</t>
  </si>
  <si>
    <t>Wańkowicza 1</t>
  </si>
  <si>
    <t>03-984 Warszawa</t>
  </si>
  <si>
    <t>Fieldorfa 10</t>
  </si>
  <si>
    <t>52-213 Wrocław</t>
  </si>
  <si>
    <t>Nenckiego 136 A</t>
  </si>
  <si>
    <t>Oddział w Grudziądzu</t>
  </si>
  <si>
    <t>Grudziądz</t>
  </si>
  <si>
    <t>86-300 Grudziądz</t>
  </si>
  <si>
    <t>ul. Stara 24</t>
  </si>
  <si>
    <t>87-812 Włocławek</t>
  </si>
  <si>
    <t>Kaliska 94</t>
  </si>
  <si>
    <t>10-686 Olsztyn</t>
  </si>
  <si>
    <t>ul. Wilczyńskiego 6C</t>
  </si>
  <si>
    <t>94-004 Łódź</t>
  </si>
  <si>
    <t>Retkińska 79 C</t>
  </si>
  <si>
    <t>81-175 Gdynia</t>
  </si>
  <si>
    <t>ul. Sikorskiego 2</t>
  </si>
  <si>
    <t>Oddział w Kole</t>
  </si>
  <si>
    <t>Koło</t>
  </si>
  <si>
    <t>62-600 Koło</t>
  </si>
  <si>
    <t>ul. 20 Stycznia 35</t>
  </si>
  <si>
    <t>70-431 Szczecin</t>
  </si>
  <si>
    <t>Śląska 7</t>
  </si>
  <si>
    <t>POŚREDNICTWO FINANSOWE SZKWAREK GRAŻYNA KATARZYNA</t>
  </si>
  <si>
    <t>Szkwarek</t>
  </si>
  <si>
    <t>Grażyna Katarzyna</t>
  </si>
  <si>
    <t>61-868 Poznań</t>
  </si>
  <si>
    <t>Garbary 36</t>
  </si>
  <si>
    <t>52-314 Wrocław</t>
  </si>
  <si>
    <t>Wałbrzyska 27</t>
  </si>
  <si>
    <t>Bolesławiec</t>
  </si>
  <si>
    <t>59-700 Bolesławiec</t>
  </si>
  <si>
    <t>Sierpnia 80/22</t>
  </si>
  <si>
    <t>Stargard Szczeciński</t>
  </si>
  <si>
    <t>73-110 Stargard Szczeciński</t>
  </si>
  <si>
    <t>ul. Piłsudskiego 95 b</t>
  </si>
  <si>
    <t>Oddział w Jarocinie</t>
  </si>
  <si>
    <t>Jarocin</t>
  </si>
  <si>
    <t>63-200 Jarocin</t>
  </si>
  <si>
    <t>Wrocławska 22</t>
  </si>
  <si>
    <t>Ostrowiec Świętokrzyski</t>
  </si>
  <si>
    <t>27-400 Ostrowiec Świętokrzyski</t>
  </si>
  <si>
    <t>ul. Rynek 34</t>
  </si>
  <si>
    <t>Niepołomice</t>
  </si>
  <si>
    <t>32-005 Niepołomice</t>
  </si>
  <si>
    <t>Rynek 2</t>
  </si>
  <si>
    <t>40-101 Katowice</t>
  </si>
  <si>
    <t>Chorzowska 111</t>
  </si>
  <si>
    <t>03-144 Warszawa</t>
  </si>
  <si>
    <t>Światowida 49</t>
  </si>
  <si>
    <t>Oddział w Sochaczewie</t>
  </si>
  <si>
    <t>Sochaczew</t>
  </si>
  <si>
    <t>96-500 Sochaczew</t>
  </si>
  <si>
    <t>Świerczewskiego 1b</t>
  </si>
  <si>
    <t>Placówka Partnerska Białystok</t>
  </si>
  <si>
    <t>15-102 Białystok</t>
  </si>
  <si>
    <t>KEN 3</t>
  </si>
  <si>
    <t>MIROSŁAW SIEMIEŃCZUK POŚREDNICTWO FINANSOWE</t>
  </si>
  <si>
    <t>Siemieńczuk</t>
  </si>
  <si>
    <t>Mirosław</t>
  </si>
  <si>
    <t>Oddział w Mielcu</t>
  </si>
  <si>
    <t>Mielec</t>
  </si>
  <si>
    <t>39-300 Mielec</t>
  </si>
  <si>
    <t>Al.Niepodległości 12</t>
  </si>
  <si>
    <t>Zduńska Wola</t>
  </si>
  <si>
    <t>98-220 Zduńska Wola</t>
  </si>
  <si>
    <t>Łaska 46</t>
  </si>
  <si>
    <t>Placówka Partnerska Skarżysko Kamienna</t>
  </si>
  <si>
    <t>Skarżysko Kamienna</t>
  </si>
  <si>
    <t>26-110 Skarżysko Kamienna</t>
  </si>
  <si>
    <t>Kosmonautów 1</t>
  </si>
  <si>
    <t xml:space="preserve">A.S.S.W. POŚREDNICTWO FINANSOWE WASILEWSKI I WSPÓLNICY SPÓŁKA KOMANDYTOWA </t>
  </si>
  <si>
    <t>90-006 Łódź</t>
  </si>
  <si>
    <t>Piotrkowska 114</t>
  </si>
  <si>
    <t>Oddział w  Łowiczu</t>
  </si>
  <si>
    <t>Łowicz</t>
  </si>
  <si>
    <t>99-400 Łowicz</t>
  </si>
  <si>
    <t>Nowy Rynek 25A</t>
  </si>
  <si>
    <t>20-002 Lublin</t>
  </si>
  <si>
    <t>Krakowskie Przedmieście 10</t>
  </si>
  <si>
    <t>Placówka Partnerska Kielce</t>
  </si>
  <si>
    <t>25-339 Kielce</t>
  </si>
  <si>
    <t>Zagórska 35</t>
  </si>
  <si>
    <t>A.S.S.W. POŚREDNICTWO FINANSOWE WASILEWSKI I WSPÓLNICY SPÓŁKA KOMANDYTOWA</t>
  </si>
  <si>
    <t>Chopina 21F</t>
  </si>
  <si>
    <t>50-026 Wrocław</t>
  </si>
  <si>
    <t>Plac Kościuszki 20</t>
  </si>
  <si>
    <t>Oddział w  Chełmie</t>
  </si>
  <si>
    <t>Chełm</t>
  </si>
  <si>
    <t>22-100 Chełm</t>
  </si>
  <si>
    <t>Lubelska 52</t>
  </si>
  <si>
    <t>Oddział w Kwidzyniu</t>
  </si>
  <si>
    <t>Kwidzyn</t>
  </si>
  <si>
    <t>82-500 Kwidzyn</t>
  </si>
  <si>
    <t>Chopina 30</t>
  </si>
  <si>
    <t>Oddział w  Sopocie</t>
  </si>
  <si>
    <t>81-704 Sopot</t>
  </si>
  <si>
    <t>Kościuszki 11</t>
  </si>
  <si>
    <t>Placówka Partnerska Wołomin</t>
  </si>
  <si>
    <t>Wołomin</t>
  </si>
  <si>
    <t>05-200 Wołomin</t>
  </si>
  <si>
    <t>Mickiewicza 12</t>
  </si>
  <si>
    <t>JULKAM, SŁAWOMIRA KRYSIK</t>
  </si>
  <si>
    <t>Krysik</t>
  </si>
  <si>
    <t>Sławomira</t>
  </si>
  <si>
    <t>61-844 Poznań</t>
  </si>
  <si>
    <t>Plac Bernardyński 2A</t>
  </si>
  <si>
    <t>Placówka Partnerska Koszalin</t>
  </si>
  <si>
    <t>75-007 Koszalin</t>
  </si>
  <si>
    <t>Rynek Staromiejski 13</t>
  </si>
  <si>
    <t>PRZEDSIĘBIORSTWO HANDLOWO-USŁUGOWE IMPULS AGNIESZKA BRONK-CHRZANOWSKA</t>
  </si>
  <si>
    <t>Bronk-Chrzanowska</t>
  </si>
  <si>
    <t>Agnieszka</t>
  </si>
  <si>
    <t>Placówka Partnerska Świnoujście</t>
  </si>
  <si>
    <t>Świnoujście</t>
  </si>
  <si>
    <t>72-600 Świnoujście</t>
  </si>
  <si>
    <t>Plac Słowiański 11</t>
  </si>
  <si>
    <t>Oddział w  Nowym Targu</t>
  </si>
  <si>
    <t>Nowy Targ</t>
  </si>
  <si>
    <t>34-400 Nowy Targ</t>
  </si>
  <si>
    <t>Szkolna 2</t>
  </si>
  <si>
    <t>Myślenice</t>
  </si>
  <si>
    <t>32-400 Myślenice</t>
  </si>
  <si>
    <t>Reja 8</t>
  </si>
  <si>
    <t>Placówka Partnerska Gdańsk</t>
  </si>
  <si>
    <t>80-264 Gdańsk</t>
  </si>
  <si>
    <t>Al. Grunwaldzka 141</t>
  </si>
  <si>
    <t>P.H.U. DG DAMIAN GAJEWSKI</t>
  </si>
  <si>
    <t>Gajewski</t>
  </si>
  <si>
    <t xml:space="preserve">Damian Piotr </t>
  </si>
  <si>
    <t>Placówka Partnerska Bochnia</t>
  </si>
  <si>
    <t>Bochnia</t>
  </si>
  <si>
    <t>32-700 Bochnia</t>
  </si>
  <si>
    <t>KUTYBA I WSPÓLNICY SPÓŁKA KOMANDYTOWA</t>
  </si>
  <si>
    <t>Ciechanów</t>
  </si>
  <si>
    <t>06-400 Ciechanów</t>
  </si>
  <si>
    <t>Pułtuska 16</t>
  </si>
  <si>
    <t>D5</t>
  </si>
  <si>
    <t>I2</t>
  </si>
  <si>
    <t>G1</t>
  </si>
  <si>
    <t>I3</t>
  </si>
  <si>
    <t>G3</t>
  </si>
  <si>
    <t>G6</t>
  </si>
  <si>
    <t>G7</t>
  </si>
  <si>
    <t>G8</t>
  </si>
  <si>
    <t>G10</t>
  </si>
  <si>
    <t>G11</t>
  </si>
  <si>
    <t>G9</t>
  </si>
  <si>
    <t>I5</t>
  </si>
  <si>
    <t>G4</t>
  </si>
  <si>
    <t>I7</t>
  </si>
  <si>
    <t>I1</t>
  </si>
  <si>
    <t>FORMULARZ DLA:</t>
  </si>
  <si>
    <t>Nazwa produktu 
W ING</t>
  </si>
  <si>
    <t>Typ Oprocentowania</t>
  </si>
  <si>
    <t>notatki / uwagi</t>
  </si>
  <si>
    <t>data uruchomienia</t>
  </si>
  <si>
    <t>data pierwszej spłaty</t>
  </si>
  <si>
    <t>wsp*ubezpiecz*kwota</t>
  </si>
  <si>
    <t>wsp*ubezpiecz*KwotaBrutto</t>
  </si>
  <si>
    <t>wsp*Prowiz*kwota</t>
  </si>
  <si>
    <t>wsp*Prowiz*kwotaBrutto</t>
  </si>
  <si>
    <t>Skłądowe kredytowane</t>
  </si>
  <si>
    <t>Wartość RRSO
(do oblicz)</t>
  </si>
  <si>
    <t>2.Reprezentatywnego Przykładu</t>
  </si>
  <si>
    <t>Formularz do wydruku, Przykład:</t>
  </si>
  <si>
    <t>Wiersz z wartościami przenoszonymi do Formularz dla Konsumenta</t>
  </si>
  <si>
    <t>G5</t>
  </si>
  <si>
    <t>I4</t>
  </si>
  <si>
    <t>&lt;całkowita do zapłaty&gt;</t>
  </si>
  <si>
    <t>i8</t>
  </si>
  <si>
    <t>i9</t>
  </si>
  <si>
    <t>i12</t>
  </si>
  <si>
    <t>i11</t>
  </si>
  <si>
    <r>
      <t>całkowite odsetk</t>
    </r>
    <r>
      <rPr>
        <b/>
        <sz val="10"/>
        <rFont val="Arial"/>
        <family val="2"/>
        <charset val="238"/>
      </rPr>
      <t>i
(do obliczenia)</t>
    </r>
  </si>
  <si>
    <t xml:space="preserve">– obowiązek zawarcia umowy dodatkowej w szczególności umowy ubezpieczenia tak/nie: </t>
  </si>
  <si>
    <t>– w przypadku braku lub opóźnienia płatności może Pan/Pani zostać obciążony/a następującymi opłatami:
1. opłata za wysłanie monitu do Pożyczkobiorcy – 20 zł na dzień zawarcia niniejszej Umowy, przy czym Bank może wysłać do Pożyczkobiorcy nie więcej niż 5 monitów w okresie jednego miesiąca, 
2. opłata lub inne koszty określone w obowiązujących przepisach prawa poniesione przez Bank w związku z prowadzeniem działań mających na celu egzekucję zadłużenia (opłaty skarbowe oraz opłaty administracyjne),</t>
  </si>
  <si>
    <t>Koszty wskazane w Tabeli Opłat i Prowizji mogą ulec zmianie w przypadku wystąpienia co najmniej jednej z niżej wskazanych okoliczności:
1. zmiana poziomu inflacji, rozumianego jako ogłaszany przez Główny Urząd Statystyczny, któregokolwiek ze wskaźników cen towarów i usług konsumpcyjnych, o co najmniej +/- 0,3 punktu procentowego w stosunku do poprzednio ogłaszanych wskaźników za analogiczny okres (roczny, kwartalny lub miesięczny),</t>
  </si>
  <si>
    <t>2. zmiana stawek opodatkowania lub wprowadzenie nowych podatków lub opłat o charakterze obowiązkowym lub podatkowym,
3. obowiązek utworzenia nowych rezerw lub odpisów lub zmianę wysokości rezerw, odpisów zgodnie z przepisami prawa lub na skutek rekomendacji, zaleceń lub decyzji Komisji Nadzoru Finansowego lub innego uprawnionego organu,</t>
  </si>
  <si>
    <t>4. obowiązek podwyższenia kapitałów Banku, w tym kapitału zakładowego, funduszy własnych, funduszu rezerwowego, o ile taki obowiązek wynika z przepisów prawa, rekomendacji, zaleceń lub decyzji Komisji Nadzoru Finansowego lub innego uprawnionego organu, 
5. podwyższenie związanych z działalnością Banku cen energii, cen połączeń telekomunikacyjnych, usług pocztowych, rozliczeń międzybankowych na podstawie umów, których Bank jest stroną, o więcej niż 1 % w stosunku do poprzednio obowiązującej ceny w analogicznym okresie (rocznym, kwartalnym lub miesięcznym),</t>
  </si>
  <si>
    <t>Wysokość ostatniej raty może ulec zmianie w przypadku zmiany stopy procentowej w okresie kredytowania lub w związku z tym, że termin uruchomienia może być inny niż data podpisania Umowy lub z dokonanymi przez Pożyczkobiorcę przedterminowymi częściowymi spłatami oraz w związku z koniecznością zaokrąglania wysokości rat przy założeniu, że raty pożyczki są równe.
 - odsetki lub opłaty będą podlegać spłacie w następujący sposób: odsetki spłacane będą  miesięcznie w racie kapitałowo-odsetkowej, prowizja za udzielenie kredytu pobierana jest jednorazowo najpóźniej w dniu uruchomienia kredytu.</t>
  </si>
  <si>
    <r>
      <t>Rzeczywista roczna stopa oprocentowania</t>
    </r>
    <r>
      <rPr>
        <sz val="10"/>
        <rFont val="Calibri"/>
        <family val="2"/>
        <charset val="238"/>
      </rPr>
      <t xml:space="preserve">  
Jest to całkowity koszt kredytu ponoszony przez konsumenta, wyrażony jako wartość procentowa całkowitej kwoty kredytu w</t>
    </r>
    <r>
      <rPr>
        <sz val="10"/>
        <color indexed="9"/>
        <rFont val="Calibri"/>
        <family val="2"/>
        <charset val="238"/>
      </rPr>
      <t xml:space="preserve"> </t>
    </r>
    <r>
      <rPr>
        <sz val="10"/>
        <rFont val="Calibri"/>
        <family val="2"/>
        <charset val="238"/>
      </rPr>
      <t>stosunku rocznym przedstawiona aby pomóc Panu/Pani w porównaniu oferowanych kredytów.</t>
    </r>
  </si>
  <si>
    <t>puste</t>
  </si>
  <si>
    <t>dla 2.Reprezentatywnego Przykładu , wiersze 82 i 83 puste</t>
  </si>
  <si>
    <t>Treść komunikatu, GDY JEST ZABEZPIECZENIE Anetka przykad reprezentatywnmy i klienta</t>
  </si>
  <si>
    <r>
      <t>&lt;DD.MM.RRRR&gt;</t>
    </r>
    <r>
      <rPr>
        <sz val="10"/>
        <rFont val="Cambria"/>
        <family val="1"/>
        <charset val="238"/>
      </rPr>
      <t xml:space="preserve"> </t>
    </r>
    <r>
      <rPr>
        <i/>
        <sz val="10"/>
        <rFont val="Cambria"/>
        <family val="1"/>
        <charset val="238"/>
      </rPr>
      <t>(data końca umowy - wyliczana na podstawie opracowanych założeń)</t>
    </r>
  </si>
  <si>
    <r>
      <t xml:space="preserve">Sekcja występuje jeżeli pożyczka oprocentowana jest według stopy zmiennej w makrze wiersz </t>
    </r>
    <r>
      <rPr>
        <b/>
        <sz val="10"/>
        <rFont val="Cambria"/>
        <family val="1"/>
        <charset val="238"/>
      </rPr>
      <t>77
Zmienna = zostawić</t>
    </r>
  </si>
  <si>
    <r>
      <t xml:space="preserve">zrodlo I5, czyli FkredytowaneUbezpiecz </t>
    </r>
    <r>
      <rPr>
        <b/>
        <sz val="10"/>
        <rFont val="Cambria"/>
        <family val="1"/>
        <charset val="238"/>
      </rPr>
      <t>=</t>
    </r>
    <r>
      <rPr>
        <sz val="10"/>
        <rFont val="Cambria"/>
        <family val="1"/>
        <charset val="238"/>
      </rPr>
      <t>"NieDotyczy" to ukryćwiersz</t>
    </r>
  </si>
  <si>
    <r>
      <t>zrodlo I5, czyli FkredytowaneUbezpiecz</t>
    </r>
    <r>
      <rPr>
        <b/>
        <sz val="10"/>
        <rFont val="Cambria"/>
        <family val="1"/>
        <charset val="238"/>
      </rPr>
      <t xml:space="preserve"> &lt;&gt;</t>
    </r>
    <r>
      <rPr>
        <sz val="10"/>
        <rFont val="Cambria"/>
        <family val="1"/>
        <charset val="238"/>
      </rPr>
      <t>"NieDotyczy" to ukryćwiersz</t>
    </r>
  </si>
  <si>
    <t>umowa od:</t>
  </si>
  <si>
    <t xml:space="preserve">Rząska, ul. Nad Wąwozem 24 30-199 Kraków </t>
  </si>
  <si>
    <t>ul. Żwirki i Wigury 7 m. 26,  62-230 Witkowo</t>
  </si>
  <si>
    <t>ul. Podleśna 74 05-075 Warszawa</t>
  </si>
  <si>
    <t>ul. Tulipanowa 8, 98-200 Sieradz</t>
  </si>
  <si>
    <t>ul. Inflancka 45  91-852 Łódź</t>
  </si>
  <si>
    <t>ul. Rzeszowska 54 F / 3 37-400 Nisko</t>
  </si>
  <si>
    <t>Knapy 13, 39-451 Skopanie</t>
  </si>
  <si>
    <t>ul. Zygmunta Wróblewskiego 16D/4  24-100 Puławy</t>
  </si>
  <si>
    <t>ul. Narutowicza 9/1, 66-400 Gorzów Wielkopolski</t>
  </si>
  <si>
    <t>Oddział w Puławach</t>
  </si>
  <si>
    <t>UL. KLONOWA 4E/7 56-400 OLEŚNICA</t>
  </si>
  <si>
    <t>UL.STANISŁAWA WOJCIECHOWSKIEGO 40 71-476 SZCZECIN</t>
  </si>
  <si>
    <t>ul. Nowy Świat 48 nr lok. 8, 25-522 Kielce</t>
  </si>
  <si>
    <t>ul. Pomorska 40 15-546 Białystok</t>
  </si>
  <si>
    <t>ul. Poprzeczna 13, Duczki 05-200 Wołomin</t>
  </si>
  <si>
    <t>ul. Władysława Spasowskiego 2/6 75-451 Koszalin</t>
  </si>
  <si>
    <t>ul. Żyrardowska 55/15 82-300 Elbląg</t>
  </si>
  <si>
    <t>ul. Józefa K. Korzeniowskiego 8 lok. 56 33-300 Nowy Sącz</t>
  </si>
  <si>
    <t>Wysokość ostatniej raty może ulec zmianie w związku z tym, że termin uruchomienia może być inny niż data podpisania Umowy lub z dokonanymi przez Pożyczkobiorcę przedterminowymi częściowymi spłatami oraz w związku z  koniecznością zaokrąglania wysokości rat przy założeniu, że raty pożyczki są równe.
 - odsetki lub opłaty będą podlegać spłacie w następujący sposób: odsetki spłacane będą  miesięcznie w racie kapitałowo-odsetkowej, prowizja za udzielenie kredytu pobierana jest jednorazowo najpóźniej w dniu uruchomienia kredytu.</t>
  </si>
  <si>
    <t>Pl. Bema 2, 50-265 Wrocław</t>
  </si>
  <si>
    <r>
      <t xml:space="preserve">Został/a Pan/Pani sprawdzony/a w bazie danych:                                                                                                                                                                                                                                        
</t>
    </r>
    <r>
      <rPr>
        <b/>
        <sz val="10"/>
        <rFont val="Calibri"/>
        <family val="2"/>
        <charset val="238"/>
      </rPr>
      <t xml:space="preserve">
Nie został/a Pan/Pani sprawdzony/a w żadnej bazie danych.</t>
    </r>
  </si>
  <si>
    <t>INFORMACJA DLA POŻYCZKOBIORCY</t>
  </si>
  <si>
    <t>Oddział w Suwałkach</t>
  </si>
  <si>
    <t>Suwałki</t>
  </si>
  <si>
    <t>16-400 Suwałki</t>
  </si>
  <si>
    <t>Noniewicza 95</t>
  </si>
  <si>
    <t>Oddział w Ostrołęce</t>
  </si>
  <si>
    <t>Oddział w Ciechanowie</t>
  </si>
  <si>
    <t>TU BLOKOWAĆ OKIENKO</t>
  </si>
  <si>
    <t>If Worksheets("DODZ").Range("T3").Value = Worksheets("DODZ").Range("T4").Value Or Worksheets("WERSJA2").Range("G2").Value = "BRAK OFERTY" Or Worksheets("DODZ").Range("T5").Value = Worksheets("DODZ").Range("T10").Value</t>
  </si>
  <si>
    <t>Or Worksheets("DODZ").Range("T5").Value = Worksheets("DODZ").Range("T10").Value Then</t>
  </si>
  <si>
    <t>Fragmenty Formularza dla Konsumenta</t>
  </si>
  <si>
    <t xml:space="preserve">Na całkowity koszt kredytu składają się </t>
  </si>
  <si>
    <t>Było do 2012-01-31</t>
  </si>
  <si>
    <t>Data Transakcji</t>
  </si>
  <si>
    <t>KWOTA RATY</t>
  </si>
  <si>
    <t>kapitał</t>
  </si>
  <si>
    <t>odsetki</t>
  </si>
  <si>
    <t>Saldo kredytu</t>
  </si>
  <si>
    <t>LP</t>
  </si>
  <si>
    <t>DANE WEJSCIOWE:</t>
  </si>
  <si>
    <t>Dzień nietypowy, ten sam miesiąc</t>
  </si>
  <si>
    <t>pomoc</t>
  </si>
  <si>
    <t>wynik ostateczny</t>
  </si>
  <si>
    <t>Dzień nietypowy, miesiąc +1</t>
  </si>
  <si>
    <t>Dzień nietypowy, miesiąc +2</t>
  </si>
  <si>
    <t>liczba dni od uruchomienia</t>
  </si>
  <si>
    <t>Wyznaczenie daty pierwszej raty</t>
  </si>
  <si>
    <t>Parametr</t>
  </si>
  <si>
    <t>LiczDniDo1RatyMIN</t>
  </si>
  <si>
    <t>LiczDniDo1RatyMAX</t>
  </si>
  <si>
    <t>Liczba dni w miesiącu uruchomienia</t>
  </si>
  <si>
    <t>Rata zaokr</t>
  </si>
  <si>
    <t>RatySOWK_or_OE</t>
  </si>
  <si>
    <t>Dane Gosp domowego:</t>
  </si>
  <si>
    <t>Data pierwszej raty:</t>
  </si>
  <si>
    <t>MIESIĘCZNE OBCIĄŻENIA</t>
  </si>
  <si>
    <t>KREDYTOWANA PROWIZJA KWOTA</t>
  </si>
  <si>
    <t>KREDYTOWANE UBEZPIECZENIE KWOTA</t>
  </si>
  <si>
    <t>Data Pomocnicza</t>
  </si>
  <si>
    <t>kwota odsetek</t>
  </si>
  <si>
    <t>kwota kapitału</t>
  </si>
  <si>
    <t>D-debit-Obciązenie</t>
  </si>
  <si>
    <t>C-credit-Uznanie-wyplata klientowi</t>
  </si>
  <si>
    <t>C-credit-Uznanie-wyplata klientowi /otrzymane (-)</t>
  </si>
  <si>
    <t>Lczba dni w roku przestępnym dla RRSO</t>
  </si>
  <si>
    <t>Okres na potrzeby Kwoty Na rękę</t>
  </si>
  <si>
    <t>Kwota Netto na podstawie Kwoty Na Rękę</t>
  </si>
  <si>
    <t>MAKSYMALNA KWOTA POŻYCZKI</t>
  </si>
  <si>
    <t>Pokrętne wyliczenie Kwoty Na Rękę</t>
  </si>
  <si>
    <t>Ostateczna Kwota Na Rękę:</t>
  </si>
  <si>
    <t>KWOTA POŻYCZKI</t>
  </si>
  <si>
    <t>j7</t>
  </si>
  <si>
    <t>StopaProc</t>
  </si>
  <si>
    <t>Zdolnosc</t>
  </si>
  <si>
    <t>h4</t>
  </si>
  <si>
    <t>i5</t>
  </si>
  <si>
    <t>LiczbaRat</t>
  </si>
  <si>
    <t>KoniecMIes</t>
  </si>
  <si>
    <t>DataTransakcji</t>
  </si>
  <si>
    <t>KWOTA PROWIZJI</t>
  </si>
  <si>
    <t>KWOTA ODSETEK</t>
  </si>
  <si>
    <t>Koszty(prowizja+Ubezpiecz+Odsetki)</t>
  </si>
  <si>
    <t>WspUbezpiecz</t>
  </si>
  <si>
    <t>Kwota Na Rękę</t>
  </si>
  <si>
    <t>MIN Szablonu</t>
  </si>
  <si>
    <t>Proponowana kwota</t>
  </si>
  <si>
    <t>LICZBA RAT</t>
  </si>
  <si>
    <t>Dane wniosku kredytowego:</t>
  </si>
  <si>
    <t>Dochód minimalny</t>
  </si>
  <si>
    <t>odp_DochodDlaSzablonu</t>
  </si>
  <si>
    <t>1-BuforZmiennegoOprocentowania</t>
  </si>
  <si>
    <t>KrotnoscNiezab_STATUS_KLIENTA</t>
  </si>
  <si>
    <t>KREDYTY NIEZABEZPIECZONE:</t>
  </si>
  <si>
    <t>1a</t>
  </si>
  <si>
    <t>1b</t>
  </si>
  <si>
    <t>1c</t>
  </si>
  <si>
    <t>Ogr1a_PotencjałNapodstZdolnosci</t>
  </si>
  <si>
    <t>Ogr1b_MaxKwotaNiezabTOTAL</t>
  </si>
  <si>
    <t>Ogr1c_Ogranicz1-PosiadaneKredNiezab</t>
  </si>
  <si>
    <t>Ogr2_min1a1c</t>
  </si>
  <si>
    <t>1-bufor</t>
  </si>
  <si>
    <t>MAX SzablonuNetto</t>
  </si>
  <si>
    <t>MAXSzablonuBRUTTO</t>
  </si>
  <si>
    <t>w przyp zmiany polityki należy wyliczać jak z DOD!</t>
  </si>
  <si>
    <t>Przybliżona Rata</t>
  </si>
  <si>
    <t>Finał czy oferować</t>
  </si>
  <si>
    <t>Proponowana Na Rękę</t>
  </si>
  <si>
    <t>Przybliżona rata</t>
  </si>
  <si>
    <t xml:space="preserve"> =JEŻELI(liczba_dni_w_mies_uruchomienia&lt;31;45;46)</t>
  </si>
  <si>
    <t>opcjonalne</t>
  </si>
  <si>
    <t>odp_KwotadlaSzablonu</t>
  </si>
  <si>
    <t>Klient może otrzymać wybrany produkt</t>
  </si>
  <si>
    <t>MAKSYMALNA KWOTA DLA DANEGO PRODUKTU:</t>
  </si>
  <si>
    <t>DANE POŻYCZKI / WNIOSKU :</t>
  </si>
  <si>
    <t>Wybierz</t>
  </si>
  <si>
    <t>pola wyboru:</t>
  </si>
  <si>
    <t>WYBIERZ odpowiednią
OFERTĘ:</t>
  </si>
  <si>
    <t>wiersz 95</t>
  </si>
  <si>
    <t>Liczba Rat</t>
  </si>
  <si>
    <t>Kwota Na Rękę:</t>
  </si>
  <si>
    <t>Symulacja na podstawie</t>
  </si>
  <si>
    <t>Symulacja na podstawie danych:</t>
  </si>
  <si>
    <t>2.Kwota na ręke i kwota raty</t>
  </si>
  <si>
    <t>1.Kwota na ręke i Liczba Rat</t>
  </si>
  <si>
    <t xml:space="preserve"> Wybierz</t>
  </si>
  <si>
    <t>Kwota raty:</t>
  </si>
  <si>
    <t>1.Liczba Rat i Kwota na ręke</t>
  </si>
  <si>
    <t>2.Kwota Raty i Kwota na ręke</t>
  </si>
  <si>
    <t>Liczba rat (miesięcznych):</t>
  </si>
  <si>
    <t>odp_SymulacjaNaPodstawie_1</t>
  </si>
  <si>
    <t>LICZBA_RAT_MIN_szablonu</t>
  </si>
  <si>
    <t>LICZBA_RAT_MAX_szablonu</t>
  </si>
  <si>
    <t>LICZBA_RAT_max
_STAŁE</t>
  </si>
  <si>
    <t>Ogr1c_Ogranicz1c-PosiadaneKredNiezab</t>
  </si>
  <si>
    <t>zródlo: Ogr1b_</t>
  </si>
  <si>
    <t>DeklaracjaKlientaBrutto</t>
  </si>
  <si>
    <r>
      <t>ZAOKR(KwNaReke/      (1-V50*N50*</t>
    </r>
    <r>
      <rPr>
        <sz val="10"/>
        <color indexed="13"/>
        <rFont val="Arial"/>
        <family val="2"/>
        <charset val="238"/>
      </rPr>
      <t>(1-WSP_TNkrU)</t>
    </r>
    <r>
      <rPr>
        <sz val="10"/>
        <rFont val="Arial"/>
        <family val="2"/>
        <charset val="238"/>
      </rPr>
      <t>-</t>
    </r>
    <r>
      <rPr>
        <sz val="10"/>
        <color indexed="36"/>
        <rFont val="Arial"/>
        <family val="2"/>
        <charset val="238"/>
      </rPr>
      <t>(1+V50*N50*WSP_TNkrU)</t>
    </r>
    <r>
      <rPr>
        <sz val="10"/>
        <rFont val="Arial"/>
        <family val="2"/>
        <charset val="238"/>
      </rPr>
      <t>*G50*(1-WSP_TNkrP));2)</t>
    </r>
  </si>
  <si>
    <t>patrz arkusz DOD1, kol W</t>
  </si>
  <si>
    <t>Proponowana
_Brutto
Ograniczenie
_DoDeklaracjiKlienta</t>
  </si>
  <si>
    <t>Ogr2_min
_1a1c
_brutto</t>
  </si>
  <si>
    <t>Proponowana_kwota
_brutto
_Szablon</t>
  </si>
  <si>
    <t>JEŻELI($E$8&gt;36;JEŻELI($K$3&lt;=50000;0,13;0,125);0)</t>
  </si>
  <si>
    <t>Oprocent
_STAŁY</t>
  </si>
  <si>
    <t>Oprocent
_POZOSTAŁY</t>
  </si>
  <si>
    <r>
      <t xml:space="preserve">   JEŻELI($E$8&lt;=36;JEŻELI($K$3&lt;=50000;</t>
    </r>
    <r>
      <rPr>
        <sz val="10"/>
        <color rgb="FFFFFF00"/>
        <rFont val="Arial"/>
        <family val="2"/>
        <charset val="238"/>
      </rPr>
      <t>0,115</t>
    </r>
    <r>
      <rPr>
        <sz val="10"/>
        <rFont val="Arial"/>
        <family val="2"/>
        <charset val="238"/>
      </rPr>
      <t xml:space="preserve">;0,105);0)
</t>
    </r>
  </si>
  <si>
    <t>Oprocent
_Do36
_STAŁE</t>
  </si>
  <si>
    <t>Oprocent
_Pow36
_ZMIENNE</t>
  </si>
  <si>
    <t>kol 26</t>
  </si>
  <si>
    <t>SYMULACJA
_LICZBY
_RAT</t>
  </si>
  <si>
    <t>Petla
_PropBrutto
MinSzabl</t>
  </si>
  <si>
    <t>kol 48</t>
  </si>
  <si>
    <t>iloczyn:</t>
  </si>
  <si>
    <t>Zdolność - 2zł</t>
  </si>
  <si>
    <r>
      <rPr>
        <sz val="10"/>
        <color rgb="FFFF0000"/>
        <rFont val="Arial"/>
        <family val="2"/>
        <charset val="238"/>
      </rPr>
      <t>X=ZAOKR(KwNaReke/(1-V50{liczba_rat}*N50{WspolczUbezpiecz }*(1-WSP_TNkrU)</t>
    </r>
    <r>
      <rPr>
        <sz val="10"/>
        <rFont val="Arial"/>
        <family val="2"/>
        <charset val="238"/>
      </rPr>
      <t>-
(1+V50*N50*WSP_TNkrU)*G50{prowizja%}*(1-WSP_TNkrP)</t>
    </r>
    <r>
      <rPr>
        <sz val="10"/>
        <color indexed="10"/>
        <rFont val="Arial"/>
        <family val="2"/>
        <charset val="238"/>
      </rPr>
      <t>)</t>
    </r>
    <r>
      <rPr>
        <sz val="10"/>
        <rFont val="Arial"/>
        <family val="2"/>
        <charset val="238"/>
      </rPr>
      <t xml:space="preserve">;2)
</t>
    </r>
  </si>
  <si>
    <t>Petla_LiczRat&lt;szabl
_Kwota&lt;Wnioskow</t>
  </si>
  <si>
    <t>kol47</t>
  </si>
  <si>
    <t>Petla1</t>
  </si>
  <si>
    <t>Rata&gt;0 i
Rata&lt;Wnios</t>
  </si>
  <si>
    <t>Petla</t>
  </si>
  <si>
    <t>kwota na rękę</t>
  </si>
  <si>
    <t>Licz ofert</t>
  </si>
  <si>
    <t>Zmiana danych</t>
  </si>
  <si>
    <t>odp_LiczbaRatDlaSzablonu</t>
  </si>
  <si>
    <t>Do ilu rat</t>
  </si>
  <si>
    <t>doszła pętla:</t>
  </si>
  <si>
    <t>Na Rękę</t>
  </si>
  <si>
    <t>Dworcowa 8</t>
  </si>
  <si>
    <t>ul. Łokietka 1</t>
  </si>
  <si>
    <t>Kolejowa 31</t>
  </si>
  <si>
    <t>Warszawska 14</t>
  </si>
  <si>
    <t>Oddział w Ząbkach</t>
  </si>
  <si>
    <t>Oddział w Piasecznie</t>
  </si>
  <si>
    <t>Oddział w Bolesławcu</t>
  </si>
  <si>
    <t>Pożyczka 12 rat Superkrótka</t>
  </si>
  <si>
    <t>Oddział w Ostródzie</t>
  </si>
  <si>
    <t>D-debit-Obciązenie              /kwota spłaty(+)</t>
  </si>
  <si>
    <t>LP obliczane na podstawie _NrRaty i_NrWiersza0</t>
  </si>
  <si>
    <t>OE</t>
  </si>
  <si>
    <t>Dokładna kwota raty</t>
  </si>
  <si>
    <t>wyliczenie kwoty miesięcznej raty jest takie samo w Sowk i OE, różnica jest w odsetkach dla kolejnych miesięcy</t>
  </si>
  <si>
    <t xml:space="preserve"> liczba miesięcy do pierwszej raty, potrzebna dla an i bn</t>
  </si>
  <si>
    <t>Lczba dni w roku przestępnym dla liczenia RATY</t>
  </si>
  <si>
    <t>dni w roku_dla raty</t>
  </si>
  <si>
    <r>
      <t>Q</t>
    </r>
    <r>
      <rPr>
        <sz val="10"/>
        <color theme="3" tint="0.59999389629810485"/>
        <rFont val="Arial"/>
        <family val="2"/>
        <charset val="238"/>
      </rPr>
      <t xml:space="preserve"> = 
1+oproc
*cn</t>
    </r>
  </si>
  <si>
    <r>
      <rPr>
        <sz val="10"/>
        <color theme="0"/>
        <rFont val="Arial"/>
        <family val="2"/>
        <charset val="238"/>
      </rPr>
      <t>cn=</t>
    </r>
    <r>
      <rPr>
        <sz val="10"/>
        <color theme="3" tint="0.59999389629810485"/>
        <rFont val="Arial"/>
        <family val="2"/>
        <charset val="238"/>
      </rPr>
      <t>an/rok+bn/rok</t>
    </r>
  </si>
  <si>
    <t>obliczone algorytmem ICBS</t>
  </si>
  <si>
    <t xml:space="preserve"> *****************************************      Obliczanie kwoty raty zgodnie z wymaganiami sowk/OE****************************************</t>
  </si>
  <si>
    <t>cz1. wyznaczenie dat</t>
  </si>
  <si>
    <t>cz2. na podstawie kwoty raty wyznaczenie planu rat</t>
  </si>
  <si>
    <t>PMT_:</t>
  </si>
  <si>
    <t>odsetki_pomoc</t>
  </si>
  <si>
    <t>C
 uznanie klientowi</t>
  </si>
  <si>
    <t>D
obciążenie klinta</t>
  </si>
  <si>
    <t>kwota kred/(1/Q)</t>
  </si>
  <si>
    <t xml:space="preserve"> ********* OE     Liczenie RRSO</t>
  </si>
  <si>
    <t>Ubezpieczenie</t>
  </si>
  <si>
    <t>Dyskonto dla kwoty
D</t>
  </si>
  <si>
    <r>
      <t>JEŻELI(B12&lt;&gt;"";</t>
    </r>
    <r>
      <rPr>
        <sz val="10"/>
        <color rgb="FFFF0000"/>
        <rFont val="Arial"/>
        <family val="2"/>
        <charset val="238"/>
      </rPr>
      <t>AA12</t>
    </r>
    <r>
      <rPr>
        <sz val="10"/>
        <rFont val="Arial"/>
        <family val="2"/>
        <charset val="238"/>
      </rPr>
      <t>/((1+$V$5)^(SUMA($T$11:T12)));0)</t>
    </r>
  </si>
  <si>
    <t>Dyskonto dla kwoty
C</t>
  </si>
  <si>
    <t>D - C</t>
  </si>
  <si>
    <t>RRSO:</t>
  </si>
  <si>
    <t>sowk RRSO</t>
  </si>
  <si>
    <t>OE-SOWK</t>
  </si>
  <si>
    <t>SOWK</t>
  </si>
  <si>
    <t>Różnica (ostatnia i przedostatnia rata)</t>
  </si>
  <si>
    <t>DANE WEJSCIOWE DLA SOWK:</t>
  </si>
  <si>
    <t>poniżej:</t>
  </si>
  <si>
    <t>korzystamy z wyliczonej raty PMT_</t>
  </si>
  <si>
    <t>saldo_sowk</t>
  </si>
  <si>
    <t>(jak dla OE)</t>
  </si>
  <si>
    <t>sumki:</t>
  </si>
  <si>
    <t>zmienić</t>
  </si>
  <si>
    <t>(jak OE)</t>
  </si>
  <si>
    <t>Rata_KAPIT_SOWK</t>
  </si>
  <si>
    <t>Rata_ODS_SOWK</t>
  </si>
  <si>
    <t>Rata SOWK</t>
  </si>
  <si>
    <r>
      <rPr>
        <sz val="10"/>
        <color theme="0"/>
        <rFont val="Arial"/>
        <family val="2"/>
        <charset val="238"/>
      </rPr>
      <t>cn/rok=</t>
    </r>
    <r>
      <rPr>
        <sz val="10"/>
        <color theme="3" tint="0.59999389629810485"/>
        <rFont val="Arial"/>
        <family val="2"/>
        <charset val="238"/>
      </rPr>
      <t>an/rok+bn/rok</t>
    </r>
  </si>
  <si>
    <r>
      <t>Q</t>
    </r>
    <r>
      <rPr>
        <sz val="10"/>
        <color theme="3" tint="0.59999389629810485"/>
        <rFont val="Arial"/>
        <family val="2"/>
        <charset val="238"/>
      </rPr>
      <t xml:space="preserve"> = 
1+oproc
*(cn/rok)</t>
    </r>
  </si>
  <si>
    <t>Ubezpiecz</t>
  </si>
  <si>
    <t>dni w roku_dla RRSO</t>
  </si>
  <si>
    <t>uwaga wybrane oprocentowanie - OE_oproc</t>
  </si>
  <si>
    <t>Przykłady reprezentatywne i oferta obliczana</t>
  </si>
  <si>
    <t>APLIKACJA_SOWK</t>
  </si>
  <si>
    <t>APLIKACJA_ORANGE</t>
  </si>
  <si>
    <t>DANE WYJŚCIOWE</t>
  </si>
  <si>
    <t>UMOWA DO:</t>
  </si>
  <si>
    <t>umowa do</t>
  </si>
  <si>
    <t>wybrana</t>
  </si>
  <si>
    <t>dni 365</t>
  </si>
  <si>
    <t>różnice</t>
  </si>
  <si>
    <t>Aplikacja wybrana</t>
  </si>
  <si>
    <t>|  HARMONOGRAM SOWK:</t>
  </si>
  <si>
    <t>Wybrana aplikacja</t>
  </si>
  <si>
    <t>identyczne, ten sam algorytm wyznaczania</t>
  </si>
  <si>
    <t>FrontEnd</t>
  </si>
  <si>
    <t>rata wyrównawcza</t>
  </si>
  <si>
    <t>kwota raty wyrównawczej</t>
  </si>
  <si>
    <t>APLIKACJA</t>
  </si>
  <si>
    <t>KOMUNIKAT O RATACH W ZALEŻNOŚCI OD WYBRANEJ APLIKACJI</t>
  </si>
  <si>
    <t>wiersz 87</t>
  </si>
  <si>
    <t>sowk</t>
  </si>
  <si>
    <t>MEGApożyczka, 0% prowizji, poniżej  50 000 PLN stopa zmienna</t>
  </si>
  <si>
    <t>Pożyczka z zabezpieczeniem, 0% prowizji, Klient Stały</t>
  </si>
  <si>
    <t>Wysokość ostatniej raty może ulec zmianie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t>
  </si>
  <si>
    <t>Wysokość ostatniej raty może ulec zmianie w przypadku zmiany stopy procentowej w okresie kredytowania lub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t>
  </si>
  <si>
    <t xml:space="preserve">Zasady i terminy spłaty kredytu, OPROCENOTOWANIE //D56 (Wysokość ostatniej raty) </t>
  </si>
  <si>
    <t>Zasady i terminy spłaty kredytu, OPROCENOTOWANIE   //wartość w zależności od wybranej aplikacji</t>
  </si>
  <si>
    <t>Wyjście</t>
  </si>
  <si>
    <t>SOWK wiersz 55</t>
  </si>
  <si>
    <t>FrontEnd wiersz 55</t>
  </si>
  <si>
    <t>WYBRANA APLIKACJA</t>
  </si>
  <si>
    <t>Płatność Klienta -PROWIZJA
(dzień uruchomienia)</t>
  </si>
  <si>
    <t>Pozostaje Kredytobiorcy po zapłaceniu ubezpieczenia 
(dzień uruchomienia)</t>
  </si>
  <si>
    <t>Łączny przepływ środków 
(dzień uruchomienia)</t>
  </si>
  <si>
    <t>Łączny przepływ środków  (w całym okresie kredytowania)</t>
  </si>
  <si>
    <t>Panewnicka 66</t>
  </si>
  <si>
    <t>Radoszowska 179</t>
  </si>
  <si>
    <t>Placowka Partnerska</t>
  </si>
  <si>
    <t>Pl. Na Bramie 8</t>
  </si>
  <si>
    <t>Oddział w Inowrocławiu</t>
  </si>
  <si>
    <t>Inowrocław</t>
  </si>
  <si>
    <t>88-100 Inowrocław</t>
  </si>
  <si>
    <t>ul. Solankowa 8</t>
  </si>
  <si>
    <t xml:space="preserve">Oddział w Łomży </t>
  </si>
  <si>
    <t>83-110 Tczew</t>
  </si>
  <si>
    <t>ul. Pomorska 1</t>
  </si>
  <si>
    <t>(Zamknięty) Oddział w Poznaniu</t>
  </si>
  <si>
    <t>Oddział w Stargardzie Szczecińskim</t>
  </si>
  <si>
    <t xml:space="preserve">Oddział w Ostrowcu Świętokrzyskim </t>
  </si>
  <si>
    <t>Oddział w Niepołomicach</t>
  </si>
  <si>
    <t>Oddział w Zduńskiej Woli</t>
  </si>
  <si>
    <t>Oddział w Myślenicach</t>
  </si>
  <si>
    <t>GROUPON</t>
  </si>
  <si>
    <t>OFERTY MAKSYMALNE:
RODZAJ OFERTY</t>
  </si>
  <si>
    <t>nie oferujemy</t>
  </si>
  <si>
    <t>nie dajemy</t>
  </si>
  <si>
    <t xml:space="preserve">PAKIET 5000  </t>
  </si>
  <si>
    <t>Program ubezpieczenia oraz jego koszt</t>
  </si>
  <si>
    <t>Standardowe ubezpieczenie</t>
  </si>
  <si>
    <t>dla PAKIETU 5000 wersja darmowe ubezpieczenie 12 m-cy</t>
  </si>
  <si>
    <r>
      <t xml:space="preserve">w wierszu 57 jest </t>
    </r>
    <r>
      <rPr>
        <sz val="10"/>
        <color rgb="FFC00000"/>
        <rFont val="Arial"/>
        <family val="2"/>
        <charset val="238"/>
      </rPr>
      <t xml:space="preserve">  =JEŻELI(FkredytowaneUbezpiecz="NieDotyczy";"";FORMULARZ!D510)</t>
    </r>
  </si>
  <si>
    <t>Program ubezpieczeniowy Bezpieczny Pakiet 5000 - zakres ubezpieczenia:   
- Utrata stałego źródła dochodu przez Ubezpieczonego, 
- Czasowa niezdolność do pracy Ubezpieczonego, 
- Zgon Ubezpieczonego, 
- Całkowita niezdolności do zarobkowania Ubezpieczonego.
Opłata z tytułu udostępnienia ubezpieczenia w ramach programu ubezpieczeniowego Bezpieczny Pakiet 5000 w okresie objętym ubezpieczeniem t.j od dnia uruchomienia pożyczki do ostatniego dnia miesiąca, w którym przypada płatność dwunastej raty z tytułu pożyczki wynosi 0 zł.</t>
  </si>
  <si>
    <t>Pozyczka PAKIET 5000</t>
  </si>
  <si>
    <t>bo brak oferty w wierszu</t>
  </si>
  <si>
    <t>Harmonogram w zależności od aplikacji</t>
  </si>
  <si>
    <t>Numer przedziału</t>
  </si>
  <si>
    <t>Przedział</t>
  </si>
  <si>
    <t>Wartość LP</t>
  </si>
  <si>
    <t>O/N &lt;=1Y</t>
  </si>
  <si>
    <t>&gt;1Y &lt;=3Y</t>
  </si>
  <si>
    <t>&gt;3Y &lt;=6Y</t>
  </si>
  <si>
    <t xml:space="preserve"> &gt;6Y&lt;=11Y</t>
  </si>
  <si>
    <t xml:space="preserve"> &gt;11Y</t>
  </si>
  <si>
    <t>Zmiana od raty</t>
  </si>
  <si>
    <t>Program ubezpieczeniowy Bezpieczny Pakiet 5000 - zakres ubezpieczenia:   
- Utrata stałego źródła dochodu przez Ubezpieczonego, 
- Czasowa niezdolność do pracy Ubezpieczonego, 
- Zgon Ubezpieczonego, 
- Całkowita niezdolności do zarobkowania Ubezpieczonego.
Opłata z tytułu udostępnienia ubezpieczenia w ramach programu ubezpieczeniowego Bezpieczny Pakiet 5000 w okresie od dnia uruchomienia pożyczki do ostatniego dnia miesiąca, w którym przypada płatność dwunastej raty z tytułu pożyczki wynosi 0 zł.</t>
  </si>
  <si>
    <t xml:space="preserve">    S U M A R Y C Z N I E</t>
  </si>
  <si>
    <t>nr raty</t>
  </si>
  <si>
    <t>premia płynności</t>
  </si>
  <si>
    <t>liczba_dni</t>
  </si>
  <si>
    <r>
      <rPr>
        <sz val="10"/>
        <color theme="9"/>
        <rFont val="Arial"/>
        <family val="2"/>
        <charset val="238"/>
      </rPr>
      <t>liczba dni</t>
    </r>
    <r>
      <rPr>
        <sz val="10"/>
        <color theme="0"/>
        <rFont val="Arial"/>
        <family val="2"/>
        <charset val="238"/>
      </rPr>
      <t xml:space="preserve">
/365</t>
    </r>
  </si>
  <si>
    <t>A</t>
  </si>
  <si>
    <t>A/365</t>
  </si>
  <si>
    <t>B</t>
  </si>
  <si>
    <t>C</t>
  </si>
  <si>
    <t>(liczba dni
/365)*rata kapitału</t>
  </si>
  <si>
    <t>B * (Kolumna BP)</t>
  </si>
  <si>
    <t>było wcześniej</t>
  </si>
  <si>
    <t>D</t>
  </si>
  <si>
    <t>C*Wartość LP</t>
  </si>
  <si>
    <r>
      <rPr>
        <b/>
        <sz val="10"/>
        <rFont val="Arial"/>
        <family val="2"/>
        <charset val="238"/>
      </rPr>
      <t>L</t>
    </r>
    <r>
      <rPr>
        <sz val="10"/>
        <rFont val="Arial"/>
        <family val="2"/>
        <charset val="238"/>
      </rPr>
      <t xml:space="preserve">iquidity </t>
    </r>
    <r>
      <rPr>
        <b/>
        <sz val="10"/>
        <rFont val="Arial"/>
        <family val="2"/>
        <charset val="238"/>
      </rPr>
      <t>P</t>
    </r>
    <r>
      <rPr>
        <sz val="10"/>
        <rFont val="Arial"/>
        <family val="2"/>
        <charset val="238"/>
      </rPr>
      <t>remia per CF</t>
    </r>
  </si>
  <si>
    <t>suma  :</t>
  </si>
  <si>
    <t>Wartość LP dla kredytu w punktach bazowych</t>
  </si>
  <si>
    <t>suma D/ suma C</t>
  </si>
  <si>
    <t>(liczba dni
/365)*rata kapitału   *LP</t>
  </si>
  <si>
    <t>kwota ubezpiecz</t>
  </si>
  <si>
    <t xml:space="preserve"> *********Sowk    Liczenie RRSO</t>
  </si>
  <si>
    <t>Status Klienta KROTNOSC</t>
  </si>
  <si>
    <t>POZOSTAŁY_PD&gt;10</t>
  </si>
  <si>
    <t>STATUS KLIENTA UPROSZCZONY</t>
  </si>
  <si>
    <r>
      <t xml:space="preserve">|zależy od </t>
    </r>
    <r>
      <rPr>
        <b/>
        <sz val="10"/>
        <rFont val="Calibri"/>
        <family val="2"/>
        <charset val="238"/>
        <scheme val="minor"/>
      </rPr>
      <t>PreStatusKliUproszcz</t>
    </r>
  </si>
  <si>
    <r>
      <t xml:space="preserve">|to jest </t>
    </r>
    <r>
      <rPr>
        <b/>
        <sz val="10"/>
        <rFont val="Calibri"/>
        <family val="2"/>
        <charset val="238"/>
        <scheme val="minor"/>
      </rPr>
      <t>PreStatusKliUproszcz</t>
    </r>
  </si>
  <si>
    <t>DODZ</t>
  </si>
  <si>
    <t>DOD1</t>
  </si>
  <si>
    <t>Z UBEZPIECZENIEM GROUPONPOZOSTAŁYBEZ ZABEZPIECZENIA60</t>
  </si>
  <si>
    <t xml:space="preserve">Oferta 'GROUPON' to oferta bez opcji ubezpieczenia. </t>
  </si>
  <si>
    <t>TESTOWY</t>
  </si>
  <si>
    <t xml:space="preserve">Dane identyfikacyjne:
ING Bank Śląski S.A.
NIP  634-013-54-75
KRS 0000005459
Kapitał zakładowy - 130 100 000,00 zł
Kapitał wpłacony - 130 100 000,00 zł
Sąd Rejonowy Katowice - Wschód Wydział VIII Gospodarczy Krajowego Rejestru Sądowego
SWIFT (BIC) – INGBPLPW    
(Adres, z którego ma korzystać konsument)                                         
ING Bank Śląski S.A.
Departament Obsługi Kredytów Detalicznych
ul. Murckowska 16 b 
40-265 Katowice </t>
  </si>
  <si>
    <t xml:space="preserve">
Kredytodawca:*</t>
  </si>
  <si>
    <t>ING Bank Śląski S.A.                                                                                                                                                                                    
Ul. Sokolska 34
40-086   Katowice</t>
  </si>
  <si>
    <t xml:space="preserve">801 222 222  (telefony stacjonarne i komórkowe) 
+48 (32) 357 00 69  (telefony stacjonarne i komórkowe)
</t>
  </si>
  <si>
    <t>Organem nadzoru nad Bankiem jest:
Komisja Nadzoru Finansowego, adres: Plac Powstańców Warszawy 1, 00-950 Warszawa
Organem nadzoru właściwym w zakresie ochrony konsumentów jest: Urząd Ochrony Konkurencji i Konsumentów, adres: Plac Powstańców Warszawy 1, 00-950 Warszawa.</t>
  </si>
  <si>
    <t>Polskie</t>
  </si>
  <si>
    <t>Za Pana/Pani zgodą w okresie obowiązywania umowy o pożyczkę zamierzamy się z Panem/Panią porozumiewać w języku polskim.</t>
  </si>
  <si>
    <t>Wskazanie właściwego postanowienia umowy: 
 Prawem właściwym od chwili złożenia oferty zawarcia Umowy lub przystąpienia do jej negocjacji oraz prawem właściwym do zawarcia i wykonania Umowy, w tym Ogólnych warunków jest prawo Rzeczypospolitej Polskiej (prawo polskie).</t>
  </si>
  <si>
    <r>
      <t xml:space="preserve">– przysługuje Panu/Pani prawo korzystania z pozasądowego rozstrzygania sporów:
Tak/nie 
</t>
    </r>
    <r>
      <rPr>
        <b/>
        <sz val="10"/>
        <rFont val="Calibri"/>
        <family val="2"/>
        <charset val="238"/>
        <scheme val="minor"/>
      </rPr>
      <t>Tak</t>
    </r>
    <r>
      <rPr>
        <sz val="10"/>
        <rFont val="Calibri"/>
        <family val="2"/>
        <charset val="238"/>
        <scheme val="minor"/>
      </rPr>
      <t xml:space="preserve">
– zasady dostępu do procedury pozasądowego rozstrzygania sporów:
Ewentualne spory wynikające z Umowy mogą być rozstrzygane w trybie pozasądowym  przez arbitra bankowego działającego przy Związku Banków Polskich, adres: ul. Kruczkowskiego 8, 00-380 Warszawa zgodnie z regulaminem bankowego arbitrażu konsumenckiego dostępnym na stronie internetowej pod adresem: http://www.zbp.pl, o ile wartość przedmiotu sporu mieści się w granicach określonych w tym regulaminie</t>
    </r>
  </si>
  <si>
    <r>
      <t xml:space="preserve">– ma Pan/Pani prawo do odstąpienia od umowy:
Tak/nie
</t>
    </r>
    <r>
      <rPr>
        <b/>
        <sz val="10"/>
        <rFont val="Calibri"/>
        <family val="2"/>
        <charset val="238"/>
        <scheme val="minor"/>
      </rPr>
      <t>TAK</t>
    </r>
    <r>
      <rPr>
        <sz val="10"/>
        <rFont val="Calibri"/>
        <family val="2"/>
        <charset val="238"/>
        <scheme val="minor"/>
      </rPr>
      <t xml:space="preserve">
– sposób odstąpienia od umowy:
Złożenie oświadczenia o odstąpieniu od Umowy Kredytu na adres wskazany w danych identyfikacyjnych. Dla zachowania terminu wystarczające jest wysłanie oświadczenia przed jego upływem.
- termin:
</t>
    </r>
    <r>
      <rPr>
        <b/>
        <sz val="10"/>
        <rFont val="Calibri"/>
        <family val="2"/>
        <charset val="238"/>
        <scheme val="minor"/>
      </rPr>
      <t xml:space="preserve">W terminie 14 dni od dnia zawarcia umowy
</t>
    </r>
    <r>
      <rPr>
        <sz val="10"/>
        <rFont val="Calibri"/>
        <family val="2"/>
        <charset val="238"/>
        <scheme val="minor"/>
      </rPr>
      <t xml:space="preserve">- skutki
Pożyczkobiorca zwraca niezwłocznie Bankowi kwotę udostępnionej pożyczki pomniejszoną o pobrane przez Bank opłaty i prowizje wraz z odsetkami naliczonymi za okres od dnia wypłaty pożyczki do dnia spłaty pożyczki niezwłocznie, nie później niż w terminie do 30 dni od dnia złożenia oświadczenia o odstąpieniu. </t>
    </r>
  </si>
  <si>
    <t xml:space="preserve">  </t>
  </si>
  <si>
    <t>Strzelecka 5</t>
  </si>
  <si>
    <t>Bytomska 20</t>
  </si>
  <si>
    <t>Obrońców Westerplatte 36</t>
  </si>
  <si>
    <t>Oddział w Gnieźnie</t>
  </si>
  <si>
    <t>(Zamknięty) Oddział w Nowej Wsi Wielkiej</t>
  </si>
  <si>
    <t>(Zamknięty) Oddział w Szczecinie</t>
  </si>
  <si>
    <t>Oddział w Markach</t>
  </si>
  <si>
    <t>Oddział w Sieradzu</t>
  </si>
  <si>
    <t>Oddział w Stalowej Woli</t>
  </si>
  <si>
    <t>Oddział w Tarnobrzegu</t>
  </si>
  <si>
    <t>Oddział w Kołobrzegu</t>
  </si>
  <si>
    <t>Oddział w Skarżysku Kamiennej</t>
  </si>
  <si>
    <t>(Zamknięty) Oddział w  Sopocie</t>
  </si>
  <si>
    <t>Oddział w Wołominie</t>
  </si>
  <si>
    <t>Oddział w Świnoujściu</t>
  </si>
  <si>
    <t>Oddział w Bochni</t>
  </si>
  <si>
    <t>(Wskazanie organu, który zarejestrował działalność kredytodawcy wraz z podaniem numeru w tym rejestrze) 
Sąd Rejonowy Katowice - Wschód Wydział VIII Gospodarczy Krajowego Rejestru Sądowego
KRS 0000005459</t>
  </si>
  <si>
    <t>Pożyczka w IBOL</t>
  </si>
  <si>
    <t>nie brane pod uwagę</t>
  </si>
  <si>
    <t>wybrana aplikacja :</t>
  </si>
  <si>
    <t>Jednorazowe</t>
  </si>
  <si>
    <t>KWOTA UBEZPIECZENIA jednorazowego</t>
  </si>
  <si>
    <t>WYSOKOŚĆ RATY kredytu</t>
  </si>
  <si>
    <t>UBEZPIECZENIE +PROWIZJA (jednorazowo)</t>
  </si>
  <si>
    <t xml:space="preserve">RODZAJ OPROCENTOWANIA </t>
  </si>
  <si>
    <t xml:space="preserve">OPROCENTOWANIE POŻYCZKI </t>
  </si>
  <si>
    <t>KWOTA POŻYCZKI
(dzień uruchomienia)</t>
  </si>
  <si>
    <t>dla PAKIET 5000 puste</t>
  </si>
  <si>
    <t>Opłata za udostępnienie ubezpieczenia w ramach Programu ubezpieczeniowego 'Bezpieczna Pożyczka' płatna będzie jednorazowo najpóźniej w dniu uruchomienia kredytu.</t>
  </si>
  <si>
    <t>wybrane</t>
  </si>
  <si>
    <r>
      <t xml:space="preserve">tekst gdy
 Z UBEZPIECZENIEM
płatnym Jednorazowo
i </t>
    </r>
    <r>
      <rPr>
        <sz val="10"/>
        <color rgb="FFFF0000"/>
        <rFont val="Arial"/>
        <family val="2"/>
        <charset val="238"/>
      </rPr>
      <t>NIE</t>
    </r>
    <r>
      <rPr>
        <sz val="10"/>
        <rFont val="Arial"/>
        <family val="2"/>
        <charset val="238"/>
      </rPr>
      <t xml:space="preserve"> PAKIET5000</t>
    </r>
  </si>
  <si>
    <r>
      <t>tekst gdy
 Z UBEZPIECZENIEM
płatnym</t>
    </r>
    <r>
      <rPr>
        <sz val="10"/>
        <color rgb="FFFF0000"/>
        <rFont val="Arial"/>
        <family val="2"/>
        <charset val="238"/>
      </rPr>
      <t xml:space="preserve"> NIE </t>
    </r>
    <r>
      <rPr>
        <sz val="10"/>
        <rFont val="Arial"/>
        <family val="2"/>
        <charset val="238"/>
      </rPr>
      <t>Jednorazowo</t>
    </r>
  </si>
  <si>
    <t>formuła - kiedy pokazać tekst kol D</t>
  </si>
  <si>
    <t>miesięczna skladka ubezpiecz</t>
  </si>
  <si>
    <t>kol D</t>
  </si>
  <si>
    <t>dot kom d57</t>
  </si>
  <si>
    <t>łacznie skladka ubezpiecz</t>
  </si>
  <si>
    <t>dot kom d90</t>
  </si>
  <si>
    <r>
      <t>punkty 7 i 8</t>
    </r>
    <r>
      <rPr>
        <sz val="10"/>
        <color rgb="FFFF0000"/>
        <rFont val="Arial"/>
        <family val="2"/>
        <charset val="238"/>
      </rPr>
      <t xml:space="preserve">
NIE</t>
    </r>
    <r>
      <rPr>
        <sz val="10"/>
        <rFont val="Arial"/>
        <family val="2"/>
        <charset val="238"/>
      </rPr>
      <t xml:space="preserve"> PAKIET5000
ubezp Jednorazowe</t>
    </r>
  </si>
  <si>
    <r>
      <t xml:space="preserve">punkty 7 i 8
</t>
    </r>
    <r>
      <rPr>
        <sz val="10"/>
        <color rgb="FFFF0000"/>
        <rFont val="Arial"/>
        <family val="2"/>
        <charset val="238"/>
      </rPr>
      <t>NIE</t>
    </r>
    <r>
      <rPr>
        <sz val="10"/>
        <rFont val="Arial"/>
        <family val="2"/>
        <charset val="238"/>
      </rPr>
      <t xml:space="preserve"> PAKIET5000
ubezp </t>
    </r>
    <r>
      <rPr>
        <sz val="10"/>
        <color rgb="FFFF0000"/>
        <rFont val="Arial"/>
        <family val="2"/>
        <charset val="238"/>
      </rPr>
      <t xml:space="preserve">NIE </t>
    </r>
    <r>
      <rPr>
        <sz val="10"/>
        <rFont val="Arial"/>
        <family val="2"/>
        <charset val="238"/>
      </rPr>
      <t>Jednorazowe</t>
    </r>
  </si>
  <si>
    <t>kol D, poniżej składowe tekstu w polu d90</t>
  </si>
  <si>
    <t>tekst do pola d90</t>
  </si>
  <si>
    <r>
      <t xml:space="preserve">tylko punkt 7(=pkt 8 dla niższych kolumn) 
</t>
    </r>
    <r>
      <rPr>
        <b/>
        <sz val="10"/>
        <rFont val="Arial"/>
        <family val="2"/>
        <charset val="238"/>
      </rPr>
      <t>dla PAKIET 5000 lub BEZ UBEZPIECZENIA</t>
    </r>
  </si>
  <si>
    <t>ubezpieczenie GOLD</t>
  </si>
  <si>
    <t>ubezpieczenie SILVER</t>
  </si>
  <si>
    <t>Przybliżona Rata Kredytu</t>
  </si>
  <si>
    <t>UWAGA Wszystkie obliczenia tylko dla ubezpieczenia jednorazowego</t>
  </si>
  <si>
    <t>SILVER</t>
  </si>
  <si>
    <t>GOLD</t>
  </si>
  <si>
    <t>będą zmiany w przyszłości</t>
  </si>
  <si>
    <t>Nazwa progr Ubezpiecz</t>
  </si>
  <si>
    <t>Al.Niepodległości 106</t>
  </si>
  <si>
    <t>Niepodległości 16</t>
  </si>
  <si>
    <t>ul. Słowackiego 7</t>
  </si>
  <si>
    <t>Piłsudskiego 15</t>
  </si>
  <si>
    <t>Oddział w Otwocku</t>
  </si>
  <si>
    <t>Oddział w Oleśnicy</t>
  </si>
  <si>
    <t>(Zamknięty) Oddział w Koszalinie</t>
  </si>
  <si>
    <t>POKAZYWAĆ dla reprez</t>
  </si>
  <si>
    <t>Szybka Pożyczka</t>
  </si>
  <si>
    <t>IBOL Pożyczka 0% prowizji, stopa stała z ubezpieczeniem SILVER</t>
  </si>
  <si>
    <t>Pożyczka Superszybka</t>
  </si>
  <si>
    <t>WYSOKOŚĆ RATY BEZ UBEZPIECZENIA</t>
  </si>
  <si>
    <t>WYSOKOŚĆ RATY Z UBEZPIECZENIEM</t>
  </si>
  <si>
    <t>LICZBA RAT w miesiącach</t>
  </si>
  <si>
    <t xml:space="preserve">korzyści z ubezpieczenia za </t>
  </si>
  <si>
    <t xml:space="preserve"> miesięcznie</t>
  </si>
  <si>
    <t>w przypadku śmierci</t>
  </si>
  <si>
    <t>w przypadku całkowitej niezdolności do pracy lub śmierci w wyniku NW</t>
  </si>
  <si>
    <t>w przypadku czasowej niezdolności do pracy lub utraty pracy (6 świadczeń)</t>
  </si>
  <si>
    <t>Uwaga! Nie wypełniać ręcznie!</t>
  </si>
  <si>
    <t>Dane są przenoszone z kalkulatora pożyczki</t>
  </si>
  <si>
    <t>w przypadku śmierci w wyniku NW</t>
  </si>
  <si>
    <t>w przypadku poważnego zachorowania  lub hospitalizacji (6 świadczeń po max 500 zł)</t>
  </si>
  <si>
    <t>nie</t>
  </si>
  <si>
    <t>nie ofeujemy</t>
  </si>
  <si>
    <t>dla ubezpieczenia wielorazowego</t>
  </si>
  <si>
    <t>zmiana komunikatu o małżonku</t>
  </si>
  <si>
    <t>pole q3</t>
  </si>
  <si>
    <t>arkusz dod1</t>
  </si>
  <si>
    <t>nowa oferta premium</t>
  </si>
  <si>
    <t>nazwe dodać arkusz wersja 2 kolumna S</t>
  </si>
  <si>
    <t>Preferencja -0,25%</t>
  </si>
  <si>
    <t>TAK</t>
  </si>
  <si>
    <t>KONSOLIDACJA</t>
  </si>
  <si>
    <t>Konsolidacja</t>
  </si>
  <si>
    <t>SEGMENT KLIENTA</t>
  </si>
  <si>
    <t>Segment Klienta</t>
  </si>
  <si>
    <t>MASS</t>
  </si>
  <si>
    <t>Private Banking</t>
  </si>
  <si>
    <t>Wealth Management</t>
  </si>
  <si>
    <t>Premium PB</t>
  </si>
  <si>
    <t>Program ubezpieczeniowy Bezpieczna Pożyczka SILVER Plus</t>
  </si>
  <si>
    <t>korzyści z ochrony ubezpieczeniowej - Bezpieczna Pożyczka SILVER Plus</t>
  </si>
  <si>
    <t>WYSOKOŚĆ SKŁADKI UBEZPIECZENIOWEJ</t>
  </si>
  <si>
    <t>składki za Bezpieczną Pożyczkę SILVER Plus w całym okresie trwania pożyczki</t>
  </si>
  <si>
    <t>Program ubezpieczeniowy Bezpieczna Pożyczka GOLD Plus</t>
  </si>
  <si>
    <t>WYSOKOŚĆSKŁADKI UBEZPIECZENIOWEJ</t>
  </si>
  <si>
    <t>korzyści z ochrony ubezpieczeniowej - Bezpieczna Pożyczka GOLD Plus</t>
  </si>
  <si>
    <t>składki za Bezpieczną Pożyczkę GOLD Plus w całym okresie trwania pożyczki</t>
  </si>
  <si>
    <t>Ryzyko związane ze zmienną stopą procentową</t>
  </si>
  <si>
    <t>Stopa referencyjna</t>
  </si>
  <si>
    <t>Symulacja wysokości raty przy zmiennej stopie procentowej na poziomie:</t>
  </si>
  <si>
    <t>3% + marża Banku</t>
  </si>
  <si>
    <t>5% + marża Banku</t>
  </si>
  <si>
    <t>10% + marża Banku</t>
  </si>
  <si>
    <t xml:space="preserve">zwrot opłat eksploatacyjnych przy utracie pracy                                       (6 świadczeń max 250 zł) </t>
  </si>
  <si>
    <t>Dochód netto</t>
  </si>
  <si>
    <t>LICZBA OSÓB W GOSPODARSTWIE DOMOWYM</t>
  </si>
  <si>
    <t>WYDATKI GOSPODARSTWA DOMOWEGO</t>
  </si>
  <si>
    <t>ZDOLNOŚĆ KREDYTOWA</t>
  </si>
  <si>
    <t>&gt;5000</t>
  </si>
  <si>
    <t>WIĘCEJ</t>
  </si>
  <si>
    <t>W</t>
  </si>
  <si>
    <t>ZK</t>
  </si>
  <si>
    <t>wpisz liczbę produktów :</t>
  </si>
  <si>
    <t>=JEŻELI(DODZ!T3&lt;&gt;0;'DOD1'!G2;'DOD1'!$G$3)</t>
  </si>
  <si>
    <t>=ZAOKR(KwNaReke/(1-V47*WSP_TN_Ujednor*N47*(1-WSP_TNkrU)-
(1+V47*WSP_TN_Ujednor*N47*WSP_TNkrU)*G47*(1-WSP_TNkrP));2)</t>
  </si>
  <si>
    <t>do sprawdzenia walidacja</t>
  </si>
  <si>
    <t>1. Wysokość prowizji i opłat wskazanych w wyciągu z Tabeli Opłat i Prowizji stanowiącym integralną część Umowy nie ulega zmianie w trakcie okresu, na który zostanie zawarta Umowa.
2. W przypadku udostępnienia Pożyczkobiorcy usług lub funkcjonalności, do tej pory nie oferowanych przez Bank albo oferowanych bezpłatnie w ramach zawartej Umowy (skorzystanie z takiej nowej albo dotąd bezpłatnej usługi lub funkcjonalności będzie
zależało wyłącznie od decyzji Pożyczkobiorcy i nie będzie konieczne dla należytego wykonywania Umowy), Bank jest uprawniony w okresie obowiązywania Umowy do wprowadzenia opłat lub prowizji dotyczących takich usług lub funkcjonalności. O wprowadzeniu takiej opłaty lub prowizji, Bank informuje na stronie internetowej
Banku oraz na tablicy ogłoszeń w placówkach Banku.
3. Bank jest uprawniony do rezygnacji ze stosowania określonych opłat lub prowizji poprzez wycofanie dotychczas obowiązujących tytułów (nazw) opłat i prowizji w każdym czasie. Bank informuje o wycofaniu dotychczas obowiązujących tytułów opłat i prowizji na stronie internetowej Banku oraz na tablicy ogłoszeń w placówkach Banku.</t>
  </si>
  <si>
    <t xml:space="preserve"> - stopa oprocentowania zadłużenia przeterminowanego: 
Niespłacenie przez Pożyczkobiorcę raty pożyczki w terminie ustalonym w Umowie albo spłacenie jej w niepełnej wysokości powoduje uznanie niespłaconej należności za zadłużenie przeterminowane. Od zadłużenia przeterminowanego z tytułu kapitału Bank pobiera odsetki podwyższone.</t>
  </si>
  <si>
    <t>Wiersz 76</t>
  </si>
  <si>
    <t>stopa stała</t>
  </si>
  <si>
    <t>Stawka referencyjna</t>
  </si>
  <si>
    <t>Marża Banku</t>
  </si>
  <si>
    <t>SPRAWDZIĆ USTAWIENIA DRUKOWANIA</t>
  </si>
  <si>
    <t>RATA kredytu + składka ubezpieczenia</t>
  </si>
  <si>
    <t xml:space="preserve">SKŁADKA UBEZPIECZENIA </t>
  </si>
  <si>
    <t>BUFOR</t>
  </si>
  <si>
    <t>OP (oprocentowanie dla oferty + BUFOR)</t>
  </si>
  <si>
    <t>Potencjał Kredytowy</t>
  </si>
  <si>
    <t>Max. kwota produktu</t>
  </si>
  <si>
    <t>Max. kwota z krotności</t>
  </si>
  <si>
    <r>
      <t>=MIN(B10:B12)</t>
    </r>
    <r>
      <rPr>
        <sz val="10"/>
        <rFont val="Calibri"/>
        <family val="2"/>
        <charset val="238"/>
      </rPr>
      <t>↑↑</t>
    </r>
  </si>
  <si>
    <r>
      <t>=MIN(A2:A3)</t>
    </r>
    <r>
      <rPr>
        <sz val="10"/>
        <color theme="3"/>
        <rFont val="Calibri"/>
        <family val="2"/>
        <charset val="238"/>
      </rPr>
      <t>↑↑</t>
    </r>
  </si>
  <si>
    <r>
      <t>=MAX(B2:B4)</t>
    </r>
    <r>
      <rPr>
        <sz val="10"/>
        <color theme="3"/>
        <rFont val="Calibri"/>
        <family val="2"/>
        <charset val="238"/>
      </rPr>
      <t>↑↑</t>
    </r>
  </si>
  <si>
    <t>Ilość osób w gospodarstwie</t>
  </si>
  <si>
    <t>MAKSYMALNA KWOTA DO ZAOFEROWANIA</t>
  </si>
  <si>
    <t>ŁĄCZNY DOCHÓD POŻYCZKOBIORCÓW</t>
  </si>
  <si>
    <t>Przyznany limit kredytowy</t>
  </si>
  <si>
    <t>Wysokość miesięcznej raty</t>
  </si>
  <si>
    <t>Zobowiązania w PLN</t>
  </si>
  <si>
    <t>Zobowiązania w walucie obcej</t>
  </si>
  <si>
    <t>2. Limity kredytowe, Karty kredytowe itp.</t>
  </si>
  <si>
    <t>ING Bank Śląski S.A.</t>
  </si>
  <si>
    <t xml:space="preserve">Ul. Chorzowska 50 </t>
  </si>
  <si>
    <t xml:space="preserve">40-101 Katowice </t>
  </si>
  <si>
    <t>1) prowizje i opłaty;</t>
  </si>
  <si>
    <t>2) należności przeterminowane według następującej kolejności:</t>
  </si>
  <si>
    <t>3) należności wymagalne według następującej kolejności:</t>
  </si>
  <si>
    <t>Przedterminowej częściowej lub całkowitej spłaty pożyczki należy dokonać na wskazany w umowie rachunek. Przedterminowa częściowa spłata pożyczki jest przeznaczana na zmniejszenie kapitału pozostającego do spłaty i skutkuje skróceniem okresu kredytowania, przy tej samej wysokości rat .</t>
  </si>
  <si>
    <t>obowiązek skorzystania z usługi dodatkowej: Tak/nie
- nie
rodzaj usługi dodatkowej oraz jej koszt:
- nie dotyczy</t>
  </si>
  <si>
    <t>Wiersz 114</t>
  </si>
  <si>
    <r>
      <t xml:space="preserve">Został/a Pan/Pani sprawdzony/a w bazie danych:                                                                                                                                                                                                                                        
</t>
    </r>
    <r>
      <rPr>
        <sz val="10"/>
        <rFont val="Calibri"/>
        <family val="2"/>
        <charset val="238"/>
      </rPr>
      <t xml:space="preserve">
Nie został/a Pan/Pani sprawdzony/a w żadnej bazie danych.</t>
    </r>
  </si>
  <si>
    <r>
      <t xml:space="preserve">– ma Pan/Pani prawo do odstąpienia od umowy:
Tak/nie
</t>
    </r>
    <r>
      <rPr>
        <sz val="10"/>
        <rFont val="Calibri"/>
        <family val="2"/>
        <charset val="238"/>
      </rPr>
      <t>nie dotyczy
– sposób odstąpienia od umowy:
 nie dotyczy            
- termin:
nie dotyczy            
-skutki:
nie dotyczy</t>
    </r>
  </si>
  <si>
    <r>
      <t xml:space="preserve">– przysługuje Panu/Pani prawo korzystania z pozasądowego rozstrzygania sporów:
Tak/nie 
</t>
    </r>
    <r>
      <rPr>
        <sz val="10"/>
        <rFont val="Calibri"/>
        <family val="2"/>
        <charset val="238"/>
      </rPr>
      <t>nie
– zasady dostępu do procedury pozasądowego rozstrzygania sporów
nie</t>
    </r>
  </si>
  <si>
    <t>A) pełnomocnictwo do pobierania z rachunku (lub rachunków) innego niż rachunek Klienta służący, do spłaty pożyczki, kwot stanowiących wymagalną wierzytelność Banku wobec Pożyczkobiorcy z tytułu Umowy.
B) pełnomocnictwa do pobierania z rachunku Klienta służącego do spłaty pożyczki środków na spłatę należnych Bankowi miesięcznych rat, opłat, prowizji i innych przewidzianych Umową wierzytelności Banku.
Szczegółowa treść powyższych/ego pełnomocnictw/a zawarta jest w
Umowie.</t>
  </si>
  <si>
    <t>– w przypadku braku lub opóźnienia płatności może Pan/Pani zostać obciążony/a następującymi opłatami:
1. opłaty lub inne koszty określone w obowiązujących przepisach prawa poniesione przez Bank w związku z prowadzeniem działań mających na celu egzekucję zadłużenia (opłaty skarbowe oraz opłaty administracyjne)
2. koszty w tym opłaty i wpisy określone w obowiązujących przepisach prawa dotyczące postępowań sądowych i postępowań zabezpieczających lub egzekucyjnych.
W przypadku niedotrzymania przez Pożyczkobiorcę warunków udzielenia pożyczki, poprzez niewykonanie lub nienależyte wykonanie zobowiązań Pożyczkobiorcy wynikających z Umowy, Bank uprawniony jest podjąć czynności upominawcze takie jak: wysłanie monitu, wykonanie telefonu upominawczego, wysyłka komunikatu SMS lub komunikatu bankowości elektronicznej, zlecenie wizyty terenowej.</t>
  </si>
  <si>
    <t>`</t>
  </si>
  <si>
    <t>=WYSZUKAJ.PIONOWO(D1;C598:L1062;10;FAŁSZ)</t>
  </si>
  <si>
    <t>Wniosek o udzielenie pożyczki został złożony przez pożyczkobiorcę za pośrednictwem:</t>
  </si>
  <si>
    <t>=JEŻELI(FRodzajPlacowki="Placówka Partnerska";D10;"nie dotyczy")</t>
  </si>
  <si>
    <t>Kredytodawca:</t>
  </si>
  <si>
    <r>
      <t xml:space="preserve">Tak/nie:
</t>
    </r>
    <r>
      <rPr>
        <sz val="10"/>
        <rFont val="Calibri"/>
        <family val="2"/>
        <charset val="238"/>
      </rPr>
      <t>Tak</t>
    </r>
  </si>
  <si>
    <t>DANE POŚREDNIKA</t>
  </si>
  <si>
    <t>1. Kredyty spłacane w ratach</t>
  </si>
  <si>
    <t>SUMA miesięcznych obciążeń kredytowych:</t>
  </si>
  <si>
    <r>
      <t xml:space="preserve">wpisz sumę innych obciążeń         </t>
    </r>
    <r>
      <rPr>
        <sz val="14"/>
        <color theme="0"/>
        <rFont val="Calibri"/>
        <family val="2"/>
        <charset val="238"/>
        <scheme val="minor"/>
      </rPr>
      <t xml:space="preserve"> </t>
    </r>
    <r>
      <rPr>
        <sz val="14"/>
        <color rgb="FF0033CC"/>
        <rFont val="Calibri"/>
        <family val="2"/>
        <charset val="238"/>
        <scheme val="minor"/>
      </rPr>
      <t xml:space="preserve"> </t>
    </r>
    <r>
      <rPr>
        <b/>
        <i/>
        <sz val="14"/>
        <color rgb="FF0033CC"/>
        <rFont val="Calibri"/>
        <family val="2"/>
        <charset val="238"/>
        <scheme val="minor"/>
      </rPr>
      <t>i</t>
    </r>
  </si>
  <si>
    <t>Okres spłaty (liczba rat):</t>
  </si>
  <si>
    <t>Prowizja za udzielenie:</t>
  </si>
  <si>
    <t>Oferta:</t>
  </si>
  <si>
    <t>Składka ubezpieczenia:</t>
  </si>
  <si>
    <t xml:space="preserve">RRSO: </t>
  </si>
  <si>
    <t>Data uruchomienia:</t>
  </si>
  <si>
    <t>Lp</t>
  </si>
  <si>
    <t>Data Płatności</t>
  </si>
  <si>
    <t>Kapitał</t>
  </si>
  <si>
    <t>Odsetki</t>
  </si>
  <si>
    <t>Saldo pożyczki</t>
  </si>
  <si>
    <t>Rata + składka ubezpieczenia</t>
  </si>
  <si>
    <t>RAZEM</t>
  </si>
  <si>
    <t>Przedterminowej częściowej lub całkowitej spłaty pożyczki należy dokonać na wskazany w umowie rachunek. Przedterminowa częściowa spłata pożyczki jest przeznaczana na zmniejszenie kapitału pozostającego do spłaty i skutkuje skróceniem okresu kredytowania, przy tej samej wysokości rat  do czasu najbliższej zmiany oprocentowania, gdy nowa wysokość rat ustalona zostanie z uwzględnieniem okresu kredytowania wskazanego w umowie.</t>
  </si>
  <si>
    <t>Bonus</t>
  </si>
  <si>
    <t>Marża</t>
  </si>
  <si>
    <t>1. Ubezpieczenie</t>
  </si>
  <si>
    <t>2. Klient Salary</t>
  </si>
  <si>
    <t>2.1 Wniosek złożony w IBOL</t>
  </si>
  <si>
    <t>3. Kwota pożyczki bez kredytowanej prowizji (PLN)</t>
  </si>
  <si>
    <t xml:space="preserve">5. Segment PB, PvB, WM </t>
  </si>
  <si>
    <t>6. Pracownicy sektora finansowego i firm strategicznych</t>
  </si>
  <si>
    <t>7. Konsolidacja</t>
  </si>
  <si>
    <r>
      <t>Prowizja wyjściowa</t>
    </r>
    <r>
      <rPr>
        <sz val="10"/>
        <color theme="0" tint="-4.9989318521683403E-2"/>
        <rFont val="Times New Roman"/>
        <family val="1"/>
        <charset val="238"/>
      </rPr>
      <t xml:space="preserve">- </t>
    </r>
    <r>
      <rPr>
        <b/>
        <sz val="10"/>
        <color theme="0" tint="-4.9989318521683403E-2"/>
        <rFont val="Times New Roman"/>
        <family val="1"/>
        <charset val="238"/>
      </rPr>
      <t xml:space="preserve">7,99% </t>
    </r>
  </si>
  <si>
    <t>stały/pozostały</t>
  </si>
  <si>
    <t>Marza wejsciowa ---&gt;</t>
  </si>
  <si>
    <t>Prowizja wejsciowa ---&gt;</t>
  </si>
  <si>
    <t>&lt;-- Marza wyjsciowa</t>
  </si>
  <si>
    <t>&lt;-- Prowizja wyjsciowa</t>
  </si>
  <si>
    <t>Wnioskowana KWOTA</t>
  </si>
  <si>
    <t>&lt;-- Stopa referencyjna</t>
  </si>
  <si>
    <t>&lt;-- INDEKS 57</t>
  </si>
  <si>
    <t>=JEŻELI(prowizja_kredytowana=PRAWDA;KwNaReke + B15;WERSJA2!D14)</t>
  </si>
  <si>
    <t>Wysokość odsetek podwyższonych jest równa dwukrotności wysokości odsetek ustawowych za opóźnienie (odsetki ustawowe za opóźnienie stanowią sumę stopy referencyjnej Narodowego Banku Polskiego i 5,5 punktów procentowych i są ogłaszane w drodze obwieszczenia w Dzienniku Urzędowym Rzeczypospolitej Polskiej „Monitor Polski. W przypadku zmiany wysokości stopy odsetek ustawowych za opóźnienie wysokość odsetek podwyższonych ulega automatycznej zmianie tak, iż zawsze wynosi dwukrotność stopy odsetek ustawowych za opóźnienie. Zmiana wysokości odsetek podwyższonych nie wymaga powiadomienia przez Bank.
Brak płatności skutkuje także powstaniem po stronie Banku uprawnienia do wypowiedzenia umowy pożyczki z zachowaniem 30-dniowego terminu wypowiedzenia.</t>
  </si>
  <si>
    <t>niekredytowana</t>
  </si>
  <si>
    <t>usunięte</t>
  </si>
  <si>
    <t>Kwota pożyczki:</t>
  </si>
  <si>
    <t>Symulacja wysokości miesięcznej raty przy:</t>
  </si>
  <si>
    <t>aktualnym oprocentowaniu</t>
  </si>
  <si>
    <t>wzrost st. ref. o różnicę z 12 mies.</t>
  </si>
  <si>
    <t>wzroście st. refer. NBP o 4 pp</t>
  </si>
  <si>
    <t>wzroście stopy referencyjnej NBP o 4 punkty procentowe</t>
  </si>
  <si>
    <t>wzroście stopy referencyjnej NBP o różnice pomiędzy maksymalnym a minimalnym poziomem tej stawki z ostatnich 12 miesięcy</t>
  </si>
  <si>
    <t xml:space="preserve"> stopie referencyjnej NBP = 3%</t>
  </si>
  <si>
    <t xml:space="preserve"> stopie referencyjnej NBP = 5%</t>
  </si>
  <si>
    <t xml:space="preserve"> stopie referencyjnej NBP = 10%</t>
  </si>
  <si>
    <t xml:space="preserve">Jednym z elementów zmiennej stopy procentowej jest stopa referencyjna Narodowego Banku Polskiego (NBP). Ustala ją Rada Polityki Pieniężnej, czyli instytucja niezwiązana z naszym bankiem. Zmiana stopy referencyjnej NBP wpływa na oprocentowanie Państwa pożyczki. 
Jeśli stopa referencyjna NBP wzrośnie, rata również wzrośnie. Jeśli zaś stopa referencyjna NBP zmaleje –  rata zmaleje. 
Poniżej pokazujemy, jak zmiana stopy referencyjnej NBP wpływa na oprocentowanie, a w konsekwencji – na wysokość raty.
</t>
  </si>
  <si>
    <t>Ta treść będzie obowiązywać od IIR 2016</t>
  </si>
  <si>
    <t>Formularz informacyjny dotyczący kredytu konsumenckiego</t>
  </si>
  <si>
    <t>ING Bank Śląski S.A., NIP  634-013-54-75, KRS 0000005459, kapitał zakładowy - 130 100 000,00 zł, kapitał wpłacony - 130 100 000,00 zł, Sąd Rejonowy Katowice - Wschód Wydział VIII Gospodarczy Krajowego Rejestru Sądowego, SWIFT (BIC) INGBPLPW</t>
  </si>
  <si>
    <t xml:space="preserve">(Adres, z którego ma korzystać konsument) </t>
  </si>
  <si>
    <t>ING Bank Śląski S.A., Departament Obsługi Kredytów Detalicznych, 
ul. Chorzowska 50, 40-101 Katowice</t>
  </si>
  <si>
    <t xml:space="preserve">ING Bank Śląski S.A., ul. Sokolska 34, 40-086 Katowice                                                                                                                                                                                    </t>
  </si>
  <si>
    <t>-</t>
  </si>
  <si>
    <t xml:space="preserve">Pośrednik kredytowy:* </t>
  </si>
  <si>
    <r>
      <rPr>
        <sz val="11"/>
        <rFont val="ING Me"/>
        <charset val="238"/>
      </rPr>
      <t xml:space="preserve">- będzie Pan/Pani musiał/a dokonać spłaty na następujących warunkach: </t>
    </r>
  </si>
  <si>
    <t>Pożyczkobiorca zobowiązany jest spłacić kwotę pożyczki w ratach kapitałowo-odsetkowych.</t>
  </si>
  <si>
    <t>- kwota, liczba i częstotliwość płatności rat kredytu konsumenckiego:</t>
  </si>
  <si>
    <t>lb rat=1</t>
  </si>
  <si>
    <t>lb rat&gt;1</t>
  </si>
  <si>
    <t>- odsetki i opłaty będą podlegać spłacie w następujący sposób:</t>
  </si>
  <si>
    <t>W czasie obowiązywania umowy o pożyczkę („Umowa”) wpłaty dokonywane na spłatę pożyczki będą zaliczane na pokrycie należności Banku w następującej kolejności:</t>
  </si>
  <si>
    <t>a) odsetki zwykłe (z tytułu udzielenia pożyczki) wymagalne,</t>
  </si>
  <si>
    <t>Nie dotyczy</t>
  </si>
  <si>
    <t>Jeżeli zgodnie z postanowieniami umowy  o kredyt, płatności dokonywane przez Pana/Panią nie są  zaliczane do spłaty całkowitej kwoty kredytu, ale będą wykorzystywane do zgromadzenia kapitału przez okresy i na zasadach określonych w umowie o kredyt lub w umowie dodatkowej, to umowa o kredyt nie przewiduje gwarancji spłaty całkowitej kwoty kredytu wypłaconej na jej podstawie.</t>
  </si>
  <si>
    <t xml:space="preserve">– stopa oprocentowania kredytu: </t>
  </si>
  <si>
    <t>Stopa oprocentowania kredytu oraz warunki jej zmiany</t>
  </si>
  <si>
    <t>Jest to całkowity koszt kredytu ponoszony przez konsumenta, wyrażony jako wartość procentowa całkowitej kwoty kredytu w stosunku rocznym przedstawiona aby pomóc Panu/Pani w porównaniu oferowanych kredytów.</t>
  </si>
  <si>
    <t xml:space="preserve">Rzeczywista roczna stopa oprocentowania  </t>
  </si>
  <si>
    <t>– reprezentatywny przykład:</t>
  </si>
  <si>
    <t>1. Umowa będzie obowiązywać przez czas, na który została zawarta, a Bank i Pożyczkobiorca będą wypełniać swoje zobowiązania w całości i w terminach z niej wynikających;</t>
  </si>
  <si>
    <t>2. Do dyspozycji Pożyczkobiorcy jest całkowita kwota pożyczki;</t>
  </si>
  <si>
    <t>4. odstępy czasu między datami przyjętymi dla obliczenia RRSO są zawsze równe rzeczywistej liczbie dni w okresie, na który Umowa została zawarta (uwzględniają one, że rok to 365 dni, a rok przestępny – 366);</t>
  </si>
  <si>
    <t>Prowizja kredytowana + ubezpieczenie</t>
  </si>
  <si>
    <t>Prowizja niekredytowana + ubezpieczenie</t>
  </si>
  <si>
    <t>Prowizja niekredytowana bez ubezpieczenia</t>
  </si>
  <si>
    <t>Prowizja kredytowana bez ubezpieczenie</t>
  </si>
  <si>
    <t xml:space="preserve">WYBIERZ </t>
  </si>
  <si>
    <t>Obowiązek zawarcia umowy dodatkowej</t>
  </si>
  <si>
    <t>BRAK UBEZPIECZENIA</t>
  </si>
  <si>
    <t>Nie</t>
  </si>
  <si>
    <t>- obowiązek skorzystania z usługi dodatkowej: Tak/nie</t>
  </si>
  <si>
    <t>- rodzaj usługi dodatkowej oraz jej koszt:</t>
  </si>
  <si>
    <t>Koszty wskazane w Umowie nie ulegną zmianie w całym okresie, na który zostanie zawarta Umowa.</t>
  </si>
  <si>
    <r>
      <rPr>
        <sz val="11"/>
        <rFont val="ING Me"/>
        <charset val="238"/>
      </rPr>
      <t>W przypadku spłaty kredytu przed terminem określonym w umowie poniesie Pan/Pani następujące koszty:</t>
    </r>
    <r>
      <rPr>
        <sz val="10"/>
        <rFont val="ING Me"/>
        <charset val="238"/>
      </rPr>
      <t xml:space="preserve">
Spłata pożyczki przed terminem określonym w Umowie nie wiąże się z jakimikolwiek dodatkowymi kosztami.
</t>
    </r>
  </si>
  <si>
    <t>a) dane kredytodawcy</t>
  </si>
  <si>
    <t>5. Dodatkowe informacje podawane w przypadku sprzedaży usług finansowych na odległość</t>
  </si>
  <si>
    <r>
      <t xml:space="preserve">Dane identyfikacyjne: 
</t>
    </r>
    <r>
      <rPr>
        <sz val="10"/>
        <rFont val="ING Me"/>
        <charset val="238"/>
      </rPr>
      <t>Nie dotyczy</t>
    </r>
    <r>
      <rPr>
        <sz val="11"/>
        <rFont val="ING Me"/>
        <charset val="238"/>
      </rPr>
      <t xml:space="preserve">
(Adres, z którego ma korzystać konsument)
</t>
    </r>
    <r>
      <rPr>
        <sz val="10"/>
        <rFont val="ING Me"/>
        <charset val="238"/>
      </rPr>
      <t>Nie dotyczy</t>
    </r>
  </si>
  <si>
    <r>
      <t xml:space="preserve">Numer telefonu:
</t>
    </r>
    <r>
      <rPr>
        <sz val="9"/>
        <rFont val="ING Me"/>
        <charset val="238"/>
      </rPr>
      <t>(informacja ta ma charakter opcjonalny)</t>
    </r>
  </si>
  <si>
    <r>
      <t xml:space="preserve">Adres poczty elektronicznej:
</t>
    </r>
    <r>
      <rPr>
        <sz val="9"/>
        <rFont val="ING Me"/>
        <charset val="238"/>
      </rPr>
      <t>(informacja ta ma charakter opcjonalny)</t>
    </r>
  </si>
  <si>
    <r>
      <t xml:space="preserve">Numer faksu:
</t>
    </r>
    <r>
      <rPr>
        <sz val="9"/>
        <rFont val="ING Me"/>
        <charset val="238"/>
      </rPr>
      <t>(informacja ta ma charakter opcjonalny)</t>
    </r>
  </si>
  <si>
    <r>
      <t xml:space="preserve">Adres strony internetowej:*
</t>
    </r>
    <r>
      <rPr>
        <sz val="9"/>
        <rFont val="ING Me"/>
        <charset val="238"/>
      </rPr>
      <t>(informacja ta ma charakter opcjonalny)</t>
    </r>
  </si>
  <si>
    <t>W przypadku, gdy Pożyczkobiorca zmieni oświadczenia lub  informację  stanowiące podstawę dla danych zawartych w niniejszym Formularzu zmianie ulegnie treść Formularza, w tym dane/ wyliczenia lub informacje w nim zamieszczone.    
Formularz, do którego załączono niniejszą klauzulę nie jest ofertą w rozumieniu przepisów prawa. Został on opracowany przy zachowaniu należytej staranności Banku jednak  dane zamieszczone w ewentualnie zawartej przez Pożyczkobiorcę umowie z Bankiem mogą się różnić od danych wskazanych w tym formularzu, z uwagi na życzenie klienta, inne informacje stanowiące podstawę wyliczeń lub z uwagi na dzień zawarcia umowy różny od daty sporządzenia Formularza. W przypadku, gdy Pożyczkobiorca podał Bankowi dane osobowe są one przetwarzane przez Bank w celu czynności przygotowawczych poprzedzających zawarcie umowy w szczególności oceny wniosku kredytowego, w celu oceny zdolności lub wiarygodności kredytowej przez czas wynikający z przepisów prawa. Dane zostały podane dobrowolnie i mogą być przekazywane podmiotom uprawnionym na podstawie przepisów prawa. Ma Pan/Pani prawo do dostępu do swoich danych i ich poprawiania, o ile są nieaktualne lub niezgodne ze stanem rzeczywistym</t>
  </si>
  <si>
    <t>Koniec formularza informacyjnego dotyczącego kredytu konsumenckiego</t>
  </si>
  <si>
    <r>
      <rPr>
        <b/>
        <sz val="12"/>
        <rFont val="ING Me"/>
        <charset val="238"/>
      </rPr>
      <t>Całkowita kwota kredytu</t>
    </r>
    <r>
      <rPr>
        <sz val="10"/>
        <rFont val="ING Me"/>
        <charset val="238"/>
      </rPr>
      <t xml:space="preserve">
Suma wszystkich środków pieniężnych, które zostaną Panu/Pani udostępnione</t>
    </r>
  </si>
  <si>
    <r>
      <rPr>
        <b/>
        <sz val="11"/>
        <rFont val="ING Me"/>
        <charset val="238"/>
      </rPr>
      <t>Terminy i sposób wypłaty kredytu</t>
    </r>
    <r>
      <rPr>
        <sz val="10"/>
        <rFont val="ING Me"/>
        <charset val="238"/>
      </rPr>
      <t xml:space="preserve">
W jaki sposób i w jakim terminie otrzyma Pan/Pani środki pieniężne</t>
    </r>
  </si>
  <si>
    <r>
      <rPr>
        <b/>
        <sz val="12"/>
        <rFont val="ING Me"/>
        <charset val="238"/>
      </rPr>
      <t>Całkowita kwota do zapłaty przez  konsumenta</t>
    </r>
    <r>
      <rPr>
        <sz val="10"/>
        <rFont val="ING Me"/>
        <charset val="238"/>
      </rPr>
      <t xml:space="preserve">
Jest to suma wszystkich środków pieniężnych, które kredytodawca udostępnia Panu/Pani oraz wszelkie koszty, które zobowiązany/a będzie Pan/Pani ponieść w związku z umową o kredyt</t>
    </r>
  </si>
  <si>
    <r>
      <rPr>
        <b/>
        <sz val="12"/>
        <rFont val="ING Me"/>
        <charset val="238"/>
      </rPr>
      <t>Kredyt wiązany lub w formie odroczonej płatności*</t>
    </r>
    <r>
      <rPr>
        <sz val="10"/>
        <rFont val="ING Me"/>
        <charset val="238"/>
      </rPr>
      <t xml:space="preserve">
– opis towaru lub usługi:
– cena: </t>
    </r>
  </si>
  <si>
    <r>
      <rPr>
        <b/>
        <sz val="12"/>
        <rFont val="ING Me"/>
        <charset val="238"/>
      </rPr>
      <t>Wymagane zabezpieczenia kredytu*</t>
    </r>
    <r>
      <rPr>
        <sz val="10"/>
        <rFont val="ING Me"/>
        <charset val="238"/>
      </rPr>
      <t xml:space="preserve">
Zabezpieczenie jakie będzie Pan/Pani musiał/a przedstawić w związku z umową o kredyt</t>
    </r>
  </si>
  <si>
    <r>
      <rPr>
        <b/>
        <sz val="12"/>
        <rFont val="ING Me"/>
        <charset val="238"/>
      </rPr>
      <t>Skutek braku płatności</t>
    </r>
    <r>
      <rPr>
        <sz val="10"/>
        <rFont val="ING Me"/>
        <charset val="238"/>
      </rPr>
      <t xml:space="preserve">
Skutki braku płatności mogą być dla Pana/Pani następujące:</t>
    </r>
  </si>
  <si>
    <r>
      <rPr>
        <b/>
        <sz val="12"/>
        <rFont val="ING Me"/>
        <charset val="238"/>
      </rPr>
      <t>Odstąpienie od umowy</t>
    </r>
    <r>
      <rPr>
        <sz val="10"/>
        <rFont val="ING Me"/>
        <charset val="238"/>
      </rPr>
      <t xml:space="preserve">
W terminie 14 dni od dnia zawarcia umowy ma Pan/Pani prawo do odstąpienia od umowy:</t>
    </r>
  </si>
  <si>
    <r>
      <rPr>
        <b/>
        <sz val="12"/>
        <rFont val="ING Me"/>
        <charset val="238"/>
      </rPr>
      <t>Spłata kredytu przed terminem określonym w umowie</t>
    </r>
    <r>
      <rPr>
        <sz val="10"/>
        <rFont val="ING Me"/>
        <charset val="238"/>
      </rPr>
      <t xml:space="preserve">
Ma Pan/Pani prawo w każdym czasie do spłaty całości lub części kredytu przed terminem określonym w umowie</t>
    </r>
  </si>
  <si>
    <r>
      <rPr>
        <b/>
        <sz val="12"/>
        <rFont val="ING Me"/>
        <charset val="238"/>
      </rPr>
      <t>Sprawdzenie w bazie danych.</t>
    </r>
    <r>
      <rPr>
        <sz val="10"/>
        <rFont val="ING Me"/>
        <charset val="238"/>
      </rPr>
      <t xml:space="preserve">
Jeżeli kredytodawca odmówi Panu/Pani udzielenia kredytu konsumenckiego na podstawie informacji zawartych w bazie danych kredytodawca niezwłocznie zobowiązany jest przekazać Panu/Pani bezpłatną informację o wynikach tego sprawdzenia oraz wskazać bazę danych, w której tego sprawdzenia dokonano</t>
    </r>
  </si>
  <si>
    <r>
      <rPr>
        <b/>
        <sz val="12"/>
        <rFont val="ING Me"/>
        <charset val="238"/>
      </rPr>
      <t>Prawo do otrzymania projektu umowy o kredyt</t>
    </r>
    <r>
      <rPr>
        <sz val="10"/>
        <rFont val="ING Me"/>
        <charset val="238"/>
      </rPr>
      <t xml:space="preserve">
Ma Pan/Pani prawo do otrzymania, na wniosek, bezpłatnego projektu umowy o kredyt konsumencki, jeżeli w ocenie kredytodawcy spełnia Pan/Pani warunki do udzielenia kredytu konsumenckiego.
</t>
    </r>
  </si>
  <si>
    <r>
      <rPr>
        <b/>
        <sz val="12"/>
        <rFont val="ING Me"/>
        <charset val="238"/>
      </rPr>
      <t>Wybór prawa właściwego*</t>
    </r>
    <r>
      <rPr>
        <sz val="10"/>
        <rFont val="ING Me"/>
        <charset val="238"/>
      </rPr>
      <t xml:space="preserve">
</t>
    </r>
    <r>
      <rPr>
        <sz val="9"/>
        <rFont val="ING Me"/>
        <charset val="238"/>
      </rPr>
      <t>Do zawartej z Panem/Panią umowy o kredyt będzie miało zastosowanie prawo:</t>
    </r>
  </si>
  <si>
    <r>
      <rPr>
        <sz val="11"/>
        <rFont val="ING Me"/>
        <charset val="238"/>
      </rPr>
      <t>(Wskazanie organu, który zarejestrował działalność kredytodawcy wraz z podaniem numeru w tym rejestrze)</t>
    </r>
    <r>
      <rPr>
        <sz val="10"/>
        <rFont val="ING Me"/>
        <charset val="238"/>
      </rPr>
      <t xml:space="preserve">
nie dotyczy</t>
    </r>
  </si>
  <si>
    <t>stopa zmienna - walidowany</t>
  </si>
  <si>
    <t>stopa zmienna  - tekst stały</t>
  </si>
  <si>
    <t>Pożyczka Superszybka 0% prowizji, stopa stała z ubezpieczeniem PAKIET SREBRNY</t>
  </si>
  <si>
    <t>Pożyczka Superszybka 0% prowizji, stopa stała z ubezpieczeniem PAKIET ZŁOTY</t>
  </si>
  <si>
    <t>IBOL Pożyczka 0% prowizji, stopa stała z ubezpieczeniem PAKIET SREBRNY</t>
  </si>
  <si>
    <t>IBOL Pożyczka 0% prowizji, stopa stała z ubezpieczeniem PAKIET ZŁOTY</t>
  </si>
  <si>
    <t>Pakiet Srebrny, Klient Stały, do 36 msc. rat</t>
  </si>
  <si>
    <t>Pakiet Zloty, Klient Stały, do 36 msc. rat</t>
  </si>
  <si>
    <t>Program ubezpieczeniowy Pakiet Srebrny</t>
  </si>
  <si>
    <t>korzyści z ochrony ubezpieczeniowej - Pakiet Srebrny</t>
  </si>
  <si>
    <t>składki za Pakiet Srebrny w całym okresie trwania pożyczki</t>
  </si>
  <si>
    <t>Program ubezpieczeniowy Pakiet Złoty</t>
  </si>
  <si>
    <t>korzyści z ochrony ubezpieczeniowej - Pakiet Złoty</t>
  </si>
  <si>
    <t>składki za Pakiet Złoty w całym okresie trwania pożyczki</t>
  </si>
  <si>
    <t xml:space="preserve">Jednym z elementów zmiennego oprocentowania jest stopa referencyjna Narodowego Banku Polskiego (NBP). Ustala ją Rada Polityki Pieniężnej, która jest organem NBP. Zmiana stopy referencyjnej NBP wpływa na oprocentowanie Państwa pożyczki.
Jeśli stopa referencyjna NBP wzrośnie, rata również wzrośnie. Jeśli zaś stopa referencyjna NBP zmaleje –  rata zmaleje. 
Jeśli stopa referencyjna NBP przyjmie wartość zero lub ujemną oprocentowanie pożyczki będzie równe marży Banku. Wprowadzenie takiego progu oprocentowania wynika z konieczności utrzymania minimalnej rentowności udzielanych przez bank kredytów.
Poniżej pokazujemy, jak zmiana stopy referencyjnej NBP wpływa na oprocentowanie, a w konsekwencji – na wysokość raty.
</t>
  </si>
  <si>
    <t xml:space="preserve"> stopie referencyjnej NBP &lt;= 0%</t>
  </si>
  <si>
    <t>0% + marża Banku</t>
  </si>
  <si>
    <t>Śmierć ubezpieczonego</t>
  </si>
  <si>
    <t>Utrata pracy/Czasowa niezdolność do pracy
(rata pożyczki nie więcej niż 3000 zł, 6 świadczeń na jedno zdarzenie, maks. 12 świadczeń w całym okresie ubezpieczenia)</t>
  </si>
  <si>
    <r>
      <t>Świadczenie z tytułu Opłat eksploatacyjnych
(200 zł wypłacane z każdym świadczeniem z tytułu Utraty pracy)</t>
    </r>
    <r>
      <rPr>
        <sz val="10"/>
        <color rgb="FF000000"/>
        <rFont val="Segoe UI"/>
        <family val="2"/>
        <charset val="238"/>
      </rPr>
      <t xml:space="preserve"> </t>
    </r>
  </si>
  <si>
    <t>Po wygaśnięciu ochrony z tytułu Utraty pracy / Czasowej niezdolności do pracy</t>
  </si>
  <si>
    <t>Pobyt w Szpitalu wskutek Nieszczęśliwego wypadku (rata pożyczki nie więcej niż 3000 zł, 6 świadczeń na jedno zdarzenie, maks. 12 świadczeń w całym okresie ubezpieczenia)</t>
  </si>
  <si>
    <t>Po wygaśnięciu ochrony z tytułu Pobytu w Szpitalu wskutek Nieszczęśliwego wypadku</t>
  </si>
  <si>
    <t>Śmierć wskutek Nieszczęśliwego wypadku
(6 rat pożyczki, maks. 18 000 zł)</t>
  </si>
  <si>
    <t xml:space="preserve">Śmierć ubezpieczonego w wyniku Nieszczęśliwego wypadku </t>
  </si>
  <si>
    <t xml:space="preserve">
W przypadku Śmierci w wyniku NW dodatkowo wraz z świadczeniem z tytułu śmierci Uposażony otrzyma kwotę 30 000 zł.  
</t>
  </si>
  <si>
    <t>Poważne zachorowanie ubezpieczonego</t>
  </si>
  <si>
    <t>Po wygaśnięciu ochrony z tytuły Poważnego zachorowania Ubezpieczonego</t>
  </si>
  <si>
    <t>Pobyt w szpitalu Ubezpieczonego wskutek Nieszczęśliwego wypadku</t>
  </si>
  <si>
    <t>SUMA OPŁAT ZA PROWADZENIE RACHUNKU OSZCZĘDNOŚCIOWO-ROZLICZENIOWEGO, KTÓRY DAJE KLIENTOWI PREFERENCJĘ CENOWĄ</t>
  </si>
  <si>
    <t>suma opłat za prowadzenie  rachunku oszczędnościowo-rozliczeniowego w wysokości  poniesionych za okres 3 miesięcy, dzięki czemu prowizja za udzielenie pożyczki posiada wysokość określoną w niniejszym formularzu</t>
  </si>
  <si>
    <t>Całkowita kwota kredytu
Suma wszystkich środków pieniężnych, które zostaną Panu/Pani udostępnione</t>
  </si>
  <si>
    <t>Centrum Obsługi Kredytów Detalicznych</t>
  </si>
  <si>
    <t>Całkowity koszt kredytu:</t>
  </si>
  <si>
    <t>Całkowita kwota do zapłaty:</t>
  </si>
  <si>
    <t>SZACOWANA DZIENNA SKŁADKA UBEZPIECZENIOWA</t>
  </si>
  <si>
    <t>zmiana na &gt;250</t>
  </si>
  <si>
    <r>
      <t>Marża wyjściowa</t>
    </r>
    <r>
      <rPr>
        <sz val="10"/>
        <color theme="0" tint="-4.9989318521683403E-2"/>
        <rFont val="Times New Roman"/>
        <family val="1"/>
        <charset val="238"/>
      </rPr>
      <t xml:space="preserve"> –</t>
    </r>
    <r>
      <rPr>
        <b/>
        <sz val="10"/>
        <color theme="0" tint="-4.9989318521683403E-2"/>
        <rFont val="Times New Roman"/>
        <family val="1"/>
        <charset val="238"/>
      </rPr>
      <t xml:space="preserve"> 4,99% </t>
    </r>
  </si>
  <si>
    <t xml:space="preserve">Min egzystencji &gt;250 mieszkańców </t>
  </si>
  <si>
    <t>Osetki spłacane będą w miesięcznych ratach (będą składnikiem każdej raty).</t>
  </si>
  <si>
    <t>Wysokość oprocentowania pożyczki może się zmienić w okresie obowiązywania Umowy. Może to wystąpić, jeżeli zmieni się wysokość stopy referencyjnej. Zmiana wysokości stopy referencyjnej spowoduje zmianę wysokości oprocentowania pożyczki o taką liczbę punktów procentowych, o jaką zmieniona została stopa referencyjna. Zmiana ta nastąpi w dniu wejścia w życie nowej wartości stopy referencyjnej. Jeśli stopa referencyjna przyjmie wartość '0' (zero) lub ujemną – oprocentowanie pożyczki będzie równe marży Banku. Zmiana oprocentowania pożyczki wywołana zmianą stopy referencyjnej nie wymaga aneksu ani wypowiedzenia Umowy. O zmianie stopy referencyjnej Bank poinformuje komunikatem w oddziałach Banku oraz na stronie www.ing.pl.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lub większa od oprocentowania określonego w Umowie.</t>
  </si>
  <si>
    <t xml:space="preserve">info@ing.pl 
Adres do doręczeń elektronicznych wpisany do bazy 
adresów elektronicznych AE:PL-69368-51081-ERVRU-12 
</t>
  </si>
  <si>
    <t xml:space="preserve">info@ing.pl </t>
  </si>
  <si>
    <t xml:space="preserve">Adres do doręczeń elektronicznych pośrednika wpisany do bazy adresów elektornicznych:
</t>
  </si>
  <si>
    <t>Bank przedstawia na formularzu konsumencki RRSO i pozostałę parametry pożyczki, uwzględniające informacje o składnikach preferowanej pożyczki, które pożyczkobiorca podał na wniosku.</t>
  </si>
  <si>
    <t xml:space="preserve">– ma Pan/Pani prawo do odstąpienia od umowy: Tak/nie
W przypadku skorzystania przez Pożyczkobiorcę z prawa do odstąpienia od Umowy, Pożyczkobiorca zobowiązany będzie do spłaty udzielonej zgodnie z Umową Kwoty pożyczki pomniejszonej o pobraną przez bank prowizję za jej udzielenie (jeżeli zostala pobrana) wraz z należnymi kdo dnia spłaty odsetkami. Powyższy obowiązek spłaty udzielonej Kwoty pożyczki w przypadku odstąpienia dotyczy także pożyczek przeznaczonych w całości lub części na spłatę zobowiązań kredytowych w ING lub w obcych bankach.
– sposób odstąpienia od umowy:
Aby odstąpić od Umowy, Pożyczkobiorca musi:
1. złożyć Oświadczenie o odstąpieniu od Umowy w dowolnej placówce bankowej realizującej tę czynność lub wysłać je na adres Banku
bądź
2. złożyć Oświadczenie o odstąpieniu od Umowy za pomocą sysemu bankowości internetowej lub  elektronicznego systemu doręczania korespondencji, o ile zawarł z Bankiem umowy regulujące teformy porozumiewania się z Bankiem, a Bank udostępnia taką funkcjonalność w ramach danego systemu    
- adres , na który należy przekazać oświadczenie o odstąpieniu od umowy:
1. Super Circle Obsługa Klienta Detalicznego, ul. Chorzowska 50, 40-086 Katowice
lub
2. wysłać korzystając z adresu doręczeń elektronicznych wpisanego do bazy adresów elektronicznych AE:PL-69368-51081-ERVRU-12           
-termin na skorzystanie z prawa do odstąpienia od umowy:
14 dni od dnia zawarcia Umowy
- skutki nieskorzystania z prawa do odstąpienia od umowy:
Jeśli nie odstąpi Pan/Pani od umowy będzie to oznaczać, że przyjmuje Pan/Pani zobowiązanie do spłaty pożyczki zgodnie z zawartą Umową. </t>
  </si>
  <si>
    <t>Polskie - prawo to ma również zastosowanie do wszystkich czynności Pana/Pani oraz Banku dokonywanych w okresie przed zawraciem Umowy.</t>
  </si>
  <si>
    <t>Prawem właściwym dla Umowy jest prawo polskie.
Sądem dla rozstrzygnięcia sporów związanych z wykonywaniem Umowy jest sąd właściwy ustalony zgodnie z przepisami Kodeksu postępowania cywilnego.</t>
  </si>
  <si>
    <t>Prawo właściwe dla zobowiązań pozaumownych wynkiających z kontaktów handlowych mających miejsce przed zawarciem umowy:</t>
  </si>
  <si>
    <t>Prawo polskie.</t>
  </si>
  <si>
    <t>6. prowizja za udzielenie pożyczki zostanie pobrana w dniu jej wypłaty;
7. wysokość oprocentowania, opłat i prowizji, która obowiązuje w dniu zawarcia Umowy, nie zmieni się w trakcie jej obowiązywania.</t>
  </si>
  <si>
    <t>6. prowizja za udzielenie pożyczki zostanie pobrana w dniu jej wypłaty;
7. w dniu płatności każdej raty pobierana jest miesięczna składka ubezpieczeniowa; 
8. wysokość oprocentowania, opłat i prowizji oraz składki ubezpieczeniowej, która obowiązuje w dniu zawarcia Umowy, nie zmieni się w trakcie jej obowiązywania.</t>
  </si>
  <si>
    <t>5. w dniu zawarcia Umowy uwzględniona została opłata za prowadzenie rachunku oszczędnościowo-rozliczeniowego, dzięki czemu prawowizaj za udzielenie pożyczki lub oprocentowanie posiada wysokość określoną w Umowie;</t>
  </si>
  <si>
    <t>6. w dniu płatności każdej raty pobierana jest miesięczna składka ubezpieczeniowa; 
7. prowizja za udzielenie pożyczki zostanie pobrana w dniu jej wypłaty;
8. wysokość oprocentowania, opłat i prowizji oraz składki ubezpieczeniowej, która obowiązuje w dniu zawarcia Umowy, nie zmieni się w trakcie jej obowiązywania.</t>
  </si>
  <si>
    <t>6.  prowizja za udzielenie pożyczki zostanie pobrana w dniu jej wypłaty;
7. wysokość oprocentowania, opłat i prowizji, która obowiązuje w dniu zawarcia Umowy, nie zmieni się w trakcie jej obowiązywania.</t>
  </si>
  <si>
    <r>
      <rPr>
        <sz val="9"/>
        <color rgb="FFFF6600"/>
        <rFont val="ING Me"/>
        <charset val="238"/>
      </rPr>
      <t xml:space="preserve">1. </t>
    </r>
    <r>
      <rPr>
        <sz val="9"/>
        <rFont val="ING Me"/>
        <charset val="238"/>
      </rPr>
      <t>prowizje i opłaty;</t>
    </r>
  </si>
  <si>
    <r>
      <rPr>
        <sz val="9"/>
        <color rgb="FFFF6600"/>
        <rFont val="ING Me"/>
        <charset val="238"/>
      </rPr>
      <t>2.</t>
    </r>
    <r>
      <rPr>
        <sz val="9"/>
        <rFont val="ING Me"/>
        <charset val="238"/>
      </rPr>
      <t xml:space="preserve"> należności przeterminowane według następującej kolejności:</t>
    </r>
  </si>
  <si>
    <r>
      <rPr>
        <sz val="9"/>
        <color rgb="FFFF6600"/>
        <rFont val="ING Me"/>
        <charset val="238"/>
      </rPr>
      <t xml:space="preserve">a) </t>
    </r>
    <r>
      <rPr>
        <sz val="9"/>
        <rFont val="ING Me"/>
        <charset val="238"/>
      </rPr>
      <t>odsetki podwyższone zadłużenia przeterminowanego,</t>
    </r>
  </si>
  <si>
    <r>
      <rPr>
        <sz val="9"/>
        <color rgb="FFFF6600"/>
        <rFont val="ING Me"/>
        <charset val="238"/>
      </rPr>
      <t>b)</t>
    </r>
    <r>
      <rPr>
        <sz val="9"/>
        <rFont val="ING Me"/>
        <charset val="238"/>
      </rPr>
      <t xml:space="preserve"> odsetki zwykłe (z tytułu udzielenia pożyczki) przeterminowane,</t>
    </r>
  </si>
  <si>
    <r>
      <rPr>
        <sz val="9"/>
        <color rgb="FFFF6600"/>
        <rFont val="ING Me"/>
        <charset val="238"/>
      </rPr>
      <t>c)</t>
    </r>
    <r>
      <rPr>
        <sz val="9"/>
        <rFont val="ING Me"/>
        <charset val="238"/>
      </rPr>
      <t xml:space="preserve"> kapitał przeterminowany,</t>
    </r>
  </si>
  <si>
    <r>
      <rPr>
        <sz val="9"/>
        <color rgb="FFFF6600"/>
        <rFont val="ING Me"/>
        <charset val="238"/>
      </rPr>
      <t>3.</t>
    </r>
    <r>
      <rPr>
        <sz val="9"/>
        <rFont val="ING Me"/>
        <charset val="238"/>
      </rPr>
      <t xml:space="preserve"> należności wymagalne (nieprzeterminowane) według następującej kolejności:</t>
    </r>
  </si>
  <si>
    <r>
      <rPr>
        <sz val="11"/>
        <rFont val="ING Me"/>
        <charset val="238"/>
      </rPr>
      <t>- rodzaj zabezpieczenia kredytu:</t>
    </r>
    <r>
      <rPr>
        <sz val="10"/>
        <rFont val="ING Me"/>
        <charset val="238"/>
      </rPr>
      <t xml:space="preserve">
</t>
    </r>
    <r>
      <rPr>
        <sz val="9"/>
        <rFont val="ING Me"/>
        <charset val="238"/>
      </rPr>
      <t xml:space="preserve">Pełnomocnictwa, których Pożyczkobiorca udziela Bankowi, czyli pełnomocnictwa do pobierania:
</t>
    </r>
    <r>
      <rPr>
        <sz val="9"/>
        <color rgb="FFFF6600"/>
        <rFont val="ING Me"/>
        <charset val="238"/>
      </rPr>
      <t>1.</t>
    </r>
    <r>
      <rPr>
        <sz val="9"/>
        <rFont val="ING Me"/>
        <charset val="238"/>
      </rPr>
      <t xml:space="preserve"> z rachunku (lub rachunków) Pożyczkobiorcy w Banku pieniędzy na spłatę wymagalnych zobowiązań, które wynikają z Umowy. 
</t>
    </r>
    <r>
      <rPr>
        <sz val="9"/>
        <color rgb="FFFF6600"/>
        <rFont val="ING Me"/>
        <charset val="238"/>
      </rPr>
      <t>2.</t>
    </r>
    <r>
      <rPr>
        <sz val="9"/>
        <rFont val="ING Me"/>
        <charset val="238"/>
      </rPr>
      <t xml:space="preserve"> z rachunku do spłaty rat, pieniędzy na spłatę miesięcznych rat, opłat, prowizji i innych wierzytelności Banku wynikających z Umowy.
Szczegółowa treść pełnomocnictw/a zawarta jest w Umowie.</t>
    </r>
  </si>
  <si>
    <r>
      <rPr>
        <sz val="11"/>
        <rFont val="ING Me"/>
        <charset val="238"/>
      </rPr>
      <t>– w przypadku braku lub opóźnienia płatności może Pan/Pani zostać obciążony/a następującymi opłatami:</t>
    </r>
    <r>
      <rPr>
        <sz val="10"/>
        <rFont val="ING Me"/>
        <charset val="238"/>
      </rPr>
      <t xml:space="preserve">
</t>
    </r>
    <r>
      <rPr>
        <sz val="9"/>
        <rFont val="ING Me"/>
        <charset val="238"/>
      </rPr>
      <t xml:space="preserve">W przypadku dochodzenia przez Bank spłaty na drodze sądowej Pożyczkobiorca może być zobowiązany do poniesienia dodatkowych kosztów, których wysokość jest określona w przepisach prawa lub zostanie ustalona w orzeczeniu sądu lub sądowego organu egzekucyjnego (komornika):
</t>
    </r>
    <r>
      <rPr>
        <sz val="9"/>
        <color rgb="FFFF6600"/>
        <rFont val="ING Me"/>
        <charset val="238"/>
      </rPr>
      <t>1.</t>
    </r>
    <r>
      <rPr>
        <sz val="9"/>
        <rFont val="ING Me"/>
        <charset val="238"/>
      </rPr>
      <t xml:space="preserve"> opłaty skarbowe za złożenie pełnomocnictwa do sądu lub komornika;
</t>
    </r>
    <r>
      <rPr>
        <sz val="9"/>
        <color rgb="FFFF6600"/>
        <rFont val="ING Me"/>
        <charset val="238"/>
      </rPr>
      <t xml:space="preserve">2. </t>
    </r>
    <r>
      <rPr>
        <sz val="9"/>
        <rFont val="ING Me"/>
        <charset val="238"/>
      </rPr>
      <t xml:space="preserve">opłaty za notarialne uwierzytelnienie kserokopii pełnomocnictwa przesyłanego do:
    </t>
    </r>
    <r>
      <rPr>
        <sz val="9"/>
        <color rgb="FFFF6600"/>
        <rFont val="ING Me"/>
        <charset val="238"/>
      </rPr>
      <t>a)</t>
    </r>
    <r>
      <rPr>
        <sz val="9"/>
        <rFont val="ING Me"/>
        <charset val="238"/>
      </rPr>
      <t xml:space="preserve"> sądu wraz z pozwem o zapłatę;
    </t>
    </r>
    <r>
      <rPr>
        <sz val="9"/>
        <color rgb="FFFF6600"/>
        <rFont val="ING Me"/>
        <charset val="238"/>
      </rPr>
      <t>b)</t>
    </r>
    <r>
      <rPr>
        <sz val="9"/>
        <rFont val="ING Me"/>
        <charset val="238"/>
      </rPr>
      <t xml:space="preserve"> komornika sądowego z wnioskiem o wszczęcie egzekucji;
</t>
    </r>
    <r>
      <rPr>
        <sz val="9"/>
        <color rgb="FFFF6600"/>
        <rFont val="ING Me"/>
        <charset val="238"/>
      </rPr>
      <t>3.</t>
    </r>
    <r>
      <rPr>
        <sz val="9"/>
        <rFont val="ING Me"/>
        <charset val="238"/>
      </rPr>
      <t xml:space="preserve"> opłaty skarbowe za ustalenie adresu dłużnika;
</t>
    </r>
    <r>
      <rPr>
        <sz val="9"/>
        <color rgb="FFFF6600"/>
        <rFont val="ING Me"/>
        <charset val="238"/>
      </rPr>
      <t>4.</t>
    </r>
    <r>
      <rPr>
        <sz val="9"/>
        <rFont val="ING Me"/>
        <charset val="238"/>
      </rPr>
      <t xml:space="preserve"> koszty postępowania sądowego i egzekucyjnego określone w: 
   </t>
    </r>
    <r>
      <rPr>
        <sz val="9"/>
        <color rgb="FFFF6600"/>
        <rFont val="ING Me"/>
        <charset val="238"/>
      </rPr>
      <t xml:space="preserve"> a)</t>
    </r>
    <r>
      <rPr>
        <sz val="9"/>
        <rFont val="ING Me"/>
        <charset val="238"/>
      </rPr>
      <t xml:space="preserve"> Kodeksie postępowania cywilnego; 
   </t>
    </r>
    <r>
      <rPr>
        <sz val="9"/>
        <color rgb="FFFF6600"/>
        <rFont val="ING Me"/>
        <charset val="238"/>
      </rPr>
      <t xml:space="preserve"> b)</t>
    </r>
    <r>
      <rPr>
        <sz val="9"/>
        <rFont val="ING Me"/>
        <charset val="238"/>
      </rPr>
      <t xml:space="preserve"> ustawie z dnia 28 lipca 2005 r. o kosztach sądowych w sprawach cywilnych; 
    </t>
    </r>
    <r>
      <rPr>
        <sz val="9"/>
        <color rgb="FFFF6600"/>
        <rFont val="ING Me"/>
        <charset val="238"/>
      </rPr>
      <t>c)</t>
    </r>
    <r>
      <rPr>
        <sz val="9"/>
        <rFont val="ING Me"/>
        <charset val="238"/>
      </rPr>
      <t xml:space="preserve"> ustawie z dnia 29 sierpnia 1997 r. o komornikach sądowych i egzekucji       (lub ustawach, które je zastąpią).
Wysokość opłat wskazanych w pkt. 1 – 3 zależeć będzie każdorazowo od wysokości tychże opłat określonych w przepisach prawa obowiązujących w dacie ich poniesienia przez Bank, zaś wysokość kosztów, o których mowa w punkcie 4 - od wysokości dochodzonej należności, trybu jej dochodzenia i egzekwowania. Wysokość kosztów i opłat obciążających Pożyczkobiorcę będzie określona w orzeczeniu sądu lub organu egzekucyjnego, wydanym w odpowiednim postępowaniu.</t>
    </r>
  </si>
  <si>
    <r>
      <rPr>
        <sz val="11"/>
        <rFont val="ING Me"/>
        <charset val="238"/>
      </rPr>
      <t>Tak/nie:</t>
    </r>
    <r>
      <rPr>
        <sz val="10"/>
        <rFont val="ING Me"/>
        <charset val="238"/>
      </rPr>
      <t xml:space="preserve">
Tak
</t>
    </r>
    <r>
      <rPr>
        <sz val="9"/>
        <rFont val="ING Me"/>
        <charset val="238"/>
      </rPr>
      <t xml:space="preserve">W przypadku skorzystania przez Pożyczkobiorcę z prawa do ostąpienia od Umowy, Pożyczkobiorca zobowiązany będzie do spłaty udzielonej zgodnie z Umową Kwoty pożyczki pomniejszonej o pobraną przez bank prowizję za jej udzielenie (jeżeli została pobrana) wraz z należnymi do spłaty odsetkami. Powyższy obowiązek spłaty udzielonej Kwoty pożyczki, w przypadku odstąpienia dotyczy także pożyczki przeznaczonej w całości lub części na spłatę zobowiązań kredytowych w ING lub w obecnych bankach. </t>
    </r>
  </si>
  <si>
    <r>
      <t xml:space="preserve"> - o ile przewidziano w umowie - prowizja za spłatę kredytuprzed terminem oraz sposób jej ustalania:
</t>
    </r>
    <r>
      <rPr>
        <sz val="9"/>
        <rFont val="ING Me"/>
        <charset val="238"/>
      </rPr>
      <t>Pożyczkobiorca ma prawo spłacić całość lub część kwoty pożyczki przed terminem. Za taką nadpłatę Bank nie pobiera prowizji. Aby nadpłacić pożyczkę, Pożyczkobiorca może:
a. przekazać pieniądze na rachunek do przedterminowej spłaty wskazany w Podstawowych warunkach Umowy
b. złożyć dyspozycję (spłaty całkowitej lub spłaty częściowej):
   i. poprzez System bankowości internetowej, o ile Pożyczkobiorca jest użytkownikiem tego systemu,
  ii. w placówce bankowej realizującej tę czynność.</t>
    </r>
  </si>
  <si>
    <r>
      <t xml:space="preserve">Został/a Pan/Pani sprawdzony/a w bazie danych:                                                                                                                                                                                                                                        
</t>
    </r>
    <r>
      <rPr>
        <sz val="9"/>
        <rFont val="ING Me"/>
        <charset val="238"/>
      </rPr>
      <t xml:space="preserve">
1. Biuro Informacji Kredytowej S.A. (BIK S.A.) w Warszawie (siedziba ul. Zygmunta Modzelewskiego 77a, 02-679 Warszawa).
2. Biuro Informacji Gospodarczej Info Monitor S.A. w Warszawie (siedziba ul. Zygmunta Modzelewskiego 77a, 02-679 Warszawa) - za pośrednictwem BIK S.A.
3. Bankowy Rejestr prowadzony przez Związek Banków Polskich w Warszawie (ul. Kruczkowskiego 8, 00-380 Warszawa).</t>
    </r>
    <r>
      <rPr>
        <sz val="10"/>
        <rFont val="ING Me"/>
        <charset val="238"/>
      </rPr>
      <t xml:space="preserve">
</t>
    </r>
  </si>
  <si>
    <r>
      <rPr>
        <sz val="11"/>
        <rFont val="ING Me"/>
        <charset val="238"/>
      </rPr>
      <t>Ma Pan/Pani prawo do bezpłatnego otrzymania egzemplarza projektu umowy o kredyt.</t>
    </r>
    <r>
      <rPr>
        <sz val="10"/>
        <rFont val="ING Me"/>
        <charset val="238"/>
      </rPr>
      <t xml:space="preserve">
</t>
    </r>
    <r>
      <rPr>
        <sz val="9"/>
        <rFont val="ING Me"/>
        <charset val="238"/>
      </rPr>
      <t>Bank wyda bezpłatny egzemplarz projektu umowy na Pani/Pana wniosek, jeżeli w ocenie Banku spełni Pan/Pani warunki do udzielenia pożyczki.</t>
    </r>
  </si>
  <si>
    <r>
      <t xml:space="preserve">– informacje i warunki umowy będą podawane w języku:
</t>
    </r>
    <r>
      <rPr>
        <sz val="9"/>
        <rFont val="ING Me"/>
        <charset val="238"/>
      </rPr>
      <t>Polskim</t>
    </r>
  </si>
  <si>
    <r>
      <rPr>
        <sz val="11"/>
        <rFont val="ING Me"/>
        <charset val="238"/>
      </rPr>
      <t xml:space="preserve">– przysługuje Panu/Pani prawo korzystania z pozasądowego rozstrzygania sporów:
Tak/nie </t>
    </r>
    <r>
      <rPr>
        <sz val="10"/>
        <rFont val="ING Me"/>
        <charset val="238"/>
      </rPr>
      <t xml:space="preserve">
Tak
</t>
    </r>
    <r>
      <rPr>
        <sz val="11"/>
        <rFont val="ING Me"/>
        <charset val="238"/>
      </rPr>
      <t>– zasady dostępu do procedury pozasądowego rozstrzygania sporów</t>
    </r>
    <r>
      <rPr>
        <sz val="10"/>
        <rFont val="ING Me"/>
        <charset val="238"/>
      </rPr>
      <t xml:space="preserve">
</t>
    </r>
    <r>
      <rPr>
        <sz val="9"/>
        <rFont val="ING Me"/>
        <charset val="238"/>
      </rPr>
      <t xml:space="preserve">Ewentualne spory wynikające z Umowy zawartej przez Bank i Pożyczkobiorcę mogą być rozstrzygane w trybie pozasądowym. Wnioski można składać do:
a. Rzecznika Finansowego, strona: www.rf.gov.pl. Rzecznik działa zgodnie z ustawą o rozpatrywaniu reklamacji przez podmioty rynku finansowego i o Rzeczniku Finansowym;
b. Arbitra bankowego działającego przy Związku Banków Polskich, strona: www.zbp.pl/dla-konsumentow-bankowy/dzialalnosc. Arbiter rozstrzyga spór i wydaje swoje orzeczenie zgodnie z regulaminem bankowego arbitrażu konsumenckiego.
Konsument, który ma miejsce zamieszkania na terenie państwa członkowskiego Unii Europejskiej, w związku z umową zawartą przez internet, ma prawo - w celu rozstrzygania sporów w trybie pozasądowym - skorzystać z europejskiej platformy internetowego rozstrzygania sporów. Platforma ta nosi nazwę platformy ODR (skrót z języka angielskiego: online dispute resolution), i jest dostępna na stronie http://ec.europa.eu/consumers/odr/.
W trybie pozasądowym skargi rozpatrywać może tylko jeden z uprawnionych podmiotów (zwany podmiotem ADR) i tylko wówczas, gdy Bank i Pożyczkobiorca wcześniej zgodzą się na rozpatrywanie sprawy przez określony podmiot ADR, zgodnie z jego regulaminem. Wykaz podmiotów uprawnionych znajduje się na stronie ww. stronie internetowej Platformy ODR.
Powyższe nie narusza uprawnienia do skierowania wniosku do Arbitra bankowego albo Rzecznika Finansowego.
O ile regulamin podmiotu ADR to przewiduje, Bank - w celu rozstrzygania sporów w trybie pozasądowym - moze skorzystać z europejskiej platformy internetowego rozstrzygania sporów i złożyć wniosek o wszczęcie takiego postępowania pozasądowego przeciwko Pożyczkobiorcy, jeśli Pożyczkobiorac oraz Bank wcześniej zgodzą się na rozpatrzenie sprawy przez określony podmiot ADR, zgodnie z jego regulaminem, a przepisy prawa nie wyłączają takiej możliwości. 
Konsument może również zwrócić się o pomoc do rzecznika konsumenta (miejskiego lub powiatowego). </t>
    </r>
  </si>
  <si>
    <t/>
  </si>
  <si>
    <t>POŻYCZKA W ING</t>
  </si>
  <si>
    <t xml:space="preserve">Adres strony internetowej:
</t>
  </si>
  <si>
    <t>MOJE ING</t>
  </si>
  <si>
    <t>INNY KANAŁ SPRZEDAŻY</t>
  </si>
  <si>
    <t>MIEJSCE ZŁOŻENIA WNIOSKU</t>
  </si>
  <si>
    <t>MOBILE</t>
  </si>
  <si>
    <r>
      <rPr>
        <sz val="11"/>
        <rFont val="ING Me"/>
        <charset val="238"/>
      </rPr>
      <t xml:space="preserve"> - stopa oprocentowania zadłużenia przeterminowanego: </t>
    </r>
    <r>
      <rPr>
        <sz val="10"/>
        <rFont val="ING Me"/>
        <charset val="238"/>
      </rPr>
      <t xml:space="preserve">
22,50% 
Odsetki podwyższone obliczane są według zmiennej stopy procentowej. Wynoszą one dwukrotność odsetek ustawowych za opóźnienie. Odsetki ustawowe za opóźnienie to suma stopy referencyjnej i 5,5 punktów procentowych. Stopa referencyjna jest ustalana przez Radę Polityki Pieniężnej na podstawie art. 12 ust. 2 pkt 1 ustawy z dnia 29 sierpnia 1997 r. o Narodowym Banku Polskim i ogłaszana w dzienniku urzędowym Narodowego Banku Polskiego, jest również dostępna na stronie www.nbp.pl. Wysokość odsetek ustawowych za opóźnienie ogłaszana jest przez Ministra Sprawiedliwości w Dzienniku Urzędowym Rzeczypospolitej Polskiej „Monitor Polski”. 
Zmiana wysokości odsetek ustawowych za opóźnienie powoduje zmianę wysokości odsetek podwyższonych. Zmiana wysokości odsetek podwyższonych nie wymaga powiadomienia przez Bank.
Brak płatności skutkuje także uprawnieniem do wypowiedzenia Umowy przez Bank z 30-dniowym terminem wypowiedzenia.</t>
    </r>
  </si>
  <si>
    <t>ostatnia zmiana 24.11.2024</t>
  </si>
  <si>
    <t>na osobę</t>
  </si>
  <si>
    <t>min na gospod</t>
  </si>
  <si>
    <t>na gospod</t>
  </si>
  <si>
    <t>PROMOCJA KONSOLIDACJI TYLKO PRZY ZBOWIĄZANIACH Z INNYCH BANKÓW POWYŻEJ 30 TYS.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</si>
</sst>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6">
    <numFmt numFmtId="164" formatCode="&quot;zł&quot;#,##0_);[Red]\(&quot;zł&quot;#,##0\)"/>
    <numFmt numFmtId="165" formatCode="&quot;zł&quot;#,##0.00_);[Red]\(&quot;zł&quot;#,##0.00\)"/>
    <numFmt numFmtId="166" formatCode="_(&quot;zł&quot;* #,##0.00_);_(&quot;zł&quot;* \(#,##0.00\);_(&quot;zł&quot;* &quot;-&quot;??_);_(@_)"/>
    <numFmt numFmtId="167" formatCode="_(* #,##0.00_);_(* \(#,##0.00\);_(* &quot;-&quot;??_);_(@_)"/>
    <numFmt numFmtId="168" formatCode="#,##0.00\ &quot;zł&quot;"/>
    <numFmt numFmtId="169" formatCode="0.0%"/>
    <numFmt numFmtId="170" formatCode="_-* #,##0\ _z_ł_-;\-* #,##0\ _z_ł_-;_-* &quot;-&quot;??\ _z_ł_-;_-@_-"/>
    <numFmt numFmtId="171" formatCode="#,##0.00\ _z_ł"/>
    <numFmt numFmtId="172" formatCode="#,##0\ _z_ł"/>
    <numFmt numFmtId="173" formatCode="0.00000000000000000"/>
    <numFmt numFmtId="174" formatCode="_-* #,##0.00\ [$zł-415]_-;\-* #,##0.00\ [$zł-415]_-;_-* &quot;-&quot;??\ [$zł-415]_-;_-@_-"/>
    <numFmt numFmtId="175" formatCode="0.000000%"/>
    <numFmt numFmtId="176" formatCode="0.0000000%"/>
    <numFmt numFmtId="177" formatCode="0_ ;[Red]\-0\ "/>
    <numFmt numFmtId="178" formatCode="0.000000000000000000000000000000000000"/>
    <numFmt numFmtId="179" formatCode="_-* #,##0\ [$zł-415]_-;\-* #,##0\ [$zł-415]_-;_-* &quot;-&quot;\ [$zł-415]_-;_-@_-"/>
    <numFmt numFmtId="180" formatCode="#,##0.00000"/>
    <numFmt numFmtId="181" formatCode="#,##0.0000"/>
    <numFmt numFmtId="182" formatCode="0.00000%"/>
    <numFmt numFmtId="183" formatCode="0.0000%"/>
    <numFmt numFmtId="184" formatCode="0.00000000000%"/>
    <numFmt numFmtId="185" formatCode="0.0000"/>
    <numFmt numFmtId="186" formatCode="0.00000"/>
    <numFmt numFmtId="187" formatCode="0.000000"/>
    <numFmt numFmtId="188" formatCode="#,##0.000000000"/>
    <numFmt numFmtId="189" formatCode=";\ ;\ ;"/>
  </numFmts>
  <fonts count="324" x14ac:knownFonts="1">
    <font>
      <sz val="10"/>
      <name val="Arial"/>
      <charset val="238"/>
    </font>
    <font>
      <sz val="10"/>
      <name val="Arial"/>
      <family val="2"/>
      <charset val="238"/>
    </font>
    <font>
      <b/>
      <sz val="10"/>
      <name val="Arial"/>
      <family val="2"/>
      <charset val="238"/>
    </font>
    <font>
      <b/>
      <sz val="10"/>
      <color indexed="9"/>
      <name val="Arial"/>
      <family val="2"/>
      <charset val="238"/>
    </font>
    <font>
      <b/>
      <sz val="10"/>
      <color indexed="10"/>
      <name val="Arial"/>
      <family val="2"/>
      <charset val="238"/>
    </font>
    <font>
      <i/>
      <sz val="10"/>
      <name val="Arial"/>
      <family val="2"/>
      <charset val="238"/>
    </font>
    <font>
      <sz val="8"/>
      <name val="Arial"/>
      <family val="2"/>
      <charset val="238"/>
    </font>
    <font>
      <sz val="10"/>
      <name val="Arial"/>
      <family val="2"/>
      <charset val="238"/>
    </font>
    <font>
      <sz val="9"/>
      <name val="Arial"/>
      <family val="2"/>
      <charset val="238"/>
    </font>
    <font>
      <b/>
      <sz val="9"/>
      <name val="Arial"/>
      <family val="2"/>
      <charset val="238"/>
    </font>
    <font>
      <sz val="10"/>
      <color indexed="23"/>
      <name val="Arial"/>
      <family val="2"/>
      <charset val="238"/>
    </font>
    <font>
      <sz val="10"/>
      <color indexed="18"/>
      <name val="Arial"/>
      <family val="2"/>
      <charset val="238"/>
    </font>
    <font>
      <b/>
      <sz val="10"/>
      <color indexed="18"/>
      <name val="Arial"/>
      <family val="2"/>
      <charset val="238"/>
    </font>
    <font>
      <sz val="10"/>
      <color indexed="18"/>
      <name val="Arial"/>
      <family val="2"/>
      <charset val="238"/>
    </font>
    <font>
      <b/>
      <sz val="10"/>
      <color indexed="18"/>
      <name val="Arial"/>
      <family val="2"/>
      <charset val="238"/>
    </font>
    <font>
      <sz val="8"/>
      <color indexed="23"/>
      <name val="Arial"/>
      <family val="2"/>
      <charset val="238"/>
    </font>
    <font>
      <sz val="9"/>
      <color indexed="18"/>
      <name val="Arial"/>
      <family val="2"/>
      <charset val="238"/>
    </font>
    <font>
      <sz val="10"/>
      <color indexed="55"/>
      <name val="Arial"/>
      <family val="2"/>
      <charset val="238"/>
    </font>
    <font>
      <sz val="8"/>
      <color indexed="81"/>
      <name val="Tahoma"/>
      <family val="2"/>
      <charset val="238"/>
    </font>
    <font>
      <sz val="9"/>
      <color indexed="55"/>
      <name val="Arial"/>
      <family val="2"/>
      <charset val="238"/>
    </font>
    <font>
      <sz val="8"/>
      <color indexed="18"/>
      <name val="Arial"/>
      <family val="2"/>
      <charset val="238"/>
    </font>
    <font>
      <b/>
      <sz val="10"/>
      <color indexed="58"/>
      <name val="Arial"/>
      <family val="2"/>
      <charset val="238"/>
    </font>
    <font>
      <sz val="8"/>
      <color indexed="18"/>
      <name val="Arial"/>
      <family val="2"/>
      <charset val="238"/>
    </font>
    <font>
      <sz val="10"/>
      <color indexed="10"/>
      <name val="Arial"/>
      <family val="2"/>
      <charset val="238"/>
    </font>
    <font>
      <sz val="10"/>
      <name val="Arial CE"/>
      <charset val="238"/>
    </font>
    <font>
      <i/>
      <sz val="10"/>
      <color indexed="18"/>
      <name val="Arial"/>
      <family val="2"/>
      <charset val="238"/>
    </font>
    <font>
      <sz val="10"/>
      <name val="Arial Narrow"/>
      <family val="2"/>
      <charset val="238"/>
    </font>
    <font>
      <b/>
      <sz val="9"/>
      <name val="Arial Narrow"/>
      <family val="2"/>
      <charset val="238"/>
    </font>
    <font>
      <b/>
      <sz val="11"/>
      <name val="Arial Narrow"/>
      <family val="2"/>
      <charset val="238"/>
    </font>
    <font>
      <b/>
      <sz val="14"/>
      <name val="Arial Narrow"/>
      <family val="2"/>
      <charset val="238"/>
    </font>
    <font>
      <sz val="9"/>
      <name val="Arial Narrow"/>
      <family val="2"/>
      <charset val="238"/>
    </font>
    <font>
      <sz val="8"/>
      <name val="Arial Narrow"/>
      <family val="2"/>
      <charset val="238"/>
    </font>
    <font>
      <sz val="10"/>
      <color indexed="8"/>
      <name val="Arial Narrow"/>
      <family val="2"/>
      <charset val="238"/>
    </font>
    <font>
      <sz val="9"/>
      <name val="Arial"/>
      <family val="2"/>
      <charset val="238"/>
    </font>
    <font>
      <sz val="10"/>
      <color indexed="14"/>
      <name val="Arial"/>
      <family val="2"/>
      <charset val="238"/>
    </font>
    <font>
      <b/>
      <sz val="10"/>
      <color indexed="14"/>
      <name val="Arial"/>
      <family val="2"/>
      <charset val="238"/>
    </font>
    <font>
      <sz val="10"/>
      <color indexed="18"/>
      <name val="Arial Narrow"/>
      <family val="2"/>
      <charset val="238"/>
    </font>
    <font>
      <b/>
      <sz val="10"/>
      <color indexed="18"/>
      <name val="Arial Narrow"/>
      <family val="2"/>
      <charset val="238"/>
    </font>
    <font>
      <b/>
      <sz val="10"/>
      <name val="Arial Narrow"/>
      <family val="2"/>
      <charset val="238"/>
    </font>
    <font>
      <b/>
      <sz val="10"/>
      <color indexed="8"/>
      <name val="Arial Narrow"/>
      <family val="2"/>
      <charset val="238"/>
    </font>
    <font>
      <sz val="10"/>
      <color indexed="62"/>
      <name val="Arial"/>
      <family val="2"/>
      <charset val="238"/>
    </font>
    <font>
      <b/>
      <sz val="10"/>
      <color indexed="62"/>
      <name val="Arial"/>
      <family val="2"/>
      <charset val="238"/>
    </font>
    <font>
      <b/>
      <sz val="8"/>
      <color indexed="81"/>
      <name val="Tahoma"/>
      <family val="2"/>
      <charset val="238"/>
    </font>
    <font>
      <b/>
      <sz val="10"/>
      <color indexed="23"/>
      <name val="Arial Narrow"/>
      <family val="2"/>
      <charset val="238"/>
    </font>
    <font>
      <b/>
      <sz val="10"/>
      <color indexed="10"/>
      <name val="Arial Narrow"/>
      <family val="2"/>
      <charset val="238"/>
    </font>
    <font>
      <sz val="10"/>
      <color indexed="23"/>
      <name val="Arial Narrow"/>
      <family val="2"/>
      <charset val="238"/>
    </font>
    <font>
      <sz val="10"/>
      <color indexed="10"/>
      <name val="Arial Narrow"/>
      <family val="2"/>
      <charset val="238"/>
    </font>
    <font>
      <sz val="8"/>
      <name val="Arial"/>
      <family val="2"/>
      <charset val="238"/>
    </font>
    <font>
      <b/>
      <sz val="8"/>
      <name val="Arial Narrow"/>
      <family val="2"/>
      <charset val="238"/>
    </font>
    <font>
      <b/>
      <sz val="10"/>
      <color indexed="56"/>
      <name val="Arial Narrow"/>
      <family val="2"/>
      <charset val="238"/>
    </font>
    <font>
      <sz val="8"/>
      <color indexed="10"/>
      <name val="Arial Narrow"/>
      <family val="2"/>
      <charset val="238"/>
    </font>
    <font>
      <b/>
      <sz val="10"/>
      <color indexed="16"/>
      <name val="Arial Narrow"/>
      <family val="2"/>
      <charset val="238"/>
    </font>
    <font>
      <i/>
      <sz val="10"/>
      <name val="Arial Narrow"/>
      <family val="2"/>
      <charset val="238"/>
    </font>
    <font>
      <sz val="6"/>
      <name val="Arial Narrow"/>
      <family val="2"/>
      <charset val="238"/>
    </font>
    <font>
      <sz val="9"/>
      <color indexed="18"/>
      <name val="Arial Narrow"/>
      <family val="2"/>
      <charset val="238"/>
    </font>
    <font>
      <sz val="9"/>
      <color indexed="10"/>
      <name val="Arial"/>
      <family val="2"/>
      <charset val="238"/>
    </font>
    <font>
      <sz val="8"/>
      <color indexed="10"/>
      <name val="Arial"/>
      <family val="2"/>
      <charset val="238"/>
    </font>
    <font>
      <b/>
      <sz val="9"/>
      <color indexed="10"/>
      <name val="Arial"/>
      <family val="2"/>
      <charset val="238"/>
    </font>
    <font>
      <b/>
      <sz val="9"/>
      <color indexed="10"/>
      <name val="Arial Narrow"/>
      <family val="2"/>
      <charset val="238"/>
    </font>
    <font>
      <sz val="6"/>
      <name val="Arial"/>
      <family val="2"/>
      <charset val="238"/>
    </font>
    <font>
      <i/>
      <sz val="8"/>
      <name val="Arial"/>
      <family val="2"/>
      <charset val="238"/>
    </font>
    <font>
      <b/>
      <i/>
      <sz val="14"/>
      <color indexed="12"/>
      <name val="Century"/>
      <family val="1"/>
      <charset val="238"/>
    </font>
    <font>
      <b/>
      <sz val="10"/>
      <color indexed="81"/>
      <name val="Tahoma"/>
      <family val="2"/>
      <charset val="238"/>
    </font>
    <font>
      <b/>
      <sz val="10"/>
      <color indexed="18"/>
      <name val="Tahoma"/>
      <family val="2"/>
      <charset val="238"/>
    </font>
    <font>
      <b/>
      <sz val="10"/>
      <color indexed="12"/>
      <name val="Tahoma"/>
      <family val="2"/>
      <charset val="238"/>
    </font>
    <font>
      <sz val="10"/>
      <color indexed="81"/>
      <name val="Tahoma"/>
      <family val="2"/>
      <charset val="238"/>
    </font>
    <font>
      <sz val="10"/>
      <name val="Arial"/>
      <family val="2"/>
      <charset val="238"/>
    </font>
    <font>
      <sz val="10"/>
      <name val="Calibri"/>
      <family val="2"/>
      <charset val="238"/>
    </font>
    <font>
      <b/>
      <sz val="3"/>
      <name val="Calibri"/>
      <family val="2"/>
      <charset val="238"/>
    </font>
    <font>
      <b/>
      <sz val="10"/>
      <name val="Calibri"/>
      <family val="2"/>
      <charset val="238"/>
    </font>
    <font>
      <sz val="10"/>
      <color indexed="9"/>
      <name val="Calibri"/>
      <family val="2"/>
      <charset val="238"/>
    </font>
    <font>
      <b/>
      <sz val="10"/>
      <color indexed="30"/>
      <name val="Arial"/>
      <family val="2"/>
      <charset val="238"/>
    </font>
    <font>
      <sz val="10"/>
      <name val="Cambria"/>
      <family val="1"/>
      <charset val="238"/>
    </font>
    <font>
      <sz val="8"/>
      <name val="Cambria"/>
      <family val="1"/>
      <charset val="238"/>
    </font>
    <font>
      <sz val="7"/>
      <name val="Cambria"/>
      <family val="1"/>
      <charset val="238"/>
    </font>
    <font>
      <b/>
      <sz val="10"/>
      <name val="Cambria"/>
      <family val="1"/>
      <charset val="238"/>
    </font>
    <font>
      <b/>
      <sz val="8"/>
      <name val="Cambria"/>
      <family val="1"/>
      <charset val="238"/>
    </font>
    <font>
      <b/>
      <i/>
      <sz val="10"/>
      <name val="Cambria"/>
      <family val="1"/>
      <charset val="238"/>
    </font>
    <font>
      <i/>
      <sz val="10"/>
      <name val="Cambria"/>
      <family val="1"/>
      <charset val="238"/>
    </font>
    <font>
      <sz val="11"/>
      <name val="Calibri"/>
      <family val="2"/>
      <charset val="238"/>
    </font>
    <font>
      <sz val="10"/>
      <name val="Wingdings"/>
      <charset val="2"/>
    </font>
    <font>
      <sz val="11"/>
      <name val="Arial Narrow"/>
      <family val="2"/>
      <charset val="238"/>
    </font>
    <font>
      <sz val="10"/>
      <color indexed="36"/>
      <name val="Arial"/>
      <family val="2"/>
      <charset val="238"/>
    </font>
    <font>
      <sz val="10"/>
      <color indexed="13"/>
      <name val="Arial"/>
      <family val="2"/>
      <charset val="238"/>
    </font>
    <font>
      <u/>
      <sz val="10"/>
      <color theme="10"/>
      <name val="Arial"/>
      <family val="2"/>
      <charset val="238"/>
    </font>
    <font>
      <sz val="10"/>
      <color rgb="FF7030A0"/>
      <name val="Arial Narrow"/>
      <family val="2"/>
      <charset val="238"/>
    </font>
    <font>
      <b/>
      <sz val="9"/>
      <color rgb="FF7030A0"/>
      <name val="Arial"/>
      <family val="2"/>
      <charset val="238"/>
    </font>
    <font>
      <b/>
      <sz val="10"/>
      <color rgb="FF7030A0"/>
      <name val="Arial"/>
      <family val="2"/>
      <charset val="238"/>
    </font>
    <font>
      <b/>
      <sz val="8"/>
      <color rgb="FF7030A0"/>
      <name val="Arial"/>
      <family val="2"/>
      <charset val="238"/>
    </font>
    <font>
      <sz val="10"/>
      <color rgb="FF0070C0"/>
      <name val="Arial"/>
      <family val="2"/>
      <charset val="238"/>
    </font>
    <font>
      <b/>
      <sz val="18"/>
      <color rgb="FFC00000"/>
      <name val="Arial"/>
      <family val="2"/>
      <charset val="238"/>
    </font>
    <font>
      <sz val="9"/>
      <color theme="5"/>
      <name val="Arial"/>
      <family val="2"/>
      <charset val="238"/>
    </font>
    <font>
      <sz val="10"/>
      <color theme="5"/>
      <name val="Arial"/>
      <family val="2"/>
      <charset val="238"/>
    </font>
    <font>
      <b/>
      <sz val="16"/>
      <color rgb="FFC00000"/>
      <name val="Arial"/>
      <family val="2"/>
      <charset val="238"/>
    </font>
    <font>
      <b/>
      <sz val="9"/>
      <color rgb="FFC00000"/>
      <name val="Arial"/>
      <family val="2"/>
      <charset val="238"/>
    </font>
    <font>
      <b/>
      <sz val="10"/>
      <color rgb="FFC00000"/>
      <name val="Arial"/>
      <family val="2"/>
      <charset val="238"/>
    </font>
    <font>
      <b/>
      <sz val="10"/>
      <color rgb="FF002060"/>
      <name val="Arial"/>
      <family val="2"/>
      <charset val="238"/>
    </font>
    <font>
      <sz val="10"/>
      <color rgb="FFC00000"/>
      <name val="Arial"/>
      <family val="2"/>
      <charset val="238"/>
    </font>
    <font>
      <b/>
      <sz val="10"/>
      <color theme="5" tint="-0.499984740745262"/>
      <name val="Arial"/>
      <family val="2"/>
      <charset val="238"/>
    </font>
    <font>
      <sz val="10"/>
      <name val="Calibri"/>
      <family val="2"/>
      <charset val="238"/>
      <scheme val="minor"/>
    </font>
    <font>
      <b/>
      <sz val="10"/>
      <name val="Calibri"/>
      <family val="2"/>
      <charset val="238"/>
      <scheme val="minor"/>
    </font>
    <font>
      <b/>
      <i/>
      <sz val="10"/>
      <name val="Calibri"/>
      <family val="2"/>
      <charset val="238"/>
      <scheme val="minor"/>
    </font>
    <font>
      <sz val="9"/>
      <name val="Calibri"/>
      <family val="2"/>
      <charset val="238"/>
      <scheme val="minor"/>
    </font>
    <font>
      <u/>
      <sz val="10"/>
      <color theme="10"/>
      <name val="Calibri"/>
      <family val="2"/>
      <charset val="238"/>
      <scheme val="minor"/>
    </font>
    <font>
      <b/>
      <sz val="10"/>
      <color rgb="FFFF0000"/>
      <name val="Calibri"/>
      <family val="2"/>
      <charset val="238"/>
      <scheme val="minor"/>
    </font>
    <font>
      <i/>
      <sz val="10"/>
      <name val="Calibri"/>
      <family val="2"/>
      <charset val="238"/>
      <scheme val="minor"/>
    </font>
    <font>
      <sz val="10"/>
      <color rgb="FFFF0000"/>
      <name val="Arial"/>
      <family val="2"/>
      <charset val="238"/>
    </font>
    <font>
      <sz val="10"/>
      <color rgb="FF7030A0"/>
      <name val="Arial"/>
      <family val="2"/>
      <charset val="238"/>
    </font>
    <font>
      <b/>
      <sz val="9"/>
      <color theme="5"/>
      <name val="Arial"/>
      <family val="2"/>
      <charset val="238"/>
    </font>
    <font>
      <b/>
      <sz val="10"/>
      <color theme="5"/>
      <name val="Arial"/>
      <family val="2"/>
      <charset val="238"/>
    </font>
    <font>
      <b/>
      <sz val="10"/>
      <color rgb="FFFF0000"/>
      <name val="Arial"/>
      <family val="2"/>
      <charset val="238"/>
    </font>
    <font>
      <b/>
      <sz val="10"/>
      <color rgb="FFFF0000"/>
      <name val="Cambria"/>
      <family val="1"/>
      <charset val="238"/>
    </font>
    <font>
      <b/>
      <sz val="10"/>
      <color rgb="FFC00000"/>
      <name val="Calibri"/>
      <family val="2"/>
      <charset val="238"/>
      <scheme val="minor"/>
    </font>
    <font>
      <sz val="10"/>
      <color rgb="FFC00000"/>
      <name val="Calibri"/>
      <family val="2"/>
      <charset val="238"/>
      <scheme val="minor"/>
    </font>
    <font>
      <sz val="10"/>
      <color theme="0"/>
      <name val="Arial"/>
      <family val="2"/>
      <charset val="238"/>
    </font>
    <font>
      <sz val="10"/>
      <color theme="6" tint="-0.249977111117893"/>
      <name val="Arial"/>
      <family val="2"/>
      <charset val="238"/>
    </font>
    <font>
      <sz val="10"/>
      <color theme="1"/>
      <name val="Arial"/>
      <family val="2"/>
      <charset val="238"/>
    </font>
    <font>
      <sz val="8"/>
      <color theme="1"/>
      <name val="Arial"/>
      <family val="2"/>
      <charset val="238"/>
    </font>
    <font>
      <sz val="9"/>
      <color theme="6" tint="-0.249977111117893"/>
      <name val="Arial"/>
      <family val="2"/>
      <charset val="238"/>
    </font>
    <font>
      <b/>
      <sz val="10"/>
      <color theme="0"/>
      <name val="Arial"/>
      <family val="2"/>
      <charset val="238"/>
    </font>
    <font>
      <i/>
      <sz val="10"/>
      <color rgb="FFFF0000"/>
      <name val="Arial"/>
      <family val="2"/>
      <charset val="238"/>
    </font>
    <font>
      <b/>
      <sz val="10"/>
      <color theme="3"/>
      <name val="Arial"/>
      <family val="2"/>
      <charset val="238"/>
    </font>
    <font>
      <sz val="10"/>
      <color theme="3"/>
      <name val="Arial"/>
      <family val="2"/>
      <charset val="238"/>
    </font>
    <font>
      <b/>
      <sz val="10"/>
      <color rgb="FF00B050"/>
      <name val="Arial"/>
      <family val="2"/>
      <charset val="238"/>
    </font>
    <font>
      <b/>
      <sz val="10"/>
      <color theme="0" tint="-0.34998626667073579"/>
      <name val="Arial Narrow"/>
      <family val="2"/>
      <charset val="238"/>
    </font>
    <font>
      <sz val="9"/>
      <color rgb="FFFF0000"/>
      <name val="Arial Narrow"/>
      <family val="2"/>
      <charset val="238"/>
    </font>
    <font>
      <b/>
      <sz val="9"/>
      <color rgb="FFFF0000"/>
      <name val="Arial Narrow"/>
      <family val="2"/>
      <charset val="238"/>
    </font>
    <font>
      <b/>
      <sz val="10"/>
      <color rgb="FFFF0000"/>
      <name val="Arial Narrow"/>
      <family val="2"/>
      <charset val="238"/>
    </font>
    <font>
      <i/>
      <sz val="10"/>
      <color theme="1"/>
      <name val="Arial"/>
      <family val="2"/>
      <charset val="238"/>
    </font>
    <font>
      <i/>
      <sz val="8"/>
      <color theme="1"/>
      <name val="Arial"/>
      <family val="2"/>
      <charset val="238"/>
    </font>
    <font>
      <sz val="8"/>
      <name val="Calibri"/>
      <family val="2"/>
      <charset val="238"/>
      <scheme val="minor"/>
    </font>
    <font>
      <sz val="10"/>
      <color rgb="FFFF0000"/>
      <name val="Calibri"/>
      <family val="2"/>
      <charset val="238"/>
      <scheme val="minor"/>
    </font>
    <font>
      <sz val="10"/>
      <color indexed="47"/>
      <name val="Calibri"/>
      <family val="2"/>
      <charset val="238"/>
      <scheme val="minor"/>
    </font>
    <font>
      <b/>
      <sz val="9"/>
      <name val="Calibri"/>
      <family val="2"/>
      <charset val="238"/>
      <scheme val="minor"/>
    </font>
    <font>
      <b/>
      <sz val="12"/>
      <color indexed="53"/>
      <name val="Calibri"/>
      <family val="2"/>
      <charset val="238"/>
      <scheme val="minor"/>
    </font>
    <font>
      <sz val="7"/>
      <name val="Calibri"/>
      <family val="2"/>
      <charset val="238"/>
      <scheme val="minor"/>
    </font>
    <font>
      <i/>
      <sz val="8"/>
      <name val="Calibri"/>
      <family val="2"/>
      <charset val="238"/>
      <scheme val="minor"/>
    </font>
    <font>
      <i/>
      <sz val="9"/>
      <name val="Calibri"/>
      <family val="2"/>
      <charset val="238"/>
      <scheme val="minor"/>
    </font>
    <font>
      <b/>
      <sz val="10"/>
      <color indexed="47"/>
      <name val="Calibri"/>
      <family val="2"/>
      <charset val="238"/>
      <scheme val="minor"/>
    </font>
    <font>
      <b/>
      <sz val="10"/>
      <color indexed="61"/>
      <name val="Calibri"/>
      <family val="2"/>
      <charset val="238"/>
      <scheme val="minor"/>
    </font>
    <font>
      <i/>
      <sz val="10"/>
      <color indexed="62"/>
      <name val="Calibri"/>
      <family val="2"/>
      <charset val="238"/>
      <scheme val="minor"/>
    </font>
    <font>
      <sz val="11"/>
      <name val="Calibri"/>
      <family val="2"/>
      <charset val="238"/>
      <scheme val="minor"/>
    </font>
    <font>
      <b/>
      <sz val="8"/>
      <name val="Calibri"/>
      <family val="2"/>
      <charset val="238"/>
      <scheme val="minor"/>
    </font>
    <font>
      <b/>
      <sz val="11"/>
      <color rgb="FFFFCC99"/>
      <name val="Calibri"/>
      <family val="2"/>
      <charset val="238"/>
      <scheme val="minor"/>
    </font>
    <font>
      <sz val="11"/>
      <color indexed="12"/>
      <name val="Calibri"/>
      <family val="2"/>
      <charset val="238"/>
      <scheme val="minor"/>
    </font>
    <font>
      <sz val="10"/>
      <color indexed="14"/>
      <name val="Calibri"/>
      <family val="2"/>
      <charset val="238"/>
      <scheme val="minor"/>
    </font>
    <font>
      <b/>
      <sz val="10"/>
      <color indexed="62"/>
      <name val="Calibri"/>
      <family val="2"/>
      <charset val="238"/>
      <scheme val="minor"/>
    </font>
    <font>
      <sz val="10"/>
      <color theme="1"/>
      <name val="Calibri"/>
      <family val="2"/>
      <charset val="238"/>
      <scheme val="minor"/>
    </font>
    <font>
      <b/>
      <sz val="12"/>
      <color indexed="8"/>
      <name val="Calibri"/>
      <family val="2"/>
      <charset val="238"/>
      <scheme val="minor"/>
    </font>
    <font>
      <b/>
      <i/>
      <sz val="14"/>
      <color indexed="12"/>
      <name val="Calibri"/>
      <family val="2"/>
      <charset val="238"/>
      <scheme val="minor"/>
    </font>
    <font>
      <sz val="11"/>
      <color rgb="FF002060"/>
      <name val="Calibri"/>
      <family val="2"/>
      <charset val="238"/>
      <scheme val="minor"/>
    </font>
    <font>
      <b/>
      <sz val="10"/>
      <color theme="0"/>
      <name val="Calibri"/>
      <family val="2"/>
      <charset val="238"/>
      <scheme val="minor"/>
    </font>
    <font>
      <b/>
      <sz val="11"/>
      <name val="Calibri"/>
      <family val="2"/>
      <charset val="238"/>
      <scheme val="minor"/>
    </font>
    <font>
      <sz val="10"/>
      <color rgb="FF002060"/>
      <name val="Calibri"/>
      <family val="2"/>
      <charset val="238"/>
      <scheme val="minor"/>
    </font>
    <font>
      <b/>
      <sz val="12"/>
      <name val="Calibri"/>
      <family val="2"/>
      <charset val="238"/>
      <scheme val="minor"/>
    </font>
    <font>
      <b/>
      <sz val="14"/>
      <color indexed="53"/>
      <name val="Calibri"/>
      <family val="2"/>
      <charset val="238"/>
      <scheme val="minor"/>
    </font>
    <font>
      <b/>
      <sz val="16"/>
      <color theme="0"/>
      <name val="Calibri"/>
      <family val="2"/>
      <charset val="238"/>
      <scheme val="minor"/>
    </font>
    <font>
      <i/>
      <sz val="8"/>
      <color indexed="62"/>
      <name val="Calibri"/>
      <family val="2"/>
      <charset val="238"/>
      <scheme val="minor"/>
    </font>
    <font>
      <b/>
      <sz val="10"/>
      <color rgb="FF002060"/>
      <name val="Calibri"/>
      <family val="2"/>
      <charset val="238"/>
      <scheme val="minor"/>
    </font>
    <font>
      <sz val="8"/>
      <color rgb="FFC00000"/>
      <name val="Calibri"/>
      <family val="2"/>
      <charset val="238"/>
      <scheme val="minor"/>
    </font>
    <font>
      <b/>
      <sz val="12"/>
      <color rgb="FF333399"/>
      <name val="Arial Narrow"/>
      <family val="2"/>
      <charset val="238"/>
    </font>
    <font>
      <b/>
      <sz val="12"/>
      <color rgb="FF000080"/>
      <name val="Arial Narrow"/>
      <family val="2"/>
      <charset val="238"/>
    </font>
    <font>
      <b/>
      <sz val="13"/>
      <color rgb="FF000080"/>
      <name val="Calibri"/>
      <family val="2"/>
      <charset val="238"/>
    </font>
    <font>
      <b/>
      <u/>
      <sz val="10"/>
      <color rgb="FF660066"/>
      <name val="Arial"/>
      <family val="2"/>
      <charset val="238"/>
    </font>
    <font>
      <b/>
      <sz val="11"/>
      <color rgb="FF000000"/>
      <name val="Arial Narrow"/>
      <family val="2"/>
      <charset val="238"/>
    </font>
    <font>
      <b/>
      <u val="double"/>
      <sz val="11"/>
      <color rgb="FF993366"/>
      <name val="Arial Narrow"/>
      <family val="2"/>
      <charset val="238"/>
    </font>
    <font>
      <b/>
      <sz val="14"/>
      <color rgb="FF008000"/>
      <name val="Arial"/>
      <family val="2"/>
      <charset val="238"/>
    </font>
    <font>
      <b/>
      <sz val="16"/>
      <color rgb="FF0000FF"/>
      <name val="Arial"/>
      <family val="2"/>
      <charset val="238"/>
    </font>
    <font>
      <sz val="10"/>
      <color rgb="FFFFFF00"/>
      <name val="Arial"/>
      <family val="2"/>
      <charset val="238"/>
    </font>
    <font>
      <sz val="9"/>
      <color rgb="FFC00000"/>
      <name val="Calibri"/>
      <family val="2"/>
      <charset val="238"/>
      <scheme val="minor"/>
    </font>
    <font>
      <b/>
      <sz val="10"/>
      <color rgb="FF0070C0"/>
      <name val="Calibri"/>
      <family val="2"/>
      <charset val="238"/>
      <scheme val="minor"/>
    </font>
    <font>
      <b/>
      <sz val="11"/>
      <color rgb="FF333399"/>
      <name val="Arial"/>
      <family val="2"/>
      <charset val="238"/>
    </font>
    <font>
      <b/>
      <sz val="12"/>
      <color rgb="FF000080"/>
      <name val="Arial"/>
      <family val="2"/>
      <charset val="238"/>
    </font>
    <font>
      <b/>
      <sz val="14"/>
      <color rgb="FF000080"/>
      <name val="Arial"/>
      <family val="2"/>
      <charset val="238"/>
    </font>
    <font>
      <sz val="9"/>
      <color theme="0" tint="-0.249977111117893"/>
      <name val="Calibri"/>
      <family val="2"/>
      <charset val="238"/>
      <scheme val="minor"/>
    </font>
    <font>
      <sz val="11"/>
      <color rgb="FFC00000"/>
      <name val="Calibri"/>
      <family val="2"/>
      <charset val="238"/>
      <scheme val="minor"/>
    </font>
    <font>
      <sz val="10"/>
      <color rgb="FFFF0000"/>
      <name val="Cambria"/>
      <family val="1"/>
      <charset val="238"/>
    </font>
    <font>
      <sz val="10"/>
      <color rgb="FF0033CC"/>
      <name val="Arial"/>
      <family val="2"/>
      <charset val="238"/>
    </font>
    <font>
      <sz val="9"/>
      <color theme="1"/>
      <name val="Arial"/>
      <family val="2"/>
      <charset val="238"/>
    </font>
    <font>
      <b/>
      <sz val="12"/>
      <color theme="5"/>
      <name val="Arial"/>
      <family val="2"/>
      <charset val="238"/>
    </font>
    <font>
      <i/>
      <sz val="10"/>
      <color theme="0" tint="-4.9989318521683403E-2"/>
      <name val="Arial"/>
      <family val="2"/>
      <charset val="238"/>
    </font>
    <font>
      <i/>
      <sz val="10"/>
      <color theme="3" tint="0.59999389629810485"/>
      <name val="Arial"/>
      <family val="2"/>
      <charset val="238"/>
    </font>
    <font>
      <sz val="10"/>
      <color theme="3" tint="0.59999389629810485"/>
      <name val="Arial"/>
      <family val="2"/>
      <charset val="238"/>
    </font>
    <font>
      <b/>
      <sz val="10"/>
      <color rgb="FF0070C0"/>
      <name val="Arial"/>
      <family val="2"/>
      <charset val="238"/>
    </font>
    <font>
      <sz val="11"/>
      <name val="Arial"/>
      <family val="2"/>
      <charset val="238"/>
    </font>
    <font>
      <sz val="14"/>
      <name val="Arial"/>
      <family val="2"/>
      <charset val="238"/>
    </font>
    <font>
      <sz val="10"/>
      <color theme="6" tint="-0.499984740745262"/>
      <name val="Arial"/>
      <family val="2"/>
      <charset val="238"/>
    </font>
    <font>
      <sz val="10"/>
      <color theme="4" tint="-0.249977111117893"/>
      <name val="Arial"/>
      <family val="2"/>
      <charset val="238"/>
    </font>
    <font>
      <sz val="10"/>
      <color rgb="FF00B0F0"/>
      <name val="Arial"/>
      <family val="2"/>
      <charset val="238"/>
    </font>
    <font>
      <b/>
      <sz val="10"/>
      <color theme="0" tint="-0.499984740745262"/>
      <name val="Arial"/>
      <family val="2"/>
      <charset val="238"/>
    </font>
    <font>
      <sz val="9"/>
      <color theme="0" tint="-0.499984740745262"/>
      <name val="Arial"/>
      <family val="2"/>
      <charset val="238"/>
    </font>
    <font>
      <sz val="10"/>
      <color theme="0" tint="-0.499984740745262"/>
      <name val="Arial"/>
      <family val="2"/>
      <charset val="238"/>
    </font>
    <font>
      <sz val="10"/>
      <color rgb="FF000000"/>
      <name val="Arial"/>
      <family val="2"/>
      <charset val="238"/>
    </font>
    <font>
      <b/>
      <sz val="12"/>
      <color rgb="FF7030A0"/>
      <name val="Arial"/>
      <family val="2"/>
      <charset val="238"/>
    </font>
    <font>
      <i/>
      <sz val="10"/>
      <color rgb="FF7030A0"/>
      <name val="Arial"/>
      <family val="2"/>
      <charset val="238"/>
    </font>
    <font>
      <sz val="8"/>
      <color rgb="FF7030A0"/>
      <name val="Arial"/>
      <family val="2"/>
      <charset val="238"/>
    </font>
    <font>
      <sz val="12"/>
      <color theme="0"/>
      <name val="Arial"/>
      <family val="2"/>
      <charset val="238"/>
    </font>
    <font>
      <sz val="10"/>
      <color theme="9" tint="-0.249977111117893"/>
      <name val="Arial"/>
      <family val="2"/>
      <charset val="238"/>
    </font>
    <font>
      <b/>
      <sz val="11"/>
      <name val="Arial"/>
      <family val="2"/>
      <charset val="238"/>
    </font>
    <font>
      <sz val="10"/>
      <color theme="1" tint="0.499984740745262"/>
      <name val="Arial"/>
      <family val="2"/>
      <charset val="238"/>
    </font>
    <font>
      <b/>
      <sz val="16"/>
      <color rgb="FF0033CC"/>
      <name val="Arial"/>
      <family val="2"/>
      <charset val="238"/>
    </font>
    <font>
      <sz val="10"/>
      <color theme="0" tint="-4.9989318521683403E-2"/>
      <name val="Arial"/>
      <family val="2"/>
      <charset val="238"/>
    </font>
    <font>
      <sz val="10"/>
      <color theme="9"/>
      <name val="Arial"/>
      <family val="2"/>
      <charset val="238"/>
    </font>
    <font>
      <i/>
      <sz val="9"/>
      <name val="Arial"/>
      <family val="2"/>
      <charset val="238"/>
    </font>
    <font>
      <sz val="10"/>
      <color theme="0" tint="-0.34998626667073579"/>
      <name val="Arial"/>
      <family val="2"/>
      <charset val="238"/>
    </font>
    <font>
      <sz val="9"/>
      <color theme="1"/>
      <name val="Calibri"/>
      <family val="2"/>
      <charset val="238"/>
      <scheme val="minor"/>
    </font>
    <font>
      <b/>
      <sz val="8"/>
      <color rgb="FFC00000"/>
      <name val="Calibri"/>
      <family val="2"/>
      <charset val="238"/>
      <scheme val="minor"/>
    </font>
    <font>
      <b/>
      <sz val="18"/>
      <color rgb="FF0070C0"/>
      <name val="Arial"/>
      <family val="2"/>
      <charset val="238"/>
    </font>
    <font>
      <sz val="12"/>
      <name val="Calibri"/>
      <family val="2"/>
      <charset val="238"/>
      <scheme val="minor"/>
    </font>
    <font>
      <sz val="9"/>
      <color theme="0"/>
      <name val="Arial"/>
      <family val="2"/>
      <charset val="238"/>
    </font>
    <font>
      <b/>
      <sz val="8"/>
      <color rgb="FFC00000"/>
      <name val="Arial"/>
      <family val="2"/>
      <charset val="238"/>
    </font>
    <font>
      <sz val="10"/>
      <color theme="0" tint="-0.14999847407452621"/>
      <name val="Calibri"/>
      <family val="2"/>
      <charset val="238"/>
      <scheme val="minor"/>
    </font>
    <font>
      <b/>
      <u/>
      <sz val="10"/>
      <color rgb="FF7030A0"/>
      <name val="Arial Narrow"/>
      <family val="2"/>
      <charset val="238"/>
    </font>
    <font>
      <sz val="10"/>
      <color rgb="FF7030A0"/>
      <name val="Cambria"/>
      <family val="1"/>
      <charset val="238"/>
    </font>
    <font>
      <sz val="9"/>
      <color rgb="FF7030A0"/>
      <name val="Arial"/>
      <family val="2"/>
      <charset val="238"/>
    </font>
    <font>
      <b/>
      <sz val="10"/>
      <color rgb="FF7030A0"/>
      <name val="Cambria"/>
      <family val="1"/>
      <charset val="238"/>
    </font>
    <font>
      <sz val="10"/>
      <color rgb="FFC00000"/>
      <name val="Cambria"/>
      <family val="1"/>
      <charset val="238"/>
    </font>
    <font>
      <sz val="9"/>
      <color rgb="FFC00000"/>
      <name val="Arial"/>
      <family val="2"/>
      <charset val="238"/>
    </font>
    <font>
      <b/>
      <sz val="10"/>
      <color rgb="FFC00000"/>
      <name val="Cambria"/>
      <family val="1"/>
      <charset val="238"/>
    </font>
    <font>
      <sz val="16"/>
      <color theme="1"/>
      <name val="Calibri"/>
      <family val="2"/>
      <charset val="238"/>
      <scheme val="minor"/>
    </font>
    <font>
      <sz val="16"/>
      <color rgb="FF0033CC"/>
      <name val="Tahoma"/>
      <family val="2"/>
      <charset val="238"/>
    </font>
    <font>
      <sz val="12"/>
      <color theme="1"/>
      <name val="Calibri"/>
      <family val="2"/>
      <charset val="238"/>
      <scheme val="minor"/>
    </font>
    <font>
      <sz val="12"/>
      <color theme="1"/>
      <name val="Tahoma"/>
      <family val="2"/>
      <charset val="238"/>
    </font>
    <font>
      <b/>
      <sz val="12"/>
      <color rgb="FF0000CC"/>
      <name val="Calibri"/>
      <family val="2"/>
      <charset val="238"/>
      <scheme val="minor"/>
    </font>
    <font>
      <b/>
      <sz val="14"/>
      <color theme="1"/>
      <name val="Calibri"/>
      <family val="2"/>
      <charset val="238"/>
      <scheme val="minor"/>
    </font>
    <font>
      <b/>
      <sz val="12"/>
      <color rgb="FF000066"/>
      <name val="Tahoma"/>
      <family val="2"/>
      <charset val="238"/>
    </font>
    <font>
      <b/>
      <sz val="12"/>
      <color rgb="FFFF0000"/>
      <name val="Tahoma"/>
      <family val="2"/>
      <charset val="238"/>
    </font>
    <font>
      <b/>
      <sz val="12"/>
      <color theme="1"/>
      <name val="Calibri"/>
      <family val="2"/>
      <charset val="238"/>
      <scheme val="minor"/>
    </font>
    <font>
      <sz val="16"/>
      <color theme="1"/>
      <name val="Tahoma"/>
      <family val="2"/>
      <charset val="238"/>
    </font>
    <font>
      <b/>
      <sz val="16"/>
      <color theme="1"/>
      <name val="Tahoma"/>
      <family val="2"/>
      <charset val="238"/>
    </font>
    <font>
      <b/>
      <sz val="12"/>
      <color rgb="FF0033CC"/>
      <name val="Tahoma"/>
      <family val="2"/>
      <charset val="238"/>
    </font>
    <font>
      <b/>
      <sz val="12"/>
      <color rgb="FFFF0066"/>
      <name val="Tahoma"/>
      <family val="2"/>
      <charset val="238"/>
    </font>
    <font>
      <u/>
      <sz val="16"/>
      <color theme="10"/>
      <name val="Calibri"/>
      <family val="2"/>
      <charset val="238"/>
      <scheme val="minor"/>
    </font>
    <font>
      <sz val="16"/>
      <name val="Calibri"/>
      <family val="2"/>
      <charset val="238"/>
      <scheme val="minor"/>
    </font>
    <font>
      <b/>
      <sz val="14"/>
      <name val="Calibri"/>
      <family val="2"/>
      <charset val="238"/>
      <scheme val="minor"/>
    </font>
    <font>
      <b/>
      <sz val="10"/>
      <color rgb="FF339933"/>
      <name val="Calibri"/>
      <family val="2"/>
      <charset val="238"/>
      <scheme val="minor"/>
    </font>
    <font>
      <sz val="10"/>
      <color rgb="FF339933"/>
      <name val="Calibri"/>
      <family val="2"/>
      <charset val="238"/>
      <scheme val="minor"/>
    </font>
    <font>
      <sz val="9"/>
      <color rgb="FF339933"/>
      <name val="Calibri"/>
      <family val="2"/>
      <charset val="238"/>
      <scheme val="minor"/>
    </font>
    <font>
      <u/>
      <sz val="10"/>
      <color indexed="10"/>
      <name val="Arial Narrow"/>
      <family val="2"/>
      <charset val="238"/>
    </font>
    <font>
      <sz val="9"/>
      <color indexed="81"/>
      <name val="Tahoma"/>
      <family val="2"/>
      <charset val="238"/>
    </font>
    <font>
      <b/>
      <sz val="9"/>
      <color indexed="81"/>
      <name val="Tahoma"/>
      <family val="2"/>
      <charset val="238"/>
    </font>
    <font>
      <sz val="10"/>
      <color rgb="FF0070C0"/>
      <name val="Calibri"/>
      <family val="2"/>
      <charset val="238"/>
      <scheme val="minor"/>
    </font>
    <font>
      <sz val="8"/>
      <color rgb="FF0070C0"/>
      <name val="Calibri"/>
      <family val="2"/>
      <charset val="238"/>
      <scheme val="minor"/>
    </font>
    <font>
      <b/>
      <sz val="9"/>
      <color rgb="FF0070C0"/>
      <name val="Calibri"/>
      <family val="2"/>
      <charset val="238"/>
      <scheme val="minor"/>
    </font>
    <font>
      <b/>
      <sz val="12"/>
      <color rgb="FF0070C0"/>
      <name val="Calibri"/>
      <family val="2"/>
      <charset val="238"/>
      <scheme val="minor"/>
    </font>
    <font>
      <b/>
      <sz val="10.5"/>
      <color rgb="FF0070C0"/>
      <name val="Calibri"/>
      <family val="2"/>
      <charset val="238"/>
      <scheme val="minor"/>
    </font>
    <font>
      <b/>
      <sz val="10.5"/>
      <color theme="3" tint="-0.249977111117893"/>
      <name val="Calibri"/>
      <family val="2"/>
      <charset val="238"/>
      <scheme val="minor"/>
    </font>
    <font>
      <b/>
      <sz val="8"/>
      <color rgb="FFFFFFFF"/>
      <name val="Calibri"/>
      <family val="2"/>
      <charset val="238"/>
    </font>
    <font>
      <sz val="8"/>
      <color rgb="FF002060"/>
      <name val="Calibri"/>
      <family val="2"/>
      <charset val="238"/>
    </font>
    <font>
      <b/>
      <sz val="18"/>
      <color rgb="FF0033CC"/>
      <name val="Tahoma"/>
      <family val="2"/>
      <charset val="238"/>
    </font>
    <font>
      <b/>
      <i/>
      <sz val="14"/>
      <color theme="3" tint="-0.249977111117893"/>
      <name val="Calibri"/>
      <family val="2"/>
      <charset val="238"/>
      <scheme val="minor"/>
    </font>
    <font>
      <sz val="10.5"/>
      <color theme="3" tint="-0.249977111117893"/>
      <name val="Calibri"/>
      <family val="2"/>
      <charset val="238"/>
      <scheme val="minor"/>
    </font>
    <font>
      <b/>
      <sz val="12"/>
      <color theme="3" tint="-0.249977111117893"/>
      <name val="Calibri"/>
      <family val="2"/>
      <charset val="238"/>
      <scheme val="minor"/>
    </font>
    <font>
      <sz val="10"/>
      <color theme="3" tint="-0.249977111117893"/>
      <name val="Calibri"/>
      <family val="2"/>
      <charset val="238"/>
      <scheme val="minor"/>
    </font>
    <font>
      <sz val="11"/>
      <color theme="3" tint="-0.249977111117893"/>
      <name val="Calibri"/>
      <family val="2"/>
      <charset val="238"/>
      <scheme val="minor"/>
    </font>
    <font>
      <b/>
      <sz val="10"/>
      <color theme="3" tint="-0.249977111117893"/>
      <name val="Calibri"/>
      <family val="2"/>
      <charset val="238"/>
      <scheme val="minor"/>
    </font>
    <font>
      <sz val="10.5"/>
      <color theme="9" tint="0.59999389629810485"/>
      <name val="Calibri"/>
      <family val="2"/>
      <charset val="238"/>
      <scheme val="minor"/>
    </font>
    <font>
      <sz val="10"/>
      <color theme="9" tint="0.59999389629810485"/>
      <name val="Calibri"/>
      <family val="2"/>
      <charset val="238"/>
      <scheme val="minor"/>
    </font>
    <font>
      <sz val="10"/>
      <color theme="9" tint="-0.249977111117893"/>
      <name val="Calibri"/>
      <family val="2"/>
      <charset val="238"/>
      <scheme val="minor"/>
    </font>
    <font>
      <b/>
      <sz val="9"/>
      <color theme="9" tint="-0.249977111117893"/>
      <name val="Calibri"/>
      <family val="2"/>
      <charset val="238"/>
      <scheme val="minor"/>
    </font>
    <font>
      <sz val="8"/>
      <color theme="9" tint="-0.249977111117893"/>
      <name val="Calibri"/>
      <family val="2"/>
      <charset val="238"/>
      <scheme val="minor"/>
    </font>
    <font>
      <b/>
      <sz val="8"/>
      <color theme="9" tint="-0.249977111117893"/>
      <name val="Calibri"/>
      <family val="2"/>
      <charset val="238"/>
      <scheme val="minor"/>
    </font>
    <font>
      <sz val="12"/>
      <color theme="9" tint="-0.249977111117893"/>
      <name val="Calibri"/>
      <family val="2"/>
      <charset val="238"/>
      <scheme val="minor"/>
    </font>
    <font>
      <b/>
      <sz val="10.5"/>
      <color theme="9" tint="-0.249977111117893"/>
      <name val="Calibri"/>
      <family val="2"/>
      <charset val="238"/>
      <scheme val="minor"/>
    </font>
    <font>
      <sz val="10"/>
      <color rgb="FFFF6600"/>
      <name val="Calibri"/>
      <family val="2"/>
      <charset val="238"/>
      <scheme val="minor"/>
    </font>
    <font>
      <sz val="9"/>
      <color theme="3" tint="-0.249977111117893"/>
      <name val="Calibri"/>
      <family val="2"/>
      <charset val="238"/>
      <scheme val="minor"/>
    </font>
    <font>
      <b/>
      <sz val="9"/>
      <color theme="3" tint="-0.249977111117893"/>
      <name val="Calibri"/>
      <family val="2"/>
      <charset val="238"/>
      <scheme val="minor"/>
    </font>
    <font>
      <sz val="11"/>
      <color theme="9" tint="0.59999389629810485"/>
      <name val="Calibri"/>
      <family val="2"/>
      <charset val="238"/>
      <scheme val="minor"/>
    </font>
    <font>
      <b/>
      <sz val="10.5"/>
      <color theme="9" tint="0.59999389629810485"/>
      <name val="Calibri"/>
      <family val="2"/>
      <charset val="238"/>
      <scheme val="minor"/>
    </font>
    <font>
      <i/>
      <sz val="10.5"/>
      <color theme="9" tint="0.59999389629810485"/>
      <name val="Calibri"/>
      <family val="2"/>
      <charset val="238"/>
      <scheme val="minor"/>
    </font>
    <font>
      <b/>
      <sz val="10"/>
      <color theme="3"/>
      <name val="Calibri"/>
      <family val="2"/>
      <charset val="238"/>
      <scheme val="minor"/>
    </font>
    <font>
      <sz val="10"/>
      <color theme="3" tint="-0.249977111117893"/>
      <name val="Arial"/>
      <family val="2"/>
      <charset val="238"/>
    </font>
    <font>
      <sz val="10"/>
      <color theme="4" tint="0.79998168889431442"/>
      <name val="Arial"/>
      <family val="2"/>
      <charset val="238"/>
    </font>
    <font>
      <sz val="10"/>
      <color theme="9" tint="-0.499984740745262"/>
      <name val="Arial"/>
      <family val="2"/>
      <charset val="238"/>
    </font>
    <font>
      <sz val="10"/>
      <color theme="3"/>
      <name val="Calibri"/>
      <family val="2"/>
      <charset val="238"/>
    </font>
    <font>
      <b/>
      <sz val="10"/>
      <color theme="3" tint="-0.249977111117893"/>
      <name val="Arial Narrow"/>
      <family val="2"/>
      <charset val="238"/>
    </font>
    <font>
      <b/>
      <sz val="11"/>
      <color theme="3" tint="-0.249977111117893"/>
      <name val="Calibri"/>
      <family val="2"/>
      <charset val="238"/>
      <scheme val="minor"/>
    </font>
    <font>
      <sz val="10"/>
      <color theme="0"/>
      <name val="Arial Narrow"/>
      <family val="2"/>
      <charset val="238"/>
    </font>
    <font>
      <sz val="10"/>
      <color theme="0"/>
      <name val="Calibri"/>
      <family val="2"/>
      <charset val="238"/>
      <scheme val="minor"/>
    </font>
    <font>
      <sz val="10"/>
      <color indexed="52"/>
      <name val="Calibri"/>
      <family val="2"/>
      <charset val="238"/>
      <scheme val="minor"/>
    </font>
    <font>
      <sz val="10"/>
      <color indexed="8"/>
      <name val="Calibri"/>
      <family val="2"/>
      <charset val="238"/>
      <scheme val="minor"/>
    </font>
    <font>
      <b/>
      <i/>
      <sz val="14"/>
      <color rgb="FF0033CC"/>
      <name val="Calibri"/>
      <family val="2"/>
      <charset val="238"/>
      <scheme val="minor"/>
    </font>
    <font>
      <b/>
      <i/>
      <sz val="11"/>
      <color theme="3" tint="-0.249977111117893"/>
      <name val="Arial Narrow"/>
      <family val="2"/>
      <charset val="238"/>
    </font>
    <font>
      <b/>
      <sz val="18"/>
      <color theme="0"/>
      <name val="Calibri"/>
      <family val="2"/>
      <charset val="238"/>
      <scheme val="minor"/>
    </font>
    <font>
      <b/>
      <i/>
      <sz val="16"/>
      <color rgb="FF0033CC"/>
      <name val="Calibri"/>
      <family val="2"/>
      <charset val="238"/>
      <scheme val="minor"/>
    </font>
    <font>
      <sz val="14"/>
      <color theme="0"/>
      <name val="Calibri"/>
      <family val="2"/>
      <charset val="238"/>
      <scheme val="minor"/>
    </font>
    <font>
      <sz val="14"/>
      <color rgb="FF0033CC"/>
      <name val="Calibri"/>
      <family val="2"/>
      <charset val="238"/>
      <scheme val="minor"/>
    </font>
    <font>
      <b/>
      <sz val="11"/>
      <color theme="1"/>
      <name val="Calibri"/>
      <family val="2"/>
      <charset val="238"/>
      <scheme val="minor"/>
    </font>
    <font>
      <b/>
      <sz val="10"/>
      <color rgb="FF000000"/>
      <name val="Times New Roman"/>
      <family val="1"/>
      <charset val="238"/>
    </font>
    <font>
      <sz val="10"/>
      <color rgb="FF000000"/>
      <name val="Times New Roman"/>
      <family val="1"/>
      <charset val="238"/>
    </font>
    <font>
      <sz val="10"/>
      <color rgb="FFFF0000"/>
      <name val="Times New Roman"/>
      <family val="1"/>
      <charset val="238"/>
    </font>
    <font>
      <b/>
      <sz val="10"/>
      <color theme="0" tint="-4.9989318521683403E-2"/>
      <name val="Arial"/>
      <family val="2"/>
      <charset val="238"/>
    </font>
    <font>
      <sz val="10"/>
      <color rgb="FFFF6600"/>
      <name val="Arial"/>
      <family val="2"/>
      <charset val="238"/>
    </font>
    <font>
      <b/>
      <sz val="10"/>
      <color theme="0" tint="-4.9989318521683403E-2"/>
      <name val="Times New Roman"/>
      <family val="1"/>
      <charset val="238"/>
    </font>
    <font>
      <sz val="10"/>
      <color theme="0" tint="-4.9989318521683403E-2"/>
      <name val="Times New Roman"/>
      <family val="1"/>
      <charset val="238"/>
    </font>
    <font>
      <sz val="8"/>
      <color rgb="FF000000"/>
      <name val="Segoe UI"/>
      <family val="2"/>
      <charset val="238"/>
    </font>
    <font>
      <b/>
      <sz val="10"/>
      <color theme="9" tint="0.59999389629810485"/>
      <name val="Calibri"/>
      <family val="2"/>
      <charset val="238"/>
      <scheme val="minor"/>
    </font>
    <font>
      <sz val="12"/>
      <color theme="9" tint="0.59999389629810485"/>
      <name val="Calibri"/>
      <family val="2"/>
      <charset val="238"/>
      <scheme val="minor"/>
    </font>
    <font>
      <b/>
      <sz val="11"/>
      <color theme="3"/>
      <name val="Calibri"/>
      <family val="2"/>
      <charset val="238"/>
      <scheme val="minor"/>
    </font>
    <font>
      <sz val="10"/>
      <name val="ING Me Narrow"/>
      <charset val="238"/>
    </font>
    <font>
      <sz val="12"/>
      <color rgb="FFFF6600"/>
      <name val="ING Me"/>
      <charset val="238"/>
    </font>
    <font>
      <b/>
      <sz val="10"/>
      <color theme="1"/>
      <name val="ING Me Narrow"/>
      <charset val="238"/>
    </font>
    <font>
      <b/>
      <sz val="10"/>
      <name val="ING Me Narrow"/>
      <charset val="238"/>
    </font>
    <font>
      <sz val="9"/>
      <name val="ING Me Narrow"/>
      <charset val="238"/>
    </font>
    <font>
      <sz val="10"/>
      <color theme="1"/>
      <name val="ING Me Narrow"/>
      <charset val="238"/>
    </font>
    <font>
      <sz val="10"/>
      <color theme="1"/>
      <name val="ING Me"/>
      <charset val="238"/>
    </font>
    <font>
      <b/>
      <sz val="10"/>
      <color rgb="FFFF6600"/>
      <name val="ING Me"/>
      <charset val="238"/>
    </font>
    <font>
      <sz val="10"/>
      <color theme="0"/>
      <name val="ING Me Narrow"/>
      <charset val="238"/>
    </font>
    <font>
      <sz val="14"/>
      <color rgb="FFFF6600"/>
      <name val="ING Me"/>
      <charset val="238"/>
    </font>
    <font>
      <b/>
      <sz val="10"/>
      <color rgb="FFFF6600"/>
      <name val="ING Me Narrow"/>
      <charset val="238"/>
    </font>
    <font>
      <sz val="10"/>
      <name val="ING Me"/>
      <charset val="238"/>
    </font>
    <font>
      <sz val="11"/>
      <name val="ING Me"/>
      <charset val="238"/>
    </font>
    <font>
      <sz val="9"/>
      <name val="ING Me"/>
      <charset val="238"/>
    </font>
    <font>
      <sz val="9"/>
      <color theme="0" tint="-0.499984740745262"/>
      <name val="ING Me"/>
      <charset val="238"/>
    </font>
    <font>
      <b/>
      <sz val="11"/>
      <name val="ING Me"/>
      <charset val="238"/>
    </font>
    <font>
      <b/>
      <sz val="12"/>
      <name val="ING Me"/>
      <charset val="238"/>
    </font>
    <font>
      <sz val="12"/>
      <name val="ING Me"/>
      <charset val="238"/>
    </font>
    <font>
      <b/>
      <sz val="12"/>
      <color rgb="FFFF6600"/>
      <name val="ING Me"/>
      <charset val="238"/>
    </font>
    <font>
      <b/>
      <sz val="14"/>
      <color rgb="FFFF6600"/>
      <name val="ING Me"/>
      <charset val="238"/>
    </font>
    <font>
      <sz val="10"/>
      <color rgb="FF000000"/>
      <name val="Segoe UI"/>
      <family val="2"/>
      <charset val="238"/>
    </font>
    <font>
      <b/>
      <sz val="12"/>
      <color theme="1" tint="0.34998626667073579"/>
      <name val="Tahoma"/>
      <family val="2"/>
      <charset val="238"/>
    </font>
    <font>
      <sz val="10"/>
      <name val="Times New Roman"/>
      <family val="1"/>
      <charset val="238"/>
    </font>
    <font>
      <sz val="9"/>
      <color rgb="FFFF6600"/>
      <name val="ING Me"/>
      <charset val="238"/>
    </font>
    <font>
      <b/>
      <i/>
      <sz val="9"/>
      <color indexed="12"/>
      <name val="Calibri"/>
      <family val="2"/>
      <charset val="238"/>
      <scheme val="minor"/>
    </font>
  </fonts>
  <fills count="86">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indexed="11"/>
        <bgColor indexed="64"/>
      </patternFill>
    </fill>
    <fill>
      <patternFill patternType="solid">
        <fgColor indexed="50"/>
        <bgColor indexed="64"/>
      </patternFill>
    </fill>
    <fill>
      <patternFill patternType="solid">
        <fgColor indexed="43"/>
        <bgColor indexed="43"/>
      </patternFill>
    </fill>
    <fill>
      <patternFill patternType="solid">
        <fgColor indexed="47"/>
        <bgColor indexed="64"/>
      </patternFill>
    </fill>
    <fill>
      <patternFill patternType="solid">
        <fgColor indexed="26"/>
        <bgColor indexed="64"/>
      </patternFill>
    </fill>
    <fill>
      <patternFill patternType="solid">
        <fgColor indexed="26"/>
        <bgColor indexed="43"/>
      </patternFill>
    </fill>
    <fill>
      <patternFill patternType="solid">
        <fgColor indexed="40"/>
        <bgColor indexed="64"/>
      </patternFill>
    </fill>
    <fill>
      <patternFill patternType="solid">
        <fgColor indexed="10"/>
        <bgColor indexed="64"/>
      </patternFill>
    </fill>
    <fill>
      <patternFill patternType="solid">
        <fgColor indexed="18"/>
        <bgColor indexed="64"/>
      </patternFill>
    </fill>
    <fill>
      <patternFill patternType="solid">
        <fgColor indexed="51"/>
        <bgColor indexed="64"/>
      </patternFill>
    </fill>
    <fill>
      <patternFill patternType="solid">
        <fgColor indexed="22"/>
        <bgColor indexed="64"/>
      </patternFill>
    </fill>
    <fill>
      <patternFill patternType="solid">
        <fgColor indexed="42"/>
        <bgColor indexed="43"/>
      </patternFill>
    </fill>
    <fill>
      <patternFill patternType="solid">
        <fgColor indexed="53"/>
        <bgColor indexed="64"/>
      </patternFill>
    </fill>
    <fill>
      <patternFill patternType="solid">
        <fgColor indexed="14"/>
        <bgColor indexed="64"/>
      </patternFill>
    </fill>
    <fill>
      <patternFill patternType="solid">
        <fgColor indexed="45"/>
        <bgColor indexed="64"/>
      </patternFill>
    </fill>
    <fill>
      <patternFill patternType="solid">
        <fgColor indexed="31"/>
        <bgColor indexed="64"/>
      </patternFill>
    </fill>
    <fill>
      <patternFill patternType="solid">
        <fgColor indexed="13"/>
        <bgColor indexed="64"/>
      </patternFill>
    </fill>
    <fill>
      <patternFill patternType="solid">
        <fgColor indexed="52"/>
        <bgColor indexed="64"/>
      </patternFill>
    </fill>
    <fill>
      <patternFill patternType="solid">
        <fgColor indexed="44"/>
        <bgColor indexed="64"/>
      </patternFill>
    </fill>
    <fill>
      <patternFill patternType="solid">
        <fgColor indexed="62"/>
        <bgColor indexed="64"/>
      </patternFill>
    </fill>
    <fill>
      <patternFill patternType="solid">
        <fgColor indexed="46"/>
        <bgColor indexed="64"/>
      </patternFill>
    </fill>
    <fill>
      <patternFill patternType="solid">
        <fgColor indexed="41"/>
        <bgColor indexed="64"/>
      </patternFill>
    </fill>
    <fill>
      <patternFill patternType="solid">
        <fgColor indexed="53"/>
        <bgColor indexed="43"/>
      </patternFill>
    </fill>
    <fill>
      <patternFill patternType="solid">
        <fgColor indexed="55"/>
        <bgColor indexed="64"/>
      </patternFill>
    </fill>
    <fill>
      <patternFill patternType="solid">
        <fgColor indexed="18"/>
        <bgColor indexed="18"/>
      </patternFill>
    </fill>
    <fill>
      <patternFill patternType="solid">
        <fgColor theme="0" tint="-0.149998474074526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0"/>
        <bgColor indexed="64"/>
      </patternFill>
    </fill>
    <fill>
      <patternFill patternType="solid">
        <fgColor theme="6" tint="-0.249977111117893"/>
        <bgColor indexed="64"/>
      </patternFill>
    </fill>
    <fill>
      <patternFill patternType="solid">
        <fgColor theme="6" tint="0.39994506668294322"/>
        <bgColor indexed="64"/>
      </patternFill>
    </fill>
    <fill>
      <patternFill patternType="solid">
        <fgColor theme="6" tint="0.59999389629810485"/>
        <bgColor indexed="64"/>
      </patternFill>
    </fill>
    <fill>
      <patternFill patternType="solid">
        <fgColor theme="4" tint="-0.249977111117893"/>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0" tint="-4.9989318521683403E-2"/>
        <bgColor indexed="64"/>
      </patternFill>
    </fill>
    <fill>
      <patternFill patternType="solid">
        <fgColor theme="8"/>
        <bgColor indexed="64"/>
      </patternFill>
    </fill>
    <fill>
      <patternFill patternType="solid">
        <fgColor theme="1"/>
        <bgColor indexed="64"/>
      </patternFill>
    </fill>
    <fill>
      <patternFill patternType="solid">
        <fgColor theme="0" tint="-0.249977111117893"/>
        <bgColor indexed="64"/>
      </patternFill>
    </fill>
    <fill>
      <patternFill patternType="solid">
        <fgColor theme="0" tint="-0.34998626667073579"/>
        <bgColor theme="0" tint="-0.34998626667073579"/>
      </patternFill>
    </fill>
    <fill>
      <patternFill patternType="solid">
        <fgColor theme="1"/>
        <bgColor theme="1"/>
      </patternFill>
    </fill>
    <fill>
      <patternFill patternType="solid">
        <fgColor theme="0" tint="-0.14999847407452621"/>
        <bgColor theme="0" tint="-0.14999847407452621"/>
      </patternFill>
    </fill>
    <fill>
      <patternFill patternType="solid">
        <fgColor rgb="FF92D050"/>
        <bgColor indexed="64"/>
      </patternFill>
    </fill>
    <fill>
      <patternFill patternType="solid">
        <fgColor rgb="FF00B050"/>
        <bgColor indexed="64"/>
      </patternFill>
    </fill>
    <fill>
      <patternFill patternType="solid">
        <fgColor theme="4" tint="0.59999389629810485"/>
        <bgColor indexed="64"/>
      </patternFill>
    </fill>
    <fill>
      <patternFill patternType="solid">
        <fgColor rgb="FF0070C0"/>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4"/>
        <bgColor theme="4"/>
      </patternFill>
    </fill>
    <fill>
      <patternFill patternType="solid">
        <fgColor rgb="FFF8F8F8"/>
        <bgColor indexed="64"/>
      </patternFill>
    </fill>
    <fill>
      <patternFill patternType="solid">
        <fgColor theme="1" tint="4.9989318521683403E-2"/>
        <bgColor indexed="64"/>
      </patternFill>
    </fill>
    <fill>
      <patternFill patternType="solid">
        <fgColor theme="7" tint="-0.499984740745262"/>
        <bgColor indexed="64"/>
      </patternFill>
    </fill>
    <fill>
      <patternFill patternType="solid">
        <fgColor theme="5" tint="0.79998168889431442"/>
        <bgColor indexed="64"/>
      </patternFill>
    </fill>
    <fill>
      <patternFill patternType="solid">
        <fgColor theme="0" tint="-4.9989318521683403E-2"/>
        <bgColor theme="0" tint="-0.34998626667073579"/>
      </patternFill>
    </fill>
    <fill>
      <patternFill patternType="solid">
        <fgColor rgb="FF00B0F0"/>
        <bgColor indexed="64"/>
      </patternFill>
    </fill>
    <fill>
      <patternFill patternType="solid">
        <fgColor rgb="FFFFC000"/>
        <bgColor indexed="64"/>
      </patternFill>
    </fill>
    <fill>
      <patternFill patternType="solid">
        <fgColor rgb="FF99CC00"/>
        <bgColor indexed="64"/>
      </patternFill>
    </fill>
    <fill>
      <patternFill patternType="solid">
        <fgColor rgb="FFFF0000"/>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2"/>
        <bgColor indexed="64"/>
      </patternFill>
    </fill>
    <fill>
      <patternFill patternType="solid">
        <fgColor rgb="FFCCFFFF"/>
        <bgColor indexed="64"/>
      </patternFill>
    </fill>
    <fill>
      <patternFill patternType="solid">
        <fgColor rgb="FFFFCCFF"/>
        <bgColor indexed="64"/>
      </patternFill>
    </fill>
    <fill>
      <patternFill patternType="solid">
        <fgColor rgb="FFCCECFF"/>
        <bgColor indexed="64"/>
      </patternFill>
    </fill>
    <fill>
      <patternFill patternType="solid">
        <fgColor rgb="FFCCFF99"/>
        <bgColor indexed="64"/>
      </patternFill>
    </fill>
    <fill>
      <patternFill patternType="solid">
        <fgColor indexed="9"/>
        <bgColor indexed="64"/>
      </patternFill>
    </fill>
    <fill>
      <patternFill patternType="solid">
        <fgColor rgb="FFA7F7FB"/>
        <bgColor indexed="64"/>
      </patternFill>
    </fill>
    <fill>
      <patternFill patternType="solid">
        <fgColor rgb="FF0070C0"/>
        <bgColor indexed="9"/>
      </patternFill>
    </fill>
    <fill>
      <patternFill patternType="solid">
        <fgColor theme="9" tint="-0.249977111117893"/>
        <bgColor indexed="64"/>
      </patternFill>
    </fill>
    <fill>
      <patternFill patternType="solid">
        <fgColor theme="9" tint="-0.249977111117893"/>
        <bgColor indexed="18"/>
      </patternFill>
    </fill>
    <fill>
      <patternFill patternType="solid">
        <fgColor theme="9" tint="-0.249977111117893"/>
        <bgColor indexed="9"/>
      </patternFill>
    </fill>
    <fill>
      <patternFill patternType="solid">
        <fgColor theme="3"/>
        <bgColor indexed="64"/>
      </patternFill>
    </fill>
    <fill>
      <patternFill patternType="solid">
        <fgColor rgb="FFFF6600"/>
        <bgColor indexed="64"/>
      </patternFill>
    </fill>
    <fill>
      <patternFill patternType="solid">
        <fgColor rgb="FF66FFFF"/>
        <bgColor indexed="64"/>
      </patternFill>
    </fill>
  </fills>
  <borders count="16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12"/>
      </left>
      <right style="thin">
        <color indexed="12"/>
      </right>
      <top style="thin">
        <color indexed="12"/>
      </top>
      <bottom style="thin">
        <color indexed="12"/>
      </bottom>
      <diagonal/>
    </border>
    <border>
      <left style="thick">
        <color indexed="10"/>
      </left>
      <right style="thick">
        <color indexed="10"/>
      </right>
      <top style="thick">
        <color indexed="10"/>
      </top>
      <bottom style="thick">
        <color indexed="10"/>
      </bottom>
      <diagonal/>
    </border>
    <border>
      <left/>
      <right style="thin">
        <color indexed="64"/>
      </right>
      <top style="thin">
        <color indexed="64"/>
      </top>
      <bottom/>
      <diagonal/>
    </border>
    <border>
      <left/>
      <right/>
      <top style="thin">
        <color indexed="64"/>
      </top>
      <bottom style="thin">
        <color indexed="64"/>
      </bottom>
      <diagonal/>
    </border>
    <border>
      <left/>
      <right style="double">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right/>
      <top/>
      <bottom style="thin">
        <color indexed="64"/>
      </bottom>
      <diagonal/>
    </border>
    <border>
      <left/>
      <right/>
      <top style="thin">
        <color indexed="64"/>
      </top>
      <bottom/>
      <diagonal/>
    </border>
    <border>
      <left style="medium">
        <color rgb="FFFF0000"/>
      </left>
      <right style="medium">
        <color rgb="FFFF0000"/>
      </right>
      <top style="medium">
        <color rgb="FFFF0000"/>
      </top>
      <bottom style="medium">
        <color rgb="FFFF0000"/>
      </bottom>
      <diagonal/>
    </border>
    <border>
      <left/>
      <right/>
      <top style="thick">
        <color theme="0" tint="-4.9989318521683403E-2"/>
      </top>
      <bottom style="thick">
        <color indexed="64"/>
      </bottom>
      <diagonal/>
    </border>
    <border>
      <left/>
      <right style="thick">
        <color indexed="64"/>
      </right>
      <top style="thick">
        <color theme="0" tint="-4.9989318521683403E-2"/>
      </top>
      <bottom style="thick">
        <color indexed="64"/>
      </bottom>
      <diagonal/>
    </border>
    <border>
      <left style="thin">
        <color theme="0"/>
      </left>
      <right/>
      <top style="thin">
        <color theme="0"/>
      </top>
      <bottom/>
      <diagonal/>
    </border>
    <border>
      <left style="thin">
        <color theme="0"/>
      </left>
      <right/>
      <top/>
      <bottom/>
      <diagonal/>
    </border>
    <border>
      <left/>
      <right/>
      <top style="thick">
        <color theme="0"/>
      </top>
      <bottom/>
      <diagonal/>
    </border>
    <border>
      <left style="thin">
        <color theme="0"/>
      </left>
      <right/>
      <top style="thick">
        <color theme="0"/>
      </top>
      <bottom/>
      <diagonal/>
    </border>
    <border>
      <left/>
      <right/>
      <top style="thin">
        <color theme="0"/>
      </top>
      <bottom/>
      <diagonal/>
    </border>
    <border>
      <left style="thin">
        <color theme="4"/>
      </left>
      <right style="thin">
        <color theme="4"/>
      </right>
      <top style="thin">
        <color theme="4"/>
      </top>
      <bottom style="thin">
        <color theme="4"/>
      </bottom>
      <diagonal/>
    </border>
    <border>
      <left style="double">
        <color rgb="FF0000FF"/>
      </left>
      <right style="double">
        <color rgb="FF0000FF"/>
      </right>
      <top style="double">
        <color rgb="FF0000FF"/>
      </top>
      <bottom style="double">
        <color rgb="FF0000FF"/>
      </bottom>
      <diagonal/>
    </border>
    <border>
      <left/>
      <right style="thin">
        <color theme="0"/>
      </right>
      <top/>
      <bottom style="thick">
        <color theme="0"/>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rgb="FF0070C0"/>
      </left>
      <right style="thin">
        <color rgb="FF0070C0"/>
      </right>
      <top style="thin">
        <color rgb="FF0070C0"/>
      </top>
      <bottom style="thin">
        <color rgb="FF0070C0"/>
      </bottom>
      <diagonal/>
    </border>
    <border>
      <left style="double">
        <color theme="0"/>
      </left>
      <right/>
      <top style="double">
        <color theme="0"/>
      </top>
      <bottom style="double">
        <color theme="0"/>
      </bottom>
      <diagonal/>
    </border>
    <border>
      <left/>
      <right/>
      <top style="double">
        <color theme="0"/>
      </top>
      <bottom style="double">
        <color theme="0"/>
      </bottom>
      <diagonal/>
    </border>
    <border>
      <left/>
      <right style="double">
        <color theme="0"/>
      </right>
      <top style="double">
        <color theme="0"/>
      </top>
      <bottom style="double">
        <color theme="0"/>
      </bottom>
      <diagonal/>
    </border>
    <border>
      <left style="double">
        <color theme="0"/>
      </left>
      <right style="double">
        <color theme="0"/>
      </right>
      <top/>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right/>
      <top/>
      <bottom style="thin">
        <color theme="4"/>
      </bottom>
      <diagonal/>
    </border>
    <border>
      <left style="thin">
        <color theme="4"/>
      </left>
      <right style="thin">
        <color theme="4"/>
      </right>
      <top style="thin">
        <color theme="4"/>
      </top>
      <bottom/>
      <diagonal/>
    </border>
    <border>
      <left style="thin">
        <color theme="0"/>
      </left>
      <right style="thin">
        <color theme="0"/>
      </right>
      <top style="thin">
        <color theme="0"/>
      </top>
      <bottom style="thin">
        <color theme="0"/>
      </bottom>
      <diagonal/>
    </border>
    <border>
      <left style="thin">
        <color rgb="FF0033CC"/>
      </left>
      <right style="thin">
        <color rgb="FF0033CC"/>
      </right>
      <top style="thin">
        <color rgb="FF0033CC"/>
      </top>
      <bottom style="thin">
        <color rgb="FF0033CC"/>
      </bottom>
      <diagonal/>
    </border>
    <border>
      <left/>
      <right/>
      <top/>
      <bottom style="thin">
        <color theme="0" tint="-4.9989318521683403E-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top/>
      <bottom style="thin">
        <color theme="0" tint="-0.34998626667073579"/>
      </bottom>
      <diagonal/>
    </border>
    <border>
      <left/>
      <right/>
      <top style="thin">
        <color theme="0" tint="-0.34998626667073579"/>
      </top>
      <bottom style="thin">
        <color theme="0" tint="-0.34998626667073579"/>
      </bottom>
      <diagonal/>
    </border>
    <border>
      <left/>
      <right/>
      <top style="thin">
        <color theme="0" tint="-0.24994659260841701"/>
      </top>
      <bottom style="thin">
        <color theme="0" tint="-0.2499465926084170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4"/>
      </right>
      <top/>
      <bottom/>
      <diagonal/>
    </border>
    <border>
      <left/>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double">
        <color rgb="FFFF6600"/>
      </bottom>
      <diagonal/>
    </border>
    <border>
      <left style="double">
        <color rgb="FFFF6600"/>
      </left>
      <right style="double">
        <color rgb="FFFF6600"/>
      </right>
      <top style="double">
        <color rgb="FFFF6600"/>
      </top>
      <bottom style="double">
        <color rgb="FFFF6600"/>
      </bottom>
      <diagonal/>
    </border>
    <border>
      <left style="double">
        <color rgb="FFFF6600"/>
      </left>
      <right/>
      <top style="double">
        <color rgb="FFFF6600"/>
      </top>
      <bottom style="double">
        <color rgb="FFFF6600"/>
      </bottom>
      <diagonal/>
    </border>
    <border>
      <left/>
      <right/>
      <top style="double">
        <color rgb="FFFF6600"/>
      </top>
      <bottom style="double">
        <color rgb="FFFF6600"/>
      </bottom>
      <diagonal/>
    </border>
    <border>
      <left/>
      <right style="double">
        <color rgb="FFFF6600"/>
      </right>
      <top style="double">
        <color rgb="FFFF6600"/>
      </top>
      <bottom style="double">
        <color rgb="FFFF6600"/>
      </bottom>
      <diagonal/>
    </border>
    <border>
      <left style="double">
        <color rgb="FFFF6600"/>
      </left>
      <right/>
      <top/>
      <bottom/>
      <diagonal/>
    </border>
    <border>
      <left/>
      <right/>
      <top style="double">
        <color rgb="FFFF6600"/>
      </top>
      <bottom/>
      <diagonal/>
    </border>
    <border>
      <left/>
      <right style="double">
        <color rgb="FFFF6600"/>
      </right>
      <top/>
      <bottom/>
      <diagonal/>
    </border>
    <border>
      <left style="double">
        <color rgb="FFFF6600"/>
      </left>
      <right style="double">
        <color rgb="FFFF6600"/>
      </right>
      <top/>
      <bottom style="double">
        <color rgb="FFFF6600"/>
      </bottom>
      <diagonal/>
    </border>
    <border>
      <left style="double">
        <color rgb="FFFF6600"/>
      </left>
      <right style="double">
        <color rgb="FFFF6600"/>
      </right>
      <top/>
      <bottom/>
      <diagonal/>
    </border>
    <border>
      <left style="double">
        <color rgb="FFFF6600"/>
      </left>
      <right style="double">
        <color rgb="FFFF6600"/>
      </right>
      <top style="double">
        <color rgb="FFFF6600"/>
      </top>
      <bottom/>
      <diagonal/>
    </border>
    <border>
      <left/>
      <right/>
      <top style="double">
        <color theme="0"/>
      </top>
      <bottom style="double">
        <color rgb="FFFF6600"/>
      </bottom>
      <diagonal/>
    </border>
    <border>
      <left/>
      <right/>
      <top style="thin">
        <color indexed="64"/>
      </top>
      <bottom style="double">
        <color indexed="64"/>
      </bottom>
      <diagonal/>
    </border>
    <border>
      <left style="double">
        <color theme="0"/>
      </left>
      <right style="thin">
        <color indexed="64"/>
      </right>
      <top/>
      <bottom style="double">
        <color theme="0"/>
      </bottom>
      <diagonal/>
    </border>
    <border>
      <left/>
      <right/>
      <top/>
      <bottom style="double">
        <color theme="0"/>
      </bottom>
      <diagonal/>
    </border>
    <border>
      <left/>
      <right/>
      <top style="thin">
        <color rgb="FFFF6600"/>
      </top>
      <bottom style="thin">
        <color rgb="FFFF6600"/>
      </bottom>
      <diagonal/>
    </border>
    <border>
      <left/>
      <right/>
      <top/>
      <bottom style="thin">
        <color rgb="FFFF6600"/>
      </bottom>
      <diagonal/>
    </border>
    <border>
      <left/>
      <right style="double">
        <color rgb="FFFF6600"/>
      </right>
      <top style="double">
        <color rgb="FFFF6600"/>
      </top>
      <bottom style="thin">
        <color rgb="FFFF6600"/>
      </bottom>
      <diagonal/>
    </border>
    <border>
      <left/>
      <right style="double">
        <color rgb="FFFF6600"/>
      </right>
      <top style="thin">
        <color rgb="FFFF6600"/>
      </top>
      <bottom style="thin">
        <color rgb="FFFF6600"/>
      </bottom>
      <diagonal/>
    </border>
    <border>
      <left/>
      <right style="double">
        <color rgb="FFFF6600"/>
      </right>
      <top style="thin">
        <color rgb="FFFF6600"/>
      </top>
      <bottom style="double">
        <color rgb="FFFF6600"/>
      </bottom>
      <diagonal/>
    </border>
    <border>
      <left style="medium">
        <color indexed="64"/>
      </left>
      <right/>
      <top style="double">
        <color theme="0"/>
      </top>
      <bottom style="double">
        <color theme="0"/>
      </bottom>
      <diagonal/>
    </border>
    <border>
      <left style="double">
        <color theme="0"/>
      </left>
      <right style="thin">
        <color indexed="64"/>
      </right>
      <top/>
      <bottom style="thin">
        <color indexed="64"/>
      </bottom>
      <diagonal/>
    </border>
    <border>
      <left style="thin">
        <color indexed="64"/>
      </left>
      <right style="double">
        <color theme="0"/>
      </right>
      <top/>
      <bottom style="thin">
        <color indexed="64"/>
      </bottom>
      <diagonal/>
    </border>
    <border>
      <left/>
      <right/>
      <top style="double">
        <color theme="0"/>
      </top>
      <bottom/>
      <diagonal/>
    </border>
    <border>
      <left style="medium">
        <color indexed="64"/>
      </left>
      <right/>
      <top/>
      <bottom style="double">
        <color theme="0"/>
      </bottom>
      <diagonal/>
    </border>
    <border>
      <left style="medium">
        <color indexed="64"/>
      </left>
      <right/>
      <top style="double">
        <color theme="0"/>
      </top>
      <bottom/>
      <diagonal/>
    </border>
    <border>
      <left style="double">
        <color rgb="FFFF6600"/>
      </left>
      <right/>
      <top style="double">
        <color theme="0"/>
      </top>
      <bottom style="double">
        <color rgb="FFFF6600"/>
      </bottom>
      <diagonal/>
    </border>
    <border>
      <left style="thin">
        <color indexed="64"/>
      </left>
      <right style="double">
        <color theme="0"/>
      </right>
      <top/>
      <bottom/>
      <diagonal/>
    </border>
    <border>
      <left/>
      <right style="double">
        <color rgb="FFFF6600"/>
      </right>
      <top style="double">
        <color theme="0"/>
      </top>
      <bottom/>
      <diagonal/>
    </border>
    <border>
      <left/>
      <right/>
      <top style="thick">
        <color rgb="FFFF6600"/>
      </top>
      <bottom style="double">
        <color theme="0"/>
      </bottom>
      <diagonal/>
    </border>
    <border>
      <left/>
      <right/>
      <top style="thick">
        <color rgb="FFFF6600"/>
      </top>
      <bottom style="double">
        <color rgb="FFFF6600"/>
      </bottom>
      <diagonal/>
    </border>
    <border>
      <left/>
      <right/>
      <top style="double">
        <color theme="0"/>
      </top>
      <bottom style="thick">
        <color rgb="FFFF6600"/>
      </bottom>
      <diagonal/>
    </border>
    <border>
      <left/>
      <right/>
      <top style="double">
        <color rgb="FFFF6600"/>
      </top>
      <bottom style="thick">
        <color rgb="FFFF6600"/>
      </bottom>
      <diagonal/>
    </border>
    <border>
      <left/>
      <right/>
      <top style="thin">
        <color indexed="64"/>
      </top>
      <bottom style="thick">
        <color rgb="FFFF6600"/>
      </bottom>
      <diagonal/>
    </border>
    <border>
      <left style="double">
        <color rgb="FFFF6600"/>
      </left>
      <right/>
      <top/>
      <bottom style="double">
        <color rgb="FFFF6600"/>
      </bottom>
      <diagonal/>
    </border>
    <border>
      <left style="double">
        <color rgb="FFFF6600"/>
      </left>
      <right style="double">
        <color rgb="FFFF6600"/>
      </right>
      <top style="thin">
        <color rgb="FFFF6600"/>
      </top>
      <bottom style="double">
        <color theme="0"/>
      </bottom>
      <diagonal/>
    </border>
    <border>
      <left style="double">
        <color rgb="FFFF6600"/>
      </left>
      <right style="double">
        <color rgb="FFFF6600"/>
      </right>
      <top style="double">
        <color rgb="FFFF6600"/>
      </top>
      <bottom style="thin">
        <color rgb="FFFF6600"/>
      </bottom>
      <diagonal/>
    </border>
    <border>
      <left style="double">
        <color rgb="FFFF6600"/>
      </left>
      <right style="double">
        <color rgb="FFFF6600"/>
      </right>
      <top style="thin">
        <color rgb="FFFF6600"/>
      </top>
      <bottom style="thin">
        <color rgb="FFFF6600"/>
      </bottom>
      <diagonal/>
    </border>
    <border>
      <left style="double">
        <color rgb="FFFF6600"/>
      </left>
      <right style="double">
        <color rgb="FFFF6600"/>
      </right>
      <top style="double">
        <color theme="0"/>
      </top>
      <bottom style="double">
        <color rgb="FFFF6600"/>
      </bottom>
      <diagonal/>
    </border>
    <border>
      <left/>
      <right style="double">
        <color rgb="FFFF6600"/>
      </right>
      <top style="double">
        <color theme="0"/>
      </top>
      <bottom style="double">
        <color theme="0"/>
      </bottom>
      <diagonal/>
    </border>
    <border>
      <left style="medium">
        <color rgb="FFFF6600"/>
      </left>
      <right/>
      <top style="medium">
        <color rgb="FFFF6600"/>
      </top>
      <bottom/>
      <diagonal/>
    </border>
    <border>
      <left style="medium">
        <color rgb="FFFF6600"/>
      </left>
      <right/>
      <top/>
      <bottom style="medium">
        <color rgb="FFFF6600"/>
      </bottom>
      <diagonal/>
    </border>
    <border>
      <left/>
      <right style="medium">
        <color rgb="FFFF6600"/>
      </right>
      <top/>
      <bottom style="medium">
        <color rgb="FFFF6600"/>
      </bottom>
      <diagonal/>
    </border>
    <border>
      <left/>
      <right style="medium">
        <color rgb="FF000000"/>
      </right>
      <top style="medium">
        <color indexed="64"/>
      </top>
      <bottom/>
      <diagonal/>
    </border>
    <border>
      <left/>
      <right style="medium">
        <color rgb="FF000000"/>
      </right>
      <top style="medium">
        <color indexed="64"/>
      </top>
      <bottom style="medium">
        <color indexed="64"/>
      </bottom>
      <diagonal/>
    </border>
    <border>
      <left/>
      <right style="medium">
        <color rgb="FF000000"/>
      </right>
      <top/>
      <bottom style="medium">
        <color indexed="64"/>
      </bottom>
      <diagonal/>
    </border>
    <border>
      <left style="medium">
        <color indexed="64"/>
      </left>
      <right style="medium">
        <color indexed="64"/>
      </right>
      <top/>
      <bottom style="medium">
        <color rgb="FF000000"/>
      </bottom>
      <diagonal/>
    </border>
    <border>
      <left style="medium">
        <color rgb="FF000000"/>
      </left>
      <right/>
      <top style="medium">
        <color indexed="64"/>
      </top>
      <bottom style="medium">
        <color indexed="64"/>
      </bottom>
      <diagonal/>
    </border>
    <border>
      <left style="medium">
        <color indexed="64"/>
      </left>
      <right style="medium">
        <color indexed="64"/>
      </right>
      <top style="medium">
        <color rgb="FF000000"/>
      </top>
      <bottom/>
      <diagonal/>
    </border>
    <border>
      <left style="medium">
        <color theme="0" tint="-0.14999847407452621"/>
      </left>
      <right/>
      <top style="medium">
        <color theme="0" tint="-0.14999847407452621"/>
      </top>
      <bottom/>
      <diagonal/>
    </border>
    <border>
      <left/>
      <right style="medium">
        <color theme="0" tint="-0.14999847407452621"/>
      </right>
      <top style="medium">
        <color theme="0" tint="-0.14999847407452621"/>
      </top>
      <bottom/>
      <diagonal/>
    </border>
    <border>
      <left style="medium">
        <color theme="0" tint="-0.14999847407452621"/>
      </left>
      <right/>
      <top/>
      <bottom style="medium">
        <color theme="0" tint="-0.14999847407452621"/>
      </bottom>
      <diagonal/>
    </border>
    <border>
      <left/>
      <right style="medium">
        <color theme="0" tint="-0.14999847407452621"/>
      </right>
      <top/>
      <bottom style="medium">
        <color theme="0" tint="-0.14999847407452621"/>
      </bottom>
      <diagonal/>
    </border>
    <border>
      <left style="thin">
        <color rgb="FFFF6600"/>
      </left>
      <right style="thin">
        <color rgb="FFFF6600"/>
      </right>
      <top style="thin">
        <color rgb="FFFF6600"/>
      </top>
      <bottom style="thin">
        <color rgb="FFFF6600"/>
      </bottom>
      <diagonal/>
    </border>
    <border>
      <left style="thin">
        <color rgb="FFFF6600"/>
      </left>
      <right/>
      <top style="thin">
        <color rgb="FFFF6600"/>
      </top>
      <bottom style="thin">
        <color rgb="FFFF6600"/>
      </bottom>
      <diagonal/>
    </border>
    <border>
      <left/>
      <right/>
      <top style="medium">
        <color rgb="FFFF6600"/>
      </top>
      <bottom/>
      <diagonal/>
    </border>
    <border>
      <left style="double">
        <color rgb="FFFF6600"/>
      </left>
      <right style="double">
        <color rgb="FFFF6600"/>
      </right>
      <top style="double">
        <color rgb="FFFF6600"/>
      </top>
      <bottom style="double">
        <color rgb="FFFF6200"/>
      </bottom>
      <diagonal/>
    </border>
    <border>
      <left style="double">
        <color rgb="FFFF6600"/>
      </left>
      <right style="double">
        <color rgb="FFFF6600"/>
      </right>
      <top style="thin">
        <color rgb="FFFF6600"/>
      </top>
      <bottom style="double">
        <color rgb="FFFF6600"/>
      </bottom>
      <diagonal/>
    </border>
    <border>
      <left/>
      <right/>
      <top style="thin">
        <color rgb="FFFF6600"/>
      </top>
      <bottom/>
      <diagonal/>
    </border>
    <border>
      <left style="double">
        <color rgb="FFFF6600"/>
      </left>
      <right style="double">
        <color rgb="FFFF6600"/>
      </right>
      <top style="double">
        <color rgb="FFFF6200"/>
      </top>
      <bottom style="double">
        <color rgb="FFFF6600"/>
      </bottom>
      <diagonal/>
    </border>
  </borders>
  <cellStyleXfs count="15">
    <xf numFmtId="0" fontId="0" fillId="0" borderId="0"/>
    <xf numFmtId="167" fontId="1" fillId="0" borderId="0" applyFont="0" applyFill="0" applyBorder="0" applyAlignment="0" applyProtection="0"/>
    <xf numFmtId="167" fontId="66" fillId="0" borderId="0" applyFont="0" applyFill="0" applyBorder="0" applyAlignment="0" applyProtection="0"/>
    <xf numFmtId="0" fontId="84" fillId="0" borderId="0" applyNumberFormat="0" applyFill="0" applyBorder="0" applyAlignment="0" applyProtection="0"/>
    <xf numFmtId="0" fontId="66" fillId="0" borderId="0"/>
    <xf numFmtId="0" fontId="7" fillId="0" borderId="0"/>
    <xf numFmtId="0" fontId="1" fillId="0" borderId="0"/>
    <xf numFmtId="0" fontId="24" fillId="0" borderId="0"/>
    <xf numFmtId="9" fontId="1" fillId="0" borderId="0" applyFont="0" applyFill="0" applyBorder="0" applyAlignment="0" applyProtection="0"/>
    <xf numFmtId="166" fontId="1" fillId="0" borderId="0" applyFont="0" applyFill="0" applyBorder="0" applyAlignment="0" applyProtection="0"/>
    <xf numFmtId="0" fontId="84" fillId="0" borderId="0" applyNumberFormat="0" applyFill="0" applyBorder="0" applyAlignment="0" applyProtection="0"/>
    <xf numFmtId="0" fontId="219" fillId="0" borderId="0"/>
    <xf numFmtId="0" fontId="219" fillId="0" borderId="0"/>
    <xf numFmtId="0" fontId="232" fillId="0" borderId="0" applyNumberFormat="0" applyFill="0" applyBorder="0" applyAlignment="0" applyProtection="0"/>
    <xf numFmtId="0" fontId="219" fillId="0" borderId="0"/>
  </cellStyleXfs>
  <cellXfs count="1989">
    <xf numFmtId="0" fontId="0" fillId="0" borderId="0" xfId="0"/>
    <xf numFmtId="0" fontId="0" fillId="0" borderId="0" xfId="0" applyAlignment="1">
      <alignment horizontal="left"/>
    </xf>
    <xf numFmtId="0" fontId="0" fillId="2" borderId="0" xfId="0" applyFill="1"/>
    <xf numFmtId="0" fontId="2" fillId="2" borderId="0" xfId="0" applyFont="1" applyFill="1"/>
    <xf numFmtId="0" fontId="0" fillId="3" borderId="0" xfId="0" applyFill="1"/>
    <xf numFmtId="0" fontId="2" fillId="3" borderId="0" xfId="0" applyFont="1" applyFill="1"/>
    <xf numFmtId="10" fontId="12" fillId="3" borderId="0" xfId="8" applyNumberFormat="1" applyFont="1" applyFill="1" applyBorder="1"/>
    <xf numFmtId="10" fontId="13" fillId="3" borderId="0" xfId="8" applyNumberFormat="1" applyFont="1" applyFill="1" applyBorder="1"/>
    <xf numFmtId="167" fontId="15" fillId="0" borderId="0" xfId="1" applyFont="1" applyFill="1" applyBorder="1" applyAlignment="1">
      <alignment vertical="center"/>
    </xf>
    <xf numFmtId="0" fontId="0" fillId="4" borderId="0" xfId="0" applyFill="1"/>
    <xf numFmtId="10" fontId="12" fillId="4" borderId="0" xfId="8" applyNumberFormat="1" applyFont="1" applyFill="1" applyBorder="1"/>
    <xf numFmtId="0" fontId="5" fillId="3" borderId="0" xfId="0" applyFont="1" applyFill="1"/>
    <xf numFmtId="0" fontId="13" fillId="3" borderId="0" xfId="8" applyNumberFormat="1" applyFont="1" applyFill="1" applyBorder="1"/>
    <xf numFmtId="10" fontId="4" fillId="5" borderId="0" xfId="8" applyNumberFormat="1" applyFont="1" applyFill="1" applyBorder="1"/>
    <xf numFmtId="0" fontId="0" fillId="6" borderId="0" xfId="0" applyFill="1"/>
    <xf numFmtId="0" fontId="16" fillId="7" borderId="0" xfId="0" applyFont="1" applyFill="1"/>
    <xf numFmtId="0" fontId="2" fillId="8" borderId="0" xfId="0" applyFont="1" applyFill="1" applyAlignment="1">
      <alignment horizontal="left"/>
    </xf>
    <xf numFmtId="0" fontId="0" fillId="8" borderId="0" xfId="0" applyFill="1"/>
    <xf numFmtId="0" fontId="11" fillId="8" borderId="0" xfId="0" applyFont="1" applyFill="1"/>
    <xf numFmtId="0" fontId="14" fillId="8" borderId="0" xfId="0" applyFont="1" applyFill="1"/>
    <xf numFmtId="0" fontId="2" fillId="8" borderId="0" xfId="0" applyFont="1" applyFill="1"/>
    <xf numFmtId="0" fontId="10" fillId="9" borderId="1" xfId="0" applyFont="1" applyFill="1" applyBorder="1"/>
    <xf numFmtId="10" fontId="13" fillId="2" borderId="0" xfId="8" applyNumberFormat="1" applyFont="1" applyFill="1" applyBorder="1"/>
    <xf numFmtId="4" fontId="13" fillId="2" borderId="0" xfId="8" applyNumberFormat="1" applyFont="1" applyFill="1" applyBorder="1"/>
    <xf numFmtId="0" fontId="0" fillId="0" borderId="0" xfId="0" applyProtection="1">
      <protection hidden="1"/>
    </xf>
    <xf numFmtId="167" fontId="13" fillId="3" borderId="0" xfId="1" applyFont="1" applyFill="1" applyBorder="1"/>
    <xf numFmtId="167" fontId="13" fillId="9" borderId="1" xfId="1" applyFont="1" applyFill="1" applyBorder="1"/>
    <xf numFmtId="0" fontId="0" fillId="10" borderId="0" xfId="0" applyFill="1"/>
    <xf numFmtId="3" fontId="4" fillId="10" borderId="0" xfId="8" applyNumberFormat="1" applyFont="1" applyFill="1" applyBorder="1" applyAlignment="1">
      <alignment horizontal="center"/>
    </xf>
    <xf numFmtId="10" fontId="12" fillId="10" borderId="0" xfId="8" applyNumberFormat="1" applyFont="1" applyFill="1" applyBorder="1"/>
    <xf numFmtId="3" fontId="0" fillId="10" borderId="0" xfId="0" applyNumberFormat="1" applyFill="1"/>
    <xf numFmtId="0" fontId="17" fillId="0" borderId="0" xfId="0" applyFont="1"/>
    <xf numFmtId="0" fontId="0" fillId="11" borderId="0" xfId="0" applyFill="1"/>
    <xf numFmtId="0" fontId="11" fillId="3" borderId="0" xfId="0" applyFont="1" applyFill="1"/>
    <xf numFmtId="4" fontId="13" fillId="3" borderId="0" xfId="8" applyNumberFormat="1" applyFont="1" applyFill="1" applyBorder="1"/>
    <xf numFmtId="0" fontId="11" fillId="2" borderId="0" xfId="0" applyFont="1" applyFill="1"/>
    <xf numFmtId="170" fontId="13" fillId="2" borderId="0" xfId="8" applyNumberFormat="1" applyFont="1" applyFill="1" applyBorder="1" applyAlignment="1">
      <alignment horizontal="right"/>
    </xf>
    <xf numFmtId="0" fontId="10" fillId="8" borderId="0" xfId="0" applyFont="1" applyFill="1"/>
    <xf numFmtId="167" fontId="14" fillId="8" borderId="0" xfId="0" applyNumberFormat="1" applyFont="1" applyFill="1"/>
    <xf numFmtId="171" fontId="12" fillId="0" borderId="1" xfId="1" applyNumberFormat="1" applyFont="1" applyFill="1" applyBorder="1"/>
    <xf numFmtId="170" fontId="12" fillId="0" borderId="1" xfId="1" applyNumberFormat="1" applyFont="1" applyFill="1" applyBorder="1"/>
    <xf numFmtId="0" fontId="3" fillId="12" borderId="2" xfId="0" applyFont="1" applyFill="1" applyBorder="1" applyAlignment="1">
      <alignment horizontal="left" vertical="center" wrapText="1"/>
    </xf>
    <xf numFmtId="0" fontId="3" fillId="12" borderId="3" xfId="0" applyFont="1" applyFill="1" applyBorder="1" applyAlignment="1">
      <alignment horizontal="left" vertical="center" wrapText="1"/>
    </xf>
    <xf numFmtId="0" fontId="3" fillId="12" borderId="3" xfId="0" applyFont="1" applyFill="1" applyBorder="1" applyAlignment="1">
      <alignment horizontal="center" vertical="center" wrapText="1"/>
    </xf>
    <xf numFmtId="0" fontId="3" fillId="12" borderId="4" xfId="0" applyFont="1" applyFill="1" applyBorder="1" applyAlignment="1">
      <alignment horizontal="center" vertical="center" wrapText="1"/>
    </xf>
    <xf numFmtId="0" fontId="5" fillId="0" borderId="3" xfId="0" applyFont="1" applyBorder="1" applyAlignment="1">
      <alignment horizontal="center" vertical="center" wrapText="1"/>
    </xf>
    <xf numFmtId="39" fontId="2" fillId="0" borderId="3" xfId="1"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0" fillId="0" borderId="6" xfId="0" applyBorder="1"/>
    <xf numFmtId="0" fontId="19" fillId="0" borderId="0" xfId="0" applyFont="1" applyAlignment="1">
      <alignment horizontal="left" vertical="center" wrapText="1"/>
    </xf>
    <xf numFmtId="9" fontId="20" fillId="0" borderId="0" xfId="0" applyNumberFormat="1" applyFont="1"/>
    <xf numFmtId="0" fontId="21" fillId="0" borderId="0" xfId="0" applyFont="1"/>
    <xf numFmtId="0" fontId="22" fillId="0" borderId="0" xfId="0" applyFont="1"/>
    <xf numFmtId="4" fontId="10" fillId="0" borderId="0" xfId="0" applyNumberFormat="1" applyFont="1" applyAlignment="1">
      <alignment horizontal="right"/>
    </xf>
    <xf numFmtId="170" fontId="7" fillId="0" borderId="7" xfId="1" applyNumberFormat="1" applyFont="1" applyFill="1" applyBorder="1" applyAlignment="1">
      <alignment horizontal="center" vertical="center" wrapText="1"/>
    </xf>
    <xf numFmtId="4" fontId="0" fillId="0" borderId="0" xfId="0" applyNumberFormat="1" applyAlignment="1">
      <alignment horizontal="right"/>
    </xf>
    <xf numFmtId="0" fontId="0" fillId="3" borderId="0" xfId="0" applyFill="1" applyAlignment="1">
      <alignment horizontal="left" vertical="center"/>
    </xf>
    <xf numFmtId="0" fontId="0" fillId="2" borderId="0" xfId="0" applyFill="1" applyAlignment="1">
      <alignment horizontal="left" vertical="center"/>
    </xf>
    <xf numFmtId="0" fontId="0" fillId="8" borderId="0" xfId="0" applyFill="1" applyAlignment="1">
      <alignment horizontal="left" vertical="center"/>
    </xf>
    <xf numFmtId="0" fontId="14" fillId="8" borderId="0" xfId="0" applyFont="1" applyFill="1" applyAlignment="1">
      <alignment horizontal="left" vertical="center"/>
    </xf>
    <xf numFmtId="0" fontId="10" fillId="9" borderId="1" xfId="0" applyFont="1" applyFill="1" applyBorder="1" applyAlignment="1">
      <alignment horizontal="left" vertical="center"/>
    </xf>
    <xf numFmtId="0" fontId="3" fillId="12" borderId="3" xfId="0" applyFont="1" applyFill="1" applyBorder="1" applyAlignment="1">
      <alignment horizontal="left" vertical="center"/>
    </xf>
    <xf numFmtId="0" fontId="19" fillId="0" borderId="0" xfId="0" applyFont="1" applyAlignment="1">
      <alignment horizontal="left" vertical="center"/>
    </xf>
    <xf numFmtId="0" fontId="0" fillId="0" borderId="0" xfId="0" applyAlignment="1">
      <alignment horizontal="left" vertical="center"/>
    </xf>
    <xf numFmtId="0" fontId="5" fillId="0" borderId="4" xfId="0" applyFont="1" applyBorder="1" applyAlignment="1">
      <alignment horizontal="center" vertical="center" wrapText="1"/>
    </xf>
    <xf numFmtId="0" fontId="14" fillId="8" borderId="1" xfId="0" applyFont="1" applyFill="1" applyBorder="1"/>
    <xf numFmtId="2" fontId="12" fillId="3" borderId="0" xfId="8" applyNumberFormat="1" applyFont="1" applyFill="1" applyBorder="1"/>
    <xf numFmtId="170" fontId="12" fillId="3" borderId="0" xfId="0" applyNumberFormat="1" applyFont="1" applyFill="1" applyAlignment="1">
      <alignment vertical="center"/>
    </xf>
    <xf numFmtId="167" fontId="0" fillId="8" borderId="0" xfId="0" applyNumberFormat="1" applyFill="1"/>
    <xf numFmtId="0" fontId="2" fillId="0" borderId="1" xfId="0" applyFont="1" applyBorder="1" applyAlignment="1">
      <alignment horizontal="center"/>
    </xf>
    <xf numFmtId="0" fontId="2" fillId="0" borderId="1" xfId="0" applyFont="1" applyBorder="1" applyAlignment="1">
      <alignment horizontal="left"/>
    </xf>
    <xf numFmtId="0" fontId="2" fillId="0" borderId="1" xfId="0" applyFont="1" applyBorder="1"/>
    <xf numFmtId="2" fontId="0" fillId="0" borderId="0" xfId="0" applyNumberFormat="1"/>
    <xf numFmtId="2" fontId="11" fillId="0" borderId="0" xfId="0" applyNumberFormat="1" applyFont="1"/>
    <xf numFmtId="0" fontId="11" fillId="0" borderId="0" xfId="0" applyFont="1"/>
    <xf numFmtId="0" fontId="2" fillId="7" borderId="0" xfId="0" applyFont="1" applyFill="1"/>
    <xf numFmtId="49" fontId="0" fillId="8" borderId="0" xfId="0" applyNumberFormat="1" applyFill="1"/>
    <xf numFmtId="4" fontId="0" fillId="8" borderId="0" xfId="0" applyNumberFormat="1" applyFill="1"/>
    <xf numFmtId="0" fontId="12" fillId="4" borderId="0" xfId="8" applyNumberFormat="1" applyFont="1" applyFill="1" applyBorder="1"/>
    <xf numFmtId="2" fontId="12" fillId="4" borderId="0" xfId="8" applyNumberFormat="1" applyFont="1" applyFill="1" applyBorder="1"/>
    <xf numFmtId="0" fontId="13" fillId="4" borderId="0" xfId="8" applyNumberFormat="1" applyFont="1" applyFill="1" applyBorder="1"/>
    <xf numFmtId="167" fontId="25" fillId="0" borderId="0" xfId="0" applyNumberFormat="1" applyFont="1" applyAlignment="1">
      <alignment horizontal="left"/>
    </xf>
    <xf numFmtId="0" fontId="25" fillId="0" borderId="0" xfId="0" applyFont="1" applyAlignment="1">
      <alignment horizontal="left"/>
    </xf>
    <xf numFmtId="0" fontId="0" fillId="13" borderId="0" xfId="0" applyFill="1"/>
    <xf numFmtId="0" fontId="0" fillId="5" borderId="0" xfId="0" applyFill="1"/>
    <xf numFmtId="0" fontId="35" fillId="0" borderId="8" xfId="0" applyFont="1" applyBorder="1" applyAlignment="1">
      <alignment horizontal="center" vertical="center" wrapText="1"/>
    </xf>
    <xf numFmtId="167" fontId="34" fillId="0" borderId="9" xfId="1" applyFont="1" applyFill="1" applyBorder="1"/>
    <xf numFmtId="0" fontId="0" fillId="4" borderId="0" xfId="0" applyFill="1" applyAlignment="1" applyProtection="1">
      <alignment vertical="center"/>
      <protection hidden="1"/>
    </xf>
    <xf numFmtId="0" fontId="0" fillId="14" borderId="0" xfId="0" applyFill="1" applyAlignment="1" applyProtection="1">
      <alignment vertical="center"/>
      <protection hidden="1"/>
    </xf>
    <xf numFmtId="0" fontId="0" fillId="2" borderId="0" xfId="0" applyFill="1" applyAlignment="1" applyProtection="1">
      <alignment vertical="center"/>
      <protection hidden="1"/>
    </xf>
    <xf numFmtId="9" fontId="0" fillId="2" borderId="0" xfId="0" applyNumberFormat="1" applyFill="1" applyAlignment="1" applyProtection="1">
      <alignment vertical="center"/>
      <protection hidden="1"/>
    </xf>
    <xf numFmtId="168" fontId="0" fillId="3" borderId="0" xfId="0" applyNumberFormat="1" applyFill="1" applyAlignment="1" applyProtection="1">
      <alignment vertical="center"/>
      <protection hidden="1"/>
    </xf>
    <xf numFmtId="0" fontId="0" fillId="13" borderId="0" xfId="0" applyFill="1" applyAlignment="1" applyProtection="1">
      <alignment vertical="center"/>
      <protection hidden="1"/>
    </xf>
    <xf numFmtId="0" fontId="29" fillId="0" borderId="0" xfId="0" applyFont="1" applyAlignment="1" applyProtection="1">
      <alignment vertical="center"/>
      <protection hidden="1"/>
    </xf>
    <xf numFmtId="0" fontId="0" fillId="0" borderId="0" xfId="0" applyAlignment="1" applyProtection="1">
      <alignment vertical="center"/>
      <protection hidden="1"/>
    </xf>
    <xf numFmtId="0" fontId="0" fillId="0" borderId="5" xfId="0" applyBorder="1" applyAlignment="1" applyProtection="1">
      <alignment vertical="center"/>
      <protection hidden="1"/>
    </xf>
    <xf numFmtId="0" fontId="33" fillId="0" borderId="5" xfId="0" applyFont="1" applyBorder="1" applyAlignment="1" applyProtection="1">
      <alignment vertical="center"/>
      <protection hidden="1"/>
    </xf>
    <xf numFmtId="0" fontId="0" fillId="3" borderId="0" xfId="0" applyFill="1" applyAlignment="1" applyProtection="1">
      <alignment vertical="center"/>
      <protection hidden="1"/>
    </xf>
    <xf numFmtId="0" fontId="0" fillId="14" borderId="0" xfId="0" applyFill="1"/>
    <xf numFmtId="167" fontId="0" fillId="2" borderId="0" xfId="1" applyFont="1" applyFill="1"/>
    <xf numFmtId="0" fontId="19" fillId="11" borderId="0" xfId="0" applyFont="1" applyFill="1" applyAlignment="1">
      <alignment horizontal="left" vertical="center" wrapText="1"/>
    </xf>
    <xf numFmtId="0" fontId="19" fillId="11" borderId="0" xfId="0" applyFont="1" applyFill="1" applyAlignment="1">
      <alignment horizontal="left" vertical="center"/>
    </xf>
    <xf numFmtId="9" fontId="20" fillId="11" borderId="0" xfId="0" applyNumberFormat="1" applyFont="1" applyFill="1"/>
    <xf numFmtId="170" fontId="7" fillId="11" borderId="7" xfId="1" applyNumberFormat="1" applyFont="1" applyFill="1" applyBorder="1" applyAlignment="1">
      <alignment horizontal="center" vertical="center" wrapText="1"/>
    </xf>
    <xf numFmtId="167" fontId="15" fillId="11" borderId="0" xfId="1" applyFont="1" applyFill="1" applyBorder="1" applyAlignment="1">
      <alignment vertical="center"/>
    </xf>
    <xf numFmtId="0" fontId="21" fillId="11" borderId="0" xfId="0" applyFont="1" applyFill="1"/>
    <xf numFmtId="4" fontId="10" fillId="11" borderId="0" xfId="0" applyNumberFormat="1" applyFont="1" applyFill="1" applyAlignment="1">
      <alignment horizontal="right"/>
    </xf>
    <xf numFmtId="0" fontId="22" fillId="11" borderId="0" xfId="0" applyFont="1" applyFill="1"/>
    <xf numFmtId="0" fontId="2" fillId="0" borderId="10" xfId="0" applyFont="1" applyBorder="1" applyAlignment="1">
      <alignment horizontal="center"/>
    </xf>
    <xf numFmtId="170" fontId="13" fillId="3" borderId="1" xfId="0" applyNumberFormat="1" applyFont="1" applyFill="1" applyBorder="1" applyAlignment="1">
      <alignment vertical="center"/>
    </xf>
    <xf numFmtId="0" fontId="0" fillId="0" borderId="11" xfId="0" applyBorder="1"/>
    <xf numFmtId="0" fontId="0" fillId="0" borderId="12" xfId="0" applyBorder="1"/>
    <xf numFmtId="0" fontId="5" fillId="0" borderId="11" xfId="0" applyFont="1" applyBorder="1"/>
    <xf numFmtId="167" fontId="2" fillId="0" borderId="9" xfId="0" applyNumberFormat="1" applyFont="1" applyBorder="1"/>
    <xf numFmtId="0" fontId="5" fillId="0" borderId="13" xfId="0" applyFont="1" applyBorder="1"/>
    <xf numFmtId="0" fontId="0" fillId="0" borderId="1" xfId="0" applyBorder="1"/>
    <xf numFmtId="167" fontId="12" fillId="2" borderId="0" xfId="1" applyFont="1" applyFill="1" applyBorder="1" applyAlignment="1">
      <alignment horizontal="right"/>
    </xf>
    <xf numFmtId="4" fontId="2" fillId="0" borderId="4" xfId="0" applyNumberFormat="1" applyFont="1" applyBorder="1" applyAlignment="1">
      <alignment horizontal="center" vertical="center" wrapText="1"/>
    </xf>
    <xf numFmtId="0" fontId="41" fillId="2" borderId="0" xfId="0" applyFont="1" applyFill="1" applyAlignment="1">
      <alignment horizontal="left"/>
    </xf>
    <xf numFmtId="167" fontId="41" fillId="2" borderId="0" xfId="0" applyNumberFormat="1" applyFont="1" applyFill="1" applyAlignment="1">
      <alignment horizontal="left"/>
    </xf>
    <xf numFmtId="0" fontId="9" fillId="0" borderId="5" xfId="0" applyFont="1" applyBorder="1" applyAlignment="1">
      <alignment horizontal="center" vertical="center" wrapText="1"/>
    </xf>
    <xf numFmtId="167" fontId="13" fillId="4" borderId="0" xfId="1" applyFont="1" applyFill="1" applyBorder="1" applyAlignment="1">
      <alignment horizontal="right" wrapText="1"/>
    </xf>
    <xf numFmtId="167" fontId="2" fillId="0" borderId="0" xfId="0" applyNumberFormat="1" applyFont="1"/>
    <xf numFmtId="167" fontId="12" fillId="0" borderId="14" xfId="1" applyFont="1" applyFill="1" applyBorder="1"/>
    <xf numFmtId="0" fontId="2" fillId="0" borderId="10" xfId="0" applyFont="1" applyBorder="1" applyAlignment="1">
      <alignment horizontal="center" vertical="center" wrapText="1"/>
    </xf>
    <xf numFmtId="167" fontId="12" fillId="0" borderId="14" xfId="8" applyNumberFormat="1" applyFont="1" applyFill="1" applyBorder="1"/>
    <xf numFmtId="167" fontId="12" fillId="3" borderId="14" xfId="8" applyNumberFormat="1" applyFont="1" applyFill="1" applyBorder="1"/>
    <xf numFmtId="167" fontId="12" fillId="3" borderId="1" xfId="8" applyNumberFormat="1" applyFont="1" applyFill="1" applyBorder="1"/>
    <xf numFmtId="0" fontId="2" fillId="3" borderId="0" xfId="0" applyFont="1" applyFill="1" applyAlignment="1">
      <alignment horizontal="center"/>
    </xf>
    <xf numFmtId="0" fontId="0" fillId="15" borderId="0" xfId="0" applyFill="1"/>
    <xf numFmtId="167" fontId="0" fillId="3" borderId="14" xfId="0" applyNumberFormat="1" applyFill="1" applyBorder="1"/>
    <xf numFmtId="167" fontId="0" fillId="3" borderId="15" xfId="0" applyNumberFormat="1" applyFill="1" applyBorder="1"/>
    <xf numFmtId="4" fontId="0" fillId="4" borderId="0" xfId="0" applyNumberFormat="1" applyFill="1" applyAlignment="1">
      <alignment horizontal="right"/>
    </xf>
    <xf numFmtId="167" fontId="2" fillId="2" borderId="0" xfId="1" applyFont="1" applyFill="1"/>
    <xf numFmtId="0" fontId="40" fillId="2" borderId="0" xfId="0" applyFont="1" applyFill="1" applyAlignment="1">
      <alignment horizontal="left"/>
    </xf>
    <xf numFmtId="167" fontId="13" fillId="2" borderId="0" xfId="1" applyFont="1" applyFill="1" applyBorder="1"/>
    <xf numFmtId="167" fontId="0" fillId="4" borderId="0" xfId="1" applyFont="1" applyFill="1"/>
    <xf numFmtId="167" fontId="2" fillId="4" borderId="0" xfId="1" applyFont="1" applyFill="1"/>
    <xf numFmtId="4" fontId="0" fillId="9" borderId="0" xfId="0" applyNumberFormat="1" applyFill="1"/>
    <xf numFmtId="0" fontId="12" fillId="4" borderId="0" xfId="0" applyFont="1" applyFill="1"/>
    <xf numFmtId="4" fontId="0" fillId="8" borderId="1" xfId="0" applyNumberFormat="1" applyFill="1" applyBorder="1"/>
    <xf numFmtId="0" fontId="0" fillId="0" borderId="0" xfId="0" applyAlignment="1">
      <alignment vertical="center" wrapText="1"/>
    </xf>
    <xf numFmtId="0" fontId="2" fillId="0" borderId="17" xfId="0" applyFont="1" applyBorder="1" applyAlignment="1">
      <alignment horizontal="center"/>
    </xf>
    <xf numFmtId="0" fontId="2" fillId="0" borderId="18" xfId="0" applyFont="1" applyBorder="1" applyAlignment="1">
      <alignment horizontal="center"/>
    </xf>
    <xf numFmtId="0" fontId="2" fillId="0" borderId="19" xfId="0" applyFont="1" applyBorder="1" applyAlignment="1">
      <alignment horizontal="center"/>
    </xf>
    <xf numFmtId="167" fontId="13" fillId="0" borderId="20" xfId="0" applyNumberFormat="1" applyFont="1" applyBorder="1"/>
    <xf numFmtId="167" fontId="13" fillId="0" borderId="21" xfId="0" applyNumberFormat="1" applyFont="1" applyBorder="1"/>
    <xf numFmtId="167" fontId="12" fillId="4" borderId="0" xfId="8" applyNumberFormat="1" applyFont="1" applyFill="1" applyBorder="1"/>
    <xf numFmtId="0" fontId="11" fillId="2" borderId="1" xfId="0" applyFont="1" applyFill="1" applyBorder="1"/>
    <xf numFmtId="0" fontId="2" fillId="5" borderId="0" xfId="0" applyFont="1" applyFill="1"/>
    <xf numFmtId="0" fontId="2" fillId="4" borderId="0" xfId="0" applyFont="1" applyFill="1"/>
    <xf numFmtId="0" fontId="0" fillId="16" borderId="0" xfId="0" applyFill="1"/>
    <xf numFmtId="0" fontId="8" fillId="3" borderId="0" xfId="0" applyFont="1" applyFill="1" applyAlignment="1">
      <alignment horizontal="left" vertical="center" wrapText="1"/>
    </xf>
    <xf numFmtId="170" fontId="7" fillId="3" borderId="7" xfId="1" applyNumberFormat="1" applyFont="1" applyFill="1" applyBorder="1" applyAlignment="1">
      <alignment horizontal="right" vertical="center" wrapText="1"/>
    </xf>
    <xf numFmtId="170" fontId="7" fillId="3" borderId="7" xfId="1" applyNumberFormat="1" applyFont="1" applyFill="1" applyBorder="1" applyAlignment="1">
      <alignment horizontal="center" vertical="center" wrapText="1"/>
    </xf>
    <xf numFmtId="0" fontId="8" fillId="3" borderId="0" xfId="0" applyFont="1" applyFill="1" applyAlignment="1">
      <alignment horizontal="left" vertical="center"/>
    </xf>
    <xf numFmtId="9" fontId="47" fillId="3" borderId="0" xfId="0" applyNumberFormat="1" applyFont="1" applyFill="1"/>
    <xf numFmtId="170" fontId="7" fillId="3" borderId="0" xfId="0" applyNumberFormat="1" applyFont="1" applyFill="1"/>
    <xf numFmtId="167" fontId="47" fillId="3" borderId="0" xfId="1" applyFont="1" applyFill="1" applyBorder="1" applyAlignment="1">
      <alignment vertical="center"/>
    </xf>
    <xf numFmtId="3" fontId="47" fillId="3" borderId="0" xfId="0" applyNumberFormat="1" applyFont="1" applyFill="1"/>
    <xf numFmtId="0" fontId="47" fillId="3" borderId="0" xfId="0" applyFont="1" applyFill="1"/>
    <xf numFmtId="0" fontId="7" fillId="3" borderId="0" xfId="0" applyFont="1" applyFill="1"/>
    <xf numFmtId="3" fontId="7" fillId="3" borderId="0" xfId="0" applyNumberFormat="1" applyFont="1" applyFill="1"/>
    <xf numFmtId="4" fontId="2" fillId="3" borderId="0" xfId="0" applyNumberFormat="1" applyFont="1" applyFill="1" applyAlignment="1">
      <alignment horizontal="right"/>
    </xf>
    <xf numFmtId="4" fontId="7" fillId="3" borderId="0" xfId="0" applyNumberFormat="1" applyFont="1" applyFill="1" applyAlignment="1">
      <alignment horizontal="right"/>
    </xf>
    <xf numFmtId="0" fontId="9" fillId="3" borderId="0" xfId="0" applyFont="1" applyFill="1" applyAlignment="1">
      <alignment horizontal="left" vertical="center" wrapText="1"/>
    </xf>
    <xf numFmtId="4" fontId="2" fillId="4" borderId="0" xfId="0" applyNumberFormat="1" applyFont="1" applyFill="1" applyAlignment="1">
      <alignment horizontal="left"/>
    </xf>
    <xf numFmtId="167" fontId="13" fillId="11" borderId="0" xfId="1" applyFont="1" applyFill="1" applyBorder="1" applyAlignment="1">
      <alignment horizontal="right"/>
    </xf>
    <xf numFmtId="167" fontId="2" fillId="17" borderId="22" xfId="0" applyNumberFormat="1" applyFont="1" applyFill="1" applyBorder="1"/>
    <xf numFmtId="0" fontId="12" fillId="11" borderId="0" xfId="0" applyFont="1" applyFill="1"/>
    <xf numFmtId="0" fontId="23" fillId="3" borderId="0" xfId="0" applyFont="1" applyFill="1"/>
    <xf numFmtId="0" fontId="12" fillId="3" borderId="0" xfId="0" applyFont="1" applyFill="1"/>
    <xf numFmtId="0" fontId="13" fillId="15" borderId="0" xfId="0" applyFont="1" applyFill="1"/>
    <xf numFmtId="167" fontId="2" fillId="18" borderId="0" xfId="1" applyFont="1" applyFill="1"/>
    <xf numFmtId="0" fontId="0" fillId="10" borderId="0" xfId="0" applyFill="1" applyAlignment="1">
      <alignment horizontal="left" vertical="center"/>
    </xf>
    <xf numFmtId="0" fontId="11" fillId="16" borderId="0" xfId="0" applyFont="1" applyFill="1"/>
    <xf numFmtId="10" fontId="22" fillId="16" borderId="0" xfId="8" applyNumberFormat="1" applyFont="1" applyFill="1" applyBorder="1"/>
    <xf numFmtId="0" fontId="7" fillId="0" borderId="0" xfId="0" applyFont="1"/>
    <xf numFmtId="0" fontId="6" fillId="8" borderId="0" xfId="0" applyFont="1" applyFill="1"/>
    <xf numFmtId="0" fontId="2" fillId="19" borderId="0" xfId="0" applyFont="1" applyFill="1"/>
    <xf numFmtId="0" fontId="8" fillId="20" borderId="0" xfId="0" applyFont="1" applyFill="1" applyAlignment="1">
      <alignment horizontal="left" vertical="center" wrapText="1"/>
    </xf>
    <xf numFmtId="0" fontId="8" fillId="20" borderId="0" xfId="0" applyFont="1" applyFill="1" applyAlignment="1">
      <alignment horizontal="left" vertical="center"/>
    </xf>
    <xf numFmtId="9" fontId="47" fillId="20" borderId="0" xfId="0" applyNumberFormat="1" applyFont="1" applyFill="1"/>
    <xf numFmtId="170" fontId="7" fillId="20" borderId="7" xfId="1" applyNumberFormat="1" applyFont="1" applyFill="1" applyBorder="1" applyAlignment="1">
      <alignment horizontal="center" vertical="center" wrapText="1"/>
    </xf>
    <xf numFmtId="0" fontId="7" fillId="20" borderId="0" xfId="0" applyFont="1" applyFill="1"/>
    <xf numFmtId="167" fontId="47" fillId="20" borderId="0" xfId="1" applyFont="1" applyFill="1" applyBorder="1" applyAlignment="1">
      <alignment vertical="center"/>
    </xf>
    <xf numFmtId="3" fontId="47" fillId="20" borderId="0" xfId="0" applyNumberFormat="1" applyFont="1" applyFill="1"/>
    <xf numFmtId="0" fontId="47" fillId="20" borderId="0" xfId="0" applyFont="1" applyFill="1"/>
    <xf numFmtId="4" fontId="2" fillId="20" borderId="0" xfId="0" applyNumberFormat="1" applyFont="1" applyFill="1" applyAlignment="1">
      <alignment horizontal="right"/>
    </xf>
    <xf numFmtId="4" fontId="7" fillId="20" borderId="0" xfId="0" applyNumberFormat="1" applyFont="1" applyFill="1" applyAlignment="1">
      <alignment horizontal="right"/>
    </xf>
    <xf numFmtId="0" fontId="38" fillId="21" borderId="3" xfId="7" applyFont="1" applyFill="1" applyBorder="1" applyAlignment="1" applyProtection="1">
      <alignment horizontal="center"/>
      <protection hidden="1"/>
    </xf>
    <xf numFmtId="0" fontId="48" fillId="14" borderId="23" xfId="0" applyFont="1" applyFill="1" applyBorder="1" applyAlignment="1" applyProtection="1">
      <alignment horizontal="left"/>
      <protection hidden="1"/>
    </xf>
    <xf numFmtId="0" fontId="31" fillId="0" borderId="24" xfId="0" applyFont="1" applyBorder="1" applyAlignment="1" applyProtection="1">
      <alignment horizontal="right"/>
      <protection hidden="1"/>
    </xf>
    <xf numFmtId="0" fontId="48" fillId="14" borderId="23" xfId="0" applyFont="1" applyFill="1" applyBorder="1" applyProtection="1">
      <protection hidden="1"/>
    </xf>
    <xf numFmtId="0" fontId="38" fillId="0" borderId="24" xfId="0" applyFont="1" applyBorder="1" applyAlignment="1" applyProtection="1">
      <alignment horizontal="right"/>
      <protection hidden="1"/>
    </xf>
    <xf numFmtId="168" fontId="26" fillId="0" borderId="24" xfId="0" applyNumberFormat="1" applyFont="1" applyBorder="1" applyAlignment="1" applyProtection="1">
      <alignment horizontal="right" indent="1"/>
      <protection hidden="1"/>
    </xf>
    <xf numFmtId="0" fontId="0" fillId="13" borderId="0" xfId="0" applyFill="1" applyProtection="1">
      <protection locked="0"/>
    </xf>
    <xf numFmtId="0" fontId="0" fillId="0" borderId="0" xfId="0" applyProtection="1">
      <protection locked="0"/>
    </xf>
    <xf numFmtId="0" fontId="26" fillId="0" borderId="0" xfId="0" applyFont="1" applyProtection="1">
      <protection locked="0"/>
    </xf>
    <xf numFmtId="0" fontId="26" fillId="7" borderId="0" xfId="0" applyFont="1" applyFill="1" applyProtection="1">
      <protection locked="0"/>
    </xf>
    <xf numFmtId="14" fontId="26" fillId="13" borderId="0" xfId="0" applyNumberFormat="1" applyFont="1" applyFill="1" applyProtection="1">
      <protection locked="0"/>
    </xf>
    <xf numFmtId="0" fontId="26" fillId="13" borderId="0" xfId="0" applyFont="1" applyFill="1" applyProtection="1">
      <protection locked="0"/>
    </xf>
    <xf numFmtId="0" fontId="38" fillId="13" borderId="5" xfId="0" applyFont="1" applyFill="1" applyBorder="1" applyProtection="1">
      <protection locked="0"/>
    </xf>
    <xf numFmtId="0" fontId="24" fillId="13" borderId="0" xfId="7" applyFill="1" applyProtection="1">
      <protection hidden="1"/>
    </xf>
    <xf numFmtId="0" fontId="13" fillId="3" borderId="25" xfId="8" applyNumberFormat="1" applyFont="1" applyFill="1" applyBorder="1" applyProtection="1">
      <protection hidden="1"/>
    </xf>
    <xf numFmtId="0" fontId="26" fillId="13" borderId="0" xfId="7" applyFont="1" applyFill="1" applyProtection="1">
      <protection hidden="1"/>
    </xf>
    <xf numFmtId="0" fontId="38" fillId="21" borderId="5" xfId="7" applyFont="1" applyFill="1" applyBorder="1" applyAlignment="1" applyProtection="1">
      <alignment horizontal="center"/>
      <protection hidden="1"/>
    </xf>
    <xf numFmtId="0" fontId="31" fillId="0" borderId="26" xfId="0" applyFont="1" applyBorder="1" applyAlignment="1" applyProtection="1">
      <alignment horizontal="right"/>
      <protection hidden="1"/>
    </xf>
    <xf numFmtId="0" fontId="13" fillId="3" borderId="27" xfId="8" applyNumberFormat="1" applyFont="1" applyFill="1" applyBorder="1" applyProtection="1">
      <protection hidden="1"/>
    </xf>
    <xf numFmtId="14" fontId="24" fillId="2" borderId="24" xfId="7" applyNumberFormat="1" applyFill="1" applyBorder="1" applyProtection="1">
      <protection hidden="1"/>
    </xf>
    <xf numFmtId="0" fontId="24" fillId="13" borderId="5" xfId="7" applyFill="1" applyBorder="1" applyProtection="1">
      <protection hidden="1"/>
    </xf>
    <xf numFmtId="10" fontId="37" fillId="3" borderId="0" xfId="8" applyNumberFormat="1" applyFont="1" applyFill="1"/>
    <xf numFmtId="14" fontId="36" fillId="13" borderId="0" xfId="0" applyNumberFormat="1" applyFont="1" applyFill="1"/>
    <xf numFmtId="170" fontId="37" fillId="13" borderId="0" xfId="1" applyNumberFormat="1" applyFont="1" applyFill="1"/>
    <xf numFmtId="170" fontId="36" fillId="13" borderId="0" xfId="1" applyNumberFormat="1" applyFont="1" applyFill="1"/>
    <xf numFmtId="0" fontId="12" fillId="5" borderId="28" xfId="8" applyNumberFormat="1" applyFont="1" applyFill="1" applyBorder="1" applyProtection="1">
      <protection hidden="1"/>
    </xf>
    <xf numFmtId="10" fontId="37" fillId="5" borderId="0" xfId="8" applyNumberFormat="1" applyFont="1" applyFill="1"/>
    <xf numFmtId="14" fontId="49" fillId="5" borderId="0" xfId="0" applyNumberFormat="1" applyFont="1" applyFill="1"/>
    <xf numFmtId="0" fontId="43" fillId="21" borderId="8" xfId="7" applyFont="1" applyFill="1" applyBorder="1" applyAlignment="1" applyProtection="1">
      <alignment horizontal="center"/>
      <protection hidden="1"/>
    </xf>
    <xf numFmtId="0" fontId="38" fillId="21" borderId="8" xfId="7" applyFont="1" applyFill="1" applyBorder="1" applyAlignment="1" applyProtection="1">
      <alignment horizontal="center"/>
      <protection hidden="1"/>
    </xf>
    <xf numFmtId="2" fontId="38" fillId="3" borderId="0" xfId="0" applyNumberFormat="1" applyFont="1" applyFill="1"/>
    <xf numFmtId="10" fontId="37" fillId="0" borderId="24" xfId="8" applyNumberFormat="1" applyFont="1" applyBorder="1" applyAlignment="1" applyProtection="1">
      <alignment horizontal="right" indent="1"/>
      <protection hidden="1"/>
    </xf>
    <xf numFmtId="168" fontId="51" fillId="0" borderId="24" xfId="0" applyNumberFormat="1" applyFont="1" applyBorder="1" applyAlignment="1" applyProtection="1">
      <alignment horizontal="right" indent="1"/>
      <protection hidden="1"/>
    </xf>
    <xf numFmtId="0" fontId="26" fillId="0" borderId="5" xfId="0" applyFont="1" applyBorder="1" applyProtection="1">
      <protection locked="0"/>
    </xf>
    <xf numFmtId="0" fontId="50" fillId="0" borderId="0" xfId="0" applyFont="1" applyProtection="1">
      <protection locked="0"/>
    </xf>
    <xf numFmtId="0" fontId="26" fillId="0" borderId="29" xfId="0" applyFont="1" applyBorder="1" applyAlignment="1" applyProtection="1">
      <alignment horizontal="center"/>
      <protection locked="0"/>
    </xf>
    <xf numFmtId="0" fontId="26" fillId="22" borderId="29" xfId="0" applyFont="1" applyFill="1" applyBorder="1" applyAlignment="1" applyProtection="1">
      <alignment horizontal="center"/>
      <protection locked="0"/>
    </xf>
    <xf numFmtId="0" fontId="38" fillId="0" borderId="30" xfId="0" applyFont="1" applyBorder="1" applyAlignment="1" applyProtection="1">
      <alignment horizontal="center"/>
      <protection locked="0"/>
    </xf>
    <xf numFmtId="10" fontId="38" fillId="14" borderId="5" xfId="8" applyNumberFormat="1" applyFont="1" applyFill="1" applyBorder="1" applyAlignment="1" applyProtection="1">
      <alignment horizontal="left" indent="1"/>
      <protection locked="0"/>
    </xf>
    <xf numFmtId="0" fontId="46" fillId="0" borderId="0" xfId="0" applyFont="1" applyProtection="1">
      <protection locked="0"/>
    </xf>
    <xf numFmtId="14" fontId="26" fillId="0" borderId="0" xfId="0" applyNumberFormat="1" applyFont="1" applyProtection="1">
      <protection locked="0"/>
    </xf>
    <xf numFmtId="14" fontId="45" fillId="0" borderId="0" xfId="0" applyNumberFormat="1" applyFont="1" applyProtection="1">
      <protection locked="0"/>
    </xf>
    <xf numFmtId="0" fontId="26" fillId="22" borderId="0" xfId="0" applyFont="1" applyFill="1" applyProtection="1">
      <protection locked="0"/>
    </xf>
    <xf numFmtId="0" fontId="0" fillId="22" borderId="0" xfId="0" applyFill="1" applyProtection="1">
      <protection locked="0"/>
    </xf>
    <xf numFmtId="0" fontId="38" fillId="22" borderId="0" xfId="0" applyFont="1" applyFill="1" applyProtection="1">
      <protection locked="0"/>
    </xf>
    <xf numFmtId="4" fontId="38" fillId="20" borderId="0" xfId="0" applyNumberFormat="1" applyFont="1" applyFill="1" applyProtection="1">
      <protection locked="0"/>
    </xf>
    <xf numFmtId="4" fontId="38" fillId="0" borderId="0" xfId="0" applyNumberFormat="1" applyFont="1" applyProtection="1">
      <protection locked="0"/>
    </xf>
    <xf numFmtId="14" fontId="45" fillId="13" borderId="0" xfId="0" applyNumberFormat="1" applyFont="1" applyFill="1" applyProtection="1">
      <protection locked="0"/>
    </xf>
    <xf numFmtId="4" fontId="26" fillId="13" borderId="0" xfId="0" applyNumberFormat="1" applyFont="1" applyFill="1" applyProtection="1">
      <protection locked="0"/>
    </xf>
    <xf numFmtId="4" fontId="26" fillId="0" borderId="0" xfId="0" applyNumberFormat="1" applyFont="1" applyProtection="1">
      <protection locked="0"/>
    </xf>
    <xf numFmtId="10" fontId="38" fillId="14" borderId="5" xfId="0" applyNumberFormat="1" applyFont="1" applyFill="1" applyBorder="1" applyAlignment="1" applyProtection="1">
      <alignment horizontal="left" indent="1"/>
      <protection hidden="1"/>
    </xf>
    <xf numFmtId="170" fontId="37" fillId="0" borderId="0" xfId="1" applyNumberFormat="1" applyFont="1" applyFill="1" applyProtection="1">
      <protection hidden="1"/>
    </xf>
    <xf numFmtId="14" fontId="39" fillId="0" borderId="0" xfId="0" applyNumberFormat="1" applyFont="1" applyProtection="1">
      <protection hidden="1"/>
    </xf>
    <xf numFmtId="4" fontId="44" fillId="0" borderId="0" xfId="0" applyNumberFormat="1" applyFont="1" applyProtection="1">
      <protection hidden="1"/>
    </xf>
    <xf numFmtId="170" fontId="37" fillId="13" borderId="0" xfId="1" applyNumberFormat="1" applyFont="1" applyFill="1" applyAlignment="1" applyProtection="1">
      <alignment horizontal="center"/>
      <protection hidden="1"/>
    </xf>
    <xf numFmtId="14" fontId="44" fillId="13" borderId="0" xfId="0" applyNumberFormat="1" applyFont="1" applyFill="1" applyProtection="1">
      <protection hidden="1"/>
    </xf>
    <xf numFmtId="4" fontId="26" fillId="13" borderId="0" xfId="0" applyNumberFormat="1" applyFont="1" applyFill="1" applyProtection="1">
      <protection hidden="1"/>
    </xf>
    <xf numFmtId="170" fontId="37" fillId="0" borderId="0" xfId="1" applyNumberFormat="1" applyFont="1" applyFill="1" applyAlignment="1" applyProtection="1">
      <alignment horizontal="center"/>
      <protection hidden="1"/>
    </xf>
    <xf numFmtId="14" fontId="32" fillId="0" borderId="0" xfId="0" applyNumberFormat="1" applyFont="1" applyProtection="1">
      <protection hidden="1"/>
    </xf>
    <xf numFmtId="4" fontId="26" fillId="0" borderId="0" xfId="0" applyNumberFormat="1" applyFont="1" applyProtection="1">
      <protection hidden="1"/>
    </xf>
    <xf numFmtId="0" fontId="26" fillId="18" borderId="0" xfId="0" applyFont="1" applyFill="1" applyProtection="1">
      <protection locked="0"/>
    </xf>
    <xf numFmtId="0" fontId="0" fillId="23" borderId="0" xfId="0" applyFill="1" applyProtection="1">
      <protection locked="0"/>
    </xf>
    <xf numFmtId="0" fontId="38" fillId="0" borderId="0" xfId="0" applyFont="1" applyProtection="1">
      <protection locked="0"/>
    </xf>
    <xf numFmtId="4" fontId="37" fillId="3" borderId="0" xfId="0" applyNumberFormat="1" applyFont="1" applyFill="1"/>
    <xf numFmtId="0" fontId="37" fillId="5" borderId="0" xfId="0" applyFont="1" applyFill="1"/>
    <xf numFmtId="0" fontId="26" fillId="0" borderId="29" xfId="0" applyFont="1" applyBorder="1" applyAlignment="1" applyProtection="1">
      <alignment horizontal="left"/>
      <protection locked="0"/>
    </xf>
    <xf numFmtId="0" fontId="26" fillId="0" borderId="0" xfId="0" applyFont="1" applyAlignment="1" applyProtection="1">
      <alignment horizontal="center"/>
      <protection locked="0"/>
    </xf>
    <xf numFmtId="168" fontId="26" fillId="0" borderId="24" xfId="8" applyNumberFormat="1" applyFont="1" applyFill="1" applyBorder="1" applyAlignment="1" applyProtection="1">
      <alignment horizontal="right" indent="1"/>
      <protection hidden="1"/>
    </xf>
    <xf numFmtId="0" fontId="36" fillId="0" borderId="0" xfId="0" applyFont="1" applyAlignment="1">
      <alignment horizontal="center"/>
    </xf>
    <xf numFmtId="0" fontId="37" fillId="0" borderId="5" xfId="0" applyFont="1" applyBorder="1" applyAlignment="1">
      <alignment horizontal="center"/>
    </xf>
    <xf numFmtId="170" fontId="38" fillId="0" borderId="0" xfId="7" applyNumberFormat="1" applyFont="1" applyAlignment="1" applyProtection="1">
      <alignment horizontal="center"/>
      <protection hidden="1"/>
    </xf>
    <xf numFmtId="14" fontId="26" fillId="0" borderId="0" xfId="0" applyNumberFormat="1" applyFont="1"/>
    <xf numFmtId="0" fontId="26" fillId="0" borderId="0" xfId="0" applyFont="1"/>
    <xf numFmtId="170" fontId="0" fillId="0" borderId="0" xfId="0" applyNumberFormat="1"/>
    <xf numFmtId="14" fontId="0" fillId="0" borderId="0" xfId="0" applyNumberFormat="1"/>
    <xf numFmtId="0" fontId="26" fillId="10" borderId="0" xfId="0" applyFont="1" applyFill="1"/>
    <xf numFmtId="3" fontId="44" fillId="10" borderId="0" xfId="8" applyNumberFormat="1" applyFont="1" applyFill="1" applyBorder="1" applyAlignment="1">
      <alignment horizontal="center"/>
    </xf>
    <xf numFmtId="10" fontId="37" fillId="10" borderId="0" xfId="8" applyNumberFormat="1" applyFont="1" applyFill="1" applyBorder="1"/>
    <xf numFmtId="167" fontId="37" fillId="10" borderId="0" xfId="1" applyFont="1" applyFill="1" applyBorder="1"/>
    <xf numFmtId="167" fontId="37" fillId="24" borderId="0" xfId="1" applyFont="1" applyFill="1" applyBorder="1"/>
    <xf numFmtId="3" fontId="26" fillId="10" borderId="0" xfId="0" applyNumberFormat="1" applyFont="1" applyFill="1"/>
    <xf numFmtId="0" fontId="38" fillId="3" borderId="0" xfId="0" applyFont="1" applyFill="1"/>
    <xf numFmtId="0" fontId="26" fillId="3" borderId="0" xfId="0" applyFont="1" applyFill="1"/>
    <xf numFmtId="0" fontId="52" fillId="3" borderId="0" xfId="0" applyFont="1" applyFill="1"/>
    <xf numFmtId="0" fontId="37" fillId="3" borderId="0" xfId="0" applyFont="1" applyFill="1"/>
    <xf numFmtId="10" fontId="44" fillId="5" borderId="0" xfId="8" applyNumberFormat="1" applyFont="1" applyFill="1" applyBorder="1"/>
    <xf numFmtId="10" fontId="37" fillId="3" borderId="0" xfId="8" applyNumberFormat="1" applyFont="1" applyFill="1" applyBorder="1"/>
    <xf numFmtId="167" fontId="37" fillId="3" borderId="0" xfId="1" applyFont="1" applyFill="1" applyBorder="1"/>
    <xf numFmtId="4" fontId="36" fillId="25" borderId="15" xfId="8" applyNumberFormat="1" applyFont="1" applyFill="1" applyBorder="1"/>
    <xf numFmtId="0" fontId="36" fillId="3" borderId="0" xfId="8" applyNumberFormat="1" applyFont="1" applyFill="1" applyBorder="1"/>
    <xf numFmtId="0" fontId="36" fillId="3" borderId="1" xfId="8" applyNumberFormat="1" applyFont="1" applyFill="1" applyBorder="1"/>
    <xf numFmtId="10" fontId="37" fillId="24" borderId="0" xfId="8" applyNumberFormat="1" applyFont="1" applyFill="1" applyBorder="1"/>
    <xf numFmtId="3" fontId="26" fillId="3" borderId="0" xfId="0" applyNumberFormat="1" applyFont="1" applyFill="1"/>
    <xf numFmtId="3" fontId="26" fillId="3" borderId="14" xfId="0" applyNumberFormat="1" applyFont="1" applyFill="1" applyBorder="1"/>
    <xf numFmtId="10" fontId="26" fillId="3" borderId="0" xfId="8" applyNumberFormat="1" applyFont="1" applyFill="1" applyBorder="1"/>
    <xf numFmtId="170" fontId="37" fillId="3" borderId="0" xfId="1" applyNumberFormat="1" applyFont="1" applyFill="1" applyBorder="1"/>
    <xf numFmtId="4" fontId="36" fillId="24" borderId="15" xfId="8" applyNumberFormat="1" applyFont="1" applyFill="1" applyBorder="1"/>
    <xf numFmtId="4" fontId="36" fillId="16" borderId="15" xfId="8" applyNumberFormat="1" applyFont="1" applyFill="1" applyBorder="1"/>
    <xf numFmtId="0" fontId="36" fillId="3" borderId="13" xfId="8" applyNumberFormat="1" applyFont="1" applyFill="1" applyBorder="1"/>
    <xf numFmtId="10" fontId="36" fillId="3" borderId="14" xfId="8" applyNumberFormat="1" applyFont="1" applyFill="1" applyBorder="1"/>
    <xf numFmtId="167" fontId="36" fillId="16" borderId="0" xfId="1" applyFont="1" applyFill="1" applyBorder="1"/>
    <xf numFmtId="0" fontId="26" fillId="3" borderId="13" xfId="0" applyFont="1" applyFill="1" applyBorder="1"/>
    <xf numFmtId="3" fontId="26" fillId="3" borderId="15" xfId="0" applyNumberFormat="1" applyFont="1" applyFill="1" applyBorder="1"/>
    <xf numFmtId="0" fontId="38" fillId="2" borderId="0" xfId="0" applyFont="1" applyFill="1"/>
    <xf numFmtId="0" fontId="26" fillId="2" borderId="0" xfId="0" applyFont="1" applyFill="1"/>
    <xf numFmtId="167" fontId="36" fillId="2" borderId="0" xfId="1" applyFont="1" applyFill="1" applyBorder="1"/>
    <xf numFmtId="10" fontId="36" fillId="2" borderId="0" xfId="8" applyNumberFormat="1" applyFont="1" applyFill="1" applyBorder="1"/>
    <xf numFmtId="167" fontId="26" fillId="2" borderId="11" xfId="0" applyNumberFormat="1" applyFont="1" applyFill="1" applyBorder="1"/>
    <xf numFmtId="167" fontId="26" fillId="2" borderId="15" xfId="0" applyNumberFormat="1" applyFont="1" applyFill="1" applyBorder="1"/>
    <xf numFmtId="4" fontId="26" fillId="24" borderId="0" xfId="0" applyNumberFormat="1" applyFont="1" applyFill="1"/>
    <xf numFmtId="3" fontId="26" fillId="2" borderId="0" xfId="0" applyNumberFormat="1" applyFont="1" applyFill="1"/>
    <xf numFmtId="3" fontId="26" fillId="2" borderId="12" xfId="0" applyNumberFormat="1" applyFont="1" applyFill="1" applyBorder="1"/>
    <xf numFmtId="3" fontId="26" fillId="2" borderId="16" xfId="0" applyNumberFormat="1" applyFont="1" applyFill="1" applyBorder="1"/>
    <xf numFmtId="0" fontId="38" fillId="8" borderId="0" xfId="0" applyFont="1" applyFill="1" applyAlignment="1">
      <alignment horizontal="left"/>
    </xf>
    <xf numFmtId="0" fontId="26" fillId="8" borderId="0" xfId="0" applyFont="1" applyFill="1"/>
    <xf numFmtId="0" fontId="26" fillId="2" borderId="31" xfId="0" applyFont="1" applyFill="1" applyBorder="1"/>
    <xf numFmtId="0" fontId="37" fillId="8" borderId="0" xfId="0" applyFont="1" applyFill="1"/>
    <xf numFmtId="167" fontId="26" fillId="8" borderId="0" xfId="0" applyNumberFormat="1" applyFont="1" applyFill="1"/>
    <xf numFmtId="167" fontId="26" fillId="8" borderId="0" xfId="1" applyFont="1" applyFill="1"/>
    <xf numFmtId="0" fontId="36" fillId="8" borderId="0" xfId="0" applyFont="1" applyFill="1"/>
    <xf numFmtId="0" fontId="37" fillId="2" borderId="24" xfId="0" applyFont="1" applyFill="1" applyBorder="1"/>
    <xf numFmtId="167" fontId="26" fillId="2" borderId="12" xfId="0" applyNumberFormat="1" applyFont="1" applyFill="1" applyBorder="1"/>
    <xf numFmtId="167" fontId="26" fillId="2" borderId="16" xfId="0" applyNumberFormat="1" applyFont="1" applyFill="1" applyBorder="1"/>
    <xf numFmtId="0" fontId="38" fillId="8" borderId="0" xfId="0" applyFont="1" applyFill="1"/>
    <xf numFmtId="4" fontId="36" fillId="2" borderId="15" xfId="8" applyNumberFormat="1" applyFont="1" applyFill="1" applyBorder="1"/>
    <xf numFmtId="167" fontId="26" fillId="2" borderId="0" xfId="0" applyNumberFormat="1" applyFont="1" applyFill="1"/>
    <xf numFmtId="167" fontId="37" fillId="8" borderId="0" xfId="0" applyNumberFormat="1" applyFont="1" applyFill="1"/>
    <xf numFmtId="0" fontId="45" fillId="9" borderId="1" xfId="0" applyFont="1" applyFill="1" applyBorder="1"/>
    <xf numFmtId="167" fontId="36" fillId="9" borderId="1" xfId="1" applyFont="1" applyFill="1" applyBorder="1"/>
    <xf numFmtId="0" fontId="26" fillId="8" borderId="1" xfId="0" applyFont="1" applyFill="1" applyBorder="1"/>
    <xf numFmtId="10" fontId="36" fillId="26" borderId="14" xfId="8" applyNumberFormat="1" applyFont="1" applyFill="1" applyBorder="1"/>
    <xf numFmtId="3" fontId="26" fillId="6" borderId="13" xfId="0" applyNumberFormat="1" applyFont="1" applyFill="1" applyBorder="1"/>
    <xf numFmtId="0" fontId="26" fillId="6" borderId="0" xfId="0" applyFont="1" applyFill="1"/>
    <xf numFmtId="0" fontId="27" fillId="0" borderId="32" xfId="0" applyFont="1" applyBorder="1" applyAlignment="1">
      <alignment horizontal="left" vertical="center" wrapText="1"/>
    </xf>
    <xf numFmtId="0" fontId="27" fillId="0" borderId="15" xfId="0" applyFont="1" applyBorder="1" applyAlignment="1">
      <alignment horizontal="left" vertical="center" wrapText="1"/>
    </xf>
    <xf numFmtId="0" fontId="27" fillId="0" borderId="15" xfId="0" applyFont="1" applyBorder="1" applyAlignment="1">
      <alignment horizontal="center" vertical="center" wrapText="1"/>
    </xf>
    <xf numFmtId="0" fontId="27" fillId="0" borderId="11" xfId="0" applyFont="1" applyBorder="1" applyAlignment="1">
      <alignment horizontal="center" vertical="center" wrapText="1"/>
    </xf>
    <xf numFmtId="167" fontId="27" fillId="0" borderId="23" xfId="1" applyFont="1" applyFill="1" applyBorder="1" applyAlignment="1">
      <alignment horizontal="center" vertical="center" wrapText="1"/>
    </xf>
    <xf numFmtId="0" fontId="27" fillId="0" borderId="7" xfId="0" applyFont="1" applyBorder="1" applyAlignment="1">
      <alignment horizontal="center" vertical="center" wrapText="1"/>
    </xf>
    <xf numFmtId="0" fontId="27" fillId="16" borderId="15" xfId="0" applyFont="1" applyFill="1" applyBorder="1" applyAlignment="1">
      <alignment horizontal="center" vertical="center" wrapText="1"/>
    </xf>
    <xf numFmtId="0" fontId="27" fillId="0" borderId="33" xfId="0" applyFont="1" applyBorder="1" applyAlignment="1">
      <alignment horizontal="center" vertical="center" wrapText="1"/>
    </xf>
    <xf numFmtId="0" fontId="27" fillId="0" borderId="5" xfId="0" applyFont="1" applyBorder="1" applyAlignment="1">
      <alignment horizontal="center" vertical="center" wrapText="1"/>
    </xf>
    <xf numFmtId="3" fontId="30" fillId="0" borderId="5" xfId="0" applyNumberFormat="1" applyFont="1" applyBorder="1" applyAlignment="1">
      <alignment horizontal="center" vertical="center" wrapText="1"/>
    </xf>
    <xf numFmtId="0" fontId="30" fillId="0" borderId="24" xfId="0" applyFont="1" applyBorder="1" applyAlignment="1">
      <alignment horizontal="center" vertical="center" wrapText="1"/>
    </xf>
    <xf numFmtId="0" fontId="30" fillId="0" borderId="5" xfId="0" applyFont="1" applyBorder="1" applyAlignment="1">
      <alignment horizontal="center" vertical="center" wrapText="1"/>
    </xf>
    <xf numFmtId="0" fontId="54" fillId="0" borderId="5" xfId="0" applyFont="1" applyBorder="1" applyAlignment="1">
      <alignment horizontal="center" vertical="center" wrapText="1"/>
    </xf>
    <xf numFmtId="0" fontId="30" fillId="0" borderId="0" xfId="0" applyFont="1"/>
    <xf numFmtId="167" fontId="26" fillId="0" borderId="0" xfId="1" applyFont="1" applyFill="1" applyBorder="1"/>
    <xf numFmtId="3" fontId="26" fillId="0" borderId="0" xfId="0" applyNumberFormat="1" applyFont="1"/>
    <xf numFmtId="49" fontId="36" fillId="9" borderId="16" xfId="0" applyNumberFormat="1" applyFont="1" applyFill="1" applyBorder="1" applyAlignment="1">
      <alignment horizontal="center"/>
    </xf>
    <xf numFmtId="0" fontId="48" fillId="14" borderId="35" xfId="0" applyFont="1" applyFill="1" applyBorder="1" applyAlignment="1">
      <alignment horizontal="left" vertical="center" wrapText="1"/>
    </xf>
    <xf numFmtId="0" fontId="48" fillId="14" borderId="36" xfId="0" applyFont="1" applyFill="1" applyBorder="1" applyAlignment="1">
      <alignment horizontal="left" vertical="center" wrapText="1"/>
    </xf>
    <xf numFmtId="0" fontId="48" fillId="14" borderId="36" xfId="0" applyFont="1" applyFill="1" applyBorder="1" applyAlignment="1">
      <alignment horizontal="center" vertical="center" wrapText="1"/>
    </xf>
    <xf numFmtId="0" fontId="53" fillId="14" borderId="36" xfId="0" applyFont="1" applyFill="1" applyBorder="1" applyAlignment="1">
      <alignment horizontal="center" vertical="center" wrapText="1"/>
    </xf>
    <xf numFmtId="0" fontId="44" fillId="8" borderId="0" xfId="0" applyFont="1" applyFill="1"/>
    <xf numFmtId="0" fontId="36" fillId="9" borderId="16" xfId="0" applyFont="1" applyFill="1" applyBorder="1"/>
    <xf numFmtId="10" fontId="45" fillId="9" borderId="1" xfId="8" applyNumberFormat="1" applyFont="1" applyFill="1" applyBorder="1"/>
    <xf numFmtId="167" fontId="45" fillId="9" borderId="1" xfId="1" applyFont="1" applyFill="1" applyBorder="1"/>
    <xf numFmtId="14" fontId="32" fillId="13" borderId="0" xfId="0" applyNumberFormat="1" applyFont="1" applyFill="1" applyProtection="1">
      <protection hidden="1"/>
    </xf>
    <xf numFmtId="14" fontId="46" fillId="3" borderId="0" xfId="0" applyNumberFormat="1" applyFont="1" applyFill="1"/>
    <xf numFmtId="0" fontId="46" fillId="3" borderId="0" xfId="0" applyFont="1" applyFill="1"/>
    <xf numFmtId="0" fontId="46" fillId="0" borderId="0" xfId="0" applyFont="1"/>
    <xf numFmtId="14" fontId="44" fillId="4" borderId="0" xfId="0" applyNumberFormat="1" applyFont="1" applyFill="1"/>
    <xf numFmtId="0" fontId="8" fillId="4" borderId="0" xfId="0" applyFont="1" applyFill="1" applyAlignment="1">
      <alignment horizontal="left" vertical="center" wrapText="1"/>
    </xf>
    <xf numFmtId="0" fontId="8" fillId="4" borderId="0" xfId="0" applyFont="1" applyFill="1" applyAlignment="1">
      <alignment horizontal="left" vertical="center"/>
    </xf>
    <xf numFmtId="9" fontId="47" fillId="4" borderId="0" xfId="0" applyNumberFormat="1" applyFont="1" applyFill="1"/>
    <xf numFmtId="170" fontId="7" fillId="4" borderId="7" xfId="1" applyNumberFormat="1" applyFont="1" applyFill="1" applyBorder="1" applyAlignment="1">
      <alignment horizontal="center" vertical="center" wrapText="1"/>
    </xf>
    <xf numFmtId="0" fontId="7" fillId="4" borderId="0" xfId="0" applyFont="1" applyFill="1"/>
    <xf numFmtId="167" fontId="47" fillId="4" borderId="0" xfId="1" applyFont="1" applyFill="1" applyBorder="1" applyAlignment="1">
      <alignment vertical="center"/>
    </xf>
    <xf numFmtId="0" fontId="47" fillId="4" borderId="0" xfId="0" applyFont="1" applyFill="1"/>
    <xf numFmtId="0" fontId="30" fillId="0" borderId="0" xfId="0" applyFont="1" applyAlignment="1">
      <alignment wrapText="1"/>
    </xf>
    <xf numFmtId="0" fontId="0" fillId="14" borderId="6" xfId="0" applyFill="1" applyBorder="1" applyAlignment="1" applyProtection="1">
      <alignment vertical="center"/>
      <protection hidden="1"/>
    </xf>
    <xf numFmtId="0" fontId="55" fillId="3" borderId="0" xfId="0" applyFont="1" applyFill="1" applyAlignment="1">
      <alignment horizontal="left" vertical="center" wrapText="1"/>
    </xf>
    <xf numFmtId="0" fontId="55" fillId="3" borderId="0" xfId="0" applyFont="1" applyFill="1" applyAlignment="1">
      <alignment horizontal="left" vertical="center"/>
    </xf>
    <xf numFmtId="0" fontId="4" fillId="3" borderId="0" xfId="0" applyFont="1" applyFill="1"/>
    <xf numFmtId="9" fontId="56" fillId="3" borderId="0" xfId="0" applyNumberFormat="1" applyFont="1" applyFill="1"/>
    <xf numFmtId="170" fontId="23" fillId="3" borderId="7" xfId="1" applyNumberFormat="1" applyFont="1" applyFill="1" applyBorder="1" applyAlignment="1">
      <alignment horizontal="center" vertical="center" wrapText="1"/>
    </xf>
    <xf numFmtId="167" fontId="56" fillId="3" borderId="0" xfId="1" applyFont="1" applyFill="1" applyBorder="1" applyAlignment="1">
      <alignment vertical="center"/>
    </xf>
    <xf numFmtId="0" fontId="56" fillId="3" borderId="0" xfId="0" applyFont="1" applyFill="1"/>
    <xf numFmtId="0" fontId="23" fillId="0" borderId="0" xfId="0" applyFont="1"/>
    <xf numFmtId="0" fontId="57" fillId="3" borderId="0" xfId="0" applyFont="1" applyFill="1" applyAlignment="1">
      <alignment horizontal="left" vertical="center" wrapText="1"/>
    </xf>
    <xf numFmtId="4" fontId="4" fillId="3" borderId="0" xfId="0" applyNumberFormat="1" applyFont="1" applyFill="1" applyAlignment="1">
      <alignment horizontal="right"/>
    </xf>
    <xf numFmtId="2" fontId="0" fillId="16" borderId="0" xfId="0" applyNumberFormat="1" applyFill="1"/>
    <xf numFmtId="0" fontId="46" fillId="22" borderId="0" xfId="0" applyFont="1" applyFill="1"/>
    <xf numFmtId="0" fontId="0" fillId="4" borderId="14" xfId="0" applyFill="1" applyBorder="1"/>
    <xf numFmtId="0" fontId="0" fillId="4" borderId="15" xfId="0" applyFill="1" applyBorder="1"/>
    <xf numFmtId="0" fontId="0" fillId="4" borderId="16" xfId="0" applyFill="1" applyBorder="1"/>
    <xf numFmtId="167" fontId="2" fillId="4" borderId="0" xfId="1" applyFont="1" applyFill="1" applyBorder="1"/>
    <xf numFmtId="167" fontId="0" fillId="20" borderId="15" xfId="0" applyNumberFormat="1" applyFill="1" applyBorder="1"/>
    <xf numFmtId="0" fontId="8" fillId="3" borderId="0" xfId="0" applyFont="1" applyFill="1" applyAlignment="1">
      <alignment horizontal="left" vertical="center" shrinkToFit="1"/>
    </xf>
    <xf numFmtId="0" fontId="9" fillId="3" borderId="0" xfId="0" applyFont="1" applyFill="1" applyAlignment="1">
      <alignment horizontal="left" vertical="center" shrinkToFit="1"/>
    </xf>
    <xf numFmtId="0" fontId="55" fillId="3" borderId="0" xfId="0" applyFont="1" applyFill="1" applyAlignment="1">
      <alignment horizontal="left" vertical="center" shrinkToFit="1"/>
    </xf>
    <xf numFmtId="0" fontId="8" fillId="4" borderId="0" xfId="0" applyFont="1" applyFill="1" applyAlignment="1">
      <alignment horizontal="left" vertical="center" shrinkToFit="1"/>
    </xf>
    <xf numFmtId="0" fontId="8" fillId="20" borderId="0" xfId="0" applyFont="1" applyFill="1" applyAlignment="1">
      <alignment horizontal="left" vertical="center" shrinkToFit="1"/>
    </xf>
    <xf numFmtId="0" fontId="59" fillId="20" borderId="0" xfId="0" applyFont="1" applyFill="1" applyAlignment="1">
      <alignment horizontal="left" vertical="center" shrinkToFit="1"/>
    </xf>
    <xf numFmtId="0" fontId="19" fillId="11" borderId="0" xfId="0" applyFont="1" applyFill="1" applyAlignment="1">
      <alignment horizontal="left" vertical="center" shrinkToFit="1"/>
    </xf>
    <xf numFmtId="0" fontId="19" fillId="0" borderId="0" xfId="0" applyFont="1" applyAlignment="1">
      <alignment horizontal="left" vertical="center" shrinkToFit="1"/>
    </xf>
    <xf numFmtId="0" fontId="8" fillId="25" borderId="0" xfId="0" applyFont="1" applyFill="1" applyAlignment="1">
      <alignment horizontal="left" vertical="center" wrapText="1"/>
    </xf>
    <xf numFmtId="0" fontId="6" fillId="25" borderId="0" xfId="0" applyFont="1" applyFill="1" applyAlignment="1">
      <alignment horizontal="left" vertical="center" shrinkToFit="1"/>
    </xf>
    <xf numFmtId="0" fontId="8" fillId="25" borderId="0" xfId="0" applyFont="1" applyFill="1" applyAlignment="1">
      <alignment horizontal="left" vertical="center"/>
    </xf>
    <xf numFmtId="0" fontId="2" fillId="25" borderId="0" xfId="0" applyFont="1" applyFill="1"/>
    <xf numFmtId="9" fontId="47" fillId="25" borderId="0" xfId="0" applyNumberFormat="1" applyFont="1" applyFill="1"/>
    <xf numFmtId="170" fontId="7" fillId="25" borderId="7" xfId="1" applyNumberFormat="1" applyFont="1" applyFill="1" applyBorder="1" applyAlignment="1">
      <alignment horizontal="right" vertical="center" wrapText="1"/>
    </xf>
    <xf numFmtId="170" fontId="7" fillId="25" borderId="0" xfId="0" applyNumberFormat="1" applyFont="1" applyFill="1"/>
    <xf numFmtId="167" fontId="47" fillId="25" borderId="0" xfId="1" applyFont="1" applyFill="1" applyBorder="1" applyAlignment="1">
      <alignment vertical="center"/>
    </xf>
    <xf numFmtId="3" fontId="47" fillId="25" borderId="0" xfId="0" applyNumberFormat="1" applyFont="1" applyFill="1"/>
    <xf numFmtId="0" fontId="47" fillId="25" borderId="0" xfId="0" applyFont="1" applyFill="1"/>
    <xf numFmtId="0" fontId="7" fillId="25" borderId="0" xfId="0" applyFont="1" applyFill="1"/>
    <xf numFmtId="0" fontId="8" fillId="25" borderId="0" xfId="0" applyFont="1" applyFill="1" applyAlignment="1">
      <alignment horizontal="left" vertical="center" shrinkToFit="1"/>
    </xf>
    <xf numFmtId="4" fontId="2" fillId="25" borderId="0" xfId="0" applyNumberFormat="1" applyFont="1" applyFill="1" applyAlignment="1">
      <alignment horizontal="right"/>
    </xf>
    <xf numFmtId="4" fontId="7" fillId="25" borderId="0" xfId="0" applyNumberFormat="1" applyFont="1" applyFill="1" applyAlignment="1">
      <alignment horizontal="right"/>
    </xf>
    <xf numFmtId="0" fontId="23" fillId="25" borderId="0" xfId="0" applyFont="1" applyFill="1"/>
    <xf numFmtId="0" fontId="9" fillId="25" borderId="0" xfId="0" applyFont="1" applyFill="1" applyAlignment="1">
      <alignment horizontal="left" vertical="center" wrapText="1"/>
    </xf>
    <xf numFmtId="0" fontId="9" fillId="25" borderId="0" xfId="0" applyFont="1" applyFill="1" applyAlignment="1">
      <alignment horizontal="left" vertical="center" shrinkToFit="1"/>
    </xf>
    <xf numFmtId="170" fontId="7" fillId="25" borderId="7" xfId="1" applyNumberFormat="1" applyFont="1" applyFill="1" applyBorder="1" applyAlignment="1">
      <alignment horizontal="center" vertical="center" wrapText="1"/>
    </xf>
    <xf numFmtId="3" fontId="38" fillId="0" borderId="0" xfId="0" applyNumberFormat="1" applyFont="1" applyAlignment="1">
      <alignment horizontal="left"/>
    </xf>
    <xf numFmtId="0" fontId="0" fillId="29" borderId="0" xfId="0" applyFill="1"/>
    <xf numFmtId="3" fontId="55" fillId="3" borderId="0" xfId="0" applyNumberFormat="1" applyFont="1" applyFill="1" applyAlignment="1">
      <alignment horizontal="left" vertical="center" wrapText="1"/>
    </xf>
    <xf numFmtId="167" fontId="7" fillId="0" borderId="0" xfId="0" applyNumberFormat="1" applyFont="1"/>
    <xf numFmtId="4" fontId="36" fillId="30" borderId="15" xfId="8" applyNumberFormat="1" applyFont="1" applyFill="1" applyBorder="1"/>
    <xf numFmtId="0" fontId="0" fillId="0" borderId="0" xfId="0" applyAlignment="1" applyProtection="1">
      <alignment horizontal="right"/>
      <protection locked="0"/>
    </xf>
    <xf numFmtId="0" fontId="0" fillId="31" borderId="0" xfId="0" applyFill="1" applyProtection="1">
      <protection locked="0"/>
    </xf>
    <xf numFmtId="173" fontId="38" fillId="0" borderId="30" xfId="0" applyNumberFormat="1" applyFont="1" applyBorder="1" applyAlignment="1" applyProtection="1">
      <alignment horizontal="right" indent="1"/>
      <protection locked="0"/>
    </xf>
    <xf numFmtId="173" fontId="26" fillId="22" borderId="29" xfId="0" applyNumberFormat="1" applyFont="1" applyFill="1" applyBorder="1" applyAlignment="1" applyProtection="1">
      <alignment horizontal="center"/>
      <protection locked="0"/>
    </xf>
    <xf numFmtId="173" fontId="85" fillId="22" borderId="0" xfId="0" applyNumberFormat="1" applyFont="1" applyFill="1" applyProtection="1">
      <protection locked="0"/>
    </xf>
    <xf numFmtId="0" fontId="86" fillId="20" borderId="0" xfId="0" applyFont="1" applyFill="1" applyAlignment="1">
      <alignment horizontal="left" vertical="center" wrapText="1"/>
    </xf>
    <xf numFmtId="0" fontId="86" fillId="20" borderId="0" xfId="0" applyFont="1" applyFill="1" applyAlignment="1">
      <alignment horizontal="left" vertical="center" shrinkToFit="1"/>
    </xf>
    <xf numFmtId="0" fontId="86" fillId="20" borderId="0" xfId="0" applyFont="1" applyFill="1" applyAlignment="1">
      <alignment horizontal="left" vertical="center"/>
    </xf>
    <xf numFmtId="0" fontId="87" fillId="20" borderId="0" xfId="0" applyFont="1" applyFill="1"/>
    <xf numFmtId="9" fontId="88" fillId="20" borderId="0" xfId="0" applyNumberFormat="1" applyFont="1" applyFill="1"/>
    <xf numFmtId="170" fontId="87" fillId="20" borderId="7" xfId="1" applyNumberFormat="1" applyFont="1" applyFill="1" applyBorder="1" applyAlignment="1">
      <alignment horizontal="center" vertical="center" wrapText="1"/>
    </xf>
    <xf numFmtId="167" fontId="88" fillId="20" borderId="0" xfId="1" applyFont="1" applyFill="1" applyBorder="1" applyAlignment="1">
      <alignment vertical="center"/>
    </xf>
    <xf numFmtId="3" fontId="88" fillId="20" borderId="0" xfId="0" applyNumberFormat="1" applyFont="1" applyFill="1"/>
    <xf numFmtId="0" fontId="88" fillId="20" borderId="0" xfId="0" applyFont="1" applyFill="1"/>
    <xf numFmtId="0" fontId="2" fillId="20" borderId="0" xfId="0" applyFont="1" applyFill="1"/>
    <xf numFmtId="0" fontId="66" fillId="34" borderId="0" xfId="4" applyFill="1"/>
    <xf numFmtId="0" fontId="66" fillId="34" borderId="0" xfId="4" applyFill="1" applyAlignment="1">
      <alignment horizontal="right" indent="1"/>
    </xf>
    <xf numFmtId="0" fontId="7" fillId="34" borderId="0" xfId="4" applyFont="1" applyFill="1"/>
    <xf numFmtId="0" fontId="7" fillId="34" borderId="0" xfId="4" applyFont="1" applyFill="1" applyAlignment="1">
      <alignment horizontal="right" indent="1"/>
    </xf>
    <xf numFmtId="0" fontId="2" fillId="34" borderId="0" xfId="4" applyFont="1" applyFill="1"/>
    <xf numFmtId="0" fontId="66" fillId="34" borderId="0" xfId="4" applyFill="1" applyAlignment="1">
      <alignment vertical="center"/>
    </xf>
    <xf numFmtId="0" fontId="7" fillId="34" borderId="0" xfId="4" applyFont="1" applyFill="1" applyAlignment="1">
      <alignment vertical="top" wrapText="1"/>
    </xf>
    <xf numFmtId="0" fontId="2" fillId="31" borderId="0" xfId="5" applyFont="1" applyFill="1"/>
    <xf numFmtId="0" fontId="7" fillId="31" borderId="0" xfId="5" applyFill="1"/>
    <xf numFmtId="0" fontId="7" fillId="0" borderId="0" xfId="5"/>
    <xf numFmtId="0" fontId="7" fillId="0" borderId="0" xfId="5" applyAlignment="1">
      <alignment wrapText="1"/>
    </xf>
    <xf numFmtId="0" fontId="8" fillId="0" borderId="0" xfId="5" applyFont="1" applyAlignment="1">
      <alignment wrapText="1"/>
    </xf>
    <xf numFmtId="0" fontId="2" fillId="35" borderId="0" xfId="5" applyFont="1" applyFill="1"/>
    <xf numFmtId="0" fontId="7" fillId="35" borderId="0" xfId="5" applyFill="1"/>
    <xf numFmtId="0" fontId="89" fillId="0" borderId="0" xfId="5" applyFont="1" applyAlignment="1">
      <alignment wrapText="1"/>
    </xf>
    <xf numFmtId="0" fontId="90" fillId="34" borderId="0" xfId="4" applyFont="1" applyFill="1"/>
    <xf numFmtId="0" fontId="7" fillId="36" borderId="0" xfId="0" applyFont="1" applyFill="1" applyAlignment="1">
      <alignment horizontal="center" vertical="center"/>
    </xf>
    <xf numFmtId="0" fontId="0" fillId="36" borderId="0" xfId="0" applyFill="1" applyAlignment="1">
      <alignment horizontal="center" vertical="center"/>
    </xf>
    <xf numFmtId="0" fontId="7" fillId="34" borderId="0" xfId="0" applyFont="1" applyFill="1" applyAlignment="1">
      <alignment horizontal="right" vertical="top" wrapText="1"/>
    </xf>
    <xf numFmtId="0" fontId="2" fillId="37" borderId="0" xfId="0" applyFont="1" applyFill="1" applyAlignment="1">
      <alignment vertical="top" wrapText="1"/>
    </xf>
    <xf numFmtId="0" fontId="7" fillId="37" borderId="0" xfId="0" applyFont="1" applyFill="1" applyAlignment="1">
      <alignment vertical="center"/>
    </xf>
    <xf numFmtId="14" fontId="91" fillId="29" borderId="0" xfId="0" applyNumberFormat="1" applyFont="1" applyFill="1" applyAlignment="1">
      <alignment vertical="center"/>
    </xf>
    <xf numFmtId="0" fontId="92" fillId="29" borderId="0" xfId="0" applyFont="1" applyFill="1" applyAlignment="1">
      <alignment horizontal="center" vertical="center"/>
    </xf>
    <xf numFmtId="174" fontId="92" fillId="29" borderId="0" xfId="9" applyNumberFormat="1" applyFont="1" applyFill="1" applyAlignment="1">
      <alignment horizontal="right" vertical="center"/>
    </xf>
    <xf numFmtId="174" fontId="92" fillId="29" borderId="0" xfId="0" applyNumberFormat="1" applyFont="1" applyFill="1" applyAlignment="1">
      <alignment horizontal="right" vertical="center"/>
    </xf>
    <xf numFmtId="174" fontId="0" fillId="36" borderId="0" xfId="0" applyNumberFormat="1" applyFill="1" applyAlignment="1">
      <alignment vertical="center"/>
    </xf>
    <xf numFmtId="0" fontId="7" fillId="38" borderId="0" xfId="0" applyFont="1" applyFill="1" applyAlignment="1">
      <alignment vertical="center"/>
    </xf>
    <xf numFmtId="14" fontId="91" fillId="38" borderId="0" xfId="0" applyNumberFormat="1" applyFont="1" applyFill="1" applyAlignment="1">
      <alignment vertical="center"/>
    </xf>
    <xf numFmtId="0" fontId="92" fillId="38" borderId="0" xfId="0" applyFont="1" applyFill="1"/>
    <xf numFmtId="0" fontId="66" fillId="34" borderId="0" xfId="4" applyFill="1" applyAlignment="1">
      <alignment vertical="top" wrapText="1"/>
    </xf>
    <xf numFmtId="0" fontId="93" fillId="34" borderId="0" xfId="4" applyFont="1" applyFill="1"/>
    <xf numFmtId="0" fontId="2" fillId="34" borderId="0" xfId="4" applyFont="1" applyFill="1" applyAlignment="1">
      <alignment horizontal="right" vertical="center"/>
    </xf>
    <xf numFmtId="0" fontId="94" fillId="34" borderId="0" xfId="4" applyFont="1" applyFill="1" applyAlignment="1">
      <alignment vertical="center"/>
    </xf>
    <xf numFmtId="0" fontId="95" fillId="34" borderId="52" xfId="4" applyFont="1" applyFill="1" applyBorder="1" applyAlignment="1">
      <alignment vertical="center" wrapText="1"/>
    </xf>
    <xf numFmtId="0" fontId="96" fillId="34" borderId="52" xfId="4" applyFont="1" applyFill="1" applyBorder="1" applyAlignment="1">
      <alignment vertical="center"/>
    </xf>
    <xf numFmtId="4" fontId="96" fillId="34" borderId="52" xfId="4" applyNumberFormat="1" applyFont="1" applyFill="1" applyBorder="1" applyAlignment="1">
      <alignment vertical="center"/>
    </xf>
    <xf numFmtId="10" fontId="96" fillId="34" borderId="52" xfId="4" applyNumberFormat="1" applyFont="1" applyFill="1" applyBorder="1" applyAlignment="1">
      <alignment vertical="center"/>
    </xf>
    <xf numFmtId="14" fontId="96" fillId="34" borderId="52" xfId="4" applyNumberFormat="1" applyFont="1" applyFill="1" applyBorder="1" applyAlignment="1">
      <alignment vertical="center"/>
    </xf>
    <xf numFmtId="4" fontId="96" fillId="34" borderId="53" xfId="4" applyNumberFormat="1" applyFont="1" applyFill="1" applyBorder="1" applyAlignment="1">
      <alignment vertical="center"/>
    </xf>
    <xf numFmtId="0" fontId="2" fillId="36" borderId="0" xfId="0" applyFont="1" applyFill="1" applyAlignment="1">
      <alignment horizontal="center" vertical="center"/>
    </xf>
    <xf numFmtId="0" fontId="9" fillId="36" borderId="0" xfId="0" applyFont="1" applyFill="1" applyAlignment="1">
      <alignment horizontal="center" vertical="center"/>
    </xf>
    <xf numFmtId="0" fontId="7" fillId="39" borderId="0" xfId="0" applyFont="1" applyFill="1" applyAlignment="1">
      <alignment vertical="center"/>
    </xf>
    <xf numFmtId="0" fontId="7" fillId="34" borderId="0" xfId="0" applyFont="1" applyFill="1" applyAlignment="1">
      <alignment vertical="top" wrapText="1"/>
    </xf>
    <xf numFmtId="0" fontId="8" fillId="34" borderId="0" xfId="0" applyFont="1" applyFill="1" applyAlignment="1">
      <alignment vertical="top" wrapText="1"/>
    </xf>
    <xf numFmtId="0" fontId="7" fillId="29" borderId="0" xfId="0" applyFont="1" applyFill="1" applyAlignment="1">
      <alignment vertical="top" wrapText="1"/>
    </xf>
    <xf numFmtId="0" fontId="2" fillId="34" borderId="0" xfId="0" applyFont="1" applyFill="1" applyAlignment="1">
      <alignment vertical="top" wrapText="1"/>
    </xf>
    <xf numFmtId="0" fontId="95" fillId="39" borderId="0" xfId="0" applyFont="1" applyFill="1" applyAlignment="1">
      <alignment horizontal="center" vertical="center"/>
    </xf>
    <xf numFmtId="0" fontId="98" fillId="34" borderId="0" xfId="4" applyFont="1" applyFill="1" applyAlignment="1">
      <alignment horizontal="right" indent="1"/>
    </xf>
    <xf numFmtId="0" fontId="98" fillId="34" borderId="0" xfId="4" applyFont="1" applyFill="1" applyAlignment="1">
      <alignment horizontal="right" wrapText="1" indent="1"/>
    </xf>
    <xf numFmtId="0" fontId="98" fillId="34" borderId="0" xfId="4" applyFont="1" applyFill="1" applyAlignment="1">
      <alignment horizontal="right" vertical="center" indent="1"/>
    </xf>
    <xf numFmtId="0" fontId="99" fillId="39" borderId="0" xfId="4" applyFont="1" applyFill="1" applyAlignment="1">
      <alignment vertical="center"/>
    </xf>
    <xf numFmtId="0" fontId="99" fillId="39" borderId="13" xfId="4" applyFont="1" applyFill="1" applyBorder="1" applyAlignment="1">
      <alignment horizontal="left" vertical="center" wrapText="1" indent="1"/>
    </xf>
    <xf numFmtId="0" fontId="100" fillId="39" borderId="11" xfId="4" applyFont="1" applyFill="1" applyBorder="1" applyAlignment="1">
      <alignment horizontal="left" vertical="center" wrapText="1" indent="1"/>
    </xf>
    <xf numFmtId="0" fontId="99" fillId="39" borderId="11" xfId="4" applyFont="1" applyFill="1" applyBorder="1" applyAlignment="1">
      <alignment horizontal="left" vertical="center" wrapText="1" indent="1"/>
    </xf>
    <xf numFmtId="0" fontId="100" fillId="39" borderId="13" xfId="4" applyFont="1" applyFill="1" applyBorder="1" applyAlignment="1">
      <alignment horizontal="left" vertical="center" wrapText="1" indent="1"/>
    </xf>
    <xf numFmtId="0" fontId="100" fillId="39" borderId="12" xfId="4" applyFont="1" applyFill="1" applyBorder="1" applyAlignment="1">
      <alignment horizontal="left" vertical="center" wrapText="1" indent="1"/>
    </xf>
    <xf numFmtId="0" fontId="102" fillId="39" borderId="21" xfId="4" applyFont="1" applyFill="1" applyBorder="1" applyAlignment="1">
      <alignment vertical="center"/>
    </xf>
    <xf numFmtId="0" fontId="99" fillId="39" borderId="22" xfId="4" applyFont="1" applyFill="1" applyBorder="1" applyAlignment="1">
      <alignment vertical="center" wrapText="1"/>
    </xf>
    <xf numFmtId="0" fontId="103" fillId="39" borderId="9" xfId="3" applyFont="1" applyFill="1" applyBorder="1" applyAlignment="1">
      <alignment horizontal="left" vertical="center"/>
    </xf>
    <xf numFmtId="0" fontId="99" fillId="39" borderId="9" xfId="4" applyFont="1" applyFill="1" applyBorder="1" applyAlignment="1">
      <alignment horizontal="left" vertical="center" indent="1"/>
    </xf>
    <xf numFmtId="0" fontId="103" fillId="39" borderId="9" xfId="3" applyFont="1" applyFill="1" applyBorder="1" applyAlignment="1">
      <alignment horizontal="left" vertical="center" indent="1"/>
    </xf>
    <xf numFmtId="0" fontId="100" fillId="39" borderId="9" xfId="4" applyFont="1" applyFill="1" applyBorder="1" applyAlignment="1">
      <alignment horizontal="left" vertical="center" indent="1"/>
    </xf>
    <xf numFmtId="0" fontId="100" fillId="39" borderId="40" xfId="4" applyFont="1" applyFill="1" applyBorder="1" applyAlignment="1">
      <alignment vertical="center"/>
    </xf>
    <xf numFmtId="0" fontId="100" fillId="39" borderId="22" xfId="4" applyFont="1" applyFill="1" applyBorder="1" applyAlignment="1">
      <alignment vertical="center"/>
    </xf>
    <xf numFmtId="4" fontId="104" fillId="39" borderId="12" xfId="4" applyNumberFormat="1" applyFont="1" applyFill="1" applyBorder="1" applyAlignment="1">
      <alignment horizontal="left" vertical="center" wrapText="1"/>
    </xf>
    <xf numFmtId="0" fontId="100" fillId="39" borderId="22" xfId="4" applyFont="1" applyFill="1" applyBorder="1" applyAlignment="1">
      <alignment vertical="top" wrapText="1"/>
    </xf>
    <xf numFmtId="0" fontId="100" fillId="39" borderId="22" xfId="4" applyFont="1" applyFill="1" applyBorder="1" applyAlignment="1">
      <alignment vertical="center" wrapText="1"/>
    </xf>
    <xf numFmtId="0" fontId="99" fillId="39" borderId="11" xfId="4" applyFont="1" applyFill="1" applyBorder="1" applyAlignment="1">
      <alignment horizontal="left" vertical="top" wrapText="1" indent="1"/>
    </xf>
    <xf numFmtId="0" fontId="100" fillId="39" borderId="22" xfId="4" applyFont="1" applyFill="1" applyBorder="1" applyAlignment="1">
      <alignment horizontal="left" vertical="center" wrapText="1"/>
    </xf>
    <xf numFmtId="0" fontId="105" fillId="39" borderId="9" xfId="4" applyFont="1" applyFill="1" applyBorder="1" applyAlignment="1">
      <alignment horizontal="left" vertical="top" wrapText="1" indent="1"/>
    </xf>
    <xf numFmtId="4" fontId="100" fillId="39" borderId="39" xfId="4" applyNumberFormat="1" applyFont="1" applyFill="1" applyBorder="1" applyAlignment="1">
      <alignment vertical="center" wrapText="1"/>
    </xf>
    <xf numFmtId="4" fontId="99" fillId="39" borderId="13" xfId="4" applyNumberFormat="1" applyFont="1" applyFill="1" applyBorder="1" applyAlignment="1">
      <alignment horizontal="left" vertical="center" wrapText="1" indent="1"/>
    </xf>
    <xf numFmtId="4" fontId="99" fillId="39" borderId="21" xfId="4" applyNumberFormat="1" applyFont="1" applyFill="1" applyBorder="1" applyAlignment="1">
      <alignment vertical="center" wrapText="1"/>
    </xf>
    <xf numFmtId="0" fontId="100" fillId="39" borderId="20" xfId="4" applyFont="1" applyFill="1" applyBorder="1" applyAlignment="1">
      <alignment vertical="center" wrapText="1"/>
    </xf>
    <xf numFmtId="0" fontId="99" fillId="39" borderId="21" xfId="4" applyFont="1" applyFill="1" applyBorder="1" applyAlignment="1">
      <alignment vertical="center" wrapText="1"/>
    </xf>
    <xf numFmtId="0" fontId="99" fillId="39" borderId="12" xfId="4" applyFont="1" applyFill="1" applyBorder="1" applyAlignment="1">
      <alignment vertical="center"/>
    </xf>
    <xf numFmtId="0" fontId="100" fillId="39" borderId="39" xfId="4" applyFont="1" applyFill="1" applyBorder="1" applyAlignment="1">
      <alignment horizontal="left" vertical="center" wrapText="1"/>
    </xf>
    <xf numFmtId="0" fontId="100" fillId="39" borderId="20" xfId="4" applyFont="1" applyFill="1" applyBorder="1" applyAlignment="1">
      <alignment horizontal="left" vertical="center" wrapText="1" indent="1"/>
    </xf>
    <xf numFmtId="0" fontId="99" fillId="39" borderId="13" xfId="4" applyFont="1" applyFill="1" applyBorder="1" applyAlignment="1">
      <alignment horizontal="left" vertical="top" wrapText="1" indent="1"/>
    </xf>
    <xf numFmtId="0" fontId="99" fillId="39" borderId="0" xfId="4" applyFont="1" applyFill="1" applyAlignment="1">
      <alignment horizontal="left" vertical="top" wrapText="1" indent="1"/>
    </xf>
    <xf numFmtId="0" fontId="100" fillId="39" borderId="21" xfId="4" applyFont="1" applyFill="1" applyBorder="1" applyAlignment="1">
      <alignment vertical="top" wrapText="1"/>
    </xf>
    <xf numFmtId="0" fontId="99" fillId="39" borderId="12" xfId="4" applyFont="1" applyFill="1" applyBorder="1" applyAlignment="1">
      <alignment horizontal="left" vertical="top" wrapText="1" indent="1"/>
    </xf>
    <xf numFmtId="0" fontId="99" fillId="39" borderId="0" xfId="4" applyFont="1" applyFill="1" applyAlignment="1">
      <alignment horizontal="left" vertical="center" wrapText="1" indent="1"/>
    </xf>
    <xf numFmtId="0" fontId="99" fillId="39" borderId="9" xfId="4" applyFont="1" applyFill="1" applyBorder="1" applyAlignment="1">
      <alignment horizontal="left" vertical="top" wrapText="1" indent="1"/>
    </xf>
    <xf numFmtId="0" fontId="99" fillId="39" borderId="22" xfId="4" applyFont="1" applyFill="1" applyBorder="1" applyAlignment="1">
      <alignment vertical="top" wrapText="1"/>
    </xf>
    <xf numFmtId="0" fontId="99" fillId="39" borderId="20" xfId="4" applyFont="1" applyFill="1" applyBorder="1" applyAlignment="1">
      <alignment vertical="top" wrapText="1"/>
    </xf>
    <xf numFmtId="0" fontId="99" fillId="39" borderId="9" xfId="4" applyFont="1" applyFill="1" applyBorder="1" applyAlignment="1">
      <alignment horizontal="left" vertical="center" wrapText="1"/>
    </xf>
    <xf numFmtId="0" fontId="100" fillId="39" borderId="22" xfId="4" applyFont="1" applyFill="1" applyBorder="1" applyAlignment="1">
      <alignment horizontal="justify" vertical="top" wrapText="1"/>
    </xf>
    <xf numFmtId="0" fontId="99" fillId="39" borderId="9" xfId="4" applyFont="1" applyFill="1" applyBorder="1" applyAlignment="1">
      <alignment horizontal="left" vertical="center" wrapText="1" indent="1"/>
    </xf>
    <xf numFmtId="0" fontId="99" fillId="39" borderId="40" xfId="4" applyFont="1" applyFill="1" applyBorder="1" applyAlignment="1">
      <alignment horizontal="left" vertical="top" wrapText="1" indent="1"/>
    </xf>
    <xf numFmtId="3" fontId="6" fillId="39" borderId="0" xfId="4" applyNumberFormat="1" applyFont="1" applyFill="1"/>
    <xf numFmtId="0" fontId="2" fillId="34" borderId="0" xfId="4" applyFont="1" applyFill="1" applyAlignment="1">
      <alignment vertical="center" wrapText="1"/>
    </xf>
    <xf numFmtId="174" fontId="106" fillId="38" borderId="0" xfId="0" applyNumberFormat="1" applyFont="1" applyFill="1" applyAlignment="1">
      <alignment vertical="center"/>
    </xf>
    <xf numFmtId="10" fontId="106" fillId="38" borderId="0" xfId="0" applyNumberFormat="1" applyFont="1" applyFill="1" applyAlignment="1">
      <alignment vertical="center"/>
    </xf>
    <xf numFmtId="174" fontId="107" fillId="38" borderId="0" xfId="0" applyNumberFormat="1" applyFont="1" applyFill="1" applyAlignment="1">
      <alignment vertical="center"/>
    </xf>
    <xf numFmtId="10" fontId="107" fillId="38" borderId="0" xfId="0" applyNumberFormat="1" applyFont="1" applyFill="1" applyAlignment="1">
      <alignment vertical="center"/>
    </xf>
    <xf numFmtId="0" fontId="1" fillId="0" borderId="0" xfId="5" applyFont="1" applyAlignment="1">
      <alignment wrapText="1"/>
    </xf>
    <xf numFmtId="0" fontId="99" fillId="39" borderId="40" xfId="4" applyFont="1" applyFill="1" applyBorder="1" applyAlignment="1">
      <alignment vertical="center" wrapText="1"/>
    </xf>
    <xf numFmtId="0" fontId="7" fillId="38" borderId="0" xfId="0" applyFont="1" applyFill="1" applyAlignment="1" applyProtection="1">
      <alignment vertical="center"/>
      <protection locked="0"/>
    </xf>
    <xf numFmtId="0" fontId="1" fillId="38" borderId="0" xfId="0" applyFont="1" applyFill="1" applyAlignment="1" applyProtection="1">
      <alignment vertical="center"/>
      <protection locked="0"/>
    </xf>
    <xf numFmtId="10" fontId="0" fillId="38" borderId="0" xfId="0" applyNumberFormat="1" applyFill="1" applyAlignment="1" applyProtection="1">
      <alignment vertical="center"/>
      <protection locked="0"/>
    </xf>
    <xf numFmtId="14" fontId="91" fillId="38" borderId="0" xfId="0" applyNumberFormat="1" applyFont="1" applyFill="1" applyAlignment="1" applyProtection="1">
      <alignment vertical="center"/>
      <protection locked="0"/>
    </xf>
    <xf numFmtId="0" fontId="92" fillId="38" borderId="0" xfId="0" applyFont="1" applyFill="1" applyProtection="1">
      <protection locked="0"/>
    </xf>
    <xf numFmtId="174" fontId="106" fillId="38" borderId="0" xfId="0" applyNumberFormat="1" applyFont="1" applyFill="1" applyAlignment="1" applyProtection="1">
      <alignment vertical="center"/>
      <protection locked="0"/>
    </xf>
    <xf numFmtId="10" fontId="106" fillId="38" borderId="0" xfId="0" applyNumberFormat="1" applyFont="1" applyFill="1" applyAlignment="1" applyProtection="1">
      <alignment vertical="center"/>
      <protection locked="0"/>
    </xf>
    <xf numFmtId="0" fontId="66" fillId="30" borderId="0" xfId="4" applyFill="1"/>
    <xf numFmtId="174" fontId="106" fillId="0" borderId="0" xfId="4" applyNumberFormat="1" applyFont="1" applyAlignment="1" applyProtection="1">
      <alignment vertical="center"/>
      <protection locked="0"/>
    </xf>
    <xf numFmtId="0" fontId="7" fillId="30" borderId="0" xfId="0" applyFont="1" applyFill="1" applyAlignment="1" applyProtection="1">
      <alignment vertical="center"/>
      <protection locked="0"/>
    </xf>
    <xf numFmtId="10" fontId="0" fillId="30" borderId="0" xfId="0" applyNumberFormat="1" applyFill="1" applyAlignment="1" applyProtection="1">
      <alignment vertical="center"/>
      <protection locked="0"/>
    </xf>
    <xf numFmtId="14" fontId="91" fillId="30" borderId="0" xfId="0" applyNumberFormat="1" applyFont="1" applyFill="1" applyAlignment="1">
      <alignment vertical="center"/>
    </xf>
    <xf numFmtId="14" fontId="91" fillId="30" borderId="0" xfId="0" applyNumberFormat="1" applyFont="1" applyFill="1" applyAlignment="1" applyProtection="1">
      <alignment vertical="center"/>
      <protection locked="0"/>
    </xf>
    <xf numFmtId="0" fontId="92" fillId="30" borderId="0" xfId="0" applyFont="1" applyFill="1" applyProtection="1">
      <protection locked="0"/>
    </xf>
    <xf numFmtId="0" fontId="92" fillId="30" borderId="0" xfId="0" applyFont="1" applyFill="1" applyAlignment="1">
      <alignment horizontal="center" vertical="center"/>
    </xf>
    <xf numFmtId="174" fontId="92" fillId="30" borderId="0" xfId="9" applyNumberFormat="1" applyFont="1" applyFill="1" applyAlignment="1">
      <alignment horizontal="right" vertical="center"/>
    </xf>
    <xf numFmtId="174" fontId="92" fillId="30" borderId="0" xfId="0" applyNumberFormat="1" applyFont="1" applyFill="1" applyAlignment="1">
      <alignment horizontal="right" vertical="center"/>
    </xf>
    <xf numFmtId="174" fontId="106" fillId="30" borderId="0" xfId="0" applyNumberFormat="1" applyFont="1" applyFill="1" applyAlignment="1" applyProtection="1">
      <alignment vertical="center"/>
      <protection locked="0"/>
    </xf>
    <xf numFmtId="174" fontId="0" fillId="30" borderId="0" xfId="0" applyNumberFormat="1" applyFill="1" applyAlignment="1">
      <alignment vertical="center"/>
    </xf>
    <xf numFmtId="10" fontId="106" fillId="30" borderId="0" xfId="0" applyNumberFormat="1" applyFont="1" applyFill="1" applyAlignment="1" applyProtection="1">
      <alignment vertical="center"/>
      <protection locked="0"/>
    </xf>
    <xf numFmtId="0" fontId="72" fillId="40" borderId="0" xfId="4" applyFont="1" applyFill="1" applyAlignment="1">
      <alignment horizontal="right"/>
    </xf>
    <xf numFmtId="174" fontId="72" fillId="40" borderId="0" xfId="4" applyNumberFormat="1" applyFont="1" applyFill="1" applyAlignment="1">
      <alignment vertical="center"/>
    </xf>
    <xf numFmtId="0" fontId="72" fillId="40" borderId="0" xfId="4" applyFont="1" applyFill="1"/>
    <xf numFmtId="0" fontId="72" fillId="40" borderId="0" xfId="4" applyFont="1" applyFill="1" applyAlignment="1">
      <alignment vertical="center"/>
    </xf>
    <xf numFmtId="10" fontId="72" fillId="40" borderId="0" xfId="4" applyNumberFormat="1" applyFont="1" applyFill="1" applyAlignment="1">
      <alignment vertical="center"/>
    </xf>
    <xf numFmtId="0" fontId="73" fillId="40" borderId="0" xfId="4" applyFont="1" applyFill="1" applyAlignment="1">
      <alignment horizontal="right"/>
    </xf>
    <xf numFmtId="0" fontId="72" fillId="40" borderId="0" xfId="4" applyFont="1" applyFill="1" applyAlignment="1">
      <alignment horizontal="right" vertical="center" wrapText="1"/>
    </xf>
    <xf numFmtId="0" fontId="74" fillId="40" borderId="0" xfId="4" applyFont="1" applyFill="1" applyAlignment="1">
      <alignment horizontal="right" wrapText="1"/>
    </xf>
    <xf numFmtId="14" fontId="72" fillId="40" borderId="0" xfId="4" applyNumberFormat="1" applyFont="1" applyFill="1" applyAlignment="1">
      <alignment vertical="center"/>
    </xf>
    <xf numFmtId="0" fontId="72" fillId="40" borderId="0" xfId="4" applyFont="1" applyFill="1" applyAlignment="1">
      <alignment horizontal="right" shrinkToFit="1"/>
    </xf>
    <xf numFmtId="10" fontId="72" fillId="40" borderId="0" xfId="4" applyNumberFormat="1" applyFont="1" applyFill="1"/>
    <xf numFmtId="3" fontId="72" fillId="40" borderId="0" xfId="4" applyNumberFormat="1" applyFont="1" applyFill="1"/>
    <xf numFmtId="0" fontId="75" fillId="40" borderId="0" xfId="4" applyFont="1" applyFill="1" applyAlignment="1">
      <alignment horizontal="right"/>
    </xf>
    <xf numFmtId="0" fontId="76" fillId="40" borderId="0" xfId="4" applyFont="1" applyFill="1" applyAlignment="1">
      <alignment horizontal="right"/>
    </xf>
    <xf numFmtId="0" fontId="75" fillId="40" borderId="0" xfId="4" applyFont="1" applyFill="1"/>
    <xf numFmtId="0" fontId="72" fillId="40" borderId="0" xfId="4" applyFont="1" applyFill="1" applyAlignment="1">
      <alignment vertical="top"/>
    </xf>
    <xf numFmtId="0" fontId="77" fillId="40" borderId="41" xfId="4" applyFont="1" applyFill="1" applyBorder="1" applyAlignment="1">
      <alignment vertical="center"/>
    </xf>
    <xf numFmtId="0" fontId="72" fillId="40" borderId="0" xfId="4" applyFont="1" applyFill="1" applyAlignment="1">
      <alignment vertical="top" wrapText="1"/>
    </xf>
    <xf numFmtId="0" fontId="72" fillId="40" borderId="0" xfId="4" applyFont="1" applyFill="1" applyAlignment="1">
      <alignment wrapText="1"/>
    </xf>
    <xf numFmtId="0" fontId="75" fillId="40" borderId="52" xfId="4" applyFont="1" applyFill="1" applyBorder="1" applyAlignment="1">
      <alignment vertical="center"/>
    </xf>
    <xf numFmtId="4" fontId="75" fillId="40" borderId="52" xfId="4" applyNumberFormat="1" applyFont="1" applyFill="1" applyBorder="1" applyAlignment="1">
      <alignment vertical="center"/>
    </xf>
    <xf numFmtId="10" fontId="75" fillId="40" borderId="52" xfId="4" applyNumberFormat="1" applyFont="1" applyFill="1" applyBorder="1" applyAlignment="1">
      <alignment vertical="center"/>
    </xf>
    <xf numFmtId="0" fontId="72" fillId="40" borderId="0" xfId="0" applyFont="1" applyFill="1" applyAlignment="1">
      <alignment horizontal="center" vertical="center"/>
    </xf>
    <xf numFmtId="0" fontId="75" fillId="40" borderId="0" xfId="0" applyFont="1" applyFill="1" applyAlignment="1">
      <alignment horizontal="center" vertical="center"/>
    </xf>
    <xf numFmtId="0" fontId="75" fillId="40" borderId="0" xfId="0" applyFont="1" applyFill="1" applyAlignment="1">
      <alignment vertical="top" wrapText="1"/>
    </xf>
    <xf numFmtId="0" fontId="72" fillId="40" borderId="0" xfId="0" applyFont="1" applyFill="1" applyAlignment="1">
      <alignment horizontal="right" vertical="top" wrapText="1"/>
    </xf>
    <xf numFmtId="0" fontId="72" fillId="40" borderId="0" xfId="0" applyFont="1" applyFill="1" applyAlignment="1">
      <alignment vertical="top" wrapText="1"/>
    </xf>
    <xf numFmtId="0" fontId="75" fillId="40" borderId="0" xfId="0" applyFont="1" applyFill="1" applyAlignment="1">
      <alignment vertical="center"/>
    </xf>
    <xf numFmtId="0" fontId="72" fillId="40" borderId="0" xfId="0" applyFont="1" applyFill="1" applyAlignment="1">
      <alignment vertical="center"/>
    </xf>
    <xf numFmtId="0" fontId="72" fillId="40" borderId="0" xfId="0" applyFont="1" applyFill="1" applyAlignment="1" applyProtection="1">
      <alignment vertical="center"/>
      <protection locked="0"/>
    </xf>
    <xf numFmtId="0" fontId="72" fillId="40" borderId="0" xfId="0" applyFont="1" applyFill="1" applyAlignment="1">
      <alignment vertical="center" wrapText="1"/>
    </xf>
    <xf numFmtId="174" fontId="72" fillId="40" borderId="0" xfId="0" applyNumberFormat="1" applyFont="1" applyFill="1" applyAlignment="1" applyProtection="1">
      <alignment vertical="center"/>
      <protection locked="0"/>
    </xf>
    <xf numFmtId="10" fontId="72" fillId="40" borderId="0" xfId="0" applyNumberFormat="1" applyFont="1" applyFill="1" applyAlignment="1" applyProtection="1">
      <alignment vertical="center"/>
      <protection locked="0"/>
    </xf>
    <xf numFmtId="0" fontId="72" fillId="40" borderId="0" xfId="5" applyFont="1" applyFill="1"/>
    <xf numFmtId="0" fontId="99" fillId="39" borderId="11" xfId="4" applyFont="1" applyFill="1" applyBorder="1" applyAlignment="1">
      <alignment horizontal="left" wrapText="1" indent="1"/>
    </xf>
    <xf numFmtId="0" fontId="2" fillId="37" borderId="0" xfId="0" applyFont="1" applyFill="1" applyAlignment="1">
      <alignment vertical="center"/>
    </xf>
    <xf numFmtId="0" fontId="2" fillId="38" borderId="0" xfId="0" applyFont="1" applyFill="1" applyAlignment="1" applyProtection="1">
      <alignment vertical="center"/>
      <protection locked="0"/>
    </xf>
    <xf numFmtId="0" fontId="75" fillId="40" borderId="0" xfId="0" applyFont="1" applyFill="1" applyAlignment="1" applyProtection="1">
      <alignment vertical="center"/>
      <protection locked="0"/>
    </xf>
    <xf numFmtId="0" fontId="75" fillId="40" borderId="0" xfId="0" applyFont="1" applyFill="1" applyAlignment="1">
      <alignment vertical="center" wrapText="1"/>
    </xf>
    <xf numFmtId="174" fontId="75" fillId="40" borderId="0" xfId="0" applyNumberFormat="1" applyFont="1" applyFill="1" applyAlignment="1" applyProtection="1">
      <alignment vertical="center"/>
      <protection locked="0"/>
    </xf>
    <xf numFmtId="10" fontId="75" fillId="40" borderId="0" xfId="0" applyNumberFormat="1" applyFont="1" applyFill="1" applyAlignment="1" applyProtection="1">
      <alignment vertical="center"/>
      <protection locked="0"/>
    </xf>
    <xf numFmtId="10" fontId="2" fillId="38" borderId="0" xfId="0" applyNumberFormat="1" applyFont="1" applyFill="1" applyAlignment="1" applyProtection="1">
      <alignment vertical="center"/>
      <protection locked="0"/>
    </xf>
    <xf numFmtId="14" fontId="108" fillId="29" borderId="0" xfId="0" applyNumberFormat="1" applyFont="1" applyFill="1" applyAlignment="1">
      <alignment vertical="center"/>
    </xf>
    <xf numFmtId="14" fontId="108" fillId="38" borderId="0" xfId="0" applyNumberFormat="1" applyFont="1" applyFill="1" applyAlignment="1" applyProtection="1">
      <alignment vertical="center"/>
      <protection locked="0"/>
    </xf>
    <xf numFmtId="0" fontId="109" fillId="38" borderId="0" xfId="0" applyFont="1" applyFill="1" applyProtection="1">
      <protection locked="0"/>
    </xf>
    <xf numFmtId="14" fontId="108" fillId="38" borderId="0" xfId="0" applyNumberFormat="1" applyFont="1" applyFill="1" applyAlignment="1">
      <alignment vertical="center"/>
    </xf>
    <xf numFmtId="0" fontId="109" fillId="29" borderId="0" xfId="0" applyFont="1" applyFill="1" applyAlignment="1">
      <alignment horizontal="center" vertical="center"/>
    </xf>
    <xf numFmtId="174" fontId="109" fillId="29" borderId="0" xfId="9" applyNumberFormat="1" applyFont="1" applyFill="1" applyAlignment="1">
      <alignment horizontal="right" vertical="center"/>
    </xf>
    <xf numFmtId="174" fontId="109" fillId="29" borderId="0" xfId="0" applyNumberFormat="1" applyFont="1" applyFill="1" applyAlignment="1">
      <alignment horizontal="right" vertical="center"/>
    </xf>
    <xf numFmtId="174" fontId="110" fillId="38" borderId="0" xfId="0" applyNumberFormat="1" applyFont="1" applyFill="1" applyAlignment="1" applyProtection="1">
      <alignment vertical="center"/>
      <protection locked="0"/>
    </xf>
    <xf numFmtId="174" fontId="2" fillId="36" borderId="0" xfId="0" applyNumberFormat="1" applyFont="1" applyFill="1" applyAlignment="1">
      <alignment vertical="center"/>
    </xf>
    <xf numFmtId="10" fontId="110" fillId="38" borderId="0" xfId="0" applyNumberFormat="1" applyFont="1" applyFill="1" applyAlignment="1" applyProtection="1">
      <alignment vertical="center"/>
      <protection locked="0"/>
    </xf>
    <xf numFmtId="175" fontId="75" fillId="40" borderId="0" xfId="4" applyNumberFormat="1" applyFont="1" applyFill="1" applyAlignment="1">
      <alignment vertical="center"/>
    </xf>
    <xf numFmtId="176" fontId="98" fillId="34" borderId="0" xfId="4" applyNumberFormat="1" applyFont="1" applyFill="1" applyAlignment="1" applyProtection="1">
      <alignment horizontal="right" wrapText="1" indent="1"/>
      <protection locked="0"/>
    </xf>
    <xf numFmtId="0" fontId="1" fillId="34" borderId="0" xfId="4" applyFont="1" applyFill="1"/>
    <xf numFmtId="0" fontId="106" fillId="34" borderId="0" xfId="4" applyFont="1" applyFill="1"/>
    <xf numFmtId="0" fontId="1" fillId="34" borderId="0" xfId="4" applyFont="1" applyFill="1" applyAlignment="1">
      <alignment wrapText="1"/>
    </xf>
    <xf numFmtId="0" fontId="111" fillId="41" borderId="0" xfId="4" applyFont="1" applyFill="1" applyAlignment="1">
      <alignment vertical="top"/>
    </xf>
    <xf numFmtId="0" fontId="106" fillId="0" borderId="0" xfId="0" applyFont="1" applyAlignment="1" applyProtection="1">
      <alignment vertical="center"/>
      <protection locked="0"/>
    </xf>
    <xf numFmtId="0" fontId="0" fillId="42" borderId="0" xfId="0" applyFill="1"/>
    <xf numFmtId="4" fontId="46" fillId="43" borderId="0" xfId="0" applyNumberFormat="1" applyFont="1" applyFill="1" applyProtection="1">
      <protection locked="0"/>
    </xf>
    <xf numFmtId="0" fontId="0" fillId="44" borderId="0" xfId="0" applyFill="1"/>
    <xf numFmtId="0" fontId="114" fillId="44" borderId="0" xfId="0" applyFont="1" applyFill="1"/>
    <xf numFmtId="0" fontId="79" fillId="0" borderId="0" xfId="0" applyFont="1" applyAlignment="1">
      <alignment vertical="center" wrapText="1"/>
    </xf>
    <xf numFmtId="0" fontId="6" fillId="0" borderId="0" xfId="0" applyFont="1"/>
    <xf numFmtId="0" fontId="1" fillId="0" borderId="0" xfId="0" applyFont="1"/>
    <xf numFmtId="0" fontId="0" fillId="0" borderId="0" xfId="0" applyAlignment="1">
      <alignment vertical="center"/>
    </xf>
    <xf numFmtId="174" fontId="0" fillId="0" borderId="0" xfId="0" applyNumberFormat="1"/>
    <xf numFmtId="174" fontId="1" fillId="0" borderId="0" xfId="0" applyNumberFormat="1" applyFont="1"/>
    <xf numFmtId="0" fontId="1" fillId="29" borderId="0" xfId="0" applyFont="1" applyFill="1"/>
    <xf numFmtId="14" fontId="37" fillId="30" borderId="0" xfId="0" applyNumberFormat="1" applyFont="1" applyFill="1"/>
    <xf numFmtId="170" fontId="37" fillId="30" borderId="0" xfId="1" applyNumberFormat="1" applyFont="1" applyFill="1"/>
    <xf numFmtId="0" fontId="2" fillId="29" borderId="0" xfId="0" applyFont="1" applyFill="1"/>
    <xf numFmtId="0" fontId="8" fillId="29" borderId="0" xfId="0" applyFont="1" applyFill="1" applyAlignment="1">
      <alignment horizontal="right" indent="1"/>
    </xf>
    <xf numFmtId="14" fontId="36" fillId="46" borderId="0" xfId="0" applyNumberFormat="1" applyFont="1" applyFill="1"/>
    <xf numFmtId="0" fontId="6" fillId="29" borderId="0" xfId="0" applyFont="1" applyFill="1" applyAlignment="1">
      <alignment vertical="top" wrapText="1"/>
    </xf>
    <xf numFmtId="10" fontId="0" fillId="29" borderId="0" xfId="0" applyNumberFormat="1" applyFill="1"/>
    <xf numFmtId="166" fontId="0" fillId="29" borderId="0" xfId="0" applyNumberFormat="1" applyFill="1"/>
    <xf numFmtId="0" fontId="0" fillId="47" borderId="0" xfId="0" applyFill="1"/>
    <xf numFmtId="0" fontId="6" fillId="29" borderId="0" xfId="0" applyFont="1" applyFill="1"/>
    <xf numFmtId="14" fontId="6" fillId="29" borderId="0" xfId="0" applyNumberFormat="1" applyFont="1" applyFill="1"/>
    <xf numFmtId="0" fontId="6" fillId="47" borderId="0" xfId="0" applyFont="1" applyFill="1"/>
    <xf numFmtId="0" fontId="97" fillId="29" borderId="0" xfId="0" applyFont="1" applyFill="1" applyAlignment="1">
      <alignment horizontal="right"/>
    </xf>
    <xf numFmtId="0" fontId="115" fillId="29" borderId="0" xfId="0" applyFont="1" applyFill="1"/>
    <xf numFmtId="14" fontId="115" fillId="29" borderId="0" xfId="0" applyNumberFormat="1" applyFont="1" applyFill="1"/>
    <xf numFmtId="14" fontId="1" fillId="29" borderId="0" xfId="0" applyNumberFormat="1" applyFont="1" applyFill="1"/>
    <xf numFmtId="177" fontId="1" fillId="29" borderId="0" xfId="0" applyNumberFormat="1" applyFont="1" applyFill="1"/>
    <xf numFmtId="177" fontId="1" fillId="29" borderId="0" xfId="0" applyNumberFormat="1" applyFont="1" applyFill="1" applyAlignment="1">
      <alignment horizontal="right"/>
    </xf>
    <xf numFmtId="0" fontId="95" fillId="29" borderId="0" xfId="0" applyFont="1" applyFill="1"/>
    <xf numFmtId="0" fontId="1" fillId="48" borderId="0" xfId="0" applyFont="1" applyFill="1"/>
    <xf numFmtId="14" fontId="92" fillId="29" borderId="0" xfId="0" applyNumberFormat="1" applyFont="1" applyFill="1" applyAlignment="1">
      <alignment horizontal="center"/>
    </xf>
    <xf numFmtId="0" fontId="91" fillId="29" borderId="0" xfId="0" applyFont="1" applyFill="1" applyAlignment="1">
      <alignment horizontal="right" indent="1"/>
    </xf>
    <xf numFmtId="0" fontId="109" fillId="29" borderId="0" xfId="0" applyFont="1" applyFill="1"/>
    <xf numFmtId="0" fontId="97" fillId="29" borderId="0" xfId="0" applyFont="1" applyFill="1" applyAlignment="1">
      <alignment horizontal="center"/>
    </xf>
    <xf numFmtId="3" fontId="1" fillId="29" borderId="0" xfId="0" applyNumberFormat="1" applyFont="1" applyFill="1" applyAlignment="1">
      <alignment horizontal="center"/>
    </xf>
    <xf numFmtId="0" fontId="97" fillId="0" borderId="0" xfId="0" applyFont="1" applyAlignment="1">
      <alignment horizontal="center"/>
    </xf>
    <xf numFmtId="0" fontId="92" fillId="29" borderId="0" xfId="0" applyFont="1" applyFill="1"/>
    <xf numFmtId="0" fontId="92" fillId="29" borderId="0" xfId="0" applyFont="1" applyFill="1" applyAlignment="1">
      <alignment horizontal="right"/>
    </xf>
    <xf numFmtId="0" fontId="109" fillId="29" borderId="0" xfId="0" applyFont="1" applyFill="1" applyAlignment="1">
      <alignment horizontal="right"/>
    </xf>
    <xf numFmtId="4" fontId="92" fillId="29" borderId="0" xfId="0" applyNumberFormat="1" applyFont="1" applyFill="1" applyAlignment="1">
      <alignment horizontal="right"/>
    </xf>
    <xf numFmtId="10" fontId="92" fillId="29" borderId="0" xfId="0" applyNumberFormat="1" applyFont="1" applyFill="1" applyAlignment="1">
      <alignment horizontal="right"/>
    </xf>
    <xf numFmtId="0" fontId="116" fillId="29" borderId="0" xfId="0" applyFont="1" applyFill="1"/>
    <xf numFmtId="14" fontId="2" fillId="48" borderId="0" xfId="0" applyNumberFormat="1" applyFont="1" applyFill="1"/>
    <xf numFmtId="0" fontId="117" fillId="29" borderId="0" xfId="0" applyFont="1" applyFill="1" applyAlignment="1">
      <alignment shrinkToFit="1"/>
    </xf>
    <xf numFmtId="0" fontId="109" fillId="29" borderId="0" xfId="0" applyFont="1" applyFill="1" applyAlignment="1">
      <alignment horizontal="center"/>
    </xf>
    <xf numFmtId="0" fontId="118" fillId="29" borderId="0" xfId="0" applyFont="1" applyFill="1" applyAlignment="1">
      <alignment horizontal="right" indent="1"/>
    </xf>
    <xf numFmtId="10" fontId="109" fillId="29" borderId="0" xfId="0" applyNumberFormat="1" applyFont="1" applyFill="1" applyAlignment="1">
      <alignment horizontal="center"/>
    </xf>
    <xf numFmtId="0" fontId="8" fillId="29" borderId="0" xfId="0" applyFont="1" applyFill="1" applyAlignment="1">
      <alignment horizontal="right"/>
    </xf>
    <xf numFmtId="14" fontId="1" fillId="48" borderId="0" xfId="0" applyNumberFormat="1" applyFont="1" applyFill="1"/>
    <xf numFmtId="178" fontId="0" fillId="0" borderId="0" xfId="0" applyNumberFormat="1"/>
    <xf numFmtId="0" fontId="1" fillId="29" borderId="0" xfId="0" applyFont="1" applyFill="1" applyAlignment="1">
      <alignment horizontal="center"/>
    </xf>
    <xf numFmtId="0" fontId="119" fillId="50" borderId="0" xfId="0" applyFont="1" applyFill="1"/>
    <xf numFmtId="14" fontId="119" fillId="50" borderId="55" xfId="0" applyNumberFormat="1" applyFont="1" applyFill="1" applyBorder="1"/>
    <xf numFmtId="0" fontId="119" fillId="50" borderId="55" xfId="0" applyFont="1" applyFill="1" applyBorder="1"/>
    <xf numFmtId="0" fontId="116" fillId="51" borderId="58" xfId="0" applyFont="1" applyFill="1" applyBorder="1"/>
    <xf numFmtId="14" fontId="116" fillId="51" borderId="54" xfId="0" applyNumberFormat="1" applyFont="1" applyFill="1" applyBorder="1"/>
    <xf numFmtId="0" fontId="116" fillId="49" borderId="58" xfId="0" applyFont="1" applyFill="1" applyBorder="1"/>
    <xf numFmtId="14" fontId="116" fillId="49" borderId="54" xfId="0" applyNumberFormat="1" applyFont="1" applyFill="1" applyBorder="1"/>
    <xf numFmtId="0" fontId="6" fillId="45" borderId="0" xfId="0" applyFont="1" applyFill="1"/>
    <xf numFmtId="0" fontId="0" fillId="45" borderId="0" xfId="0" applyFill="1"/>
    <xf numFmtId="166" fontId="0" fillId="45" borderId="0" xfId="0" applyNumberFormat="1" applyFill="1"/>
    <xf numFmtId="14" fontId="6" fillId="45" borderId="0" xfId="0" applyNumberFormat="1" applyFont="1" applyFill="1"/>
    <xf numFmtId="166" fontId="106" fillId="45" borderId="0" xfId="0" applyNumberFormat="1" applyFont="1" applyFill="1"/>
    <xf numFmtId="10" fontId="0" fillId="45" borderId="0" xfId="0" applyNumberFormat="1" applyFill="1"/>
    <xf numFmtId="10" fontId="1" fillId="45" borderId="0" xfId="0" applyNumberFormat="1" applyFont="1" applyFill="1"/>
    <xf numFmtId="0" fontId="5" fillId="29" borderId="0" xfId="0" applyFont="1" applyFill="1"/>
    <xf numFmtId="0" fontId="60" fillId="29" borderId="0" xfId="0" applyFont="1" applyFill="1"/>
    <xf numFmtId="0" fontId="5" fillId="47" borderId="0" xfId="0" applyFont="1" applyFill="1"/>
    <xf numFmtId="0" fontId="5" fillId="45" borderId="0" xfId="0" applyFont="1" applyFill="1"/>
    <xf numFmtId="166" fontId="5" fillId="29" borderId="0" xfId="0" applyNumberFormat="1" applyFont="1" applyFill="1"/>
    <xf numFmtId="166" fontId="5" fillId="45" borderId="0" xfId="0" applyNumberFormat="1" applyFont="1" applyFill="1"/>
    <xf numFmtId="166" fontId="1" fillId="45" borderId="0" xfId="0" applyNumberFormat="1" applyFont="1" applyFill="1"/>
    <xf numFmtId="166" fontId="120" fillId="45" borderId="0" xfId="0" applyNumberFormat="1" applyFont="1" applyFill="1"/>
    <xf numFmtId="0" fontId="121" fillId="29" borderId="0" xfId="0" applyFont="1" applyFill="1"/>
    <xf numFmtId="0" fontId="122" fillId="29" borderId="0" xfId="0" applyFont="1" applyFill="1"/>
    <xf numFmtId="0" fontId="122" fillId="47" borderId="0" xfId="0" applyFont="1" applyFill="1"/>
    <xf numFmtId="0" fontId="122" fillId="45" borderId="0" xfId="0" applyFont="1" applyFill="1"/>
    <xf numFmtId="166" fontId="122" fillId="29" borderId="0" xfId="0" applyNumberFormat="1" applyFont="1" applyFill="1"/>
    <xf numFmtId="166" fontId="122" fillId="45" borderId="0" xfId="0" applyNumberFormat="1" applyFont="1" applyFill="1"/>
    <xf numFmtId="0" fontId="1" fillId="35" borderId="0" xfId="0" applyFont="1" applyFill="1"/>
    <xf numFmtId="0" fontId="0" fillId="36" borderId="0" xfId="0" applyFill="1"/>
    <xf numFmtId="0" fontId="1" fillId="36" borderId="0" xfId="0" applyFont="1" applyFill="1"/>
    <xf numFmtId="0" fontId="123" fillId="29" borderId="0" xfId="0" applyFont="1" applyFill="1"/>
    <xf numFmtId="0" fontId="97" fillId="38" borderId="0" xfId="0" applyFont="1" applyFill="1" applyAlignment="1">
      <alignment horizontal="center"/>
    </xf>
    <xf numFmtId="0" fontId="106" fillId="29" borderId="0" xfId="0" applyFont="1" applyFill="1"/>
    <xf numFmtId="0" fontId="106" fillId="47" borderId="0" xfId="0" applyFont="1" applyFill="1"/>
    <xf numFmtId="0" fontId="27" fillId="52" borderId="15" xfId="0" applyFont="1" applyFill="1" applyBorder="1" applyAlignment="1">
      <alignment horizontal="center" vertical="center" wrapText="1"/>
    </xf>
    <xf numFmtId="4" fontId="26" fillId="0" borderId="0" xfId="0" applyNumberFormat="1" applyFont="1"/>
    <xf numFmtId="0" fontId="8" fillId="52" borderId="0" xfId="0" applyFont="1" applyFill="1" applyAlignment="1">
      <alignment horizontal="left" vertical="center" wrapText="1"/>
    </xf>
    <xf numFmtId="0" fontId="8" fillId="52" borderId="0" xfId="0" applyFont="1" applyFill="1" applyAlignment="1">
      <alignment horizontal="left" vertical="center" shrinkToFit="1"/>
    </xf>
    <xf numFmtId="3" fontId="8" fillId="52" borderId="0" xfId="0" applyNumberFormat="1" applyFont="1" applyFill="1" applyAlignment="1">
      <alignment horizontal="left" vertical="center" wrapText="1"/>
    </xf>
    <xf numFmtId="0" fontId="8" fillId="52" borderId="0" xfId="0" applyFont="1" applyFill="1" applyAlignment="1">
      <alignment horizontal="left" vertical="center"/>
    </xf>
    <xf numFmtId="0" fontId="7" fillId="52" borderId="0" xfId="0" applyFont="1" applyFill="1"/>
    <xf numFmtId="9" fontId="6" fillId="52" borderId="0" xfId="0" applyNumberFormat="1" applyFont="1" applyFill="1"/>
    <xf numFmtId="170" fontId="7" fillId="52" borderId="7" xfId="1" applyNumberFormat="1" applyFont="1" applyFill="1" applyBorder="1" applyAlignment="1">
      <alignment horizontal="center" vertical="center" wrapText="1"/>
    </xf>
    <xf numFmtId="167" fontId="6" fillId="52" borderId="0" xfId="1" applyFont="1" applyFill="1" applyBorder="1" applyAlignment="1">
      <alignment vertical="center"/>
    </xf>
    <xf numFmtId="0" fontId="6" fillId="52" borderId="0" xfId="0" applyFont="1" applyFill="1"/>
    <xf numFmtId="3" fontId="7" fillId="52" borderId="0" xfId="0" applyNumberFormat="1" applyFont="1" applyFill="1"/>
    <xf numFmtId="4" fontId="7" fillId="52" borderId="0" xfId="0" applyNumberFormat="1" applyFont="1" applyFill="1" applyAlignment="1">
      <alignment horizontal="right"/>
    </xf>
    <xf numFmtId="0" fontId="0" fillId="0" borderId="42" xfId="0" applyBorder="1"/>
    <xf numFmtId="0" fontId="79" fillId="0" borderId="43" xfId="0" applyFont="1" applyBorder="1" applyAlignment="1">
      <alignment vertical="center" wrapText="1"/>
    </xf>
    <xf numFmtId="0" fontId="0" fillId="0" borderId="43" xfId="0" applyBorder="1"/>
    <xf numFmtId="170" fontId="0" fillId="0" borderId="43" xfId="0" applyNumberFormat="1" applyBorder="1"/>
    <xf numFmtId="0" fontId="0" fillId="0" borderId="43" xfId="0" applyBorder="1" applyAlignment="1">
      <alignment vertical="center" wrapText="1"/>
    </xf>
    <xf numFmtId="0" fontId="0" fillId="0" borderId="44" xfId="0" applyBorder="1"/>
    <xf numFmtId="0" fontId="0" fillId="0" borderId="34" xfId="0" applyBorder="1"/>
    <xf numFmtId="0" fontId="0" fillId="0" borderId="7" xfId="0" applyBorder="1"/>
    <xf numFmtId="0" fontId="0" fillId="0" borderId="26" xfId="0" applyBorder="1"/>
    <xf numFmtId="0" fontId="0" fillId="0" borderId="29" xfId="0" applyBorder="1"/>
    <xf numFmtId="0" fontId="0" fillId="0" borderId="45" xfId="0" applyBorder="1"/>
    <xf numFmtId="0" fontId="0" fillId="29" borderId="0" xfId="0" applyFill="1" applyAlignment="1">
      <alignment wrapText="1"/>
    </xf>
    <xf numFmtId="0" fontId="128" fillId="29" borderId="0" xfId="0" applyFont="1" applyFill="1"/>
    <xf numFmtId="0" fontId="129" fillId="29" borderId="0" xfId="0" applyFont="1" applyFill="1"/>
    <xf numFmtId="0" fontId="128" fillId="47" borderId="0" xfId="0" applyFont="1" applyFill="1"/>
    <xf numFmtId="0" fontId="128" fillId="45" borderId="0" xfId="0" applyFont="1" applyFill="1"/>
    <xf numFmtId="0" fontId="38" fillId="0" borderId="0" xfId="0" applyFont="1"/>
    <xf numFmtId="0" fontId="99" fillId="29" borderId="0" xfId="0" applyFont="1" applyFill="1" applyAlignment="1">
      <alignment vertical="center"/>
    </xf>
    <xf numFmtId="0" fontId="99" fillId="29" borderId="0" xfId="0" applyFont="1" applyFill="1" applyAlignment="1">
      <alignment vertical="top"/>
    </xf>
    <xf numFmtId="0" fontId="100" fillId="0" borderId="0" xfId="0" applyFont="1" applyAlignment="1">
      <alignment vertical="top" wrapText="1"/>
    </xf>
    <xf numFmtId="0" fontId="99" fillId="29" borderId="59" xfId="0" applyFont="1" applyFill="1" applyBorder="1" applyAlignment="1">
      <alignment vertical="top" wrapText="1"/>
    </xf>
    <xf numFmtId="0" fontId="99" fillId="29" borderId="59" xfId="0" applyFont="1" applyFill="1" applyBorder="1" applyAlignment="1">
      <alignment horizontal="center" vertical="top" wrapText="1"/>
    </xf>
    <xf numFmtId="0" fontId="99" fillId="29" borderId="0" xfId="0" applyFont="1" applyFill="1" applyAlignment="1">
      <alignment horizontal="center"/>
    </xf>
    <xf numFmtId="0" fontId="99" fillId="0" borderId="0" xfId="0" applyFont="1" applyAlignment="1">
      <alignment horizontal="left" vertical="center" shrinkToFit="1"/>
    </xf>
    <xf numFmtId="10" fontId="99" fillId="0" borderId="0" xfId="0" applyNumberFormat="1" applyFont="1" applyAlignment="1">
      <alignment horizontal="left" vertical="center"/>
    </xf>
    <xf numFmtId="0" fontId="99" fillId="29" borderId="0" xfId="0" applyFont="1" applyFill="1"/>
    <xf numFmtId="10" fontId="99" fillId="38" borderId="59" xfId="0" applyNumberFormat="1" applyFont="1" applyFill="1" applyBorder="1" applyAlignment="1">
      <alignment wrapText="1"/>
    </xf>
    <xf numFmtId="0" fontId="99" fillId="38" borderId="59" xfId="0" applyFont="1" applyFill="1" applyBorder="1"/>
    <xf numFmtId="4" fontId="99" fillId="29" borderId="59" xfId="0" applyNumberFormat="1" applyFont="1" applyFill="1" applyBorder="1"/>
    <xf numFmtId="3" fontId="99" fillId="38" borderId="59" xfId="0" applyNumberFormat="1" applyFont="1" applyFill="1" applyBorder="1"/>
    <xf numFmtId="3" fontId="99" fillId="29" borderId="59" xfId="0" applyNumberFormat="1" applyFont="1" applyFill="1" applyBorder="1"/>
    <xf numFmtId="0" fontId="99" fillId="29" borderId="59" xfId="0" applyFont="1" applyFill="1" applyBorder="1" applyAlignment="1">
      <alignment horizontal="center"/>
    </xf>
    <xf numFmtId="0" fontId="102" fillId="29" borderId="59" xfId="0" applyFont="1" applyFill="1" applyBorder="1" applyAlignment="1">
      <alignment vertical="top" wrapText="1"/>
    </xf>
    <xf numFmtId="0" fontId="130" fillId="29" borderId="59" xfId="0" applyFont="1" applyFill="1" applyBorder="1" applyAlignment="1">
      <alignment vertical="top" wrapText="1"/>
    </xf>
    <xf numFmtId="0" fontId="1" fillId="52" borderId="5" xfId="0" applyFont="1" applyFill="1" applyBorder="1"/>
    <xf numFmtId="4" fontId="21" fillId="8" borderId="22" xfId="0" applyNumberFormat="1" applyFont="1" applyFill="1" applyBorder="1" applyAlignment="1">
      <alignment vertical="center"/>
    </xf>
    <xf numFmtId="3" fontId="102" fillId="38" borderId="59" xfId="0" applyNumberFormat="1" applyFont="1" applyFill="1" applyBorder="1"/>
    <xf numFmtId="4" fontId="130" fillId="38" borderId="59" xfId="0" applyNumberFormat="1" applyFont="1" applyFill="1" applyBorder="1"/>
    <xf numFmtId="0" fontId="100" fillId="29" borderId="59" xfId="0" applyFont="1" applyFill="1" applyBorder="1" applyAlignment="1">
      <alignment vertical="top" wrapText="1"/>
    </xf>
    <xf numFmtId="0" fontId="99" fillId="53" borderId="59" xfId="0" applyFont="1" applyFill="1" applyBorder="1" applyAlignment="1">
      <alignment vertical="top" wrapText="1"/>
    </xf>
    <xf numFmtId="174" fontId="99" fillId="0" borderId="0" xfId="0" applyNumberFormat="1" applyFont="1" applyAlignment="1">
      <alignment horizontal="left" vertical="center"/>
    </xf>
    <xf numFmtId="0" fontId="113" fillId="29" borderId="59" xfId="0" applyFont="1" applyFill="1" applyBorder="1" applyAlignment="1">
      <alignment vertical="top" wrapText="1"/>
    </xf>
    <xf numFmtId="10" fontId="113" fillId="29" borderId="59" xfId="0" applyNumberFormat="1" applyFont="1" applyFill="1" applyBorder="1" applyAlignment="1">
      <alignment wrapText="1"/>
    </xf>
    <xf numFmtId="0" fontId="113" fillId="29" borderId="0" xfId="0" applyFont="1" applyFill="1" applyAlignment="1">
      <alignment vertical="center"/>
    </xf>
    <xf numFmtId="10" fontId="99" fillId="0" borderId="59" xfId="0" applyNumberFormat="1" applyFont="1" applyBorder="1" applyAlignment="1">
      <alignment wrapText="1"/>
    </xf>
    <xf numFmtId="3" fontId="99" fillId="0" borderId="0" xfId="0" applyNumberFormat="1" applyFont="1" applyAlignment="1">
      <alignment horizontal="center" vertical="center"/>
    </xf>
    <xf numFmtId="0" fontId="113" fillId="29" borderId="59" xfId="0" applyFont="1" applyFill="1" applyBorder="1" applyAlignment="1">
      <alignment vertical="center" wrapText="1" shrinkToFit="1"/>
    </xf>
    <xf numFmtId="3" fontId="113" fillId="29" borderId="59" xfId="0" applyNumberFormat="1" applyFont="1" applyFill="1" applyBorder="1"/>
    <xf numFmtId="10" fontId="99" fillId="0" borderId="0" xfId="0" applyNumberFormat="1" applyFont="1" applyAlignment="1" applyProtection="1">
      <alignment horizontal="left" vertical="center"/>
      <protection hidden="1"/>
    </xf>
    <xf numFmtId="0" fontId="131" fillId="29" borderId="0" xfId="0" applyFont="1" applyFill="1" applyAlignment="1">
      <alignment vertical="center"/>
    </xf>
    <xf numFmtId="0" fontId="130" fillId="29" borderId="0" xfId="0" applyFont="1" applyFill="1" applyAlignment="1">
      <alignment vertical="center"/>
    </xf>
    <xf numFmtId="10" fontId="130" fillId="45" borderId="59" xfId="0" applyNumberFormat="1" applyFont="1" applyFill="1" applyBorder="1"/>
    <xf numFmtId="0" fontId="130" fillId="29" borderId="0" xfId="0" applyFont="1" applyFill="1"/>
    <xf numFmtId="179" fontId="99" fillId="0" borderId="0" xfId="0" applyNumberFormat="1" applyFont="1" applyAlignment="1">
      <alignment horizontal="left" vertical="center"/>
    </xf>
    <xf numFmtId="3" fontId="100" fillId="38" borderId="59" xfId="0" applyNumberFormat="1" applyFont="1" applyFill="1" applyBorder="1"/>
    <xf numFmtId="10" fontId="38" fillId="25" borderId="51" xfId="0" applyNumberFormat="1" applyFont="1" applyFill="1" applyBorder="1"/>
    <xf numFmtId="0" fontId="132" fillId="54" borderId="0" xfId="0" applyFont="1" applyFill="1" applyProtection="1">
      <protection hidden="1"/>
    </xf>
    <xf numFmtId="0" fontId="99" fillId="0" borderId="0" xfId="0" applyFont="1" applyProtection="1">
      <protection hidden="1"/>
    </xf>
    <xf numFmtId="0" fontId="99" fillId="55" borderId="0" xfId="0" applyFont="1" applyFill="1" applyProtection="1">
      <protection hidden="1"/>
    </xf>
    <xf numFmtId="0" fontId="133" fillId="14" borderId="0" xfId="0" applyFont="1" applyFill="1" applyAlignment="1" applyProtection="1">
      <alignment horizontal="center"/>
      <protection hidden="1"/>
    </xf>
    <xf numFmtId="0" fontId="102" fillId="14" borderId="0" xfId="0" applyFont="1" applyFill="1" applyAlignment="1" applyProtection="1">
      <alignment horizontal="center"/>
      <protection hidden="1"/>
    </xf>
    <xf numFmtId="0" fontId="102" fillId="0" borderId="0" xfId="0" applyFont="1" applyAlignment="1" applyProtection="1">
      <alignment horizontal="center"/>
      <protection hidden="1"/>
    </xf>
    <xf numFmtId="0" fontId="100" fillId="14" borderId="0" xfId="0" applyFont="1" applyFill="1" applyAlignment="1" applyProtection="1">
      <alignment horizontal="center" vertical="center" wrapText="1"/>
      <protection hidden="1"/>
    </xf>
    <xf numFmtId="0" fontId="136" fillId="14" borderId="0" xfId="0" applyFont="1" applyFill="1" applyAlignment="1" applyProtection="1">
      <alignment horizontal="center" vertical="center" wrapText="1"/>
      <protection hidden="1"/>
    </xf>
    <xf numFmtId="0" fontId="137" fillId="14" borderId="0" xfId="0" applyFont="1" applyFill="1" applyAlignment="1" applyProtection="1">
      <alignment horizontal="center" vertical="center" wrapText="1"/>
      <protection hidden="1"/>
    </xf>
    <xf numFmtId="0" fontId="105" fillId="14" borderId="0" xfId="0" applyFont="1" applyFill="1" applyAlignment="1" applyProtection="1">
      <alignment horizontal="center" vertical="center" wrapText="1"/>
      <protection hidden="1"/>
    </xf>
    <xf numFmtId="0" fontId="137" fillId="14" borderId="0" xfId="0" applyFont="1" applyFill="1" applyAlignment="1" applyProtection="1">
      <alignment horizontal="center" vertical="center" shrinkToFit="1"/>
      <protection hidden="1"/>
    </xf>
    <xf numFmtId="0" fontId="102" fillId="14" borderId="0" xfId="0" applyFont="1" applyFill="1" applyAlignment="1">
      <alignment horizontal="left" vertical="center" shrinkToFit="1"/>
    </xf>
    <xf numFmtId="0" fontId="138" fillId="54" borderId="0" xfId="0" applyFont="1" applyFill="1" applyProtection="1">
      <protection hidden="1"/>
    </xf>
    <xf numFmtId="0" fontId="99" fillId="28" borderId="0" xfId="0" applyFont="1" applyFill="1" applyProtection="1">
      <protection hidden="1"/>
    </xf>
    <xf numFmtId="0" fontId="99" fillId="56" borderId="0" xfId="0" applyFont="1" applyFill="1" applyAlignment="1" applyProtection="1">
      <alignment horizontal="center" vertical="center" wrapText="1"/>
      <protection hidden="1"/>
    </xf>
    <xf numFmtId="10" fontId="99" fillId="56" borderId="0" xfId="0" applyNumberFormat="1" applyFont="1" applyFill="1" applyAlignment="1" applyProtection="1">
      <alignment horizontal="center" vertical="center" wrapText="1"/>
      <protection hidden="1"/>
    </xf>
    <xf numFmtId="0" fontId="141" fillId="56" borderId="0" xfId="0" applyFont="1" applyFill="1" applyAlignment="1" applyProtection="1">
      <alignment vertical="center" wrapText="1"/>
      <protection hidden="1"/>
    </xf>
    <xf numFmtId="0" fontId="143" fillId="56" borderId="0" xfId="0" applyFont="1" applyFill="1" applyAlignment="1" applyProtection="1">
      <alignment horizontal="center" vertical="center" wrapText="1"/>
      <protection hidden="1"/>
    </xf>
    <xf numFmtId="0" fontId="144" fillId="56" borderId="0" xfId="0" applyFont="1" applyFill="1" applyAlignment="1" applyProtection="1">
      <alignment horizontal="left" vertical="center" wrapText="1"/>
      <protection hidden="1"/>
    </xf>
    <xf numFmtId="0" fontId="99" fillId="7" borderId="0" xfId="0" applyFont="1" applyFill="1" applyProtection="1">
      <protection hidden="1"/>
    </xf>
    <xf numFmtId="0" fontId="130" fillId="7" borderId="0" xfId="0" applyFont="1" applyFill="1" applyProtection="1">
      <protection hidden="1"/>
    </xf>
    <xf numFmtId="0" fontId="99" fillId="7" borderId="0" xfId="0" applyFont="1" applyFill="1" applyAlignment="1" applyProtection="1">
      <alignment horizontal="right"/>
      <protection hidden="1"/>
    </xf>
    <xf numFmtId="0" fontId="145" fillId="56" borderId="0" xfId="0" applyFont="1" applyFill="1" applyProtection="1">
      <protection hidden="1"/>
    </xf>
    <xf numFmtId="0" fontId="100" fillId="7" borderId="0" xfId="0" applyFont="1" applyFill="1" applyProtection="1">
      <protection hidden="1"/>
    </xf>
    <xf numFmtId="0" fontId="146" fillId="7" borderId="0" xfId="0" applyFont="1" applyFill="1" applyProtection="1">
      <protection hidden="1"/>
    </xf>
    <xf numFmtId="0" fontId="132" fillId="7" borderId="0" xfId="0" applyFont="1" applyFill="1" applyProtection="1">
      <protection hidden="1"/>
    </xf>
    <xf numFmtId="166" fontId="132" fillId="7" borderId="0" xfId="0" applyNumberFormat="1" applyFont="1" applyFill="1" applyProtection="1">
      <protection hidden="1"/>
    </xf>
    <xf numFmtId="0" fontId="1" fillId="4" borderId="0" xfId="0" applyFont="1" applyFill="1"/>
    <xf numFmtId="0" fontId="1" fillId="45" borderId="0" xfId="4" applyFont="1" applyFill="1" applyAlignment="1" applyProtection="1">
      <alignment vertical="center"/>
      <protection locked="0"/>
    </xf>
    <xf numFmtId="0" fontId="80" fillId="56" borderId="0" xfId="0" applyFont="1" applyFill="1" applyProtection="1">
      <protection hidden="1"/>
    </xf>
    <xf numFmtId="167" fontId="0" fillId="0" borderId="0" xfId="0" applyNumberFormat="1"/>
    <xf numFmtId="0" fontId="0" fillId="57" borderId="0" xfId="0" applyFill="1" applyAlignment="1" applyProtection="1">
      <alignment vertical="center"/>
      <protection hidden="1"/>
    </xf>
    <xf numFmtId="0" fontId="99" fillId="29" borderId="46" xfId="0" applyFont="1" applyFill="1" applyBorder="1"/>
    <xf numFmtId="0" fontId="99" fillId="29" borderId="47" xfId="0" applyFont="1" applyFill="1" applyBorder="1"/>
    <xf numFmtId="0" fontId="99" fillId="29" borderId="48" xfId="0" applyFont="1" applyFill="1" applyBorder="1"/>
    <xf numFmtId="0" fontId="99" fillId="45" borderId="60" xfId="0" applyFont="1" applyFill="1" applyBorder="1" applyProtection="1">
      <protection locked="0"/>
    </xf>
    <xf numFmtId="0" fontId="99" fillId="29" borderId="59" xfId="0" applyFont="1" applyFill="1" applyBorder="1" applyAlignment="1">
      <alignment horizontal="center" vertical="center" shrinkToFit="1"/>
    </xf>
    <xf numFmtId="0" fontId="100" fillId="0" borderId="0" xfId="0" applyFont="1" applyAlignment="1">
      <alignment horizontal="center" vertical="top" wrapText="1"/>
    </xf>
    <xf numFmtId="0" fontId="99" fillId="0" borderId="0" xfId="0" applyFont="1" applyAlignment="1">
      <alignment horizontal="center" vertical="center" shrinkToFit="1"/>
    </xf>
    <xf numFmtId="0" fontId="151" fillId="59" borderId="61" xfId="0" applyFont="1" applyFill="1" applyBorder="1" applyAlignment="1">
      <alignment horizontal="center" vertical="top" wrapText="1"/>
    </xf>
    <xf numFmtId="0" fontId="113" fillId="29" borderId="62" xfId="0" applyFont="1" applyFill="1" applyBorder="1" applyAlignment="1">
      <alignment vertical="top" wrapText="1"/>
    </xf>
    <xf numFmtId="10" fontId="113" fillId="29" borderId="62" xfId="0" applyNumberFormat="1" applyFont="1" applyFill="1" applyBorder="1" applyAlignment="1">
      <alignment shrinkToFit="1"/>
    </xf>
    <xf numFmtId="0" fontId="113" fillId="29" borderId="0" xfId="0" applyFont="1" applyFill="1" applyAlignment="1">
      <alignment vertical="top" wrapText="1"/>
    </xf>
    <xf numFmtId="3" fontId="113" fillId="29" borderId="0" xfId="0" applyNumberFormat="1" applyFont="1" applyFill="1" applyAlignment="1">
      <alignment shrinkToFit="1"/>
    </xf>
    <xf numFmtId="0" fontId="7" fillId="38" borderId="0" xfId="4" applyFont="1" applyFill="1" applyAlignment="1" applyProtection="1">
      <alignment horizontal="center"/>
      <protection locked="0"/>
    </xf>
    <xf numFmtId="0" fontId="99" fillId="38" borderId="59" xfId="0" applyFont="1" applyFill="1" applyBorder="1" applyAlignment="1">
      <alignment shrinkToFit="1"/>
    </xf>
    <xf numFmtId="0" fontId="131" fillId="38" borderId="59" xfId="0" applyFont="1" applyFill="1" applyBorder="1" applyAlignment="1">
      <alignment shrinkToFit="1"/>
    </xf>
    <xf numFmtId="0" fontId="100" fillId="38" borderId="59" xfId="0" applyFont="1" applyFill="1" applyBorder="1" applyAlignment="1">
      <alignment shrinkToFit="1"/>
    </xf>
    <xf numFmtId="3" fontId="133" fillId="38" borderId="59" xfId="0" applyNumberFormat="1" applyFont="1" applyFill="1" applyBorder="1"/>
    <xf numFmtId="0" fontId="131" fillId="45" borderId="60" xfId="0" applyFont="1" applyFill="1" applyBorder="1" applyProtection="1">
      <protection locked="0"/>
    </xf>
    <xf numFmtId="3" fontId="131" fillId="29" borderId="0" xfId="0" applyNumberFormat="1" applyFont="1" applyFill="1" applyAlignment="1">
      <alignment shrinkToFit="1"/>
    </xf>
    <xf numFmtId="0" fontId="131" fillId="29" borderId="0" xfId="0" applyFont="1" applyFill="1"/>
    <xf numFmtId="0" fontId="152" fillId="29" borderId="0" xfId="0" applyFont="1" applyFill="1" applyAlignment="1">
      <alignment horizontal="left" vertical="center"/>
    </xf>
    <xf numFmtId="0" fontId="99" fillId="45" borderId="0" xfId="0" applyFont="1" applyFill="1"/>
    <xf numFmtId="0" fontId="0" fillId="48" borderId="0" xfId="0" applyFill="1"/>
    <xf numFmtId="0" fontId="0" fillId="43" borderId="0" xfId="0" applyFill="1"/>
    <xf numFmtId="0" fontId="99" fillId="43" borderId="0" xfId="0" applyFont="1" applyFill="1" applyAlignment="1">
      <alignment vertical="center"/>
    </xf>
    <xf numFmtId="0" fontId="152" fillId="48" borderId="0" xfId="0" applyFont="1" applyFill="1" applyAlignment="1">
      <alignment horizontal="left" vertical="center"/>
    </xf>
    <xf numFmtId="174" fontId="153" fillId="29" borderId="59" xfId="9" applyNumberFormat="1" applyFont="1" applyFill="1" applyBorder="1" applyAlignment="1">
      <alignment vertical="center"/>
    </xf>
    <xf numFmtId="3" fontId="153" fillId="29" borderId="59" xfId="0" applyNumberFormat="1" applyFont="1" applyFill="1" applyBorder="1" applyAlignment="1">
      <alignment horizontal="center" vertical="center"/>
    </xf>
    <xf numFmtId="174" fontId="153" fillId="29" borderId="59" xfId="0" applyNumberFormat="1" applyFont="1" applyFill="1" applyBorder="1" applyAlignment="1">
      <alignment vertical="center"/>
    </xf>
    <xf numFmtId="0" fontId="99" fillId="48" borderId="59" xfId="0" applyFont="1" applyFill="1" applyBorder="1" applyAlignment="1">
      <alignment horizontal="center" vertical="center"/>
    </xf>
    <xf numFmtId="0" fontId="153" fillId="48" borderId="59" xfId="0" applyFont="1" applyFill="1" applyBorder="1" applyAlignment="1">
      <alignment vertical="center"/>
    </xf>
    <xf numFmtId="0" fontId="99" fillId="48" borderId="59" xfId="0" applyFont="1" applyFill="1" applyBorder="1" applyAlignment="1">
      <alignment horizontal="center" vertical="center" shrinkToFit="1"/>
    </xf>
    <xf numFmtId="174" fontId="153" fillId="48" borderId="59" xfId="9" applyNumberFormat="1" applyFont="1" applyFill="1" applyBorder="1" applyAlignment="1">
      <alignment vertical="center"/>
    </xf>
    <xf numFmtId="174" fontId="153" fillId="48" borderId="59" xfId="0" applyNumberFormat="1" applyFont="1" applyFill="1" applyBorder="1" applyAlignment="1">
      <alignment vertical="center"/>
    </xf>
    <xf numFmtId="0" fontId="152" fillId="29" borderId="63" xfId="0" applyFont="1" applyFill="1" applyBorder="1" applyAlignment="1">
      <alignment horizontal="left" vertical="center"/>
    </xf>
    <xf numFmtId="0" fontId="0" fillId="29" borderId="62" xfId="0" applyFill="1" applyBorder="1"/>
    <xf numFmtId="0" fontId="1" fillId="43" borderId="0" xfId="0" applyFont="1" applyFill="1"/>
    <xf numFmtId="0" fontId="2" fillId="43" borderId="0" xfId="0" applyFont="1" applyFill="1"/>
    <xf numFmtId="174" fontId="158" fillId="27" borderId="64" xfId="9" applyNumberFormat="1" applyFont="1" applyFill="1" applyBorder="1" applyAlignment="1" applyProtection="1">
      <alignment vertical="center"/>
    </xf>
    <xf numFmtId="0" fontId="100" fillId="48" borderId="59" xfId="0" applyFont="1" applyFill="1" applyBorder="1" applyAlignment="1">
      <alignment horizontal="center" vertical="center"/>
    </xf>
    <xf numFmtId="3" fontId="158" fillId="27" borderId="64" xfId="9" applyNumberFormat="1" applyFont="1" applyFill="1" applyBorder="1" applyAlignment="1" applyProtection="1">
      <alignment vertical="center"/>
    </xf>
    <xf numFmtId="10" fontId="159" fillId="29" borderId="59" xfId="0" applyNumberFormat="1" applyFont="1" applyFill="1" applyBorder="1" applyAlignment="1">
      <alignment wrapText="1"/>
    </xf>
    <xf numFmtId="3" fontId="102" fillId="29" borderId="59" xfId="0" applyNumberFormat="1" applyFont="1" applyFill="1" applyBorder="1"/>
    <xf numFmtId="0" fontId="142" fillId="29" borderId="59" xfId="0" applyFont="1" applyFill="1" applyBorder="1" applyAlignment="1">
      <alignment vertical="top" wrapText="1"/>
    </xf>
    <xf numFmtId="0" fontId="99" fillId="48" borderId="73" xfId="0" applyFont="1" applyFill="1" applyBorder="1" applyAlignment="1">
      <alignment horizontal="center" vertical="center" shrinkToFit="1"/>
    </xf>
    <xf numFmtId="0" fontId="112" fillId="29" borderId="59" xfId="0" applyFont="1" applyFill="1" applyBorder="1" applyAlignment="1">
      <alignment vertical="top" wrapText="1"/>
    </xf>
    <xf numFmtId="10" fontId="99" fillId="38" borderId="62" xfId="0" applyNumberFormat="1" applyFont="1" applyFill="1" applyBorder="1" applyAlignment="1">
      <alignment shrinkToFit="1"/>
    </xf>
    <xf numFmtId="4" fontId="99" fillId="48" borderId="59" xfId="0" applyNumberFormat="1" applyFont="1" applyFill="1" applyBorder="1"/>
    <xf numFmtId="10" fontId="0" fillId="43" borderId="0" xfId="0" applyNumberFormat="1" applyFill="1"/>
    <xf numFmtId="0" fontId="0" fillId="36" borderId="59" xfId="0" applyFill="1" applyBorder="1" applyAlignment="1">
      <alignment shrinkToFit="1"/>
    </xf>
    <xf numFmtId="3" fontId="113" fillId="35" borderId="59" xfId="0" applyNumberFormat="1" applyFont="1" applyFill="1" applyBorder="1"/>
    <xf numFmtId="3" fontId="8" fillId="36" borderId="59" xfId="0" applyNumberFormat="1" applyFont="1" applyFill="1" applyBorder="1" applyAlignment="1">
      <alignment shrinkToFit="1"/>
    </xf>
    <xf numFmtId="10" fontId="99" fillId="36" borderId="59" xfId="0" applyNumberFormat="1" applyFont="1" applyFill="1" applyBorder="1" applyAlignment="1">
      <alignment wrapText="1"/>
    </xf>
    <xf numFmtId="3" fontId="99" fillId="36" borderId="59" xfId="0" applyNumberFormat="1" applyFont="1" applyFill="1" applyBorder="1"/>
    <xf numFmtId="3" fontId="99" fillId="43" borderId="59" xfId="0" applyNumberFormat="1" applyFont="1" applyFill="1" applyBorder="1"/>
    <xf numFmtId="3" fontId="100" fillId="43" borderId="59" xfId="0" applyNumberFormat="1" applyFont="1" applyFill="1" applyBorder="1"/>
    <xf numFmtId="3" fontId="99" fillId="43" borderId="0" xfId="0" applyNumberFormat="1" applyFont="1" applyFill="1"/>
    <xf numFmtId="10" fontId="113" fillId="43" borderId="59" xfId="0" applyNumberFormat="1" applyFont="1" applyFill="1" applyBorder="1" applyAlignment="1">
      <alignment wrapText="1"/>
    </xf>
    <xf numFmtId="0" fontId="169" fillId="29" borderId="59" xfId="0" applyFont="1" applyFill="1" applyBorder="1" applyAlignment="1">
      <alignment vertical="top" wrapText="1"/>
    </xf>
    <xf numFmtId="0" fontId="133" fillId="29" borderId="59" xfId="0" applyFont="1" applyFill="1" applyBorder="1" applyAlignment="1">
      <alignment vertical="top" wrapText="1"/>
    </xf>
    <xf numFmtId="0" fontId="8" fillId="43" borderId="0" xfId="0" applyFont="1" applyFill="1"/>
    <xf numFmtId="0" fontId="102" fillId="29" borderId="59" xfId="0" applyFont="1" applyFill="1" applyBorder="1" applyAlignment="1">
      <alignment horizontal="center"/>
    </xf>
    <xf numFmtId="3" fontId="102" fillId="0" borderId="59" xfId="0" applyNumberFormat="1" applyFont="1" applyBorder="1" applyAlignment="1">
      <alignment horizontal="center"/>
    </xf>
    <xf numFmtId="3" fontId="0" fillId="43" borderId="0" xfId="0" applyNumberFormat="1" applyFill="1" applyAlignment="1">
      <alignment horizontal="right"/>
    </xf>
    <xf numFmtId="0" fontId="0" fillId="43" borderId="0" xfId="0" applyFill="1" applyAlignment="1">
      <alignment horizontal="right"/>
    </xf>
    <xf numFmtId="174" fontId="170" fillId="29" borderId="59" xfId="9" applyNumberFormat="1" applyFont="1" applyFill="1" applyBorder="1" applyAlignment="1">
      <alignment vertical="center"/>
    </xf>
    <xf numFmtId="174" fontId="170" fillId="48" borderId="59" xfId="9" applyNumberFormat="1" applyFont="1" applyFill="1" applyBorder="1" applyAlignment="1">
      <alignment vertical="center"/>
    </xf>
    <xf numFmtId="3" fontId="170" fillId="29" borderId="59" xfId="0" applyNumberFormat="1" applyFont="1" applyFill="1" applyBorder="1" applyAlignment="1">
      <alignment horizontal="center" vertical="center"/>
    </xf>
    <xf numFmtId="174" fontId="170" fillId="48" borderId="59" xfId="0" applyNumberFormat="1" applyFont="1" applyFill="1" applyBorder="1" applyAlignment="1">
      <alignment vertical="center"/>
    </xf>
    <xf numFmtId="174" fontId="170" fillId="29" borderId="59" xfId="0" applyNumberFormat="1" applyFont="1" applyFill="1" applyBorder="1" applyAlignment="1">
      <alignment vertical="center"/>
    </xf>
    <xf numFmtId="174" fontId="170" fillId="48" borderId="73" xfId="0" applyNumberFormat="1" applyFont="1" applyFill="1" applyBorder="1" applyAlignment="1">
      <alignment vertical="center"/>
    </xf>
    <xf numFmtId="3" fontId="100" fillId="38" borderId="59" xfId="0" applyNumberFormat="1" applyFont="1" applyFill="1" applyBorder="1" applyProtection="1">
      <protection locked="0"/>
    </xf>
    <xf numFmtId="164" fontId="0" fillId="43" borderId="0" xfId="0" applyNumberFormat="1" applyFill="1"/>
    <xf numFmtId="0" fontId="154" fillId="0" borderId="0" xfId="0" applyFont="1" applyAlignment="1">
      <alignment vertical="top" wrapText="1"/>
    </xf>
    <xf numFmtId="0" fontId="147" fillId="45" borderId="60" xfId="0" applyFont="1" applyFill="1" applyBorder="1" applyProtection="1">
      <protection locked="0"/>
    </xf>
    <xf numFmtId="0" fontId="147" fillId="0" borderId="0" xfId="0" applyFont="1" applyAlignment="1">
      <alignment horizontal="center" vertical="center" shrinkToFit="1"/>
    </xf>
    <xf numFmtId="0" fontId="147" fillId="0" borderId="0" xfId="0" applyFont="1" applyAlignment="1">
      <alignment horizontal="left" vertical="center" shrinkToFit="1"/>
    </xf>
    <xf numFmtId="3" fontId="147" fillId="0" borderId="0" xfId="0" applyNumberFormat="1" applyFont="1" applyAlignment="1">
      <alignment horizontal="center" vertical="center"/>
    </xf>
    <xf numFmtId="10" fontId="147" fillId="0" borderId="0" xfId="0" applyNumberFormat="1" applyFont="1" applyAlignment="1">
      <alignment horizontal="left" vertical="center"/>
    </xf>
    <xf numFmtId="174" fontId="147" fillId="0" borderId="0" xfId="0" applyNumberFormat="1" applyFont="1" applyAlignment="1">
      <alignment horizontal="left" vertical="center"/>
    </xf>
    <xf numFmtId="179" fontId="147" fillId="0" borderId="0" xfId="0" applyNumberFormat="1" applyFont="1" applyAlignment="1">
      <alignment horizontal="left" vertical="center"/>
    </xf>
    <xf numFmtId="0" fontId="100" fillId="30" borderId="59" xfId="0" applyFont="1" applyFill="1" applyBorder="1" applyAlignment="1">
      <alignment horizontal="center"/>
    </xf>
    <xf numFmtId="0" fontId="0" fillId="52" borderId="0" xfId="0" applyFill="1"/>
    <xf numFmtId="0" fontId="1" fillId="52" borderId="0" xfId="0" applyFont="1" applyFill="1"/>
    <xf numFmtId="0" fontId="6" fillId="52" borderId="0" xfId="0" applyFont="1" applyFill="1" applyAlignment="1">
      <alignment wrapText="1"/>
    </xf>
    <xf numFmtId="0" fontId="0" fillId="43" borderId="23" xfId="0" applyFill="1" applyBorder="1" applyAlignment="1">
      <alignment horizontal="center"/>
    </xf>
    <xf numFmtId="0" fontId="0" fillId="43" borderId="24" xfId="0" applyFill="1" applyBorder="1" applyAlignment="1">
      <alignment horizontal="center"/>
    </xf>
    <xf numFmtId="0" fontId="1" fillId="43" borderId="23" xfId="0" applyFont="1" applyFill="1" applyBorder="1" applyAlignment="1">
      <alignment horizontal="center"/>
    </xf>
    <xf numFmtId="0" fontId="8" fillId="53" borderId="0" xfId="0" applyFont="1" applyFill="1" applyAlignment="1">
      <alignment horizontal="left" vertical="center" wrapText="1"/>
    </xf>
    <xf numFmtId="0" fontId="8" fillId="53" borderId="0" xfId="0" applyFont="1" applyFill="1" applyAlignment="1">
      <alignment horizontal="left" vertical="center" shrinkToFit="1"/>
    </xf>
    <xf numFmtId="0" fontId="8" fillId="53" borderId="0" xfId="0" applyFont="1" applyFill="1" applyAlignment="1">
      <alignment horizontal="left" vertical="center"/>
    </xf>
    <xf numFmtId="0" fontId="7" fillId="53" borderId="0" xfId="0" applyFont="1" applyFill="1"/>
    <xf numFmtId="9" fontId="47" fillId="53" borderId="0" xfId="0" applyNumberFormat="1" applyFont="1" applyFill="1"/>
    <xf numFmtId="170" fontId="7" fillId="53" borderId="7" xfId="1" applyNumberFormat="1" applyFont="1" applyFill="1" applyBorder="1" applyAlignment="1">
      <alignment horizontal="center" vertical="center" wrapText="1"/>
    </xf>
    <xf numFmtId="167" fontId="47" fillId="53" borderId="0" xfId="1" applyFont="1" applyFill="1" applyBorder="1" applyAlignment="1">
      <alignment vertical="center"/>
    </xf>
    <xf numFmtId="3" fontId="7" fillId="53" borderId="0" xfId="0" applyNumberFormat="1" applyFont="1" applyFill="1"/>
    <xf numFmtId="0" fontId="47" fillId="53" borderId="0" xfId="0" applyFont="1" applyFill="1"/>
    <xf numFmtId="4" fontId="7" fillId="53" borderId="0" xfId="0" applyNumberFormat="1" applyFont="1" applyFill="1" applyAlignment="1">
      <alignment horizontal="right"/>
    </xf>
    <xf numFmtId="0" fontId="8" fillId="53" borderId="51" xfId="0" applyFont="1" applyFill="1" applyBorder="1" applyAlignment="1">
      <alignment horizontal="left" vertical="center" wrapText="1"/>
    </xf>
    <xf numFmtId="3" fontId="174" fillId="38" borderId="59" xfId="0" applyNumberFormat="1" applyFont="1" applyFill="1" applyBorder="1"/>
    <xf numFmtId="167" fontId="0" fillId="33" borderId="15" xfId="0" applyNumberFormat="1" applyFill="1" applyBorder="1"/>
    <xf numFmtId="0" fontId="113" fillId="45" borderId="60" xfId="0" applyFont="1" applyFill="1" applyBorder="1" applyProtection="1">
      <protection locked="0"/>
    </xf>
    <xf numFmtId="0" fontId="113" fillId="0" borderId="0" xfId="0" applyFont="1" applyAlignment="1">
      <alignment horizontal="center" vertical="center" shrinkToFit="1"/>
    </xf>
    <xf numFmtId="0" fontId="175" fillId="0" borderId="0" xfId="0" applyFont="1" applyAlignment="1">
      <alignment horizontal="left" vertical="center" shrinkToFit="1"/>
    </xf>
    <xf numFmtId="3" fontId="113" fillId="0" borderId="0" xfId="0" applyNumberFormat="1" applyFont="1" applyAlignment="1">
      <alignment horizontal="center" vertical="center"/>
    </xf>
    <xf numFmtId="10" fontId="113" fillId="0" borderId="0" xfId="0" applyNumberFormat="1" applyFont="1" applyAlignment="1">
      <alignment horizontal="left" vertical="center"/>
    </xf>
    <xf numFmtId="174" fontId="113" fillId="0" borderId="0" xfId="0" applyNumberFormat="1" applyFont="1" applyAlignment="1">
      <alignment horizontal="left" vertical="center"/>
    </xf>
    <xf numFmtId="179" fontId="113" fillId="0" borderId="0" xfId="0" applyNumberFormat="1" applyFont="1" applyAlignment="1">
      <alignment horizontal="left" vertical="center"/>
    </xf>
    <xf numFmtId="4" fontId="102" fillId="29" borderId="59" xfId="0" applyNumberFormat="1" applyFont="1" applyFill="1" applyBorder="1"/>
    <xf numFmtId="4" fontId="100" fillId="29" borderId="59" xfId="0" applyNumberFormat="1" applyFont="1" applyFill="1" applyBorder="1"/>
    <xf numFmtId="0" fontId="113" fillId="0" borderId="0" xfId="0" applyFont="1" applyAlignment="1">
      <alignment horizontal="left" vertical="center" shrinkToFit="1"/>
    </xf>
    <xf numFmtId="0" fontId="1" fillId="52" borderId="0" xfId="0" applyFont="1" applyFill="1" applyAlignment="1">
      <alignment wrapText="1"/>
    </xf>
    <xf numFmtId="0" fontId="100" fillId="29" borderId="59" xfId="0" applyFont="1" applyFill="1" applyBorder="1" applyAlignment="1">
      <alignment horizontal="center"/>
    </xf>
    <xf numFmtId="4" fontId="100" fillId="48" borderId="59" xfId="0" applyNumberFormat="1" applyFont="1" applyFill="1" applyBorder="1"/>
    <xf numFmtId="3" fontId="9" fillId="36" borderId="59" xfId="0" applyNumberFormat="1" applyFont="1" applyFill="1" applyBorder="1" applyAlignment="1">
      <alignment shrinkToFit="1"/>
    </xf>
    <xf numFmtId="167" fontId="0" fillId="33" borderId="16" xfId="0" applyNumberFormat="1" applyFill="1" applyBorder="1"/>
    <xf numFmtId="0" fontId="176" fillId="40" borderId="0" xfId="4" applyFont="1" applyFill="1"/>
    <xf numFmtId="0" fontId="176" fillId="34" borderId="0" xfId="4" applyFont="1" applyFill="1"/>
    <xf numFmtId="0" fontId="99" fillId="30" borderId="59" xfId="0" applyFont="1" applyFill="1" applyBorder="1" applyAlignment="1">
      <alignment shrinkToFit="1"/>
    </xf>
    <xf numFmtId="10" fontId="99" fillId="0" borderId="62" xfId="0" applyNumberFormat="1" applyFont="1" applyBorder="1" applyAlignment="1">
      <alignment shrinkToFit="1"/>
    </xf>
    <xf numFmtId="168" fontId="38" fillId="0" borderId="24" xfId="8" applyNumberFormat="1" applyFont="1" applyFill="1" applyBorder="1" applyAlignment="1" applyProtection="1">
      <alignment horizontal="right" indent="1"/>
      <protection hidden="1"/>
    </xf>
    <xf numFmtId="4" fontId="116" fillId="49" borderId="57" xfId="0" applyNumberFormat="1" applyFont="1" applyFill="1" applyBorder="1"/>
    <xf numFmtId="14" fontId="89" fillId="29" borderId="0" xfId="0" applyNumberFormat="1" applyFont="1" applyFill="1"/>
    <xf numFmtId="0" fontId="1" fillId="29" borderId="0" xfId="0" applyFont="1" applyFill="1" applyAlignment="1">
      <alignment wrapText="1"/>
    </xf>
    <xf numFmtId="0" fontId="178" fillId="49" borderId="57" xfId="0" applyFont="1" applyFill="1" applyBorder="1"/>
    <xf numFmtId="0" fontId="1" fillId="0" borderId="0" xfId="0" applyFont="1" applyProtection="1">
      <protection locked="0"/>
    </xf>
    <xf numFmtId="14" fontId="1" fillId="45" borderId="0" xfId="0" applyNumberFormat="1" applyFont="1" applyFill="1"/>
    <xf numFmtId="3" fontId="32" fillId="0" borderId="0" xfId="0" applyNumberFormat="1" applyFont="1" applyProtection="1">
      <protection hidden="1"/>
    </xf>
    <xf numFmtId="3" fontId="26" fillId="0" borderId="0" xfId="0" applyNumberFormat="1" applyFont="1" applyProtection="1">
      <protection locked="0"/>
    </xf>
    <xf numFmtId="14" fontId="89" fillId="48" borderId="0" xfId="0" applyNumberFormat="1" applyFont="1" applyFill="1"/>
    <xf numFmtId="0" fontId="89" fillId="29" borderId="0" xfId="0" applyFont="1" applyFill="1"/>
    <xf numFmtId="0" fontId="89" fillId="60" borderId="0" xfId="0" applyFont="1" applyFill="1"/>
    <xf numFmtId="0" fontId="114" fillId="47" borderId="0" xfId="0" applyFont="1" applyFill="1" applyAlignment="1">
      <alignment horizontal="center" vertical="center" wrapText="1"/>
    </xf>
    <xf numFmtId="14" fontId="115" fillId="29" borderId="74" xfId="0" applyNumberFormat="1" applyFont="1" applyFill="1" applyBorder="1"/>
    <xf numFmtId="0" fontId="179" fillId="48" borderId="0" xfId="0" applyFont="1" applyFill="1"/>
    <xf numFmtId="0" fontId="1" fillId="29" borderId="0" xfId="0" applyFont="1" applyFill="1" applyAlignment="1">
      <alignment horizontal="right"/>
    </xf>
    <xf numFmtId="0" fontId="89" fillId="45" borderId="0" xfId="0" applyFont="1" applyFill="1"/>
    <xf numFmtId="0" fontId="26" fillId="30" borderId="0" xfId="0" applyFont="1" applyFill="1" applyProtection="1">
      <protection locked="0"/>
    </xf>
    <xf numFmtId="0" fontId="182" fillId="47" borderId="0" xfId="0" applyFont="1" applyFill="1" applyAlignment="1">
      <alignment horizontal="center" vertical="center" wrapText="1"/>
    </xf>
    <xf numFmtId="0" fontId="114" fillId="47" borderId="76" xfId="0" applyFont="1" applyFill="1" applyBorder="1"/>
    <xf numFmtId="4" fontId="183" fillId="45" borderId="0" xfId="0" applyNumberFormat="1" applyFont="1" applyFill="1"/>
    <xf numFmtId="0" fontId="114" fillId="47" borderId="76" xfId="0" applyFont="1" applyFill="1" applyBorder="1" applyAlignment="1">
      <alignment horizontal="right"/>
    </xf>
    <xf numFmtId="0" fontId="5" fillId="29" borderId="0" xfId="0" applyFont="1" applyFill="1" applyAlignment="1">
      <alignment vertical="center"/>
    </xf>
    <xf numFmtId="0" fontId="1" fillId="29" borderId="0" xfId="0" applyFont="1" applyFill="1" applyAlignment="1">
      <alignment vertical="center"/>
    </xf>
    <xf numFmtId="4" fontId="180" fillId="61" borderId="0" xfId="0" applyNumberFormat="1" applyFont="1" applyFill="1" applyAlignment="1">
      <alignment horizontal="right" vertical="center"/>
    </xf>
    <xf numFmtId="0" fontId="177" fillId="49" borderId="56" xfId="0" applyFont="1" applyFill="1" applyBorder="1"/>
    <xf numFmtId="14" fontId="177" fillId="49" borderId="57" xfId="0" applyNumberFormat="1" applyFont="1" applyFill="1" applyBorder="1"/>
    <xf numFmtId="0" fontId="177" fillId="51" borderId="58" xfId="0" applyFont="1" applyFill="1" applyBorder="1"/>
    <xf numFmtId="14" fontId="177" fillId="51" borderId="54" xfId="0" applyNumberFormat="1" applyFont="1" applyFill="1" applyBorder="1"/>
    <xf numFmtId="4" fontId="116" fillId="51" borderId="54" xfId="0" applyNumberFormat="1" applyFont="1" applyFill="1" applyBorder="1"/>
    <xf numFmtId="4" fontId="116" fillId="49" borderId="54" xfId="0" applyNumberFormat="1" applyFont="1" applyFill="1" applyBorder="1"/>
    <xf numFmtId="0" fontId="185" fillId="29" borderId="0" xfId="0" applyFont="1" applyFill="1" applyAlignment="1">
      <alignment vertical="center"/>
    </xf>
    <xf numFmtId="0" fontId="186" fillId="29" borderId="74" xfId="0" applyFont="1" applyFill="1" applyBorder="1" applyAlignment="1">
      <alignment horizontal="center"/>
    </xf>
    <xf numFmtId="14" fontId="186" fillId="29" borderId="74" xfId="0" applyNumberFormat="1" applyFont="1" applyFill="1" applyBorder="1"/>
    <xf numFmtId="0" fontId="124" fillId="0" borderId="30" xfId="0" applyFont="1" applyBorder="1" applyAlignment="1" applyProtection="1">
      <alignment horizontal="right" indent="1"/>
      <protection locked="0"/>
    </xf>
    <xf numFmtId="0" fontId="124" fillId="13" borderId="5" xfId="0" applyFont="1" applyFill="1" applyBorder="1" applyProtection="1">
      <protection locked="0"/>
    </xf>
    <xf numFmtId="4" fontId="89" fillId="29" borderId="0" xfId="0" applyNumberFormat="1" applyFont="1" applyFill="1"/>
    <xf numFmtId="0" fontId="107" fillId="29" borderId="0" xfId="0" applyFont="1" applyFill="1"/>
    <xf numFmtId="0" fontId="187" fillId="29" borderId="0" xfId="0" applyFont="1" applyFill="1"/>
    <xf numFmtId="0" fontId="1" fillId="45" borderId="77" xfId="0" applyFont="1" applyFill="1" applyBorder="1"/>
    <xf numFmtId="0" fontId="1" fillId="45" borderId="78" xfId="0" applyFont="1" applyFill="1" applyBorder="1"/>
    <xf numFmtId="0" fontId="1" fillId="45" borderId="79" xfId="0" applyFont="1" applyFill="1" applyBorder="1"/>
    <xf numFmtId="0" fontId="1" fillId="45" borderId="80" xfId="0" applyFont="1" applyFill="1" applyBorder="1"/>
    <xf numFmtId="0" fontId="187" fillId="29" borderId="0" xfId="0" applyFont="1" applyFill="1" applyAlignment="1">
      <alignment wrapText="1"/>
    </xf>
    <xf numFmtId="0" fontId="187" fillId="45" borderId="0" xfId="0" applyFont="1" applyFill="1" applyAlignment="1">
      <alignment wrapText="1"/>
    </xf>
    <xf numFmtId="0" fontId="181" fillId="47" borderId="76" xfId="0" applyFont="1" applyFill="1" applyBorder="1"/>
    <xf numFmtId="0" fontId="182" fillId="47" borderId="76" xfId="0" applyFont="1" applyFill="1" applyBorder="1"/>
    <xf numFmtId="0" fontId="114" fillId="47" borderId="76" xfId="0" applyFont="1" applyFill="1" applyBorder="1" applyAlignment="1">
      <alignment horizontal="center"/>
    </xf>
    <xf numFmtId="0" fontId="182" fillId="47" borderId="76" xfId="0" quotePrefix="1" applyFont="1" applyFill="1" applyBorder="1" applyAlignment="1">
      <alignment horizontal="center"/>
    </xf>
    <xf numFmtId="0" fontId="119" fillId="47" borderId="76" xfId="0" applyFont="1" applyFill="1" applyBorder="1"/>
    <xf numFmtId="4" fontId="106" fillId="45" borderId="0" xfId="0" applyNumberFormat="1" applyFont="1" applyFill="1"/>
    <xf numFmtId="4" fontId="89" fillId="45" borderId="0" xfId="0" applyNumberFormat="1" applyFont="1" applyFill="1"/>
    <xf numFmtId="180" fontId="26" fillId="0" borderId="0" xfId="0" applyNumberFormat="1" applyFont="1" applyProtection="1">
      <protection locked="0"/>
    </xf>
    <xf numFmtId="0" fontId="188" fillId="29" borderId="0" xfId="0" applyFont="1" applyFill="1"/>
    <xf numFmtId="0" fontId="188" fillId="47" borderId="0" xfId="0" applyFont="1" applyFill="1" applyAlignment="1">
      <alignment horizontal="center" vertical="center" wrapText="1"/>
    </xf>
    <xf numFmtId="0" fontId="188" fillId="29" borderId="0" xfId="0" applyFont="1" applyFill="1" applyAlignment="1">
      <alignment wrapText="1"/>
    </xf>
    <xf numFmtId="0" fontId="189" fillId="50" borderId="55" xfId="0" applyFont="1" applyFill="1" applyBorder="1"/>
    <xf numFmtId="0" fontId="190" fillId="49" borderId="57" xfId="0" applyFont="1" applyFill="1" applyBorder="1"/>
    <xf numFmtId="0" fontId="191" fillId="51" borderId="54" xfId="0" applyFont="1" applyFill="1" applyBorder="1"/>
    <xf numFmtId="0" fontId="191" fillId="49" borderId="54" xfId="0" applyFont="1" applyFill="1" applyBorder="1"/>
    <xf numFmtId="182" fontId="1" fillId="34" borderId="0" xfId="0" applyNumberFormat="1" applyFont="1" applyFill="1" applyAlignment="1">
      <alignment wrapText="1"/>
    </xf>
    <xf numFmtId="4" fontId="178" fillId="49" borderId="57" xfId="0" applyNumberFormat="1" applyFont="1" applyFill="1" applyBorder="1"/>
    <xf numFmtId="0" fontId="115" fillId="29" borderId="0" xfId="0" applyFont="1" applyFill="1" applyAlignment="1">
      <alignment horizontal="center"/>
    </xf>
    <xf numFmtId="0" fontId="114" fillId="50" borderId="0" xfId="0" applyFont="1" applyFill="1"/>
    <xf numFmtId="0" fontId="193" fillId="48" borderId="0" xfId="0" applyFont="1" applyFill="1"/>
    <xf numFmtId="0" fontId="107" fillId="48" borderId="0" xfId="0" applyFont="1" applyFill="1"/>
    <xf numFmtId="14" fontId="107" fillId="29" borderId="0" xfId="0" applyNumberFormat="1" applyFont="1" applyFill="1"/>
    <xf numFmtId="0" fontId="114" fillId="62" borderId="0" xfId="0" applyFont="1" applyFill="1" applyAlignment="1">
      <alignment horizontal="center" vertical="center" wrapText="1"/>
    </xf>
    <xf numFmtId="4" fontId="107" fillId="29" borderId="0" xfId="0" applyNumberFormat="1" applyFont="1" applyFill="1"/>
    <xf numFmtId="4" fontId="107" fillId="45" borderId="0" xfId="0" applyNumberFormat="1" applyFont="1" applyFill="1"/>
    <xf numFmtId="4" fontId="107" fillId="63" borderId="0" xfId="0" applyNumberFormat="1" applyFont="1" applyFill="1"/>
    <xf numFmtId="0" fontId="1" fillId="63" borderId="0" xfId="0" applyFont="1" applyFill="1"/>
    <xf numFmtId="0" fontId="107" fillId="63" borderId="0" xfId="0" applyFont="1" applyFill="1"/>
    <xf numFmtId="10" fontId="1" fillId="48" borderId="0" xfId="0" applyNumberFormat="1" applyFont="1" applyFill="1"/>
    <xf numFmtId="0" fontId="1" fillId="48" borderId="0" xfId="0" applyFont="1" applyFill="1" applyAlignment="1">
      <alignment wrapText="1"/>
    </xf>
    <xf numFmtId="4" fontId="184" fillId="45" borderId="0" xfId="0" applyNumberFormat="1" applyFont="1" applyFill="1" applyAlignment="1">
      <alignment vertical="center"/>
    </xf>
    <xf numFmtId="0" fontId="1" fillId="29" borderId="0" xfId="0" applyFont="1" applyFill="1" applyAlignment="1">
      <alignment horizontal="right" vertical="center" wrapText="1"/>
    </xf>
    <xf numFmtId="0" fontId="107" fillId="63" borderId="0" xfId="0" applyFont="1" applyFill="1" applyAlignment="1">
      <alignment horizontal="right"/>
    </xf>
    <xf numFmtId="0" fontId="87" fillId="63" borderId="0" xfId="0" applyFont="1" applyFill="1"/>
    <xf numFmtId="0" fontId="87" fillId="63" borderId="0" xfId="0" applyFont="1" applyFill="1" applyAlignment="1">
      <alignment horizontal="center"/>
    </xf>
    <xf numFmtId="4" fontId="107" fillId="63" borderId="0" xfId="0" applyNumberFormat="1" applyFont="1" applyFill="1" applyAlignment="1">
      <alignment horizontal="right"/>
    </xf>
    <xf numFmtId="14" fontId="107" fillId="63" borderId="0" xfId="0" applyNumberFormat="1" applyFont="1" applyFill="1" applyAlignment="1">
      <alignment horizontal="center"/>
    </xf>
    <xf numFmtId="14" fontId="107" fillId="63" borderId="0" xfId="0" applyNumberFormat="1" applyFont="1" applyFill="1"/>
    <xf numFmtId="0" fontId="107" fillId="63" borderId="0" xfId="0" applyFont="1" applyFill="1" applyAlignment="1">
      <alignment vertical="center"/>
    </xf>
    <xf numFmtId="10" fontId="107" fillId="63" borderId="0" xfId="0" applyNumberFormat="1" applyFont="1" applyFill="1" applyAlignment="1">
      <alignment horizontal="right"/>
    </xf>
    <xf numFmtId="0" fontId="195" fillId="63" borderId="0" xfId="0" applyFont="1" applyFill="1" applyAlignment="1">
      <alignment shrinkToFit="1"/>
    </xf>
    <xf numFmtId="10" fontId="87" fillId="63" borderId="0" xfId="0" applyNumberFormat="1" applyFont="1" applyFill="1" applyAlignment="1">
      <alignment horizontal="center"/>
    </xf>
    <xf numFmtId="0" fontId="87" fillId="63" borderId="0" xfId="0" applyFont="1" applyFill="1" applyAlignment="1">
      <alignment horizontal="right"/>
    </xf>
    <xf numFmtId="4" fontId="194" fillId="52" borderId="0" xfId="0" applyNumberFormat="1" applyFont="1" applyFill="1" applyAlignment="1">
      <alignment horizontal="right" vertical="center"/>
    </xf>
    <xf numFmtId="0" fontId="107" fillId="29" borderId="0" xfId="0" applyFont="1" applyFill="1" applyAlignment="1">
      <alignment shrinkToFit="1"/>
    </xf>
    <xf numFmtId="0" fontId="107" fillId="45" borderId="0" xfId="0" applyFont="1" applyFill="1"/>
    <xf numFmtId="0" fontId="119" fillId="62" borderId="76" xfId="0" applyFont="1" applyFill="1" applyBorder="1"/>
    <xf numFmtId="0" fontId="114" fillId="62" borderId="76" xfId="0" applyFont="1" applyFill="1" applyBorder="1"/>
    <xf numFmtId="0" fontId="182" fillId="62" borderId="0" xfId="0" applyFont="1" applyFill="1" applyAlignment="1">
      <alignment horizontal="center" vertical="center" wrapText="1"/>
    </xf>
    <xf numFmtId="3" fontId="107" fillId="29" borderId="0" xfId="0" applyNumberFormat="1" applyFont="1" applyFill="1"/>
    <xf numFmtId="0" fontId="107" fillId="29" borderId="0" xfId="0" applyFont="1" applyFill="1" applyAlignment="1">
      <alignment wrapText="1"/>
    </xf>
    <xf numFmtId="0" fontId="107" fillId="45" borderId="0" xfId="0" applyFont="1" applyFill="1" applyAlignment="1">
      <alignment wrapText="1"/>
    </xf>
    <xf numFmtId="10" fontId="1" fillId="48" borderId="0" xfId="0" applyNumberFormat="1" applyFont="1" applyFill="1" applyAlignment="1">
      <alignment vertical="center" wrapText="1"/>
    </xf>
    <xf numFmtId="0" fontId="66" fillId="41" borderId="0" xfId="4" applyFill="1"/>
    <xf numFmtId="0" fontId="72" fillId="41" borderId="0" xfId="0" applyFont="1" applyFill="1" applyAlignment="1" applyProtection="1">
      <alignment vertical="center"/>
      <protection locked="0"/>
    </xf>
    <xf numFmtId="174" fontId="72" fillId="41" borderId="0" xfId="0" applyNumberFormat="1" applyFont="1" applyFill="1" applyAlignment="1" applyProtection="1">
      <alignment vertical="center"/>
      <protection locked="0"/>
    </xf>
    <xf numFmtId="10" fontId="72" fillId="41" borderId="0" xfId="0" applyNumberFormat="1" applyFont="1" applyFill="1" applyAlignment="1" applyProtection="1">
      <alignment vertical="center"/>
      <protection locked="0"/>
    </xf>
    <xf numFmtId="10" fontId="0" fillId="41" borderId="0" xfId="0" applyNumberFormat="1" applyFill="1" applyAlignment="1" applyProtection="1">
      <alignment vertical="center"/>
      <protection locked="0"/>
    </xf>
    <xf numFmtId="14" fontId="91" fillId="41" borderId="0" xfId="0" applyNumberFormat="1" applyFont="1" applyFill="1" applyAlignment="1">
      <alignment vertical="center"/>
    </xf>
    <xf numFmtId="14" fontId="91" fillId="54" borderId="0" xfId="0" applyNumberFormat="1" applyFont="1" applyFill="1" applyAlignment="1" applyProtection="1">
      <alignment vertical="center"/>
      <protection locked="0"/>
    </xf>
    <xf numFmtId="0" fontId="92" fillId="41" borderId="0" xfId="0" applyFont="1" applyFill="1" applyProtection="1">
      <protection locked="0"/>
    </xf>
    <xf numFmtId="0" fontId="7" fillId="41" borderId="0" xfId="0" applyFont="1" applyFill="1" applyAlignment="1" applyProtection="1">
      <alignment vertical="center"/>
      <protection locked="0"/>
    </xf>
    <xf numFmtId="14" fontId="116" fillId="64" borderId="54" xfId="0" applyNumberFormat="1" applyFont="1" applyFill="1" applyBorder="1"/>
    <xf numFmtId="0" fontId="1" fillId="45" borderId="0" xfId="0" applyFont="1" applyFill="1"/>
    <xf numFmtId="49" fontId="92" fillId="41" borderId="0" xfId="0" applyNumberFormat="1" applyFont="1" applyFill="1" applyProtection="1">
      <protection locked="0"/>
    </xf>
    <xf numFmtId="0" fontId="7" fillId="37" borderId="0" xfId="0" applyFont="1" applyFill="1" applyAlignment="1" applyProtection="1">
      <alignment vertical="center"/>
      <protection locked="0"/>
    </xf>
    <xf numFmtId="0" fontId="1" fillId="29" borderId="81" xfId="0" applyFont="1" applyFill="1" applyBorder="1"/>
    <xf numFmtId="0" fontId="1" fillId="29" borderId="82" xfId="0" applyFont="1" applyFill="1" applyBorder="1"/>
    <xf numFmtId="14" fontId="1" fillId="29" borderId="82" xfId="0" applyNumberFormat="1" applyFont="1" applyFill="1" applyBorder="1"/>
    <xf numFmtId="4" fontId="1" fillId="29" borderId="82" xfId="0" applyNumberFormat="1" applyFont="1" applyFill="1" applyBorder="1"/>
    <xf numFmtId="0" fontId="1" fillId="29" borderId="82" xfId="0" applyFont="1" applyFill="1" applyBorder="1" applyAlignment="1">
      <alignment horizontal="center"/>
    </xf>
    <xf numFmtId="174" fontId="106" fillId="37" borderId="0" xfId="0" applyNumberFormat="1" applyFont="1" applyFill="1" applyAlignment="1" applyProtection="1">
      <alignment vertical="center"/>
      <protection locked="0"/>
    </xf>
    <xf numFmtId="183" fontId="38" fillId="14" borderId="5" xfId="0" applyNumberFormat="1" applyFont="1" applyFill="1" applyBorder="1" applyAlignment="1" applyProtection="1">
      <alignment horizontal="left" indent="1"/>
      <protection hidden="1"/>
    </xf>
    <xf numFmtId="10" fontId="1" fillId="29" borderId="82" xfId="0" applyNumberFormat="1" applyFont="1" applyFill="1" applyBorder="1"/>
    <xf numFmtId="14" fontId="1" fillId="29" borderId="82" xfId="0" applyNumberFormat="1" applyFont="1" applyFill="1" applyBorder="1" applyAlignment="1">
      <alignment horizontal="center"/>
    </xf>
    <xf numFmtId="4" fontId="106" fillId="29" borderId="0" xfId="0" applyNumberFormat="1" applyFont="1" applyFill="1" applyAlignment="1">
      <alignment horizontal="center"/>
    </xf>
    <xf numFmtId="184" fontId="106" fillId="29" borderId="82" xfId="0" applyNumberFormat="1" applyFont="1" applyFill="1" applyBorder="1" applyAlignment="1">
      <alignment horizontal="center"/>
    </xf>
    <xf numFmtId="0" fontId="106" fillId="29" borderId="0" xfId="0" applyFont="1" applyFill="1" applyAlignment="1">
      <alignment horizontal="center"/>
    </xf>
    <xf numFmtId="10" fontId="106" fillId="37" borderId="0" xfId="0" applyNumberFormat="1" applyFont="1" applyFill="1" applyAlignment="1" applyProtection="1">
      <alignment vertical="center"/>
      <protection locked="0"/>
    </xf>
    <xf numFmtId="0" fontId="2" fillId="29" borderId="83" xfId="0" applyFont="1" applyFill="1" applyBorder="1" applyAlignment="1">
      <alignment horizontal="right" vertical="center" wrapText="1"/>
    </xf>
    <xf numFmtId="0" fontId="196" fillId="62" borderId="0" xfId="0" applyFont="1" applyFill="1" applyAlignment="1">
      <alignment horizontal="left" vertical="center"/>
    </xf>
    <xf numFmtId="14" fontId="107" fillId="64" borderId="54" xfId="0" applyNumberFormat="1" applyFont="1" applyFill="1" applyBorder="1"/>
    <xf numFmtId="0" fontId="191" fillId="0" borderId="0" xfId="0" applyFont="1"/>
    <xf numFmtId="0" fontId="1" fillId="65" borderId="0" xfId="4" applyFont="1" applyFill="1"/>
    <xf numFmtId="0" fontId="1" fillId="65" borderId="0" xfId="0" applyFont="1" applyFill="1" applyAlignment="1" applyProtection="1">
      <alignment vertical="center"/>
      <protection locked="0"/>
    </xf>
    <xf numFmtId="0" fontId="66" fillId="65" borderId="0" xfId="4" applyFill="1"/>
    <xf numFmtId="0" fontId="72" fillId="65" borderId="0" xfId="0" applyFont="1" applyFill="1" applyAlignment="1" applyProtection="1">
      <alignment vertical="center"/>
      <protection locked="0"/>
    </xf>
    <xf numFmtId="0" fontId="72" fillId="65" borderId="0" xfId="0" applyFont="1" applyFill="1" applyAlignment="1">
      <alignment vertical="center" wrapText="1"/>
    </xf>
    <xf numFmtId="174" fontId="72" fillId="65" borderId="0" xfId="0" applyNumberFormat="1" applyFont="1" applyFill="1" applyAlignment="1" applyProtection="1">
      <alignment vertical="center"/>
      <protection locked="0"/>
    </xf>
    <xf numFmtId="10" fontId="72" fillId="65" borderId="0" xfId="0" applyNumberFormat="1" applyFont="1" applyFill="1" applyAlignment="1" applyProtection="1">
      <alignment vertical="center"/>
      <protection locked="0"/>
    </xf>
    <xf numFmtId="10" fontId="0" fillId="65" borderId="0" xfId="0" applyNumberFormat="1" applyFill="1" applyAlignment="1" applyProtection="1">
      <alignment vertical="center"/>
      <protection locked="0"/>
    </xf>
    <xf numFmtId="14" fontId="91" fillId="65" borderId="0" xfId="0" applyNumberFormat="1" applyFont="1" applyFill="1" applyAlignment="1">
      <alignment vertical="center"/>
    </xf>
    <xf numFmtId="14" fontId="91" fillId="65" borderId="0" xfId="0" applyNumberFormat="1" applyFont="1" applyFill="1" applyAlignment="1" applyProtection="1">
      <alignment vertical="center"/>
      <protection locked="0"/>
    </xf>
    <xf numFmtId="0" fontId="92" fillId="65" borderId="0" xfId="0" applyFont="1" applyFill="1" applyProtection="1">
      <protection locked="0"/>
    </xf>
    <xf numFmtId="49" fontId="92" fillId="65" borderId="0" xfId="0" applyNumberFormat="1" applyFont="1" applyFill="1" applyProtection="1">
      <protection locked="0"/>
    </xf>
    <xf numFmtId="0" fontId="7" fillId="65" borderId="0" xfId="0" applyFont="1" applyFill="1" applyAlignment="1" applyProtection="1">
      <alignment vertical="center"/>
      <protection locked="0"/>
    </xf>
    <xf numFmtId="0" fontId="95" fillId="65" borderId="0" xfId="0" applyFont="1" applyFill="1" applyAlignment="1">
      <alignment horizontal="center" vertical="center"/>
    </xf>
    <xf numFmtId="174" fontId="92" fillId="65" borderId="0" xfId="9" applyNumberFormat="1" applyFont="1" applyFill="1" applyAlignment="1">
      <alignment horizontal="right" vertical="center"/>
    </xf>
    <xf numFmtId="0" fontId="92" fillId="65" borderId="0" xfId="0" applyFont="1" applyFill="1" applyAlignment="1">
      <alignment horizontal="center" vertical="center"/>
    </xf>
    <xf numFmtId="174" fontId="92" fillId="65" borderId="0" xfId="0" applyNumberFormat="1" applyFont="1" applyFill="1" applyAlignment="1">
      <alignment horizontal="right" vertical="center"/>
    </xf>
    <xf numFmtId="0" fontId="7" fillId="65" borderId="0" xfId="0" applyFont="1" applyFill="1" applyAlignment="1">
      <alignment vertical="center"/>
    </xf>
    <xf numFmtId="174" fontId="106" fillId="65" borderId="0" xfId="0" applyNumberFormat="1" applyFont="1" applyFill="1" applyAlignment="1" applyProtection="1">
      <alignment vertical="center"/>
      <protection locked="0"/>
    </xf>
    <xf numFmtId="174" fontId="0" fillId="65" borderId="0" xfId="0" applyNumberFormat="1" applyFill="1" applyAlignment="1">
      <alignment vertical="center"/>
    </xf>
    <xf numFmtId="10" fontId="106" fillId="65" borderId="0" xfId="0" applyNumberFormat="1" applyFont="1" applyFill="1" applyAlignment="1" applyProtection="1">
      <alignment vertical="center"/>
      <protection locked="0"/>
    </xf>
    <xf numFmtId="174" fontId="75" fillId="54" borderId="0" xfId="0" applyNumberFormat="1" applyFont="1" applyFill="1" applyAlignment="1">
      <alignment vertical="center"/>
    </xf>
    <xf numFmtId="10" fontId="75" fillId="54" borderId="0" xfId="0" applyNumberFormat="1" applyFont="1" applyFill="1" applyAlignment="1">
      <alignment vertical="center"/>
    </xf>
    <xf numFmtId="10" fontId="2" fillId="54" borderId="0" xfId="0" applyNumberFormat="1" applyFont="1" applyFill="1" applyAlignment="1">
      <alignment vertical="center"/>
    </xf>
    <xf numFmtId="14" fontId="94" fillId="54" borderId="0" xfId="0" applyNumberFormat="1" applyFont="1" applyFill="1" applyAlignment="1">
      <alignment vertical="center"/>
    </xf>
    <xf numFmtId="14" fontId="9" fillId="54" borderId="0" xfId="0" applyNumberFormat="1" applyFont="1" applyFill="1" applyAlignment="1">
      <alignment vertical="center"/>
    </xf>
    <xf numFmtId="0" fontId="2" fillId="54" borderId="0" xfId="0" applyFont="1" applyFill="1"/>
    <xf numFmtId="49" fontId="2" fillId="54" borderId="0" xfId="0" applyNumberFormat="1" applyFont="1" applyFill="1"/>
    <xf numFmtId="0" fontId="2" fillId="54" borderId="0" xfId="0" applyFont="1" applyFill="1" applyAlignment="1">
      <alignment vertical="center"/>
    </xf>
    <xf numFmtId="0" fontId="95" fillId="54" borderId="0" xfId="0" applyFont="1" applyFill="1" applyAlignment="1">
      <alignment horizontal="center" vertical="center"/>
    </xf>
    <xf numFmtId="174" fontId="95" fillId="54" borderId="0" xfId="9" applyNumberFormat="1" applyFont="1" applyFill="1" applyAlignment="1">
      <alignment horizontal="right" vertical="center"/>
    </xf>
    <xf numFmtId="0" fontId="97" fillId="54" borderId="0" xfId="0" applyFont="1" applyFill="1" applyAlignment="1">
      <alignment horizontal="center" vertical="center"/>
    </xf>
    <xf numFmtId="174" fontId="95" fillId="54" borderId="0" xfId="0" applyNumberFormat="1" applyFont="1" applyFill="1" applyAlignment="1">
      <alignment horizontal="right" vertical="center"/>
    </xf>
    <xf numFmtId="174" fontId="2" fillId="54" borderId="0" xfId="0" applyNumberFormat="1" applyFont="1" applyFill="1" applyAlignment="1">
      <alignment horizontal="right" vertical="center"/>
    </xf>
    <xf numFmtId="0" fontId="7" fillId="54" borderId="0" xfId="0" applyFont="1" applyFill="1" applyAlignment="1">
      <alignment vertical="center"/>
    </xf>
    <xf numFmtId="174" fontId="97" fillId="54" borderId="0" xfId="0" applyNumberFormat="1" applyFont="1" applyFill="1" applyAlignment="1">
      <alignment vertical="center"/>
    </xf>
    <xf numFmtId="174" fontId="95" fillId="54" borderId="0" xfId="0" applyNumberFormat="1" applyFont="1" applyFill="1" applyAlignment="1">
      <alignment vertical="center"/>
    </xf>
    <xf numFmtId="0" fontId="197" fillId="29" borderId="81" xfId="0" applyFont="1" applyFill="1" applyBorder="1"/>
    <xf numFmtId="0" fontId="197" fillId="29" borderId="82" xfId="0" applyFont="1" applyFill="1" applyBorder="1" applyAlignment="1">
      <alignment horizontal="center"/>
    </xf>
    <xf numFmtId="14" fontId="197" fillId="29" borderId="82" xfId="0" applyNumberFormat="1" applyFont="1" applyFill="1" applyBorder="1"/>
    <xf numFmtId="0" fontId="197" fillId="29" borderId="82" xfId="0" applyFont="1" applyFill="1" applyBorder="1"/>
    <xf numFmtId="4" fontId="197" fillId="29" borderId="82" xfId="0" applyNumberFormat="1" applyFont="1" applyFill="1" applyBorder="1"/>
    <xf numFmtId="10" fontId="197" fillId="29" borderId="82" xfId="0" applyNumberFormat="1" applyFont="1" applyFill="1" applyBorder="1"/>
    <xf numFmtId="14" fontId="1" fillId="29" borderId="82" xfId="0" applyNumberFormat="1" applyFont="1" applyFill="1" applyBorder="1" applyAlignment="1">
      <alignment vertical="center"/>
    </xf>
    <xf numFmtId="4" fontId="1" fillId="29" borderId="82" xfId="0" applyNumberFormat="1" applyFont="1" applyFill="1" applyBorder="1" applyAlignment="1">
      <alignment vertical="center"/>
    </xf>
    <xf numFmtId="0" fontId="106" fillId="35" borderId="0" xfId="0" applyFont="1" applyFill="1"/>
    <xf numFmtId="166" fontId="106" fillId="35" borderId="0" xfId="0" applyNumberFormat="1" applyFont="1" applyFill="1"/>
    <xf numFmtId="10" fontId="0" fillId="35" borderId="0" xfId="0" applyNumberFormat="1" applyFill="1"/>
    <xf numFmtId="4" fontId="198" fillId="45" borderId="0" xfId="0" applyNumberFormat="1" applyFont="1" applyFill="1" applyAlignment="1">
      <alignment vertical="center"/>
    </xf>
    <xf numFmtId="0" fontId="1" fillId="29" borderId="82" xfId="0" applyFont="1" applyFill="1" applyBorder="1" applyAlignment="1">
      <alignment wrapText="1"/>
    </xf>
    <xf numFmtId="0" fontId="199" fillId="29" borderId="81" xfId="0" applyFont="1" applyFill="1" applyBorder="1"/>
    <xf numFmtId="0" fontId="199" fillId="29" borderId="82" xfId="0" applyFont="1" applyFill="1" applyBorder="1" applyAlignment="1">
      <alignment horizontal="center"/>
    </xf>
    <xf numFmtId="14" fontId="199" fillId="29" borderId="82" xfId="0" applyNumberFormat="1" applyFont="1" applyFill="1" applyBorder="1"/>
    <xf numFmtId="0" fontId="199" fillId="29" borderId="82" xfId="0" applyFont="1" applyFill="1" applyBorder="1"/>
    <xf numFmtId="4" fontId="199" fillId="29" borderId="82" xfId="0" applyNumberFormat="1" applyFont="1" applyFill="1" applyBorder="1"/>
    <xf numFmtId="10" fontId="199" fillId="29" borderId="82" xfId="0" applyNumberFormat="1" applyFont="1" applyFill="1" applyBorder="1"/>
    <xf numFmtId="0" fontId="1" fillId="34" borderId="84" xfId="4" applyFont="1" applyFill="1" applyBorder="1"/>
    <xf numFmtId="0" fontId="66" fillId="34" borderId="84" xfId="4" applyFill="1" applyBorder="1" applyAlignment="1">
      <alignment wrapText="1"/>
    </xf>
    <xf numFmtId="0" fontId="106" fillId="38" borderId="0" xfId="0" applyFont="1" applyFill="1" applyAlignment="1" applyProtection="1">
      <alignment vertical="center"/>
      <protection locked="0"/>
    </xf>
    <xf numFmtId="0" fontId="106" fillId="38" borderId="0" xfId="0" applyFont="1" applyFill="1" applyAlignment="1" applyProtection="1">
      <alignment vertical="center" wrapText="1"/>
      <protection locked="0"/>
    </xf>
    <xf numFmtId="0" fontId="72" fillId="38" borderId="0" xfId="0" applyFont="1" applyFill="1" applyAlignment="1" applyProtection="1">
      <alignment vertical="center"/>
      <protection locked="0"/>
    </xf>
    <xf numFmtId="174" fontId="72" fillId="38" borderId="0" xfId="0" applyNumberFormat="1" applyFont="1" applyFill="1" applyAlignment="1" applyProtection="1">
      <alignment vertical="center"/>
      <protection locked="0"/>
    </xf>
    <xf numFmtId="10" fontId="72" fillId="38" borderId="0" xfId="0" applyNumberFormat="1" applyFont="1" applyFill="1" applyAlignment="1" applyProtection="1">
      <alignment vertical="center"/>
      <protection locked="0"/>
    </xf>
    <xf numFmtId="0" fontId="1" fillId="0" borderId="0" xfId="5" applyFont="1"/>
    <xf numFmtId="0" fontId="66" fillId="34" borderId="0" xfId="4" applyFill="1" applyAlignment="1">
      <alignment wrapText="1"/>
    </xf>
    <xf numFmtId="0" fontId="1" fillId="34" borderId="0" xfId="4" applyFont="1" applyFill="1" applyAlignment="1">
      <alignment vertical="center"/>
    </xf>
    <xf numFmtId="0" fontId="1" fillId="34" borderId="0" xfId="4" applyFont="1" applyFill="1" applyAlignment="1">
      <alignment vertical="center" wrapText="1"/>
    </xf>
    <xf numFmtId="10" fontId="66" fillId="34" borderId="0" xfId="4" applyNumberFormat="1" applyFill="1"/>
    <xf numFmtId="0" fontId="1" fillId="39" borderId="0" xfId="0" applyFont="1" applyFill="1"/>
    <xf numFmtId="0" fontId="1" fillId="39" borderId="0" xfId="0" applyFont="1" applyFill="1" applyAlignment="1">
      <alignment wrapText="1"/>
    </xf>
    <xf numFmtId="0" fontId="1" fillId="29" borderId="82" xfId="0" applyFont="1" applyFill="1" applyBorder="1" applyAlignment="1">
      <alignment vertical="top" wrapText="1"/>
    </xf>
    <xf numFmtId="0" fontId="107" fillId="29" borderId="82" xfId="0" applyFont="1" applyFill="1" applyBorder="1" applyAlignment="1">
      <alignment vertical="top" wrapText="1"/>
    </xf>
    <xf numFmtId="0" fontId="107" fillId="29" borderId="82" xfId="0" applyFont="1" applyFill="1" applyBorder="1"/>
    <xf numFmtId="0" fontId="177" fillId="29" borderId="82" xfId="0" applyFont="1" applyFill="1" applyBorder="1" applyAlignment="1">
      <alignment vertical="center"/>
    </xf>
    <xf numFmtId="0" fontId="201" fillId="39" borderId="0" xfId="0" applyFont="1" applyFill="1"/>
    <xf numFmtId="3" fontId="1" fillId="29" borderId="82" xfId="0" applyNumberFormat="1" applyFont="1" applyFill="1" applyBorder="1"/>
    <xf numFmtId="0" fontId="2" fillId="39" borderId="0" xfId="0" applyFont="1" applyFill="1"/>
    <xf numFmtId="0" fontId="202" fillId="47" borderId="0" xfId="0" applyFont="1" applyFill="1" applyAlignment="1">
      <alignment horizontal="center" vertical="center" wrapText="1"/>
    </xf>
    <xf numFmtId="4" fontId="1" fillId="45" borderId="0" xfId="0" applyNumberFormat="1" applyFont="1" applyFill="1"/>
    <xf numFmtId="0" fontId="1" fillId="29" borderId="82" xfId="0" applyFont="1" applyFill="1" applyBorder="1" applyAlignment="1">
      <alignment vertical="top"/>
    </xf>
    <xf numFmtId="0" fontId="203" fillId="29" borderId="82" xfId="0" applyFont="1" applyFill="1" applyBorder="1" applyAlignment="1">
      <alignment vertical="top" wrapText="1"/>
    </xf>
    <xf numFmtId="0" fontId="203" fillId="29" borderId="82" xfId="0" applyFont="1" applyFill="1" applyBorder="1"/>
    <xf numFmtId="0" fontId="1" fillId="29" borderId="0" xfId="0" applyFont="1" applyFill="1" applyAlignment="1">
      <alignment vertical="center" wrapText="1"/>
    </xf>
    <xf numFmtId="4" fontId="8" fillId="45" borderId="0" xfId="0" applyNumberFormat="1" applyFont="1" applyFill="1"/>
    <xf numFmtId="4" fontId="8" fillId="45" borderId="0" xfId="0" applyNumberFormat="1" applyFont="1" applyFill="1" applyAlignment="1">
      <alignment horizontal="right"/>
    </xf>
    <xf numFmtId="4" fontId="1" fillId="29" borderId="0" xfId="0" applyNumberFormat="1" applyFont="1" applyFill="1"/>
    <xf numFmtId="0" fontId="204" fillId="0" borderId="0" xfId="0" applyFont="1"/>
    <xf numFmtId="182" fontId="204" fillId="0" borderId="0" xfId="0" applyNumberFormat="1" applyFont="1"/>
    <xf numFmtId="0" fontId="21" fillId="32" borderId="51" xfId="0" applyFont="1" applyFill="1" applyBorder="1"/>
    <xf numFmtId="0" fontId="99" fillId="29" borderId="0" xfId="0" applyFont="1" applyFill="1" applyAlignment="1">
      <alignment horizontal="right" vertical="center"/>
    </xf>
    <xf numFmtId="3" fontId="113" fillId="32" borderId="59" xfId="0" applyNumberFormat="1" applyFont="1" applyFill="1" applyBorder="1"/>
    <xf numFmtId="10" fontId="147" fillId="29" borderId="62" xfId="0" applyNumberFormat="1" applyFont="1" applyFill="1" applyBorder="1" applyAlignment="1">
      <alignment shrinkToFit="1"/>
    </xf>
    <xf numFmtId="10" fontId="205" fillId="32" borderId="62" xfId="0" applyNumberFormat="1" applyFont="1" applyFill="1" applyBorder="1" applyAlignment="1">
      <alignment shrinkToFit="1"/>
    </xf>
    <xf numFmtId="0" fontId="99" fillId="0" borderId="0" xfId="0" applyFont="1" applyAlignment="1">
      <alignment vertical="center"/>
    </xf>
    <xf numFmtId="0" fontId="1" fillId="33" borderId="0" xfId="0" applyFont="1" applyFill="1"/>
    <xf numFmtId="0" fontId="153" fillId="48" borderId="59" xfId="0" applyFont="1" applyFill="1" applyBorder="1" applyAlignment="1" applyProtection="1">
      <alignment vertical="center"/>
      <protection locked="0"/>
    </xf>
    <xf numFmtId="0" fontId="0" fillId="32" borderId="0" xfId="0" applyFill="1"/>
    <xf numFmtId="0" fontId="2" fillId="66" borderId="0" xfId="0" applyFont="1" applyFill="1"/>
    <xf numFmtId="9" fontId="0" fillId="67" borderId="0" xfId="0" applyNumberFormat="1" applyFill="1"/>
    <xf numFmtId="0" fontId="27" fillId="67" borderId="15" xfId="0" applyFont="1" applyFill="1" applyBorder="1" applyAlignment="1">
      <alignment horizontal="center" vertical="center" wrapText="1"/>
    </xf>
    <xf numFmtId="0" fontId="27" fillId="67" borderId="11" xfId="0" applyFont="1" applyFill="1" applyBorder="1" applyAlignment="1">
      <alignment horizontal="center" vertical="center" wrapText="1"/>
    </xf>
    <xf numFmtId="0" fontId="27" fillId="38" borderId="5" xfId="0" applyFont="1" applyFill="1" applyBorder="1" applyAlignment="1">
      <alignment horizontal="center" vertical="center" wrapText="1"/>
    </xf>
    <xf numFmtId="10" fontId="0" fillId="38" borderId="0" xfId="8" applyNumberFormat="1" applyFont="1" applyFill="1"/>
    <xf numFmtId="4" fontId="99" fillId="0" borderId="0" xfId="0" applyNumberFormat="1" applyFont="1" applyProtection="1">
      <protection hidden="1"/>
    </xf>
    <xf numFmtId="0" fontId="100" fillId="39" borderId="20" xfId="4" applyFont="1" applyFill="1" applyBorder="1" applyAlignment="1">
      <alignment vertical="top" wrapText="1"/>
    </xf>
    <xf numFmtId="0" fontId="100" fillId="39" borderId="39" xfId="4" applyFont="1" applyFill="1" applyBorder="1" applyAlignment="1">
      <alignment vertical="top" wrapText="1"/>
    </xf>
    <xf numFmtId="0" fontId="99" fillId="39" borderId="39" xfId="4" applyFont="1" applyFill="1" applyBorder="1" applyAlignment="1">
      <alignment vertical="center"/>
    </xf>
    <xf numFmtId="10" fontId="107" fillId="38" borderId="0" xfId="0" applyNumberFormat="1" applyFont="1" applyFill="1" applyAlignment="1" applyProtection="1">
      <alignment vertical="center"/>
      <protection locked="0"/>
    </xf>
    <xf numFmtId="10" fontId="0" fillId="67" borderId="0" xfId="0" applyNumberFormat="1" applyFill="1"/>
    <xf numFmtId="0" fontId="1" fillId="68" borderId="0" xfId="0" applyFont="1" applyFill="1"/>
    <xf numFmtId="0" fontId="7" fillId="38" borderId="0" xfId="4" applyFont="1" applyFill="1" applyAlignment="1" applyProtection="1">
      <alignment horizontal="center" wrapText="1"/>
      <protection locked="0"/>
    </xf>
    <xf numFmtId="176" fontId="98" fillId="34" borderId="0" xfId="4" applyNumberFormat="1" applyFont="1" applyFill="1" applyAlignment="1" applyProtection="1">
      <alignment horizontal="right" wrapText="1"/>
      <protection locked="0"/>
    </xf>
    <xf numFmtId="0" fontId="1" fillId="45" borderId="0" xfId="4" applyFont="1" applyFill="1" applyAlignment="1" applyProtection="1">
      <alignment vertical="center" wrapText="1"/>
      <protection locked="0"/>
    </xf>
    <xf numFmtId="0" fontId="0" fillId="0" borderId="0" xfId="0" applyAlignment="1" applyProtection="1">
      <alignment wrapText="1"/>
      <protection locked="0"/>
    </xf>
    <xf numFmtId="49" fontId="66" fillId="34" borderId="0" xfId="4" applyNumberFormat="1" applyFill="1" applyAlignment="1">
      <alignment wrapText="1"/>
    </xf>
    <xf numFmtId="0" fontId="99" fillId="39" borderId="0" xfId="4" applyFont="1" applyFill="1" applyAlignment="1">
      <alignment vertical="center" wrapText="1"/>
    </xf>
    <xf numFmtId="0" fontId="99" fillId="39" borderId="13" xfId="4" applyFont="1" applyFill="1" applyBorder="1" applyAlignment="1">
      <alignment horizontal="left" vertical="center" wrapText="1"/>
    </xf>
    <xf numFmtId="0" fontId="100" fillId="39" borderId="11" xfId="4" applyFont="1" applyFill="1" applyBorder="1" applyAlignment="1">
      <alignment horizontal="left" vertical="center" wrapText="1"/>
    </xf>
    <xf numFmtId="0" fontId="99" fillId="39" borderId="11" xfId="4" applyFont="1" applyFill="1" applyBorder="1" applyAlignment="1">
      <alignment horizontal="left" vertical="center" wrapText="1"/>
    </xf>
    <xf numFmtId="0" fontId="101" fillId="39" borderId="11" xfId="4" applyFont="1" applyFill="1" applyBorder="1" applyAlignment="1">
      <alignment horizontal="left" vertical="center" wrapText="1"/>
    </xf>
    <xf numFmtId="0" fontId="101" fillId="39" borderId="12" xfId="4" applyFont="1" applyFill="1" applyBorder="1" applyAlignment="1">
      <alignment horizontal="left" vertical="center" wrapText="1"/>
    </xf>
    <xf numFmtId="0" fontId="100" fillId="39" borderId="13" xfId="4" applyFont="1" applyFill="1" applyBorder="1" applyAlignment="1">
      <alignment horizontal="left" vertical="center" wrapText="1"/>
    </xf>
    <xf numFmtId="0" fontId="100" fillId="39" borderId="12" xfId="4" applyFont="1" applyFill="1" applyBorder="1" applyAlignment="1">
      <alignment horizontal="left" vertical="center" wrapText="1"/>
    </xf>
    <xf numFmtId="0" fontId="103" fillId="39" borderId="9" xfId="3" applyFont="1" applyFill="1" applyBorder="1" applyAlignment="1">
      <alignment horizontal="left" vertical="center" wrapText="1"/>
    </xf>
    <xf numFmtId="0" fontId="100" fillId="39" borderId="9" xfId="4" applyFont="1" applyFill="1" applyBorder="1" applyAlignment="1">
      <alignment horizontal="left" vertical="center" wrapText="1"/>
    </xf>
    <xf numFmtId="0" fontId="100" fillId="39" borderId="9" xfId="4" applyFont="1" applyFill="1" applyBorder="1" applyAlignment="1">
      <alignment vertical="center" wrapText="1"/>
    </xf>
    <xf numFmtId="0" fontId="100" fillId="39" borderId="40" xfId="4" applyFont="1" applyFill="1" applyBorder="1" applyAlignment="1">
      <alignment vertical="center" wrapText="1"/>
    </xf>
    <xf numFmtId="167" fontId="100" fillId="39" borderId="13" xfId="2" applyFont="1" applyFill="1" applyBorder="1" applyAlignment="1">
      <alignment horizontal="left" wrapText="1"/>
    </xf>
    <xf numFmtId="0" fontId="105" fillId="39" borderId="9" xfId="4" applyFont="1" applyFill="1" applyBorder="1" applyAlignment="1">
      <alignment horizontal="left" vertical="center" wrapText="1"/>
    </xf>
    <xf numFmtId="14" fontId="101" fillId="39" borderId="9" xfId="4" applyNumberFormat="1" applyFont="1" applyFill="1" applyBorder="1" applyAlignment="1">
      <alignment horizontal="left" vertical="center" wrapText="1"/>
    </xf>
    <xf numFmtId="0" fontId="99" fillId="39" borderId="11" xfId="4" applyFont="1" applyFill="1" applyBorder="1" applyAlignment="1">
      <alignment horizontal="left" vertical="top" wrapText="1"/>
    </xf>
    <xf numFmtId="167" fontId="100" fillId="39" borderId="9" xfId="2" applyFont="1" applyFill="1" applyBorder="1" applyAlignment="1">
      <alignment horizontal="left" vertical="center" wrapText="1"/>
    </xf>
    <xf numFmtId="0" fontId="105" fillId="39" borderId="9" xfId="4" applyFont="1" applyFill="1" applyBorder="1" applyAlignment="1">
      <alignment horizontal="left" vertical="top" wrapText="1"/>
    </xf>
    <xf numFmtId="4" fontId="99" fillId="39" borderId="13" xfId="4" applyNumberFormat="1" applyFont="1" applyFill="1" applyBorder="1" applyAlignment="1">
      <alignment horizontal="left" vertical="center" wrapText="1"/>
    </xf>
    <xf numFmtId="4" fontId="105" fillId="39" borderId="12" xfId="4" applyNumberFormat="1" applyFont="1" applyFill="1" applyBorder="1" applyAlignment="1">
      <alignment horizontal="left" vertical="center" wrapText="1"/>
    </xf>
    <xf numFmtId="0" fontId="99" fillId="39" borderId="12" xfId="4" applyFont="1" applyFill="1" applyBorder="1" applyAlignment="1">
      <alignment vertical="center" wrapText="1"/>
    </xf>
    <xf numFmtId="0" fontId="99" fillId="39" borderId="13" xfId="4" applyFont="1" applyFill="1" applyBorder="1" applyAlignment="1">
      <alignment horizontal="left" vertical="top" wrapText="1"/>
    </xf>
    <xf numFmtId="0" fontId="99" fillId="39" borderId="11" xfId="4" applyFont="1" applyFill="1" applyBorder="1" applyAlignment="1">
      <alignment horizontal="left" wrapText="1"/>
    </xf>
    <xf numFmtId="0" fontId="99" fillId="39" borderId="12" xfId="4" applyFont="1" applyFill="1" applyBorder="1" applyAlignment="1">
      <alignment horizontal="left" vertical="top" wrapText="1"/>
    </xf>
    <xf numFmtId="0" fontId="100" fillId="39" borderId="0" xfId="4" applyFont="1" applyFill="1" applyAlignment="1">
      <alignment horizontal="left" vertical="center" wrapText="1"/>
    </xf>
    <xf numFmtId="0" fontId="99" fillId="39" borderId="0" xfId="4" applyFont="1" applyFill="1" applyAlignment="1">
      <alignment horizontal="left" wrapText="1"/>
    </xf>
    <xf numFmtId="0" fontId="99" fillId="39" borderId="0" xfId="4" applyFont="1" applyFill="1" applyAlignment="1">
      <alignment horizontal="left" vertical="top" wrapText="1"/>
    </xf>
    <xf numFmtId="0" fontId="99" fillId="39" borderId="9" xfId="4" applyFont="1" applyFill="1" applyBorder="1" applyAlignment="1">
      <alignment horizontal="left" vertical="top" wrapText="1"/>
    </xf>
    <xf numFmtId="0" fontId="99" fillId="39" borderId="0" xfId="4" applyFont="1" applyFill="1" applyAlignment="1">
      <alignment horizontal="left" vertical="center" wrapText="1"/>
    </xf>
    <xf numFmtId="0" fontId="84" fillId="39" borderId="9" xfId="10" applyFill="1" applyBorder="1" applyAlignment="1">
      <alignment horizontal="left" vertical="top" wrapText="1"/>
    </xf>
    <xf numFmtId="0" fontId="99" fillId="39" borderId="40" xfId="4" applyFont="1" applyFill="1" applyBorder="1" applyAlignment="1">
      <alignment horizontal="left" vertical="top" wrapText="1"/>
    </xf>
    <xf numFmtId="0" fontId="96" fillId="34" borderId="52" xfId="4" applyFont="1" applyFill="1" applyBorder="1" applyAlignment="1">
      <alignment vertical="center" wrapText="1"/>
    </xf>
    <xf numFmtId="0" fontId="0" fillId="36" borderId="0" xfId="0" applyFill="1" applyAlignment="1">
      <alignment horizontal="center" vertical="center" wrapText="1"/>
    </xf>
    <xf numFmtId="0" fontId="7" fillId="39" borderId="0" xfId="0" applyFont="1" applyFill="1" applyAlignment="1">
      <alignment vertical="center" wrapText="1"/>
    </xf>
    <xf numFmtId="0" fontId="1" fillId="38" borderId="0" xfId="0" applyFont="1" applyFill="1" applyAlignment="1" applyProtection="1">
      <alignment vertical="center" wrapText="1"/>
      <protection locked="0"/>
    </xf>
    <xf numFmtId="0" fontId="106" fillId="34" borderId="0" xfId="4" applyFont="1" applyFill="1" applyAlignment="1">
      <alignment wrapText="1"/>
    </xf>
    <xf numFmtId="0" fontId="1" fillId="65" borderId="0" xfId="0" applyFont="1" applyFill="1" applyAlignment="1" applyProtection="1">
      <alignment vertical="center" wrapText="1"/>
      <protection locked="0"/>
    </xf>
    <xf numFmtId="0" fontId="7" fillId="31" borderId="0" xfId="5" applyFill="1" applyAlignment="1">
      <alignment wrapText="1"/>
    </xf>
    <xf numFmtId="0" fontId="7" fillId="35" borderId="0" xfId="5" applyFill="1" applyAlignment="1">
      <alignment wrapText="1"/>
    </xf>
    <xf numFmtId="0" fontId="72" fillId="40" borderId="0" xfId="5" applyFont="1" applyFill="1" applyAlignment="1">
      <alignment wrapText="1"/>
    </xf>
    <xf numFmtId="0" fontId="2" fillId="31" borderId="0" xfId="5" applyFont="1" applyFill="1" applyAlignment="1">
      <alignment wrapText="1"/>
    </xf>
    <xf numFmtId="0" fontId="90" fillId="34" borderId="0" xfId="4" applyFont="1" applyFill="1" applyAlignment="1">
      <alignment wrapText="1"/>
    </xf>
    <xf numFmtId="0" fontId="2" fillId="34" borderId="0" xfId="4" applyFont="1" applyFill="1" applyAlignment="1">
      <alignment wrapText="1"/>
    </xf>
    <xf numFmtId="0" fontId="2" fillId="36" borderId="59" xfId="0" applyFont="1" applyFill="1" applyBorder="1" applyAlignment="1">
      <alignment shrinkToFit="1"/>
    </xf>
    <xf numFmtId="10" fontId="112" fillId="29" borderId="59" xfId="0" applyNumberFormat="1" applyFont="1" applyFill="1" applyBorder="1" applyAlignment="1">
      <alignment wrapText="1"/>
    </xf>
    <xf numFmtId="10" fontId="112" fillId="0" borderId="59" xfId="0" applyNumberFormat="1" applyFont="1" applyBorder="1" applyAlignment="1">
      <alignment wrapText="1"/>
    </xf>
    <xf numFmtId="0" fontId="100" fillId="0" borderId="0" xfId="0" applyFont="1" applyAlignment="1">
      <alignment horizontal="center" vertical="center" shrinkToFit="1"/>
    </xf>
    <xf numFmtId="0" fontId="152" fillId="0" borderId="0" xfId="0" applyFont="1" applyAlignment="1">
      <alignment horizontal="left" vertical="center" shrinkToFit="1"/>
    </xf>
    <xf numFmtId="3" fontId="100" fillId="0" borderId="0" xfId="0" applyNumberFormat="1" applyFont="1" applyAlignment="1">
      <alignment horizontal="center" vertical="center"/>
    </xf>
    <xf numFmtId="10" fontId="100" fillId="0" borderId="0" xfId="0" applyNumberFormat="1" applyFont="1" applyAlignment="1">
      <alignment horizontal="left" vertical="center"/>
    </xf>
    <xf numFmtId="174" fontId="100" fillId="0" borderId="0" xfId="0" applyNumberFormat="1" applyFont="1" applyAlignment="1">
      <alignment horizontal="left" vertical="center"/>
    </xf>
    <xf numFmtId="179" fontId="100" fillId="0" borderId="0" xfId="0" applyNumberFormat="1" applyFont="1" applyAlignment="1">
      <alignment horizontal="left" vertical="center"/>
    </xf>
    <xf numFmtId="10" fontId="100" fillId="38" borderId="59" xfId="0" applyNumberFormat="1" applyFont="1" applyFill="1" applyBorder="1" applyAlignment="1">
      <alignment wrapText="1"/>
    </xf>
    <xf numFmtId="0" fontId="100" fillId="45" borderId="60" xfId="0" applyFont="1" applyFill="1" applyBorder="1" applyProtection="1">
      <protection locked="0"/>
    </xf>
    <xf numFmtId="0" fontId="100" fillId="0" borderId="0" xfId="0" applyFont="1" applyAlignment="1">
      <alignment horizontal="left" vertical="center" shrinkToFit="1"/>
    </xf>
    <xf numFmtId="0" fontId="2" fillId="43" borderId="0" xfId="0" applyFont="1" applyFill="1" applyAlignment="1">
      <alignment horizontal="right"/>
    </xf>
    <xf numFmtId="10" fontId="112" fillId="29" borderId="62" xfId="0" applyNumberFormat="1" applyFont="1" applyFill="1" applyBorder="1" applyAlignment="1">
      <alignment shrinkToFit="1"/>
    </xf>
    <xf numFmtId="10" fontId="100" fillId="36" borderId="59" xfId="0" applyNumberFormat="1" applyFont="1" applyFill="1" applyBorder="1" applyAlignment="1">
      <alignment wrapText="1"/>
    </xf>
    <xf numFmtId="3" fontId="100" fillId="36" borderId="59" xfId="0" applyNumberFormat="1" applyFont="1" applyFill="1" applyBorder="1"/>
    <xf numFmtId="3" fontId="100" fillId="43" borderId="0" xfId="0" applyNumberFormat="1" applyFont="1" applyFill="1"/>
    <xf numFmtId="3" fontId="112" fillId="35" borderId="59" xfId="0" applyNumberFormat="1" applyFont="1" applyFill="1" applyBorder="1"/>
    <xf numFmtId="10" fontId="206" fillId="29" borderId="59" xfId="0" applyNumberFormat="1" applyFont="1" applyFill="1" applyBorder="1" applyAlignment="1">
      <alignment wrapText="1"/>
    </xf>
    <xf numFmtId="3" fontId="112" fillId="32" borderId="59" xfId="0" applyNumberFormat="1" applyFont="1" applyFill="1" applyBorder="1"/>
    <xf numFmtId="3" fontId="133" fillId="29" borderId="59" xfId="0" applyNumberFormat="1" applyFont="1" applyFill="1" applyBorder="1"/>
    <xf numFmtId="3" fontId="100" fillId="29" borderId="59" xfId="0" applyNumberFormat="1" applyFont="1" applyFill="1" applyBorder="1"/>
    <xf numFmtId="0" fontId="133" fillId="29" borderId="59" xfId="0" applyFont="1" applyFill="1" applyBorder="1" applyAlignment="1">
      <alignment horizontal="center"/>
    </xf>
    <xf numFmtId="4" fontId="142" fillId="38" borderId="59" xfId="0" applyNumberFormat="1" applyFont="1" applyFill="1" applyBorder="1"/>
    <xf numFmtId="10" fontId="100" fillId="0" borderId="59" xfId="0" applyNumberFormat="1" applyFont="1" applyBorder="1" applyAlignment="1">
      <alignment wrapText="1"/>
    </xf>
    <xf numFmtId="0" fontId="183" fillId="43" borderId="0" xfId="0" applyFont="1" applyFill="1" applyAlignment="1">
      <alignment horizontal="center"/>
    </xf>
    <xf numFmtId="0" fontId="207" fillId="43" borderId="0" xfId="0" applyFont="1" applyFill="1" applyAlignment="1">
      <alignment horizontal="center" vertical="center"/>
    </xf>
    <xf numFmtId="0" fontId="1" fillId="48" borderId="0" xfId="0" applyFont="1" applyFill="1" applyAlignment="1">
      <alignment vertical="center"/>
    </xf>
    <xf numFmtId="0" fontId="1" fillId="43" borderId="0" xfId="0" applyFont="1" applyFill="1" applyAlignment="1">
      <alignment vertical="center"/>
    </xf>
    <xf numFmtId="0" fontId="106" fillId="29" borderId="0" xfId="0" applyFont="1" applyFill="1" applyAlignment="1">
      <alignment vertical="center"/>
    </xf>
    <xf numFmtId="0" fontId="26" fillId="45" borderId="75" xfId="0" applyFont="1" applyFill="1" applyBorder="1" applyAlignment="1" applyProtection="1">
      <alignment vertical="center"/>
      <protection locked="0"/>
    </xf>
    <xf numFmtId="0" fontId="52" fillId="29" borderId="0" xfId="0" applyFont="1" applyFill="1" applyAlignment="1" applyProtection="1">
      <alignment vertical="center"/>
      <protection locked="0"/>
    </xf>
    <xf numFmtId="0" fontId="89" fillId="45" borderId="0" xfId="0" applyFont="1" applyFill="1" applyAlignment="1">
      <alignment vertical="center"/>
    </xf>
    <xf numFmtId="180" fontId="89" fillId="60" borderId="0" xfId="0" applyNumberFormat="1" applyFont="1" applyFill="1" applyAlignment="1">
      <alignment vertical="center"/>
    </xf>
    <xf numFmtId="0" fontId="2" fillId="29" borderId="0" xfId="0" applyFont="1" applyFill="1" applyAlignment="1">
      <alignment vertical="center"/>
    </xf>
    <xf numFmtId="0" fontId="187" fillId="45" borderId="0" xfId="0" applyFont="1" applyFill="1" applyAlignment="1">
      <alignment vertical="center"/>
    </xf>
    <xf numFmtId="181" fontId="89" fillId="45" borderId="0" xfId="0" applyNumberFormat="1" applyFont="1" applyFill="1" applyAlignment="1">
      <alignment vertical="center"/>
    </xf>
    <xf numFmtId="4" fontId="107" fillId="29" borderId="0" xfId="0" applyNumberFormat="1" applyFont="1" applyFill="1" applyAlignment="1">
      <alignment vertical="center"/>
    </xf>
    <xf numFmtId="3" fontId="87" fillId="63" borderId="0" xfId="0" applyNumberFormat="1" applyFont="1" applyFill="1" applyAlignment="1">
      <alignment vertical="center"/>
    </xf>
    <xf numFmtId="0" fontId="107" fillId="45" borderId="0" xfId="0" applyFont="1" applyFill="1" applyAlignment="1">
      <alignment vertical="center" wrapText="1"/>
    </xf>
    <xf numFmtId="181" fontId="107" fillId="45" borderId="0" xfId="0" applyNumberFormat="1" applyFont="1" applyFill="1" applyAlignment="1">
      <alignment vertical="center"/>
    </xf>
    <xf numFmtId="0" fontId="1" fillId="39" borderId="0" xfId="0" applyFont="1" applyFill="1" applyAlignment="1">
      <alignment vertical="center"/>
    </xf>
    <xf numFmtId="0" fontId="1" fillId="29" borderId="82" xfId="0" applyFont="1" applyFill="1" applyBorder="1" applyAlignment="1">
      <alignment vertical="center" wrapText="1"/>
    </xf>
    <xf numFmtId="0" fontId="27" fillId="37" borderId="15" xfId="0" applyFont="1" applyFill="1" applyBorder="1" applyAlignment="1">
      <alignment horizontal="center" vertical="center" wrapText="1"/>
    </xf>
    <xf numFmtId="49" fontId="109" fillId="29" borderId="0" xfId="0" applyNumberFormat="1" applyFont="1" applyFill="1" applyAlignment="1">
      <alignment horizontal="center"/>
    </xf>
    <xf numFmtId="0" fontId="209" fillId="29" borderId="0" xfId="0" applyFont="1" applyFill="1" applyAlignment="1">
      <alignment wrapText="1"/>
    </xf>
    <xf numFmtId="0" fontId="209" fillId="29" borderId="0" xfId="0" applyFont="1" applyFill="1"/>
    <xf numFmtId="174" fontId="114" fillId="29" borderId="0" xfId="0" applyNumberFormat="1" applyFont="1" applyFill="1"/>
    <xf numFmtId="10" fontId="114" fillId="29" borderId="0" xfId="0" applyNumberFormat="1" applyFont="1" applyFill="1"/>
    <xf numFmtId="0" fontId="114" fillId="29" borderId="0" xfId="0" applyFont="1" applyFill="1"/>
    <xf numFmtId="0" fontId="200" fillId="29" borderId="0" xfId="0" applyFont="1" applyFill="1"/>
    <xf numFmtId="0" fontId="6" fillId="36" borderId="0" xfId="0" applyFont="1" applyFill="1" applyAlignment="1">
      <alignment horizontal="center" vertical="center" wrapText="1"/>
    </xf>
    <xf numFmtId="174" fontId="210" fillId="54" borderId="0" xfId="0" applyNumberFormat="1" applyFont="1" applyFill="1" applyAlignment="1">
      <alignment vertical="center"/>
    </xf>
    <xf numFmtId="0" fontId="66" fillId="34" borderId="0" xfId="4" applyFill="1" applyAlignment="1">
      <alignment vertical="top"/>
    </xf>
    <xf numFmtId="4" fontId="107" fillId="38" borderId="0" xfId="0" applyNumberFormat="1" applyFont="1" applyFill="1" applyAlignment="1">
      <alignment vertical="center"/>
    </xf>
    <xf numFmtId="4" fontId="106" fillId="38" borderId="0" xfId="0" applyNumberFormat="1" applyFont="1" applyFill="1" applyAlignment="1" applyProtection="1">
      <alignment vertical="center"/>
      <protection locked="0"/>
    </xf>
    <xf numFmtId="4" fontId="107" fillId="38" borderId="0" xfId="0" applyNumberFormat="1" applyFont="1" applyFill="1" applyAlignment="1" applyProtection="1">
      <alignment vertical="center"/>
      <protection locked="0"/>
    </xf>
    <xf numFmtId="4" fontId="110" fillId="38" borderId="0" xfId="0" applyNumberFormat="1" applyFont="1" applyFill="1" applyAlignment="1" applyProtection="1">
      <alignment vertical="center"/>
      <protection locked="0"/>
    </xf>
    <xf numFmtId="4" fontId="106" fillId="69" borderId="0" xfId="0" applyNumberFormat="1" applyFont="1" applyFill="1" applyAlignment="1" applyProtection="1">
      <alignment vertical="center"/>
      <protection locked="0"/>
    </xf>
    <xf numFmtId="174" fontId="106" fillId="0" borderId="0" xfId="0" applyNumberFormat="1" applyFont="1" applyAlignment="1" applyProtection="1">
      <alignment vertical="center"/>
      <protection locked="0"/>
    </xf>
    <xf numFmtId="0" fontId="1" fillId="0" borderId="0" xfId="5" applyFont="1" applyAlignment="1">
      <alignment vertical="center" wrapText="1"/>
    </xf>
    <xf numFmtId="0" fontId="72" fillId="40" borderId="0" xfId="4" applyFont="1" applyFill="1" applyAlignment="1">
      <alignment vertical="center" wrapText="1"/>
    </xf>
    <xf numFmtId="4" fontId="66" fillId="34" borderId="0" xfId="4" applyNumberFormat="1" applyFill="1" applyAlignment="1">
      <alignment vertical="center"/>
    </xf>
    <xf numFmtId="0" fontId="66" fillId="45" borderId="1" xfId="4" applyFill="1" applyBorder="1" applyAlignment="1">
      <alignment vertical="center"/>
    </xf>
    <xf numFmtId="0" fontId="66" fillId="45" borderId="1" xfId="4" applyFill="1" applyBorder="1" applyAlignment="1">
      <alignment vertical="center" wrapText="1"/>
    </xf>
    <xf numFmtId="0" fontId="106" fillId="34" borderId="0" xfId="4" applyFont="1" applyFill="1" applyAlignment="1">
      <alignment vertical="center"/>
    </xf>
    <xf numFmtId="0" fontId="1" fillId="45" borderId="0" xfId="5" applyFont="1" applyFill="1" applyAlignment="1">
      <alignment wrapText="1"/>
    </xf>
    <xf numFmtId="0" fontId="7" fillId="45" borderId="0" xfId="5" applyFill="1" applyAlignment="1">
      <alignment wrapText="1"/>
    </xf>
    <xf numFmtId="0" fontId="1" fillId="45" borderId="0" xfId="4" applyFont="1" applyFill="1" applyAlignment="1">
      <alignment wrapText="1"/>
    </xf>
    <xf numFmtId="0" fontId="1" fillId="38" borderId="0" xfId="4" applyFont="1" applyFill="1"/>
    <xf numFmtId="4" fontId="66" fillId="34" borderId="0" xfId="4" applyNumberFormat="1" applyFill="1"/>
    <xf numFmtId="0" fontId="2" fillId="65" borderId="0" xfId="5" applyFont="1" applyFill="1"/>
    <xf numFmtId="0" fontId="1" fillId="29" borderId="0" xfId="4" applyFont="1" applyFill="1" applyAlignment="1">
      <alignment wrapText="1"/>
    </xf>
    <xf numFmtId="0" fontId="99" fillId="70" borderId="0" xfId="4" applyFont="1" applyFill="1" applyAlignment="1">
      <alignment horizontal="left" vertical="top" wrapText="1" indent="1"/>
    </xf>
    <xf numFmtId="0" fontId="99" fillId="70" borderId="11" xfId="4" applyFont="1" applyFill="1" applyBorder="1" applyAlignment="1">
      <alignment horizontal="left" vertical="top" wrapText="1"/>
    </xf>
    <xf numFmtId="0" fontId="99" fillId="70" borderId="0" xfId="4" applyFont="1" applyFill="1" applyAlignment="1">
      <alignment horizontal="left" vertical="top" wrapText="1"/>
    </xf>
    <xf numFmtId="0" fontId="75" fillId="38" borderId="0" xfId="0" applyFont="1" applyFill="1" applyAlignment="1" applyProtection="1">
      <alignment vertical="center"/>
      <protection locked="0"/>
    </xf>
    <xf numFmtId="174" fontId="75" fillId="38" borderId="0" xfId="0" applyNumberFormat="1" applyFont="1" applyFill="1" applyAlignment="1" applyProtection="1">
      <alignment vertical="center"/>
      <protection locked="0"/>
    </xf>
    <xf numFmtId="10" fontId="75" fillId="38" borderId="0" xfId="0" applyNumberFormat="1" applyFont="1" applyFill="1" applyAlignment="1" applyProtection="1">
      <alignment vertical="center"/>
      <protection locked="0"/>
    </xf>
    <xf numFmtId="0" fontId="109" fillId="38" borderId="0" xfId="0" applyFont="1" applyFill="1"/>
    <xf numFmtId="0" fontId="2" fillId="38" borderId="0" xfId="0" applyFont="1" applyFill="1" applyAlignment="1">
      <alignment vertical="center"/>
    </xf>
    <xf numFmtId="174" fontId="109" fillId="30" borderId="0" xfId="9" applyNumberFormat="1" applyFont="1" applyFill="1" applyAlignment="1">
      <alignment horizontal="right" vertical="center"/>
    </xf>
    <xf numFmtId="174" fontId="110" fillId="38" borderId="0" xfId="0" applyNumberFormat="1" applyFont="1" applyFill="1" applyAlignment="1">
      <alignment vertical="center"/>
    </xf>
    <xf numFmtId="10" fontId="110" fillId="38" borderId="0" xfId="0" applyNumberFormat="1" applyFont="1" applyFill="1" applyAlignment="1">
      <alignment vertical="center"/>
    </xf>
    <xf numFmtId="0" fontId="2" fillId="38" borderId="0" xfId="4" applyFont="1" applyFill="1"/>
    <xf numFmtId="4" fontId="110" fillId="38" borderId="0" xfId="0" applyNumberFormat="1" applyFont="1" applyFill="1" applyAlignment="1">
      <alignment vertical="center"/>
    </xf>
    <xf numFmtId="174" fontId="110" fillId="0" borderId="0" xfId="4" applyNumberFormat="1" applyFont="1" applyAlignment="1" applyProtection="1">
      <alignment vertical="center"/>
      <protection locked="0"/>
    </xf>
    <xf numFmtId="0" fontId="177" fillId="38" borderId="0" xfId="0" applyFont="1" applyFill="1" applyAlignment="1" applyProtection="1">
      <alignment vertical="center"/>
      <protection locked="0"/>
    </xf>
    <xf numFmtId="0" fontId="211" fillId="29" borderId="0" xfId="0" applyFont="1" applyFill="1" applyAlignment="1">
      <alignment vertical="center"/>
    </xf>
    <xf numFmtId="0" fontId="106" fillId="43" borderId="0" xfId="0" applyFont="1" applyFill="1"/>
    <xf numFmtId="0" fontId="204" fillId="43" borderId="0" xfId="0" applyFont="1" applyFill="1"/>
    <xf numFmtId="4" fontId="107" fillId="51" borderId="54" xfId="0" applyNumberFormat="1" applyFont="1" applyFill="1" applyBorder="1"/>
    <xf numFmtId="0" fontId="99" fillId="70" borderId="12" xfId="4" applyFont="1" applyFill="1" applyBorder="1" applyAlignment="1">
      <alignment horizontal="left" vertical="top" wrapText="1" indent="1"/>
    </xf>
    <xf numFmtId="0" fontId="99" fillId="71" borderId="11" xfId="4" applyFont="1" applyFill="1" applyBorder="1" applyAlignment="1">
      <alignment horizontal="left" vertical="top" wrapText="1"/>
    </xf>
    <xf numFmtId="0" fontId="99" fillId="71" borderId="11" xfId="4" applyFont="1" applyFill="1" applyBorder="1" applyAlignment="1">
      <alignment horizontal="left" vertical="top" wrapText="1" indent="1"/>
    </xf>
    <xf numFmtId="4" fontId="110" fillId="39" borderId="53" xfId="4" applyNumberFormat="1" applyFont="1" applyFill="1" applyBorder="1" applyAlignment="1">
      <alignment vertical="center"/>
    </xf>
    <xf numFmtId="0" fontId="1" fillId="32" borderId="0" xfId="4" applyFont="1" applyFill="1"/>
    <xf numFmtId="4" fontId="1" fillId="32" borderId="0" xfId="4" applyNumberFormat="1" applyFont="1" applyFill="1"/>
    <xf numFmtId="0" fontId="36" fillId="0" borderId="38" xfId="0" applyFont="1" applyBorder="1" applyAlignment="1">
      <alignment horizontal="left" vertical="center" wrapText="1"/>
    </xf>
    <xf numFmtId="167" fontId="212" fillId="70" borderId="0" xfId="1" applyFont="1" applyFill="1" applyBorder="1" applyAlignment="1">
      <alignment vertical="center"/>
    </xf>
    <xf numFmtId="0" fontId="107" fillId="37" borderId="0" xfId="0" applyFont="1" applyFill="1" applyAlignment="1">
      <alignment vertical="center"/>
    </xf>
    <xf numFmtId="0" fontId="107" fillId="38" borderId="0" xfId="0" applyFont="1" applyFill="1" applyAlignment="1" applyProtection="1">
      <alignment vertical="center"/>
      <protection locked="0"/>
    </xf>
    <xf numFmtId="174" fontId="213" fillId="38" borderId="0" xfId="0" applyNumberFormat="1" applyFont="1" applyFill="1" applyAlignment="1" applyProtection="1">
      <alignment vertical="center"/>
      <protection locked="0"/>
    </xf>
    <xf numFmtId="10" fontId="213" fillId="38" borderId="0" xfId="0" applyNumberFormat="1" applyFont="1" applyFill="1" applyAlignment="1" applyProtection="1">
      <alignment vertical="center"/>
      <protection locked="0"/>
    </xf>
    <xf numFmtId="14" fontId="214" fillId="38" borderId="0" xfId="0" applyNumberFormat="1" applyFont="1" applyFill="1" applyAlignment="1">
      <alignment vertical="center"/>
    </xf>
    <xf numFmtId="14" fontId="214" fillId="38" borderId="0" xfId="0" applyNumberFormat="1" applyFont="1" applyFill="1" applyAlignment="1" applyProtection="1">
      <alignment vertical="center"/>
      <protection locked="0"/>
    </xf>
    <xf numFmtId="0" fontId="107" fillId="29" borderId="0" xfId="0" applyFont="1" applyFill="1" applyAlignment="1">
      <alignment horizontal="center" vertical="center"/>
    </xf>
    <xf numFmtId="174" fontId="107" fillId="29" borderId="0" xfId="0" applyNumberFormat="1" applyFont="1" applyFill="1" applyAlignment="1">
      <alignment horizontal="right" vertical="center"/>
    </xf>
    <xf numFmtId="174" fontId="107" fillId="36" borderId="0" xfId="0" applyNumberFormat="1" applyFont="1" applyFill="1" applyAlignment="1">
      <alignment vertical="center"/>
    </xf>
    <xf numFmtId="0" fontId="87" fillId="37" borderId="0" xfId="0" applyFont="1" applyFill="1" applyAlignment="1">
      <alignment vertical="center"/>
    </xf>
    <xf numFmtId="0" fontId="107" fillId="34" borderId="0" xfId="4" applyFont="1" applyFill="1"/>
    <xf numFmtId="0" fontId="215" fillId="40" borderId="0" xfId="0" applyFont="1" applyFill="1" applyAlignment="1" applyProtection="1">
      <alignment vertical="center"/>
      <protection locked="0"/>
    </xf>
    <xf numFmtId="0" fontId="213" fillId="40" borderId="0" xfId="0" applyFont="1" applyFill="1" applyAlignment="1">
      <alignment vertical="center"/>
    </xf>
    <xf numFmtId="0" fontId="107" fillId="38" borderId="0" xfId="0" applyFont="1" applyFill="1" applyProtection="1">
      <protection locked="0"/>
    </xf>
    <xf numFmtId="174" fontId="107" fillId="29" borderId="0" xfId="9" applyNumberFormat="1" applyFont="1" applyFill="1" applyAlignment="1">
      <alignment horizontal="right" vertical="center"/>
    </xf>
    <xf numFmtId="0" fontId="87" fillId="34" borderId="0" xfId="4" applyFont="1" applyFill="1"/>
    <xf numFmtId="0" fontId="215" fillId="40" borderId="0" xfId="0" applyFont="1" applyFill="1" applyAlignment="1">
      <alignment vertical="center"/>
    </xf>
    <xf numFmtId="174" fontId="215" fillId="40" borderId="0" xfId="0" applyNumberFormat="1" applyFont="1" applyFill="1" applyAlignment="1" applyProtection="1">
      <alignment vertical="center"/>
      <protection locked="0"/>
    </xf>
    <xf numFmtId="10" fontId="215" fillId="40" borderId="0" xfId="0" applyNumberFormat="1" applyFont="1" applyFill="1" applyAlignment="1" applyProtection="1">
      <alignment vertical="center"/>
      <protection locked="0"/>
    </xf>
    <xf numFmtId="10" fontId="87" fillId="38" borderId="0" xfId="0" applyNumberFormat="1" applyFont="1" applyFill="1" applyAlignment="1" applyProtection="1">
      <alignment vertical="center"/>
      <protection locked="0"/>
    </xf>
    <xf numFmtId="14" fontId="86" fillId="29" borderId="0" xfId="0" applyNumberFormat="1" applyFont="1" applyFill="1" applyAlignment="1">
      <alignment vertical="center"/>
    </xf>
    <xf numFmtId="14" fontId="86" fillId="38" borderId="0" xfId="0" applyNumberFormat="1" applyFont="1" applyFill="1" applyAlignment="1" applyProtection="1">
      <alignment vertical="center"/>
      <protection locked="0"/>
    </xf>
    <xf numFmtId="0" fontId="87" fillId="38" borderId="0" xfId="0" applyFont="1" applyFill="1" applyProtection="1">
      <protection locked="0"/>
    </xf>
    <xf numFmtId="14" fontId="86" fillId="38" borderId="0" xfId="0" applyNumberFormat="1" applyFont="1" applyFill="1" applyAlignment="1">
      <alignment vertical="center"/>
    </xf>
    <xf numFmtId="0" fontId="87" fillId="38" borderId="0" xfId="0" applyFont="1" applyFill="1" applyAlignment="1" applyProtection="1">
      <alignment vertical="center"/>
      <protection locked="0"/>
    </xf>
    <xf numFmtId="0" fontId="87" fillId="29" borderId="0" xfId="0" applyFont="1" applyFill="1" applyAlignment="1">
      <alignment horizontal="center" vertical="center"/>
    </xf>
    <xf numFmtId="174" fontId="87" fillId="29" borderId="0" xfId="9" applyNumberFormat="1" applyFont="1" applyFill="1" applyAlignment="1">
      <alignment horizontal="right" vertical="center"/>
    </xf>
    <xf numFmtId="174" fontId="87" fillId="29" borderId="0" xfId="0" applyNumberFormat="1" applyFont="1" applyFill="1" applyAlignment="1">
      <alignment horizontal="right" vertical="center"/>
    </xf>
    <xf numFmtId="174" fontId="87" fillId="38" borderId="0" xfId="0" applyNumberFormat="1" applyFont="1" applyFill="1" applyAlignment="1" applyProtection="1">
      <alignment vertical="center"/>
      <protection locked="0"/>
    </xf>
    <xf numFmtId="174" fontId="87" fillId="36" borderId="0" xfId="0" applyNumberFormat="1" applyFont="1" applyFill="1" applyAlignment="1">
      <alignment vertical="center"/>
    </xf>
    <xf numFmtId="0" fontId="97" fillId="37" borderId="0" xfId="0" applyFont="1" applyFill="1" applyAlignment="1">
      <alignment vertical="center"/>
    </xf>
    <xf numFmtId="0" fontId="97" fillId="38" borderId="0" xfId="0" applyFont="1" applyFill="1" applyAlignment="1" applyProtection="1">
      <alignment vertical="center"/>
      <protection locked="0"/>
    </xf>
    <xf numFmtId="0" fontId="97" fillId="34" borderId="0" xfId="4" applyFont="1" applyFill="1"/>
    <xf numFmtId="0" fontId="216" fillId="38" borderId="0" xfId="0" applyFont="1" applyFill="1" applyAlignment="1" applyProtection="1">
      <alignment vertical="center"/>
      <protection locked="0"/>
    </xf>
    <xf numFmtId="0" fontId="216" fillId="40" borderId="0" xfId="0" applyFont="1" applyFill="1" applyAlignment="1">
      <alignment vertical="center" wrapText="1"/>
    </xf>
    <xf numFmtId="174" fontId="216" fillId="38" borderId="0" xfId="0" applyNumberFormat="1" applyFont="1" applyFill="1" applyAlignment="1" applyProtection="1">
      <alignment vertical="center"/>
      <protection locked="0"/>
    </xf>
    <xf numFmtId="10" fontId="216" fillId="38" borderId="0" xfId="0" applyNumberFormat="1" applyFont="1" applyFill="1" applyAlignment="1" applyProtection="1">
      <alignment vertical="center"/>
      <protection locked="0"/>
    </xf>
    <xf numFmtId="10" fontId="97" fillId="38" borderId="0" xfId="0" applyNumberFormat="1" applyFont="1" applyFill="1" applyAlignment="1" applyProtection="1">
      <alignment vertical="center"/>
      <protection locked="0"/>
    </xf>
    <xf numFmtId="14" fontId="217" fillId="38" borderId="0" xfId="0" applyNumberFormat="1" applyFont="1" applyFill="1" applyAlignment="1">
      <alignment vertical="center"/>
    </xf>
    <xf numFmtId="14" fontId="217" fillId="38" borderId="0" xfId="0" applyNumberFormat="1" applyFont="1" applyFill="1" applyAlignment="1" applyProtection="1">
      <alignment vertical="center"/>
      <protection locked="0"/>
    </xf>
    <xf numFmtId="0" fontId="97" fillId="38" borderId="0" xfId="0" applyFont="1" applyFill="1" applyProtection="1">
      <protection locked="0"/>
    </xf>
    <xf numFmtId="0" fontId="97" fillId="29" borderId="0" xfId="0" applyFont="1" applyFill="1" applyAlignment="1">
      <alignment horizontal="center" vertical="center"/>
    </xf>
    <xf numFmtId="174" fontId="97" fillId="30" borderId="0" xfId="9" applyNumberFormat="1" applyFont="1" applyFill="1" applyAlignment="1">
      <alignment horizontal="right" vertical="center"/>
    </xf>
    <xf numFmtId="174" fontId="97" fillId="29" borderId="0" xfId="0" applyNumberFormat="1" applyFont="1" applyFill="1" applyAlignment="1">
      <alignment horizontal="right" vertical="center"/>
    </xf>
    <xf numFmtId="174" fontId="97" fillId="38" borderId="0" xfId="0" applyNumberFormat="1" applyFont="1" applyFill="1" applyAlignment="1" applyProtection="1">
      <alignment vertical="center"/>
      <protection locked="0"/>
    </xf>
    <xf numFmtId="166" fontId="97" fillId="0" borderId="0" xfId="0" applyNumberFormat="1" applyFont="1"/>
    <xf numFmtId="174" fontId="97" fillId="36" borderId="0" xfId="0" applyNumberFormat="1" applyFont="1" applyFill="1" applyAlignment="1">
      <alignment vertical="center"/>
    </xf>
    <xf numFmtId="10" fontId="97" fillId="0" borderId="0" xfId="0" applyNumberFormat="1" applyFont="1"/>
    <xf numFmtId="0" fontId="97" fillId="38" borderId="0" xfId="4" applyFont="1" applyFill="1"/>
    <xf numFmtId="4" fontId="97" fillId="0" borderId="0" xfId="0" applyNumberFormat="1" applyFont="1"/>
    <xf numFmtId="0" fontId="95" fillId="37" borderId="0" xfId="0" applyFont="1" applyFill="1" applyAlignment="1">
      <alignment vertical="center"/>
    </xf>
    <xf numFmtId="0" fontId="95" fillId="34" borderId="0" xfId="4" applyFont="1" applyFill="1"/>
    <xf numFmtId="0" fontId="218" fillId="40" borderId="0" xfId="0" applyFont="1" applyFill="1" applyAlignment="1">
      <alignment vertical="center" wrapText="1"/>
    </xf>
    <xf numFmtId="0" fontId="219" fillId="42" borderId="0" xfId="11" applyFill="1"/>
    <xf numFmtId="0" fontId="219" fillId="0" borderId="0" xfId="11"/>
    <xf numFmtId="0" fontId="219" fillId="29" borderId="0" xfId="11" applyFill="1"/>
    <xf numFmtId="0" fontId="219" fillId="38" borderId="0" xfId="11" applyFill="1"/>
    <xf numFmtId="0" fontId="220" fillId="29" borderId="0" xfId="11" applyFont="1" applyFill="1" applyAlignment="1">
      <alignment vertical="center"/>
    </xf>
    <xf numFmtId="0" fontId="219" fillId="29" borderId="0" xfId="11" applyFill="1" applyAlignment="1">
      <alignment vertical="center"/>
    </xf>
    <xf numFmtId="0" fontId="221" fillId="29" borderId="0" xfId="11" applyFont="1" applyFill="1"/>
    <xf numFmtId="0" fontId="222" fillId="29" borderId="0" xfId="11" applyFont="1" applyFill="1" applyAlignment="1">
      <alignment vertical="center"/>
    </xf>
    <xf numFmtId="0" fontId="222" fillId="29" borderId="86" xfId="11" applyFont="1" applyFill="1" applyBorder="1" applyAlignment="1">
      <alignment vertical="center"/>
    </xf>
    <xf numFmtId="0" fontId="221" fillId="29" borderId="0" xfId="11" applyFont="1" applyFill="1" applyAlignment="1">
      <alignment vertical="center"/>
    </xf>
    <xf numFmtId="0" fontId="223" fillId="42" borderId="0" xfId="11" applyFont="1" applyFill="1" applyAlignment="1">
      <alignment horizontal="right"/>
    </xf>
    <xf numFmtId="0" fontId="223" fillId="38" borderId="0" xfId="11" applyFont="1" applyFill="1"/>
    <xf numFmtId="0" fontId="221" fillId="0" borderId="0" xfId="11" applyFont="1"/>
    <xf numFmtId="0" fontId="225" fillId="29" borderId="0" xfId="11" applyFont="1" applyFill="1" applyAlignment="1">
      <alignment horizontal="right" vertical="center"/>
    </xf>
    <xf numFmtId="4" fontId="226" fillId="73" borderId="87" xfId="11" applyNumberFormat="1" applyFont="1" applyFill="1" applyBorder="1" applyAlignment="1">
      <alignment horizontal="right" vertical="center"/>
    </xf>
    <xf numFmtId="0" fontId="223" fillId="42" borderId="0" xfId="11" applyFont="1" applyFill="1"/>
    <xf numFmtId="0" fontId="227" fillId="0" borderId="0" xfId="11" applyFont="1"/>
    <xf numFmtId="0" fontId="225" fillId="29" borderId="0" xfId="11" applyFont="1" applyFill="1" applyAlignment="1">
      <alignment horizontal="right" vertical="center" wrapText="1"/>
    </xf>
    <xf numFmtId="0" fontId="223" fillId="38" borderId="0" xfId="11" applyFont="1" applyFill="1" applyAlignment="1">
      <alignment horizontal="center"/>
    </xf>
    <xf numFmtId="0" fontId="84" fillId="0" borderId="0" xfId="10" applyFill="1" applyBorder="1" applyAlignment="1">
      <alignment horizontal="center" vertical="center"/>
    </xf>
    <xf numFmtId="0" fontId="226" fillId="73" borderId="87" xfId="11" applyFont="1" applyFill="1" applyBorder="1" applyAlignment="1">
      <alignment horizontal="right" vertical="center"/>
    </xf>
    <xf numFmtId="0" fontId="222" fillId="29" borderId="0" xfId="11" applyFont="1" applyFill="1" applyAlignment="1">
      <alignment horizontal="left" vertical="center"/>
    </xf>
    <xf numFmtId="0" fontId="228" fillId="29" borderId="0" xfId="11" applyFont="1" applyFill="1" applyAlignment="1">
      <alignment vertical="center"/>
    </xf>
    <xf numFmtId="0" fontId="221" fillId="42" borderId="0" xfId="11" applyFont="1" applyFill="1"/>
    <xf numFmtId="0" fontId="221" fillId="38" borderId="0" xfId="11" applyFont="1" applyFill="1"/>
    <xf numFmtId="0" fontId="228" fillId="42" borderId="0" xfId="11" applyFont="1" applyFill="1" applyAlignment="1">
      <alignment vertical="center"/>
    </xf>
    <xf numFmtId="0" fontId="222" fillId="42" borderId="0" xfId="11" applyFont="1" applyFill="1" applyAlignment="1">
      <alignment vertical="center"/>
    </xf>
    <xf numFmtId="0" fontId="221" fillId="42" borderId="0" xfId="11" applyFont="1" applyFill="1" applyAlignment="1">
      <alignment vertical="center"/>
    </xf>
    <xf numFmtId="0" fontId="221" fillId="74" borderId="0" xfId="11" applyFont="1" applyFill="1"/>
    <xf numFmtId="0" fontId="222" fillId="74" borderId="0" xfId="11" applyFont="1" applyFill="1" applyAlignment="1">
      <alignment vertical="center" wrapText="1"/>
    </xf>
    <xf numFmtId="4" fontId="228" fillId="74" borderId="0" xfId="11" applyNumberFormat="1" applyFont="1" applyFill="1" applyAlignment="1">
      <alignment vertical="center"/>
    </xf>
    <xf numFmtId="0" fontId="222" fillId="74" borderId="0" xfId="11" applyFont="1" applyFill="1" applyAlignment="1">
      <alignment vertical="center"/>
    </xf>
    <xf numFmtId="0" fontId="221" fillId="74" borderId="0" xfId="11" applyFont="1" applyFill="1" applyAlignment="1">
      <alignment vertical="center"/>
    </xf>
    <xf numFmtId="0" fontId="229" fillId="56" borderId="88" xfId="11" applyFont="1" applyFill="1" applyBorder="1" applyAlignment="1">
      <alignment horizontal="right" vertical="center" wrapText="1"/>
    </xf>
    <xf numFmtId="4" fontId="229" fillId="56" borderId="89" xfId="11" applyNumberFormat="1" applyFont="1" applyFill="1" applyBorder="1" applyAlignment="1">
      <alignment horizontal="center" vertical="center"/>
    </xf>
    <xf numFmtId="0" fontId="229" fillId="56" borderId="90" xfId="11" applyFont="1" applyFill="1" applyBorder="1" applyAlignment="1">
      <alignment vertical="center"/>
    </xf>
    <xf numFmtId="0" fontId="229" fillId="74" borderId="0" xfId="11" applyFont="1" applyFill="1" applyAlignment="1">
      <alignment horizontal="right" vertical="center" wrapText="1"/>
    </xf>
    <xf numFmtId="4" fontId="229" fillId="74" borderId="0" xfId="11" applyNumberFormat="1" applyFont="1" applyFill="1" applyAlignment="1">
      <alignment horizontal="center" vertical="center"/>
    </xf>
    <xf numFmtId="0" fontId="229" fillId="74" borderId="0" xfId="11" applyFont="1" applyFill="1" applyAlignment="1">
      <alignment vertical="center"/>
    </xf>
    <xf numFmtId="0" fontId="225" fillId="74" borderId="0" xfId="11" applyFont="1" applyFill="1" applyAlignment="1">
      <alignment horizontal="right" vertical="center"/>
    </xf>
    <xf numFmtId="4" fontId="230" fillId="75" borderId="87" xfId="11" applyNumberFormat="1" applyFont="1" applyFill="1" applyBorder="1" applyAlignment="1">
      <alignment vertical="center"/>
    </xf>
    <xf numFmtId="0" fontId="225" fillId="74" borderId="0" xfId="11" applyFont="1" applyFill="1" applyAlignment="1">
      <alignment horizontal="right" vertical="center" wrapText="1"/>
    </xf>
    <xf numFmtId="0" fontId="221" fillId="0" borderId="0" xfId="11" applyFont="1" applyAlignment="1">
      <alignment horizontal="center" wrapText="1"/>
    </xf>
    <xf numFmtId="4" fontId="221" fillId="0" borderId="0" xfId="11" applyNumberFormat="1" applyFont="1"/>
    <xf numFmtId="0" fontId="227" fillId="0" borderId="0" xfId="11" applyFont="1" applyAlignment="1">
      <alignment horizontal="center" wrapText="1"/>
    </xf>
    <xf numFmtId="0" fontId="222" fillId="74" borderId="0" xfId="11" applyFont="1" applyFill="1" applyAlignment="1">
      <alignment horizontal="right" vertical="center"/>
    </xf>
    <xf numFmtId="0" fontId="230" fillId="74" borderId="89" xfId="11" applyFont="1" applyFill="1" applyBorder="1" applyAlignment="1">
      <alignment vertical="center"/>
    </xf>
    <xf numFmtId="0" fontId="231" fillId="76" borderId="87" xfId="11" applyFont="1" applyFill="1" applyBorder="1" applyAlignment="1">
      <alignment horizontal="right" vertical="center" wrapText="1"/>
    </xf>
    <xf numFmtId="4" fontId="231" fillId="76" borderId="87" xfId="11" applyNumberFormat="1" applyFont="1" applyFill="1" applyBorder="1" applyAlignment="1">
      <alignment vertical="center"/>
    </xf>
    <xf numFmtId="0" fontId="231" fillId="76" borderId="91" xfId="11" applyFont="1" applyFill="1" applyBorder="1" applyAlignment="1">
      <alignment horizontal="right" vertical="center" wrapText="1"/>
    </xf>
    <xf numFmtId="0" fontId="222" fillId="74" borderId="0" xfId="11" applyFont="1" applyFill="1" applyAlignment="1">
      <alignment wrapText="1"/>
    </xf>
    <xf numFmtId="0" fontId="222" fillId="74" borderId="0" xfId="11" applyFont="1" applyFill="1"/>
    <xf numFmtId="0" fontId="219" fillId="42" borderId="0" xfId="12" applyFill="1"/>
    <xf numFmtId="0" fontId="219" fillId="0" borderId="0" xfId="12"/>
    <xf numFmtId="0" fontId="219" fillId="29" borderId="0" xfId="12" applyFill="1"/>
    <xf numFmtId="0" fontId="219" fillId="38" borderId="0" xfId="12" applyFill="1"/>
    <xf numFmtId="0" fontId="220" fillId="29" borderId="0" xfId="12" applyFont="1" applyFill="1" applyAlignment="1">
      <alignment vertical="center"/>
    </xf>
    <xf numFmtId="0" fontId="219" fillId="29" borderId="0" xfId="12" applyFill="1" applyAlignment="1">
      <alignment vertical="center"/>
    </xf>
    <xf numFmtId="0" fontId="221" fillId="29" borderId="0" xfId="12" applyFont="1" applyFill="1"/>
    <xf numFmtId="0" fontId="222" fillId="29" borderId="0" xfId="12" applyFont="1" applyFill="1" applyAlignment="1">
      <alignment vertical="center"/>
    </xf>
    <xf numFmtId="0" fontId="222" fillId="29" borderId="86" xfId="12" applyFont="1" applyFill="1" applyBorder="1" applyAlignment="1">
      <alignment vertical="center"/>
    </xf>
    <xf numFmtId="0" fontId="221" fillId="29" borderId="0" xfId="12" applyFont="1" applyFill="1" applyAlignment="1">
      <alignment vertical="center"/>
    </xf>
    <xf numFmtId="0" fontId="223" fillId="42" borderId="0" xfId="12" applyFont="1" applyFill="1" applyAlignment="1">
      <alignment horizontal="right"/>
    </xf>
    <xf numFmtId="0" fontId="223" fillId="38" borderId="0" xfId="12" applyFont="1" applyFill="1"/>
    <xf numFmtId="0" fontId="224" fillId="72" borderId="0" xfId="12" applyFont="1" applyFill="1" applyAlignment="1">
      <alignment horizontal="left"/>
    </xf>
    <xf numFmtId="0" fontId="221" fillId="72" borderId="0" xfId="12" applyFont="1" applyFill="1"/>
    <xf numFmtId="0" fontId="221" fillId="0" borderId="0" xfId="12" applyFont="1"/>
    <xf numFmtId="0" fontId="225" fillId="29" borderId="0" xfId="12" applyFont="1" applyFill="1" applyAlignment="1">
      <alignment horizontal="right" vertical="center"/>
    </xf>
    <xf numFmtId="4" fontId="226" fillId="73" borderId="87" xfId="12" applyNumberFormat="1" applyFont="1" applyFill="1" applyBorder="1" applyAlignment="1">
      <alignment horizontal="right" vertical="center"/>
    </xf>
    <xf numFmtId="0" fontId="223" fillId="42" borderId="0" xfId="12" applyFont="1" applyFill="1"/>
    <xf numFmtId="0" fontId="227" fillId="0" borderId="0" xfId="12" applyFont="1"/>
    <xf numFmtId="0" fontId="225" fillId="29" borderId="0" xfId="12" applyFont="1" applyFill="1" applyAlignment="1">
      <alignment horizontal="right" vertical="center" wrapText="1"/>
    </xf>
    <xf numFmtId="0" fontId="223" fillId="38" borderId="0" xfId="12" applyFont="1" applyFill="1" applyAlignment="1">
      <alignment horizontal="center"/>
    </xf>
    <xf numFmtId="0" fontId="226" fillId="73" borderId="87" xfId="12" applyFont="1" applyFill="1" applyBorder="1" applyAlignment="1">
      <alignment horizontal="right" vertical="center"/>
    </xf>
    <xf numFmtId="0" fontId="222" fillId="29" borderId="0" xfId="12" applyFont="1" applyFill="1" applyAlignment="1">
      <alignment horizontal="left" vertical="center"/>
    </xf>
    <xf numFmtId="0" fontId="228" fillId="29" borderId="0" xfId="12" applyFont="1" applyFill="1" applyAlignment="1">
      <alignment vertical="center"/>
    </xf>
    <xf numFmtId="0" fontId="221" fillId="42" borderId="0" xfId="12" applyFont="1" applyFill="1"/>
    <xf numFmtId="0" fontId="221" fillId="38" borderId="0" xfId="12" applyFont="1" applyFill="1"/>
    <xf numFmtId="0" fontId="228" fillId="42" borderId="0" xfId="12" applyFont="1" applyFill="1" applyAlignment="1">
      <alignment vertical="center"/>
    </xf>
    <xf numFmtId="0" fontId="222" fillId="42" borderId="0" xfId="12" applyFont="1" applyFill="1" applyAlignment="1">
      <alignment vertical="center"/>
    </xf>
    <xf numFmtId="0" fontId="221" fillId="42" borderId="0" xfId="12" applyFont="1" applyFill="1" applyAlignment="1">
      <alignment vertical="center"/>
    </xf>
    <xf numFmtId="0" fontId="221" fillId="74" borderId="0" xfId="12" applyFont="1" applyFill="1"/>
    <xf numFmtId="0" fontId="222" fillId="74" borderId="0" xfId="12" applyFont="1" applyFill="1" applyAlignment="1">
      <alignment vertical="center" wrapText="1"/>
    </xf>
    <xf numFmtId="4" fontId="228" fillId="74" borderId="0" xfId="12" applyNumberFormat="1" applyFont="1" applyFill="1" applyAlignment="1">
      <alignment vertical="center"/>
    </xf>
    <xf numFmtId="0" fontId="222" fillId="74" borderId="0" xfId="12" applyFont="1" applyFill="1" applyAlignment="1">
      <alignment vertical="center"/>
    </xf>
    <xf numFmtId="0" fontId="221" fillId="74" borderId="0" xfId="12" applyFont="1" applyFill="1" applyAlignment="1">
      <alignment vertical="center"/>
    </xf>
    <xf numFmtId="0" fontId="229" fillId="56" borderId="88" xfId="12" applyFont="1" applyFill="1" applyBorder="1" applyAlignment="1">
      <alignment horizontal="right" vertical="center" wrapText="1"/>
    </xf>
    <xf numFmtId="4" fontId="229" fillId="56" borderId="89" xfId="12" applyNumberFormat="1" applyFont="1" applyFill="1" applyBorder="1" applyAlignment="1">
      <alignment horizontal="center" vertical="center"/>
    </xf>
    <xf numFmtId="0" fontId="229" fillId="56" borderId="90" xfId="12" applyFont="1" applyFill="1" applyBorder="1" applyAlignment="1">
      <alignment vertical="center"/>
    </xf>
    <xf numFmtId="0" fontId="229" fillId="74" borderId="0" xfId="12" applyFont="1" applyFill="1" applyAlignment="1">
      <alignment horizontal="right" vertical="center" wrapText="1"/>
    </xf>
    <xf numFmtId="4" fontId="229" fillId="74" borderId="0" xfId="12" applyNumberFormat="1" applyFont="1" applyFill="1" applyAlignment="1">
      <alignment horizontal="center" vertical="center"/>
    </xf>
    <xf numFmtId="0" fontId="229" fillId="74" borderId="0" xfId="12" applyFont="1" applyFill="1" applyAlignment="1">
      <alignment vertical="center"/>
    </xf>
    <xf numFmtId="0" fontId="225" fillId="74" borderId="0" xfId="12" applyFont="1" applyFill="1" applyAlignment="1">
      <alignment horizontal="right" vertical="center"/>
    </xf>
    <xf numFmtId="4" fontId="230" fillId="75" borderId="87" xfId="12" applyNumberFormat="1" applyFont="1" applyFill="1" applyBorder="1" applyAlignment="1">
      <alignment vertical="center"/>
    </xf>
    <xf numFmtId="0" fontId="225" fillId="74" borderId="0" xfId="12" applyFont="1" applyFill="1" applyAlignment="1">
      <alignment horizontal="right" vertical="center" wrapText="1"/>
    </xf>
    <xf numFmtId="0" fontId="221" fillId="0" borderId="0" xfId="12" applyFont="1" applyAlignment="1">
      <alignment horizontal="center" wrapText="1"/>
    </xf>
    <xf numFmtId="4" fontId="221" fillId="0" borderId="0" xfId="12" applyNumberFormat="1" applyFont="1"/>
    <xf numFmtId="0" fontId="227" fillId="0" borderId="0" xfId="12" applyFont="1" applyAlignment="1">
      <alignment horizontal="center" wrapText="1"/>
    </xf>
    <xf numFmtId="0" fontId="222" fillId="74" borderId="0" xfId="12" applyFont="1" applyFill="1" applyAlignment="1">
      <alignment horizontal="right" vertical="center"/>
    </xf>
    <xf numFmtId="0" fontId="230" fillId="74" borderId="89" xfId="12" applyFont="1" applyFill="1" applyBorder="1" applyAlignment="1">
      <alignment vertical="center"/>
    </xf>
    <xf numFmtId="0" fontId="231" fillId="76" borderId="87" xfId="12" applyFont="1" applyFill="1" applyBorder="1" applyAlignment="1">
      <alignment horizontal="right" vertical="center" wrapText="1"/>
    </xf>
    <xf numFmtId="4" fontId="231" fillId="76" borderId="87" xfId="12" applyNumberFormat="1" applyFont="1" applyFill="1" applyBorder="1" applyAlignment="1">
      <alignment vertical="center"/>
    </xf>
    <xf numFmtId="0" fontId="231" fillId="76" borderId="91" xfId="12" applyFont="1" applyFill="1" applyBorder="1" applyAlignment="1">
      <alignment horizontal="right" vertical="center" wrapText="1"/>
    </xf>
    <xf numFmtId="0" fontId="222" fillId="74" borderId="0" xfId="12" applyFont="1" applyFill="1" applyAlignment="1">
      <alignment wrapText="1"/>
    </xf>
    <xf numFmtId="0" fontId="222" fillId="74" borderId="0" xfId="12" applyFont="1" applyFill="1"/>
    <xf numFmtId="0" fontId="233" fillId="0" borderId="0" xfId="11" applyFont="1"/>
    <xf numFmtId="0" fontId="234" fillId="72" borderId="0" xfId="11" applyFont="1" applyFill="1" applyAlignment="1">
      <alignment horizontal="left"/>
    </xf>
    <xf numFmtId="0" fontId="208" fillId="72" borderId="0" xfId="11" applyFont="1" applyFill="1"/>
    <xf numFmtId="174" fontId="158" fillId="77" borderId="64" xfId="9" applyNumberFormat="1" applyFont="1" applyFill="1" applyBorder="1" applyAlignment="1" applyProtection="1">
      <alignment vertical="center"/>
      <protection locked="0"/>
    </xf>
    <xf numFmtId="0" fontId="99" fillId="78" borderId="0" xfId="4" applyFont="1" applyFill="1" applyAlignment="1">
      <alignment horizontal="left" vertical="top" wrapText="1" indent="1"/>
    </xf>
    <xf numFmtId="0" fontId="235" fillId="38" borderId="59" xfId="0" applyFont="1" applyFill="1" applyBorder="1" applyAlignment="1">
      <alignment shrinkToFit="1"/>
    </xf>
    <xf numFmtId="0" fontId="236" fillId="38" borderId="59" xfId="0" applyFont="1" applyFill="1" applyBorder="1" applyAlignment="1">
      <alignment shrinkToFit="1"/>
    </xf>
    <xf numFmtId="3" fontId="237" fillId="38" borderId="59" xfId="0" applyNumberFormat="1" applyFont="1" applyFill="1" applyBorder="1"/>
    <xf numFmtId="10" fontId="236" fillId="38" borderId="59" xfId="0" applyNumberFormat="1" applyFont="1" applyFill="1" applyBorder="1" applyAlignment="1">
      <alignment wrapText="1"/>
    </xf>
    <xf numFmtId="0" fontId="0" fillId="30" borderId="0" xfId="0" applyFill="1"/>
    <xf numFmtId="4" fontId="99" fillId="41" borderId="59" xfId="0" applyNumberFormat="1" applyFont="1" applyFill="1" applyBorder="1"/>
    <xf numFmtId="0" fontId="2" fillId="0" borderId="0" xfId="0" applyFont="1"/>
    <xf numFmtId="0" fontId="125" fillId="78" borderId="37" xfId="0" applyFont="1" applyFill="1" applyBorder="1" applyAlignment="1">
      <alignment horizontal="left" vertical="center" wrapText="1"/>
    </xf>
    <xf numFmtId="0" fontId="58" fillId="78" borderId="0" xfId="0" applyFont="1" applyFill="1" applyAlignment="1">
      <alignment horizontal="left" vertical="center" wrapText="1"/>
    </xf>
    <xf numFmtId="0" fontId="126" fillId="78" borderId="38" xfId="0" applyFont="1" applyFill="1" applyBorder="1" applyAlignment="1">
      <alignment horizontal="left" vertical="center" wrapText="1"/>
    </xf>
    <xf numFmtId="0" fontId="30" fillId="78" borderId="0" xfId="0" applyFont="1" applyFill="1" applyAlignment="1">
      <alignment horizontal="center" vertical="center" wrapText="1"/>
    </xf>
    <xf numFmtId="0" fontId="46" fillId="78" borderId="0" xfId="0" applyFont="1" applyFill="1"/>
    <xf numFmtId="167" fontId="46" fillId="78" borderId="0" xfId="1" applyFont="1" applyFill="1" applyBorder="1"/>
    <xf numFmtId="10" fontId="46" fillId="78" borderId="0" xfId="0" applyNumberFormat="1" applyFont="1" applyFill="1" applyAlignment="1">
      <alignment horizontal="left" vertical="center"/>
    </xf>
    <xf numFmtId="0" fontId="26" fillId="78" borderId="0" xfId="0" applyFont="1" applyFill="1"/>
    <xf numFmtId="49" fontId="26" fillId="78" borderId="0" xfId="0" applyNumberFormat="1" applyFont="1" applyFill="1"/>
    <xf numFmtId="10" fontId="81" fillId="0" borderId="0" xfId="0" applyNumberFormat="1" applyFont="1" applyAlignment="1">
      <alignment vertical="center"/>
    </xf>
    <xf numFmtId="10" fontId="0" fillId="0" borderId="0" xfId="0" applyNumberFormat="1"/>
    <xf numFmtId="167" fontId="238" fillId="0" borderId="0" xfId="1" applyFont="1" applyFill="1" applyBorder="1" applyAlignment="1">
      <alignment vertical="center"/>
    </xf>
    <xf numFmtId="167" fontId="46" fillId="78" borderId="0" xfId="1" applyFont="1" applyFill="1" applyBorder="1" applyAlignment="1">
      <alignment vertical="center"/>
    </xf>
    <xf numFmtId="0" fontId="8" fillId="0" borderId="0" xfId="0" applyFont="1" applyAlignment="1">
      <alignment horizontal="left" vertical="center" wrapText="1"/>
    </xf>
    <xf numFmtId="0" fontId="59" fillId="0" borderId="0" xfId="0" applyFont="1" applyAlignment="1">
      <alignment horizontal="left" vertical="center" shrinkToFit="1"/>
    </xf>
    <xf numFmtId="0" fontId="8" fillId="0" borderId="0" xfId="0" applyFont="1" applyAlignment="1">
      <alignment horizontal="left" vertical="center"/>
    </xf>
    <xf numFmtId="9" fontId="47" fillId="0" borderId="0" xfId="0" applyNumberFormat="1" applyFont="1"/>
    <xf numFmtId="167" fontId="47" fillId="0" borderId="0" xfId="1" applyFont="1" applyFill="1" applyBorder="1" applyAlignment="1">
      <alignment vertical="center"/>
    </xf>
    <xf numFmtId="0" fontId="47" fillId="0" borderId="0" xfId="0" applyFont="1"/>
    <xf numFmtId="4" fontId="7" fillId="0" borderId="0" xfId="0" applyNumberFormat="1" applyFont="1" applyAlignment="1">
      <alignment horizontal="right"/>
    </xf>
    <xf numFmtId="0" fontId="137" fillId="14" borderId="0" xfId="0" applyFont="1" applyFill="1" applyAlignment="1">
      <alignment horizontal="center" vertical="center" shrinkToFit="1"/>
    </xf>
    <xf numFmtId="0" fontId="241" fillId="55" borderId="0" xfId="0" applyFont="1" applyFill="1" applyProtection="1">
      <protection hidden="1"/>
    </xf>
    <xf numFmtId="168" fontId="243" fillId="55" borderId="0" xfId="0" applyNumberFormat="1" applyFont="1" applyFill="1" applyAlignment="1" applyProtection="1">
      <alignment horizontal="center" vertical="center"/>
      <protection hidden="1"/>
    </xf>
    <xf numFmtId="0" fontId="242" fillId="79" borderId="0" xfId="0" applyFont="1" applyFill="1" applyAlignment="1" applyProtection="1">
      <alignment horizontal="right" vertical="center" wrapText="1" indent="1"/>
      <protection hidden="1"/>
    </xf>
    <xf numFmtId="168" fontId="243" fillId="79" borderId="0" xfId="0" applyNumberFormat="1" applyFont="1" applyFill="1" applyAlignment="1" applyProtection="1">
      <alignment horizontal="center" vertical="center"/>
      <protection hidden="1"/>
    </xf>
    <xf numFmtId="166" fontId="245" fillId="55" borderId="0" xfId="8" applyNumberFormat="1" applyFont="1" applyFill="1" applyBorder="1" applyAlignment="1" applyProtection="1">
      <alignment horizontal="right" vertical="center" indent="1"/>
      <protection hidden="1"/>
    </xf>
    <xf numFmtId="0" fontId="247" fillId="0" borderId="0" xfId="0" applyFont="1" applyAlignment="1">
      <alignment vertical="center"/>
    </xf>
    <xf numFmtId="10" fontId="248" fillId="0" borderId="0" xfId="0" applyNumberFormat="1" applyFont="1" applyAlignment="1">
      <alignment horizontal="right" vertical="center"/>
    </xf>
    <xf numFmtId="0" fontId="249" fillId="29" borderId="0" xfId="11" applyFont="1" applyFill="1" applyAlignment="1">
      <alignment vertical="center"/>
    </xf>
    <xf numFmtId="0" fontId="249" fillId="29" borderId="0" xfId="12" applyFont="1" applyFill="1" applyAlignment="1">
      <alignment vertical="center"/>
    </xf>
    <xf numFmtId="0" fontId="100" fillId="0" borderId="22" xfId="6" applyFont="1" applyBorder="1" applyAlignment="1">
      <alignment vertical="center"/>
    </xf>
    <xf numFmtId="0" fontId="141" fillId="0" borderId="9" xfId="6" applyFont="1" applyBorder="1" applyAlignment="1">
      <alignment horizontal="left" vertical="center" indent="1"/>
    </xf>
    <xf numFmtId="0" fontId="100" fillId="0" borderId="22" xfId="6" applyFont="1" applyBorder="1" applyAlignment="1">
      <alignment vertical="center" wrapText="1"/>
    </xf>
    <xf numFmtId="0" fontId="100" fillId="0" borderId="9" xfId="6" applyFont="1" applyBorder="1" applyAlignment="1">
      <alignment horizontal="left" vertical="center" wrapText="1" indent="1"/>
    </xf>
    <xf numFmtId="0" fontId="100" fillId="0" borderId="22" xfId="6" applyFont="1" applyBorder="1" applyAlignment="1">
      <alignment vertical="top" wrapText="1"/>
    </xf>
    <xf numFmtId="0" fontId="99" fillId="0" borderId="9" xfId="6" applyFont="1" applyBorder="1" applyAlignment="1">
      <alignment horizontal="left" vertical="center" wrapText="1"/>
    </xf>
    <xf numFmtId="0" fontId="112" fillId="0" borderId="40" xfId="6" applyFont="1" applyBorder="1" applyAlignment="1">
      <alignment horizontal="left" vertical="center" wrapText="1" indent="1"/>
    </xf>
    <xf numFmtId="0" fontId="112" fillId="0" borderId="9" xfId="6" applyFont="1" applyBorder="1" applyAlignment="1">
      <alignment horizontal="left" vertical="center" wrapText="1" indent="1"/>
    </xf>
    <xf numFmtId="0" fontId="113" fillId="0" borderId="40" xfId="6" applyFont="1" applyBorder="1" applyAlignment="1">
      <alignment horizontal="left" vertical="center" wrapText="1" indent="1"/>
    </xf>
    <xf numFmtId="0" fontId="99" fillId="0" borderId="9" xfId="6" applyFont="1" applyBorder="1" applyAlignment="1">
      <alignment horizontal="left" vertical="center" wrapText="1" indent="1"/>
    </xf>
    <xf numFmtId="0" fontId="99" fillId="0" borderId="22" xfId="6" applyFont="1" applyBorder="1" applyAlignment="1">
      <alignment vertical="center" wrapText="1"/>
    </xf>
    <xf numFmtId="0" fontId="99" fillId="0" borderId="9" xfId="6" applyFont="1" applyBorder="1" applyAlignment="1">
      <alignment horizontal="left" vertical="top" wrapText="1" indent="1"/>
    </xf>
    <xf numFmtId="165" fontId="0" fillId="42" borderId="0" xfId="0" applyNumberFormat="1" applyFill="1"/>
    <xf numFmtId="0" fontId="100" fillId="0" borderId="92" xfId="0" applyFont="1" applyBorder="1"/>
    <xf numFmtId="165" fontId="99" fillId="0" borderId="93" xfId="0" applyNumberFormat="1" applyFont="1" applyBorder="1"/>
    <xf numFmtId="9" fontId="99" fillId="0" borderId="94" xfId="0" applyNumberFormat="1" applyFont="1" applyBorder="1"/>
    <xf numFmtId="9" fontId="99" fillId="0" borderId="96" xfId="0" applyNumberFormat="1" applyFont="1" applyBorder="1"/>
    <xf numFmtId="10" fontId="100" fillId="58" borderId="14" xfId="0" applyNumberFormat="1" applyFont="1" applyFill="1" applyBorder="1"/>
    <xf numFmtId="0" fontId="100" fillId="58" borderId="14" xfId="0" applyFont="1" applyFill="1" applyBorder="1"/>
    <xf numFmtId="0" fontId="0" fillId="4" borderId="0" xfId="0" quotePrefix="1" applyFill="1"/>
    <xf numFmtId="0" fontId="26" fillId="10" borderId="0" xfId="0" quotePrefix="1" applyFont="1" applyFill="1"/>
    <xf numFmtId="0" fontId="1" fillId="0" borderId="0" xfId="0" quotePrefix="1" applyFont="1" applyAlignment="1">
      <alignment wrapText="1"/>
    </xf>
    <xf numFmtId="4" fontId="26" fillId="78" borderId="0" xfId="0" applyNumberFormat="1" applyFont="1" applyFill="1" applyAlignment="1">
      <alignment wrapText="1"/>
    </xf>
    <xf numFmtId="0" fontId="111" fillId="40" borderId="0" xfId="4" applyFont="1" applyFill="1"/>
    <xf numFmtId="0" fontId="106" fillId="34" borderId="0" xfId="4" applyFont="1" applyFill="1" applyAlignment="1">
      <alignment vertical="top"/>
    </xf>
    <xf numFmtId="4" fontId="99" fillId="39" borderId="12" xfId="4" applyNumberFormat="1" applyFont="1" applyFill="1" applyBorder="1" applyAlignment="1">
      <alignment horizontal="left" vertical="center" wrapText="1" indent="1"/>
    </xf>
    <xf numFmtId="0" fontId="66" fillId="0" borderId="0" xfId="4"/>
    <xf numFmtId="0" fontId="1" fillId="0" borderId="0" xfId="4" applyFont="1" applyAlignment="1">
      <alignment wrapText="1"/>
    </xf>
    <xf numFmtId="10" fontId="66" fillId="0" borderId="0" xfId="4" applyNumberFormat="1"/>
    <xf numFmtId="0" fontId="246" fillId="0" borderId="104" xfId="0" applyFont="1" applyBorder="1" applyAlignment="1" applyProtection="1">
      <alignment horizontal="right" vertical="center" indent="1"/>
      <protection locked="0"/>
    </xf>
    <xf numFmtId="168" fontId="246" fillId="0" borderId="102" xfId="0" applyNumberFormat="1" applyFont="1" applyBorder="1" applyAlignment="1" applyProtection="1">
      <alignment horizontal="right" vertical="center" indent="1"/>
      <protection locked="0"/>
    </xf>
    <xf numFmtId="0" fontId="99" fillId="71" borderId="107" xfId="0" applyFont="1" applyFill="1" applyBorder="1" applyAlignment="1" applyProtection="1">
      <alignment horizontal="right"/>
      <protection hidden="1"/>
    </xf>
    <xf numFmtId="0" fontId="149" fillId="71" borderId="107" xfId="0" applyFont="1" applyFill="1" applyBorder="1" applyAlignment="1" applyProtection="1">
      <alignment horizontal="right"/>
      <protection hidden="1"/>
    </xf>
    <xf numFmtId="185" fontId="99" fillId="71" borderId="107" xfId="0" applyNumberFormat="1" applyFont="1" applyFill="1" applyBorder="1" applyAlignment="1" applyProtection="1">
      <alignment horizontal="right"/>
      <protection hidden="1"/>
    </xf>
    <xf numFmtId="187" fontId="99" fillId="71" borderId="107" xfId="0" applyNumberFormat="1" applyFont="1" applyFill="1" applyBorder="1" applyAlignment="1" applyProtection="1">
      <alignment horizontal="right"/>
      <protection hidden="1"/>
    </xf>
    <xf numFmtId="0" fontId="253" fillId="71" borderId="0" xfId="0" applyFont="1" applyFill="1" applyAlignment="1" applyProtection="1">
      <alignment horizontal="right" vertical="center" indent="1"/>
      <protection hidden="1"/>
    </xf>
    <xf numFmtId="0" fontId="253" fillId="71" borderId="105" xfId="0" applyFont="1" applyFill="1" applyBorder="1" applyAlignment="1" applyProtection="1">
      <alignment horizontal="right" vertical="center" indent="1"/>
      <protection hidden="1"/>
    </xf>
    <xf numFmtId="0" fontId="253" fillId="71" borderId="107" xfId="0" applyFont="1" applyFill="1" applyBorder="1" applyAlignment="1" applyProtection="1">
      <alignment horizontal="right" vertical="center" indent="1"/>
      <protection hidden="1"/>
    </xf>
    <xf numFmtId="0" fontId="255" fillId="71" borderId="0" xfId="0" applyFont="1" applyFill="1" applyAlignment="1" applyProtection="1">
      <alignment horizontal="right" vertical="center" indent="1"/>
      <protection hidden="1"/>
    </xf>
    <xf numFmtId="0" fontId="255" fillId="71" borderId="0" xfId="0" applyFont="1" applyFill="1" applyAlignment="1" applyProtection="1">
      <alignment horizontal="right" indent="1"/>
      <protection hidden="1"/>
    </xf>
    <xf numFmtId="0" fontId="130" fillId="71" borderId="0" xfId="0" applyFont="1" applyFill="1" applyProtection="1">
      <protection hidden="1"/>
    </xf>
    <xf numFmtId="10" fontId="251" fillId="71" borderId="100" xfId="0" applyNumberFormat="1" applyFont="1" applyFill="1" applyBorder="1" applyAlignment="1" applyProtection="1">
      <alignment horizontal="right" indent="1"/>
      <protection hidden="1"/>
    </xf>
    <xf numFmtId="0" fontId="253" fillId="71" borderId="106" xfId="0" applyFont="1" applyFill="1" applyBorder="1" applyProtection="1">
      <protection hidden="1"/>
    </xf>
    <xf numFmtId="0" fontId="253" fillId="71" borderId="0" xfId="0" applyFont="1" applyFill="1" applyProtection="1">
      <protection hidden="1"/>
    </xf>
    <xf numFmtId="0" fontId="253" fillId="71" borderId="0" xfId="0" applyFont="1" applyFill="1" applyAlignment="1" applyProtection="1">
      <alignment horizontal="right" indent="1"/>
      <protection hidden="1"/>
    </xf>
    <xf numFmtId="14" fontId="246" fillId="71" borderId="101" xfId="0" applyNumberFormat="1" applyFont="1" applyFill="1" applyBorder="1" applyAlignment="1" applyProtection="1">
      <alignment horizontal="right" vertical="center" indent="1"/>
      <protection locked="0"/>
    </xf>
    <xf numFmtId="0" fontId="246" fillId="71" borderId="101" xfId="0" applyFont="1" applyFill="1" applyBorder="1" applyAlignment="1" applyProtection="1">
      <alignment horizontal="right" vertical="center" indent="1"/>
      <protection locked="0"/>
    </xf>
    <xf numFmtId="14" fontId="246" fillId="71" borderId="108" xfId="0" applyNumberFormat="1" applyFont="1" applyFill="1" applyBorder="1" applyAlignment="1" applyProtection="1">
      <alignment horizontal="right" vertical="center" indent="1"/>
      <protection hidden="1"/>
    </xf>
    <xf numFmtId="0" fontId="99" fillId="71" borderId="0" xfId="0" applyFont="1" applyFill="1" applyProtection="1">
      <protection hidden="1"/>
    </xf>
    <xf numFmtId="0" fontId="257" fillId="71" borderId="105" xfId="0" applyFont="1" applyFill="1" applyBorder="1" applyAlignment="1" applyProtection="1">
      <alignment horizontal="right" vertical="center" indent="1"/>
      <protection hidden="1"/>
    </xf>
    <xf numFmtId="0" fontId="99" fillId="80" borderId="0" xfId="0" applyFont="1" applyFill="1" applyProtection="1">
      <protection hidden="1"/>
    </xf>
    <xf numFmtId="0" fontId="99" fillId="80" borderId="107" xfId="0" applyFont="1" applyFill="1" applyBorder="1" applyProtection="1">
      <protection hidden="1"/>
    </xf>
    <xf numFmtId="0" fontId="130" fillId="80" borderId="0" xfId="0" applyFont="1" applyFill="1" applyProtection="1">
      <protection hidden="1"/>
    </xf>
    <xf numFmtId="0" fontId="146" fillId="80" borderId="0" xfId="0" applyFont="1" applyFill="1" applyProtection="1">
      <protection hidden="1"/>
    </xf>
    <xf numFmtId="0" fontId="132" fillId="80" borderId="0" xfId="0" applyFont="1" applyFill="1" applyProtection="1">
      <protection hidden="1"/>
    </xf>
    <xf numFmtId="0" fontId="99" fillId="80" borderId="0" xfId="0" applyFont="1" applyFill="1" applyAlignment="1" applyProtection="1">
      <alignment vertical="center" wrapText="1"/>
      <protection hidden="1"/>
    </xf>
    <xf numFmtId="0" fontId="99" fillId="81" borderId="0" xfId="0" applyFont="1" applyFill="1" applyProtection="1">
      <protection hidden="1"/>
    </xf>
    <xf numFmtId="0" fontId="241" fillId="80" borderId="0" xfId="0" applyFont="1" applyFill="1" applyProtection="1">
      <protection hidden="1"/>
    </xf>
    <xf numFmtId="14" fontId="99" fillId="80" borderId="0" xfId="0" applyNumberFormat="1" applyFont="1" applyFill="1" applyProtection="1">
      <protection hidden="1"/>
    </xf>
    <xf numFmtId="0" fontId="99" fillId="80" borderId="0" xfId="0" applyFont="1" applyFill="1" applyAlignment="1" applyProtection="1">
      <alignment horizontal="right"/>
      <protection hidden="1"/>
    </xf>
    <xf numFmtId="0" fontId="99" fillId="80" borderId="68" xfId="0" applyFont="1" applyFill="1" applyBorder="1" applyAlignment="1" applyProtection="1">
      <alignment vertical="center" wrapText="1"/>
      <protection hidden="1"/>
    </xf>
    <xf numFmtId="10" fontId="252" fillId="71" borderId="100" xfId="8" applyNumberFormat="1" applyFont="1" applyFill="1" applyBorder="1" applyAlignment="1" applyProtection="1">
      <alignment horizontal="center" vertical="center" wrapText="1"/>
      <protection hidden="1"/>
    </xf>
    <xf numFmtId="168" fontId="243" fillId="80" borderId="0" xfId="0" applyNumberFormat="1" applyFont="1" applyFill="1" applyAlignment="1" applyProtection="1">
      <alignment horizontal="center" vertical="center"/>
      <protection hidden="1"/>
    </xf>
    <xf numFmtId="0" fontId="146" fillId="80" borderId="0" xfId="0" applyFont="1" applyFill="1" applyAlignment="1" applyProtection="1">
      <alignment horizontal="center"/>
      <protection hidden="1"/>
    </xf>
    <xf numFmtId="0" fontId="258" fillId="80" borderId="0" xfId="0" applyFont="1" applyFill="1" applyProtection="1">
      <protection hidden="1"/>
    </xf>
    <xf numFmtId="168" fontId="259" fillId="80" borderId="0" xfId="0" applyNumberFormat="1" applyFont="1" applyFill="1" applyAlignment="1" applyProtection="1">
      <alignment horizontal="center" vertical="center"/>
      <protection hidden="1"/>
    </xf>
    <xf numFmtId="0" fontId="260" fillId="82" borderId="0" xfId="0" applyFont="1" applyFill="1" applyAlignment="1" applyProtection="1">
      <alignment horizontal="right" vertical="center" wrapText="1" indent="1"/>
      <protection hidden="1"/>
    </xf>
    <xf numFmtId="168" fontId="259" fillId="82" borderId="0" xfId="0" applyNumberFormat="1" applyFont="1" applyFill="1" applyAlignment="1" applyProtection="1">
      <alignment horizontal="center" vertical="center"/>
      <protection hidden="1"/>
    </xf>
    <xf numFmtId="0" fontId="260" fillId="80" borderId="0" xfId="0" applyFont="1" applyFill="1" applyAlignment="1" applyProtection="1">
      <alignment horizontal="right" vertical="center"/>
      <protection hidden="1"/>
    </xf>
    <xf numFmtId="0" fontId="261" fillId="80" borderId="0" xfId="0" applyFont="1" applyFill="1" applyProtection="1">
      <protection hidden="1"/>
    </xf>
    <xf numFmtId="168" fontId="258" fillId="80" borderId="0" xfId="0" applyNumberFormat="1" applyFont="1" applyFill="1" applyAlignment="1" applyProtection="1">
      <alignment vertical="center" wrapText="1"/>
      <protection hidden="1"/>
    </xf>
    <xf numFmtId="0" fontId="260" fillId="80" borderId="0" xfId="0" applyFont="1" applyFill="1" applyProtection="1">
      <protection hidden="1"/>
    </xf>
    <xf numFmtId="0" fontId="262" fillId="80" borderId="0" xfId="0" applyFont="1" applyFill="1" applyAlignment="1" applyProtection="1">
      <alignment horizontal="right" vertical="center" wrapText="1" indent="1"/>
      <protection hidden="1"/>
    </xf>
    <xf numFmtId="166" fontId="263" fillId="80" borderId="0" xfId="8" applyNumberFormat="1" applyFont="1" applyFill="1" applyBorder="1" applyAlignment="1" applyProtection="1">
      <alignment horizontal="right" vertical="center" indent="1"/>
      <protection hidden="1"/>
    </xf>
    <xf numFmtId="0" fontId="264" fillId="80" borderId="0" xfId="0" applyFont="1" applyFill="1" applyProtection="1">
      <protection hidden="1"/>
    </xf>
    <xf numFmtId="0" fontId="246" fillId="0" borderId="101" xfId="0" applyFont="1" applyBorder="1" applyAlignment="1" applyProtection="1">
      <alignment horizontal="center" vertical="center"/>
      <protection locked="0"/>
    </xf>
    <xf numFmtId="10" fontId="134" fillId="71" borderId="0" xfId="8" applyNumberFormat="1" applyFont="1" applyFill="1" applyBorder="1" applyAlignment="1" applyProtection="1">
      <alignment horizontal="center" vertical="center" wrapText="1"/>
      <protection hidden="1"/>
    </xf>
    <xf numFmtId="0" fontId="265" fillId="71" borderId="0" xfId="0" applyFont="1" applyFill="1" applyProtection="1">
      <protection hidden="1"/>
    </xf>
    <xf numFmtId="0" fontId="266" fillId="71" borderId="0" xfId="0" applyFont="1" applyFill="1" applyProtection="1">
      <protection hidden="1"/>
    </xf>
    <xf numFmtId="0" fontId="250" fillId="71" borderId="0" xfId="0" applyFont="1" applyFill="1" applyProtection="1">
      <protection hidden="1"/>
    </xf>
    <xf numFmtId="0" fontId="265" fillId="71" borderId="0" xfId="0" applyFont="1" applyFill="1" applyAlignment="1" applyProtection="1">
      <alignment horizontal="right" vertical="top" wrapText="1" indent="1"/>
      <protection hidden="1"/>
    </xf>
    <xf numFmtId="0" fontId="253" fillId="71" borderId="0" xfId="0" applyFont="1" applyFill="1" applyAlignment="1" applyProtection="1">
      <alignment horizontal="right" vertical="center" wrapText="1" indent="1"/>
      <protection hidden="1"/>
    </xf>
    <xf numFmtId="166" fontId="255" fillId="71" borderId="0" xfId="8" applyNumberFormat="1" applyFont="1" applyFill="1" applyBorder="1" applyAlignment="1" applyProtection="1">
      <alignment horizontal="right" vertical="center" indent="1"/>
      <protection hidden="1"/>
    </xf>
    <xf numFmtId="0" fontId="157" fillId="71" borderId="0" xfId="0" applyFont="1" applyFill="1" applyProtection="1">
      <protection hidden="1"/>
    </xf>
    <xf numFmtId="0" fontId="135" fillId="71" borderId="0" xfId="0" applyFont="1" applyFill="1" applyAlignment="1" applyProtection="1">
      <alignment horizontal="right" vertical="center" wrapText="1" indent="1"/>
      <protection hidden="1"/>
    </xf>
    <xf numFmtId="169" fontId="139" fillId="71" borderId="0" xfId="0" applyNumberFormat="1" applyFont="1" applyFill="1" applyAlignment="1" applyProtection="1">
      <alignment horizontal="right" vertical="center" indent="1"/>
      <protection hidden="1"/>
    </xf>
    <xf numFmtId="0" fontId="140" fillId="71" borderId="0" xfId="0" applyFont="1" applyFill="1" applyProtection="1">
      <protection hidden="1"/>
    </xf>
    <xf numFmtId="10" fontId="134" fillId="71" borderId="0" xfId="8" applyNumberFormat="1" applyFont="1" applyFill="1" applyBorder="1" applyAlignment="1" applyProtection="1">
      <alignment vertical="center" wrapText="1"/>
      <protection hidden="1"/>
    </xf>
    <xf numFmtId="3" fontId="134" fillId="71" borderId="111" xfId="8" applyNumberFormat="1" applyFont="1" applyFill="1" applyBorder="1" applyAlignment="1" applyProtection="1">
      <alignment horizontal="center" vertical="center" wrapText="1"/>
      <protection hidden="1"/>
    </xf>
    <xf numFmtId="0" fontId="254" fillId="71" borderId="107" xfId="0" applyFont="1" applyFill="1" applyBorder="1" applyAlignment="1" applyProtection="1">
      <alignment horizontal="right" vertical="center" wrapText="1"/>
      <protection hidden="1"/>
    </xf>
    <xf numFmtId="10" fontId="246" fillId="71" borderId="108" xfId="8" applyNumberFormat="1" applyFont="1" applyFill="1" applyBorder="1" applyAlignment="1" applyProtection="1">
      <alignment horizontal="right" vertical="center" indent="1"/>
      <protection hidden="1"/>
    </xf>
    <xf numFmtId="10" fontId="246" fillId="71" borderId="101" xfId="8" applyNumberFormat="1" applyFont="1" applyFill="1" applyBorder="1" applyAlignment="1" applyProtection="1">
      <alignment horizontal="right" vertical="center" indent="1"/>
      <protection hidden="1"/>
    </xf>
    <xf numFmtId="10" fontId="246" fillId="71" borderId="110" xfId="8" applyNumberFormat="1" applyFont="1" applyFill="1" applyBorder="1" applyAlignment="1" applyProtection="1">
      <alignment horizontal="right" vertical="center" indent="1"/>
      <protection hidden="1"/>
    </xf>
    <xf numFmtId="166" fontId="246" fillId="71" borderId="101" xfId="8" applyNumberFormat="1" applyFont="1" applyFill="1" applyBorder="1" applyAlignment="1" applyProtection="1">
      <alignment horizontal="right" vertical="center" indent="1"/>
      <protection hidden="1"/>
    </xf>
    <xf numFmtId="166" fontId="268" fillId="71" borderId="0" xfId="8" applyNumberFormat="1" applyFont="1" applyFill="1" applyBorder="1" applyAlignment="1" applyProtection="1">
      <alignment horizontal="right" vertical="center" indent="1"/>
      <protection hidden="1"/>
    </xf>
    <xf numFmtId="186" fontId="257" fillId="71" borderId="109" xfId="0" applyNumberFormat="1" applyFont="1" applyFill="1" applyBorder="1" applyAlignment="1" applyProtection="1">
      <alignment horizontal="right" wrapText="1"/>
      <protection hidden="1"/>
    </xf>
    <xf numFmtId="0" fontId="267" fillId="71" borderId="0" xfId="0" applyFont="1" applyFill="1" applyAlignment="1" applyProtection="1">
      <alignment horizontal="right" vertical="center" wrapText="1"/>
      <protection hidden="1"/>
    </xf>
    <xf numFmtId="166" fontId="269" fillId="71" borderId="0" xfId="8" applyNumberFormat="1" applyFont="1" applyFill="1" applyBorder="1" applyAlignment="1" applyProtection="1">
      <alignment horizontal="right" vertical="center" indent="1"/>
      <protection hidden="1"/>
    </xf>
    <xf numFmtId="0" fontId="270" fillId="56" borderId="0" xfId="0" applyFont="1" applyFill="1" applyAlignment="1" applyProtection="1">
      <alignment horizontal="left" vertical="center" wrapText="1" indent="1"/>
      <protection hidden="1"/>
    </xf>
    <xf numFmtId="0" fontId="0" fillId="4" borderId="11" xfId="0" applyFill="1" applyBorder="1" applyAlignment="1" applyProtection="1">
      <alignment vertical="center"/>
      <protection hidden="1"/>
    </xf>
    <xf numFmtId="0" fontId="0" fillId="2" borderId="11" xfId="0" applyFill="1" applyBorder="1" applyAlignment="1" applyProtection="1">
      <alignment vertical="center"/>
      <protection hidden="1"/>
    </xf>
    <xf numFmtId="0" fontId="0" fillId="0" borderId="11" xfId="0" applyBorder="1" applyAlignment="1" applyProtection="1">
      <alignment vertical="center"/>
      <protection hidden="1"/>
    </xf>
    <xf numFmtId="0" fontId="122" fillId="56" borderId="0" xfId="0" applyFont="1" applyFill="1"/>
    <xf numFmtId="0" fontId="122" fillId="56" borderId="112" xfId="0" applyFont="1" applyFill="1" applyBorder="1"/>
    <xf numFmtId="0" fontId="201" fillId="80" borderId="1" xfId="0" applyFont="1" applyFill="1" applyBorder="1" applyAlignment="1">
      <alignment horizontal="center" vertical="center" wrapText="1"/>
    </xf>
    <xf numFmtId="0" fontId="273" fillId="70" borderId="14" xfId="0" applyFont="1" applyFill="1" applyBorder="1" applyAlignment="1">
      <alignment horizontal="center" vertical="center" wrapText="1"/>
    </xf>
    <xf numFmtId="10" fontId="273" fillId="70" borderId="15" xfId="0" applyNumberFormat="1" applyFont="1" applyFill="1" applyBorder="1" applyAlignment="1">
      <alignment horizontal="center" vertical="center" wrapText="1"/>
    </xf>
    <xf numFmtId="0" fontId="122" fillId="56" borderId="0" xfId="0" quotePrefix="1" applyFont="1" applyFill="1" applyAlignment="1">
      <alignment horizontal="center"/>
    </xf>
    <xf numFmtId="0" fontId="272" fillId="83" borderId="0" xfId="0" applyFont="1" applyFill="1"/>
    <xf numFmtId="0" fontId="271" fillId="56" borderId="0" xfId="0" applyFont="1" applyFill="1" applyAlignment="1">
      <alignment horizontal="left"/>
    </xf>
    <xf numFmtId="0" fontId="272" fillId="83" borderId="0" xfId="0" applyFont="1" applyFill="1" applyAlignment="1">
      <alignment horizontal="center"/>
    </xf>
    <xf numFmtId="0" fontId="272" fillId="83" borderId="0" xfId="0" applyFont="1" applyFill="1" applyAlignment="1">
      <alignment horizontal="right"/>
    </xf>
    <xf numFmtId="0" fontId="201" fillId="80" borderId="0" xfId="0" applyFont="1" applyFill="1" applyAlignment="1">
      <alignment horizontal="center" vertical="center" wrapText="1"/>
    </xf>
    <xf numFmtId="0" fontId="201" fillId="80" borderId="9" xfId="0" applyFont="1" applyFill="1" applyBorder="1" applyAlignment="1">
      <alignment horizontal="center" vertical="center" wrapText="1"/>
    </xf>
    <xf numFmtId="166" fontId="273" fillId="71" borderId="23" xfId="9" quotePrefix="1" applyFont="1" applyFill="1" applyBorder="1" applyAlignment="1">
      <alignment horizontal="center" vertical="center" wrapText="1"/>
    </xf>
    <xf numFmtId="166" fontId="273" fillId="71" borderId="24" xfId="9" quotePrefix="1" applyFont="1" applyFill="1" applyBorder="1" applyAlignment="1">
      <alignment horizontal="center" vertical="center" wrapText="1"/>
    </xf>
    <xf numFmtId="4" fontId="201" fillId="80" borderId="5" xfId="0" applyNumberFormat="1" applyFont="1" applyFill="1" applyBorder="1"/>
    <xf numFmtId="0" fontId="201" fillId="42" borderId="0" xfId="0" applyFont="1" applyFill="1" applyAlignment="1">
      <alignment horizontal="center" vertical="center"/>
    </xf>
    <xf numFmtId="0" fontId="201" fillId="42" borderId="0" xfId="0" applyFont="1" applyFill="1" applyAlignment="1">
      <alignment horizontal="center" vertical="center" wrapText="1"/>
    </xf>
    <xf numFmtId="0" fontId="1" fillId="0" borderId="0" xfId="0" quotePrefix="1" applyFont="1" applyAlignment="1">
      <alignment horizontal="center" vertical="center"/>
    </xf>
    <xf numFmtId="0" fontId="0" fillId="71" borderId="0" xfId="0" applyFill="1" applyAlignment="1" applyProtection="1">
      <alignment vertical="center"/>
      <protection hidden="1"/>
    </xf>
    <xf numFmtId="0" fontId="2" fillId="71" borderId="0" xfId="0" applyFont="1" applyFill="1" applyAlignment="1" applyProtection="1">
      <alignment vertical="center"/>
      <protection hidden="1"/>
    </xf>
    <xf numFmtId="0" fontId="26" fillId="71" borderId="7" xfId="0" applyFont="1" applyFill="1" applyBorder="1" applyAlignment="1" applyProtection="1">
      <alignment vertical="center"/>
      <protection hidden="1"/>
    </xf>
    <xf numFmtId="0" fontId="26" fillId="71" borderId="0" xfId="0" applyFont="1" applyFill="1" applyAlignment="1" applyProtection="1">
      <alignment vertical="center"/>
      <protection hidden="1"/>
    </xf>
    <xf numFmtId="0" fontId="1" fillId="71" borderId="0" xfId="0" applyFont="1" applyFill="1" applyAlignment="1" applyProtection="1">
      <alignment vertical="center"/>
      <protection hidden="1"/>
    </xf>
    <xf numFmtId="0" fontId="110" fillId="71" borderId="0" xfId="0" applyFont="1" applyFill="1" applyAlignment="1" applyProtection="1">
      <alignment vertical="center"/>
      <protection hidden="1"/>
    </xf>
    <xf numFmtId="0" fontId="275" fillId="71" borderId="115" xfId="0" applyFont="1" applyFill="1" applyBorder="1" applyAlignment="1" applyProtection="1">
      <alignment vertical="center"/>
      <protection hidden="1"/>
    </xf>
    <xf numFmtId="0" fontId="0" fillId="71" borderId="100" xfId="0" applyFill="1" applyBorder="1" applyAlignment="1" applyProtection="1">
      <alignment vertical="center"/>
      <protection hidden="1"/>
    </xf>
    <xf numFmtId="0" fontId="275" fillId="71" borderId="116" xfId="0" applyFont="1" applyFill="1" applyBorder="1" applyAlignment="1" applyProtection="1">
      <alignment vertical="center"/>
      <protection hidden="1"/>
    </xf>
    <xf numFmtId="0" fontId="276" fillId="71" borderId="116" xfId="0" applyFont="1" applyFill="1" applyBorder="1" applyAlignment="1" applyProtection="1">
      <alignment vertical="center"/>
      <protection hidden="1"/>
    </xf>
    <xf numFmtId="0" fontId="276" fillId="71" borderId="115" xfId="0" applyFont="1" applyFill="1" applyBorder="1" applyAlignment="1" applyProtection="1">
      <alignment vertical="center"/>
      <protection hidden="1"/>
    </xf>
    <xf numFmtId="0" fontId="0" fillId="71" borderId="107" xfId="0" applyFill="1" applyBorder="1" applyAlignment="1" applyProtection="1">
      <alignment vertical="center"/>
      <protection hidden="1"/>
    </xf>
    <xf numFmtId="0" fontId="276" fillId="38" borderId="118" xfId="0" applyFont="1" applyFill="1" applyBorder="1" applyAlignment="1" applyProtection="1">
      <alignment horizontal="right" vertical="center" indent="1"/>
      <protection locked="0"/>
    </xf>
    <xf numFmtId="168" fontId="276" fillId="38" borderId="118" xfId="0" applyNumberFormat="1" applyFont="1" applyFill="1" applyBorder="1" applyAlignment="1" applyProtection="1">
      <alignment horizontal="right" vertical="center" indent="1"/>
      <protection locked="0"/>
    </xf>
    <xf numFmtId="0" fontId="275" fillId="71" borderId="117" xfId="0" applyFont="1" applyFill="1" applyBorder="1" applyAlignment="1" applyProtection="1">
      <alignment vertical="center"/>
      <protection hidden="1"/>
    </xf>
    <xf numFmtId="0" fontId="275" fillId="71" borderId="118" xfId="0" applyFont="1" applyFill="1" applyBorder="1" applyAlignment="1" applyProtection="1">
      <alignment vertical="center"/>
      <protection hidden="1"/>
    </xf>
    <xf numFmtId="168" fontId="276" fillId="0" borderId="117" xfId="0" applyNumberFormat="1" applyFont="1" applyBorder="1" applyAlignment="1" applyProtection="1">
      <alignment horizontal="right" vertical="center" indent="1"/>
      <protection locked="0"/>
    </xf>
    <xf numFmtId="0" fontId="61" fillId="71" borderId="0" xfId="0" applyFont="1" applyFill="1" applyProtection="1">
      <protection hidden="1"/>
    </xf>
    <xf numFmtId="168" fontId="28" fillId="71" borderId="0" xfId="0" applyNumberFormat="1" applyFont="1" applyFill="1" applyAlignment="1" applyProtection="1">
      <alignment vertical="center"/>
      <protection hidden="1"/>
    </xf>
    <xf numFmtId="0" fontId="1" fillId="71" borderId="0" xfId="0" applyFont="1" applyFill="1" applyAlignment="1" applyProtection="1">
      <alignment horizontal="right" vertical="center"/>
      <protection hidden="1"/>
    </xf>
    <xf numFmtId="0" fontId="1" fillId="71" borderId="123" xfId="0" applyFont="1" applyFill="1" applyBorder="1" applyAlignment="1" applyProtection="1">
      <alignment vertical="center"/>
      <protection hidden="1"/>
    </xf>
    <xf numFmtId="0" fontId="1" fillId="71" borderId="125" xfId="0" applyFont="1" applyFill="1" applyBorder="1" applyAlignment="1" applyProtection="1">
      <alignment vertical="center"/>
      <protection hidden="1"/>
    </xf>
    <xf numFmtId="0" fontId="100" fillId="71" borderId="114" xfId="0" applyFont="1" applyFill="1" applyBorder="1" applyAlignment="1" applyProtection="1">
      <alignment vertical="center"/>
      <protection hidden="1"/>
    </xf>
    <xf numFmtId="0" fontId="99" fillId="71" borderId="114" xfId="0" applyFont="1" applyFill="1" applyBorder="1" applyAlignment="1" applyProtection="1">
      <alignment vertical="center"/>
      <protection hidden="1"/>
    </xf>
    <xf numFmtId="0" fontId="151" fillId="84" borderId="120" xfId="0" applyFont="1" applyFill="1" applyBorder="1" applyAlignment="1" applyProtection="1">
      <alignment vertical="center"/>
      <protection hidden="1"/>
    </xf>
    <xf numFmtId="0" fontId="278" fillId="84" borderId="66" xfId="0" applyFont="1" applyFill="1" applyBorder="1" applyAlignment="1" applyProtection="1">
      <alignment vertical="center"/>
      <protection hidden="1"/>
    </xf>
    <xf numFmtId="0" fontId="151" fillId="84" borderId="66" xfId="0" applyFont="1" applyFill="1" applyBorder="1" applyAlignment="1" applyProtection="1">
      <alignment vertical="center"/>
      <protection hidden="1"/>
    </xf>
    <xf numFmtId="0" fontId="278" fillId="84" borderId="66" xfId="0" applyFont="1" applyFill="1" applyBorder="1" applyAlignment="1" applyProtection="1">
      <alignment horizontal="right" vertical="center"/>
      <protection hidden="1"/>
    </xf>
    <xf numFmtId="0" fontId="99" fillId="71" borderId="0" xfId="0" applyFont="1" applyFill="1" applyAlignment="1" applyProtection="1">
      <alignment vertical="center"/>
      <protection hidden="1"/>
    </xf>
    <xf numFmtId="0" fontId="253" fillId="57" borderId="16" xfId="0" applyFont="1" applyFill="1" applyBorder="1" applyAlignment="1" applyProtection="1">
      <alignment horizontal="center" vertical="center"/>
      <protection hidden="1"/>
    </xf>
    <xf numFmtId="168" fontId="253" fillId="38" borderId="16" xfId="0" applyNumberFormat="1" applyFont="1" applyFill="1" applyBorder="1" applyAlignment="1" applyProtection="1">
      <alignment horizontal="right" vertical="center" indent="1"/>
      <protection locked="0"/>
    </xf>
    <xf numFmtId="0" fontId="253" fillId="57" borderId="1" xfId="0" applyFont="1" applyFill="1" applyBorder="1" applyAlignment="1" applyProtection="1">
      <alignment horizontal="center" vertical="center"/>
      <protection hidden="1"/>
    </xf>
    <xf numFmtId="168" fontId="253" fillId="38" borderId="1" xfId="0" applyNumberFormat="1" applyFont="1" applyFill="1" applyBorder="1" applyAlignment="1" applyProtection="1">
      <alignment horizontal="right" vertical="center" indent="1"/>
      <protection locked="0"/>
    </xf>
    <xf numFmtId="0" fontId="99" fillId="71" borderId="0" xfId="0" applyFont="1" applyFill="1" applyAlignment="1" applyProtection="1">
      <alignment horizontal="center" vertical="center" wrapText="1"/>
      <protection hidden="1"/>
    </xf>
    <xf numFmtId="0" fontId="279" fillId="71" borderId="0" xfId="0" applyFont="1" applyFill="1" applyAlignment="1" applyProtection="1">
      <alignment horizontal="center" vertical="center"/>
      <protection hidden="1"/>
    </xf>
    <xf numFmtId="0" fontId="151" fillId="84" borderId="114" xfId="0" applyFont="1" applyFill="1" applyBorder="1" applyAlignment="1" applyProtection="1">
      <alignment vertical="center"/>
      <protection hidden="1"/>
    </xf>
    <xf numFmtId="0" fontId="170" fillId="71" borderId="0" xfId="0" applyFont="1" applyFill="1" applyAlignment="1" applyProtection="1">
      <alignment vertical="center"/>
      <protection hidden="1"/>
    </xf>
    <xf numFmtId="0" fontId="99" fillId="71" borderId="34" xfId="0" applyFont="1" applyFill="1" applyBorder="1" applyAlignment="1" applyProtection="1">
      <alignment vertical="center"/>
      <protection hidden="1"/>
    </xf>
    <xf numFmtId="0" fontId="253" fillId="57" borderId="121" xfId="0" applyFont="1" applyFill="1" applyBorder="1" applyAlignment="1" applyProtection="1">
      <alignment horizontal="center" vertical="center"/>
      <protection hidden="1"/>
    </xf>
    <xf numFmtId="168" fontId="253" fillId="38" borderId="122" xfId="0" applyNumberFormat="1" applyFont="1" applyFill="1" applyBorder="1" applyAlignment="1" applyProtection="1">
      <alignment horizontal="right" vertical="center" indent="1"/>
      <protection locked="0"/>
    </xf>
    <xf numFmtId="0" fontId="253" fillId="57" borderId="113" xfId="0" applyFont="1" applyFill="1" applyBorder="1" applyAlignment="1" applyProtection="1">
      <alignment horizontal="center" vertical="center"/>
      <protection hidden="1"/>
    </xf>
    <xf numFmtId="0" fontId="280" fillId="71" borderId="0" xfId="0" applyFont="1" applyFill="1" applyAlignment="1" applyProtection="1">
      <alignment horizontal="center" vertical="center"/>
      <protection hidden="1"/>
    </xf>
    <xf numFmtId="168" fontId="99" fillId="71" borderId="0" xfId="0" applyNumberFormat="1" applyFont="1" applyFill="1" applyAlignment="1" applyProtection="1">
      <alignment horizontal="right" vertical="center"/>
      <protection hidden="1"/>
    </xf>
    <xf numFmtId="168" fontId="99" fillId="71" borderId="114" xfId="0" applyNumberFormat="1" applyFont="1" applyFill="1" applyBorder="1" applyAlignment="1" applyProtection="1">
      <alignment horizontal="right" vertical="center"/>
      <protection hidden="1"/>
    </xf>
    <xf numFmtId="0" fontId="151" fillId="84" borderId="34" xfId="0" applyFont="1" applyFill="1" applyBorder="1" applyAlignment="1" applyProtection="1">
      <alignment vertical="center"/>
      <protection hidden="1"/>
    </xf>
    <xf numFmtId="0" fontId="278" fillId="84" borderId="0" xfId="0" applyFont="1" applyFill="1" applyAlignment="1" applyProtection="1">
      <alignment vertical="center"/>
      <protection hidden="1"/>
    </xf>
    <xf numFmtId="0" fontId="253" fillId="71" borderId="123" xfId="0" applyFont="1" applyFill="1" applyBorder="1" applyAlignment="1" applyProtection="1">
      <alignment vertical="center"/>
      <protection hidden="1"/>
    </xf>
    <xf numFmtId="0" fontId="253" fillId="71" borderId="34" xfId="0" applyFont="1" applyFill="1" applyBorder="1" applyAlignment="1" applyProtection="1">
      <alignment horizontal="center" vertical="center" wrapText="1"/>
      <protection hidden="1"/>
    </xf>
    <xf numFmtId="0" fontId="253" fillId="71" borderId="0" xfId="0" applyFont="1" applyFill="1" applyAlignment="1" applyProtection="1">
      <alignment vertical="center"/>
      <protection hidden="1"/>
    </xf>
    <xf numFmtId="168" fontId="253" fillId="57" borderId="16" xfId="0" applyNumberFormat="1" applyFont="1" applyFill="1" applyBorder="1" applyAlignment="1" applyProtection="1">
      <alignment horizontal="right" vertical="center"/>
      <protection hidden="1"/>
    </xf>
    <xf numFmtId="0" fontId="99" fillId="71" borderId="34" xfId="0" applyFont="1" applyFill="1" applyBorder="1" applyAlignment="1" applyProtection="1">
      <alignment horizontal="center" vertical="center" wrapText="1"/>
      <protection hidden="1"/>
    </xf>
    <xf numFmtId="0" fontId="99" fillId="71" borderId="124" xfId="0" applyFont="1" applyFill="1" applyBorder="1" applyAlignment="1" applyProtection="1">
      <alignment horizontal="center" vertical="center" wrapText="1"/>
      <protection hidden="1"/>
    </xf>
    <xf numFmtId="0" fontId="99" fillId="71" borderId="66" xfId="0" applyFont="1" applyFill="1" applyBorder="1" applyAlignment="1" applyProtection="1">
      <alignment vertical="center"/>
      <protection hidden="1"/>
    </xf>
    <xf numFmtId="0" fontId="99" fillId="71" borderId="123" xfId="0" applyFont="1" applyFill="1" applyBorder="1" applyAlignment="1" applyProtection="1">
      <alignment vertical="center"/>
      <protection hidden="1"/>
    </xf>
    <xf numFmtId="0" fontId="255" fillId="71" borderId="114" xfId="0" applyFont="1" applyFill="1" applyBorder="1" applyAlignment="1" applyProtection="1">
      <alignment horizontal="right" vertical="center"/>
      <protection hidden="1"/>
    </xf>
    <xf numFmtId="0" fontId="277" fillId="71" borderId="0" xfId="0" applyFont="1" applyFill="1" applyAlignment="1" applyProtection="1">
      <alignment vertical="center"/>
      <protection hidden="1"/>
    </xf>
    <xf numFmtId="0" fontId="253" fillId="71" borderId="126" xfId="0" applyFont="1" applyFill="1" applyBorder="1" applyAlignment="1" applyProtection="1">
      <alignment horizontal="center" vertical="center" wrapText="1"/>
      <protection hidden="1"/>
    </xf>
    <xf numFmtId="0" fontId="26" fillId="71" borderId="105" xfId="0" applyFont="1" applyFill="1" applyBorder="1" applyAlignment="1" applyProtection="1">
      <alignment vertical="center"/>
      <protection hidden="1"/>
    </xf>
    <xf numFmtId="0" fontId="61" fillId="71" borderId="105" xfId="0" applyFont="1" applyFill="1" applyBorder="1" applyProtection="1">
      <protection hidden="1"/>
    </xf>
    <xf numFmtId="168" fontId="253" fillId="38" borderId="127" xfId="0" applyNumberFormat="1" applyFont="1" applyFill="1" applyBorder="1" applyAlignment="1" applyProtection="1">
      <alignment horizontal="right" vertical="center" indent="1"/>
      <protection locked="0"/>
    </xf>
    <xf numFmtId="0" fontId="253" fillId="71" borderId="128" xfId="0" applyFont="1" applyFill="1" applyBorder="1" applyAlignment="1" applyProtection="1">
      <alignment vertical="center"/>
      <protection hidden="1"/>
    </xf>
    <xf numFmtId="0" fontId="0" fillId="71" borderId="105" xfId="0" applyFill="1" applyBorder="1" applyAlignment="1" applyProtection="1">
      <alignment vertical="center"/>
      <protection hidden="1"/>
    </xf>
    <xf numFmtId="0" fontId="255" fillId="71" borderId="0" xfId="0" applyFont="1" applyFill="1" applyAlignment="1" applyProtection="1">
      <alignment horizontal="center" vertical="center"/>
      <protection hidden="1"/>
    </xf>
    <xf numFmtId="0" fontId="99" fillId="71" borderId="129" xfId="0" applyFont="1" applyFill="1" applyBorder="1" applyAlignment="1" applyProtection="1">
      <alignment vertical="center"/>
      <protection hidden="1"/>
    </xf>
    <xf numFmtId="168" fontId="255" fillId="71" borderId="0" xfId="0" applyNumberFormat="1" applyFont="1" applyFill="1" applyAlignment="1" applyProtection="1">
      <alignment vertical="center"/>
      <protection hidden="1"/>
    </xf>
    <xf numFmtId="0" fontId="99" fillId="71" borderId="130" xfId="0" applyFont="1" applyFill="1" applyBorder="1" applyAlignment="1" applyProtection="1">
      <alignment vertical="center"/>
      <protection hidden="1"/>
    </xf>
    <xf numFmtId="0" fontId="255" fillId="71" borderId="131" xfId="0" applyFont="1" applyFill="1" applyBorder="1" applyAlignment="1" applyProtection="1">
      <alignment horizontal="center" vertical="center"/>
      <protection hidden="1"/>
    </xf>
    <xf numFmtId="168" fontId="255" fillId="71" borderId="132" xfId="0" applyNumberFormat="1" applyFont="1" applyFill="1" applyBorder="1" applyAlignment="1" applyProtection="1">
      <alignment vertical="center"/>
      <protection hidden="1"/>
    </xf>
    <xf numFmtId="168" fontId="255" fillId="71" borderId="133" xfId="0" applyNumberFormat="1" applyFont="1" applyFill="1" applyBorder="1" applyAlignment="1" applyProtection="1">
      <alignment vertical="center"/>
      <protection hidden="1"/>
    </xf>
    <xf numFmtId="0" fontId="255" fillId="71" borderId="133" xfId="0" applyFont="1" applyFill="1" applyBorder="1" applyAlignment="1" applyProtection="1">
      <alignment horizontal="center" vertical="center"/>
      <protection hidden="1"/>
    </xf>
    <xf numFmtId="0" fontId="253" fillId="71" borderId="134" xfId="0" applyFont="1" applyFill="1" applyBorder="1" applyAlignment="1" applyProtection="1">
      <alignment horizontal="center" vertical="center" wrapText="1"/>
      <protection hidden="1"/>
    </xf>
    <xf numFmtId="0" fontId="253" fillId="71" borderId="135" xfId="0" applyFont="1" applyFill="1" applyBorder="1" applyAlignment="1" applyProtection="1">
      <alignment horizontal="center" vertical="center" wrapText="1"/>
      <protection hidden="1"/>
    </xf>
    <xf numFmtId="0" fontId="278" fillId="71" borderId="137" xfId="0" applyFont="1" applyFill="1" applyBorder="1" applyAlignment="1" applyProtection="1">
      <alignment vertical="center"/>
      <protection hidden="1"/>
    </xf>
    <xf numFmtId="172" fontId="255" fillId="38" borderId="137" xfId="0" applyNumberFormat="1" applyFont="1" applyFill="1" applyBorder="1" applyAlignment="1" applyProtection="1">
      <alignment vertical="center"/>
      <protection locked="0"/>
    </xf>
    <xf numFmtId="0" fontId="99" fillId="71" borderId="0" xfId="0" applyFont="1" applyFill="1" applyAlignment="1" applyProtection="1">
      <alignment horizontal="right" vertical="center" indent="1"/>
      <protection hidden="1"/>
    </xf>
    <xf numFmtId="0" fontId="61" fillId="71" borderId="105" xfId="0" applyFont="1" applyFill="1" applyBorder="1" applyAlignment="1" applyProtection="1">
      <alignment vertical="center"/>
      <protection hidden="1"/>
    </xf>
    <xf numFmtId="172" fontId="255" fillId="38" borderId="136" xfId="0" applyNumberFormat="1" applyFont="1" applyFill="1" applyBorder="1" applyAlignment="1" applyProtection="1">
      <alignment vertical="center"/>
      <protection locked="0"/>
    </xf>
    <xf numFmtId="168" fontId="255" fillId="38" borderId="138" xfId="0" applyNumberFormat="1" applyFont="1" applyFill="1" applyBorder="1" applyAlignment="1" applyProtection="1">
      <alignment horizontal="right" vertical="center" indent="1"/>
      <protection locked="0"/>
    </xf>
    <xf numFmtId="168" fontId="151" fillId="84" borderId="136" xfId="1" applyNumberFormat="1" applyFont="1" applyFill="1" applyBorder="1" applyAlignment="1" applyProtection="1">
      <alignment horizontal="right" vertical="center" indent="1"/>
      <protection hidden="1"/>
    </xf>
    <xf numFmtId="0" fontId="131" fillId="39" borderId="49" xfId="4" applyFont="1" applyFill="1" applyBorder="1" applyAlignment="1">
      <alignment horizontal="left" vertical="top" wrapText="1"/>
    </xf>
    <xf numFmtId="0" fontId="100" fillId="39" borderId="39" xfId="4" applyFont="1" applyFill="1" applyBorder="1" applyAlignment="1">
      <alignment horizontal="left" vertical="top" wrapText="1"/>
    </xf>
    <xf numFmtId="0" fontId="100" fillId="39" borderId="20" xfId="4" applyFont="1" applyFill="1" applyBorder="1" applyAlignment="1">
      <alignment vertical="top"/>
    </xf>
    <xf numFmtId="0" fontId="100" fillId="39" borderId="21" xfId="4" applyFont="1" applyFill="1" applyBorder="1" applyAlignment="1">
      <alignment vertical="top"/>
    </xf>
    <xf numFmtId="0" fontId="99" fillId="39" borderId="20" xfId="4" applyFont="1" applyFill="1" applyBorder="1" applyAlignment="1">
      <alignment vertical="center"/>
    </xf>
    <xf numFmtId="0" fontId="99" fillId="39" borderId="21" xfId="4" applyFont="1" applyFill="1" applyBorder="1" applyAlignment="1">
      <alignment vertical="center"/>
    </xf>
    <xf numFmtId="0" fontId="257" fillId="71" borderId="0" xfId="0" applyFont="1" applyFill="1" applyAlignment="1" applyProtection="1">
      <alignment horizontal="right" vertical="center" indent="1"/>
      <protection hidden="1"/>
    </xf>
    <xf numFmtId="10" fontId="148" fillId="71" borderId="107" xfId="8" applyNumberFormat="1" applyFont="1" applyFill="1" applyBorder="1" applyAlignment="1" applyProtection="1">
      <alignment horizontal="right" vertical="center" wrapText="1"/>
      <protection hidden="1"/>
    </xf>
    <xf numFmtId="0" fontId="268" fillId="71" borderId="111" xfId="0" applyFont="1" applyFill="1" applyBorder="1" applyAlignment="1" applyProtection="1">
      <alignment horizontal="center" vertical="center"/>
      <protection hidden="1"/>
    </xf>
    <xf numFmtId="0" fontId="66" fillId="39" borderId="0" xfId="4" applyFill="1"/>
    <xf numFmtId="0" fontId="100" fillId="39" borderId="22" xfId="4" applyFont="1" applyFill="1" applyBorder="1" applyAlignment="1">
      <alignment horizontal="left" vertical="top" wrapText="1"/>
    </xf>
    <xf numFmtId="0" fontId="99" fillId="39" borderId="11" xfId="4" quotePrefix="1" applyFont="1" applyFill="1" applyBorder="1" applyAlignment="1">
      <alignment horizontal="left" vertical="top" wrapText="1" indent="1"/>
    </xf>
    <xf numFmtId="0" fontId="66" fillId="38" borderId="0" xfId="4" applyFill="1" applyAlignment="1">
      <alignment wrapText="1"/>
    </xf>
    <xf numFmtId="0" fontId="1" fillId="38" borderId="0" xfId="4" applyFont="1" applyFill="1" applyAlignment="1">
      <alignment wrapText="1"/>
    </xf>
    <xf numFmtId="167" fontId="99" fillId="39" borderId="9" xfId="2" applyFont="1" applyFill="1" applyBorder="1" applyAlignment="1">
      <alignment horizontal="left" vertical="top" wrapText="1" indent="1"/>
    </xf>
    <xf numFmtId="14" fontId="99" fillId="39" borderId="9" xfId="4" applyNumberFormat="1" applyFont="1" applyFill="1" applyBorder="1" applyAlignment="1">
      <alignment horizontal="left" vertical="center" wrapText="1" indent="1"/>
    </xf>
    <xf numFmtId="0" fontId="282" fillId="71" borderId="118" xfId="0" applyFont="1" applyFill="1" applyBorder="1" applyAlignment="1" applyProtection="1">
      <alignment horizontal="right" vertical="center"/>
      <protection hidden="1"/>
    </xf>
    <xf numFmtId="49" fontId="1" fillId="34" borderId="0" xfId="4" applyNumberFormat="1" applyFont="1" applyFill="1"/>
    <xf numFmtId="0" fontId="176" fillId="40" borderId="0" xfId="4" quotePrefix="1" applyFont="1" applyFill="1"/>
    <xf numFmtId="0" fontId="100" fillId="39" borderId="20" xfId="4" applyFont="1" applyFill="1" applyBorder="1" applyAlignment="1">
      <alignment vertical="center"/>
    </xf>
    <xf numFmtId="0" fontId="100" fillId="39" borderId="11" xfId="4" applyFont="1" applyFill="1" applyBorder="1" applyAlignment="1">
      <alignment vertical="center"/>
    </xf>
    <xf numFmtId="0" fontId="99" fillId="39" borderId="39" xfId="4" applyFont="1" applyFill="1" applyBorder="1" applyAlignment="1">
      <alignment vertical="center" wrapText="1"/>
    </xf>
    <xf numFmtId="0" fontId="99" fillId="39" borderId="40" xfId="4" applyFont="1" applyFill="1" applyBorder="1" applyAlignment="1">
      <alignment vertical="center"/>
    </xf>
    <xf numFmtId="0" fontId="100" fillId="39" borderId="0" xfId="4" applyFont="1" applyFill="1" applyAlignment="1">
      <alignment horizontal="centerContinuous" vertical="center"/>
    </xf>
    <xf numFmtId="0" fontId="100" fillId="39" borderId="0" xfId="4" applyFont="1" applyFill="1" applyAlignment="1">
      <alignment horizontal="centerContinuous" vertical="center" wrapText="1"/>
    </xf>
    <xf numFmtId="0" fontId="99" fillId="39" borderId="21" xfId="4" applyFont="1" applyFill="1" applyBorder="1" applyAlignment="1">
      <alignment horizontal="left" vertical="top" wrapText="1"/>
    </xf>
    <xf numFmtId="0" fontId="99" fillId="39" borderId="13" xfId="4" applyFont="1" applyFill="1" applyBorder="1" applyAlignment="1">
      <alignment horizontal="left" wrapText="1" indent="1"/>
    </xf>
    <xf numFmtId="168" fontId="276" fillId="71" borderId="118" xfId="0" applyNumberFormat="1" applyFont="1" applyFill="1" applyBorder="1" applyAlignment="1" applyProtection="1">
      <alignment horizontal="right" vertical="center" indent="1"/>
      <protection hidden="1"/>
    </xf>
    <xf numFmtId="168" fontId="276" fillId="71" borderId="119" xfId="0" applyNumberFormat="1" applyFont="1" applyFill="1" applyBorder="1" applyAlignment="1" applyProtection="1">
      <alignment horizontal="right" vertical="center" indent="1"/>
      <protection hidden="1"/>
    </xf>
    <xf numFmtId="168" fontId="283" fillId="80" borderId="0" xfId="0" applyNumberFormat="1" applyFont="1" applyFill="1" applyAlignment="1" applyProtection="1">
      <alignment horizontal="center" vertical="center"/>
      <protection hidden="1"/>
    </xf>
    <xf numFmtId="0" fontId="284" fillId="80" borderId="0" xfId="0" applyFont="1" applyFill="1" applyAlignment="1" applyProtection="1">
      <alignment horizontal="right" vertical="center"/>
      <protection hidden="1"/>
    </xf>
    <xf numFmtId="188" fontId="89" fillId="45" borderId="0" xfId="0" applyNumberFormat="1" applyFont="1" applyFill="1" applyAlignment="1">
      <alignment vertical="center"/>
    </xf>
    <xf numFmtId="0" fontId="114" fillId="0" borderId="0" xfId="0" applyFont="1"/>
    <xf numFmtId="182" fontId="114" fillId="0" borderId="0" xfId="0" applyNumberFormat="1" applyFont="1"/>
    <xf numFmtId="0" fontId="1" fillId="45" borderId="0" xfId="4" applyFont="1" applyFill="1" applyAlignment="1">
      <alignment vertical="center" wrapText="1"/>
    </xf>
    <xf numFmtId="0" fontId="289" fillId="0" borderId="45" xfId="0" applyFont="1" applyBorder="1" applyAlignment="1">
      <alignment horizontal="justify" vertical="center" wrapText="1"/>
    </xf>
    <xf numFmtId="0" fontId="288" fillId="0" borderId="148" xfId="0" applyFont="1" applyBorder="1" applyAlignment="1">
      <alignment vertical="center" wrapText="1"/>
    </xf>
    <xf numFmtId="0" fontId="288" fillId="0" borderId="31" xfId="0" applyFont="1" applyBorder="1" applyAlignment="1">
      <alignment vertical="center" wrapText="1"/>
    </xf>
    <xf numFmtId="0" fontId="288" fillId="0" borderId="146" xfId="0" applyFont="1" applyBorder="1" applyAlignment="1">
      <alignment vertical="center" wrapText="1"/>
    </xf>
    <xf numFmtId="0" fontId="288" fillId="0" borderId="29" xfId="0" applyFont="1" applyBorder="1" applyAlignment="1">
      <alignment horizontal="justify" vertical="center" wrapText="1"/>
    </xf>
    <xf numFmtId="0" fontId="288" fillId="0" borderId="43" xfId="0" applyFont="1" applyBorder="1" applyAlignment="1">
      <alignment horizontal="justify" vertical="center" wrapText="1"/>
    </xf>
    <xf numFmtId="0" fontId="288" fillId="0" borderId="5" xfId="0" applyFont="1" applyBorder="1" applyAlignment="1">
      <alignment horizontal="justify" vertical="center" wrapText="1"/>
    </xf>
    <xf numFmtId="0" fontId="288" fillId="0" borderId="6" xfId="0" applyFont="1" applyBorder="1" applyAlignment="1">
      <alignment horizontal="justify" vertical="center" wrapText="1"/>
    </xf>
    <xf numFmtId="0" fontId="293" fillId="84" borderId="43" xfId="0" applyFont="1" applyFill="1" applyBorder="1" applyAlignment="1">
      <alignment horizontal="justify" vertical="center" wrapText="1"/>
    </xf>
    <xf numFmtId="0" fontId="293" fillId="84" borderId="29" xfId="0" applyFont="1" applyFill="1" applyBorder="1" applyAlignment="1">
      <alignment horizontal="justify" vertical="center" wrapText="1"/>
    </xf>
    <xf numFmtId="0" fontId="293" fillId="84" borderId="5" xfId="0" applyFont="1" applyFill="1" applyBorder="1" applyAlignment="1">
      <alignment horizontal="center" vertical="center" wrapText="1"/>
    </xf>
    <xf numFmtId="0" fontId="293" fillId="84" borderId="45" xfId="0" applyFont="1" applyFill="1" applyBorder="1" applyAlignment="1">
      <alignment horizontal="center" vertical="center" wrapText="1"/>
    </xf>
    <xf numFmtId="0" fontId="291" fillId="84" borderId="149" xfId="0" applyFont="1" applyFill="1" applyBorder="1"/>
    <xf numFmtId="0" fontId="291" fillId="84" borderId="151" xfId="0" applyFont="1" applyFill="1" applyBorder="1"/>
    <xf numFmtId="0" fontId="291" fillId="84" borderId="150" xfId="0" applyFont="1" applyFill="1" applyBorder="1"/>
    <xf numFmtId="0" fontId="291" fillId="84" borderId="152" xfId="0" applyFont="1" applyFill="1" applyBorder="1"/>
    <xf numFmtId="0" fontId="292" fillId="45" borderId="140" xfId="0" applyFont="1" applyFill="1" applyBorder="1"/>
    <xf numFmtId="0" fontId="292" fillId="45" borderId="141" xfId="0" applyFont="1" applyFill="1" applyBorder="1"/>
    <xf numFmtId="0" fontId="292" fillId="45" borderId="142" xfId="0" applyFont="1" applyFill="1" applyBorder="1"/>
    <xf numFmtId="0" fontId="292" fillId="45" borderId="153" xfId="0" applyFont="1" applyFill="1" applyBorder="1"/>
    <xf numFmtId="0" fontId="292" fillId="0" borderId="0" xfId="0" applyFont="1"/>
    <xf numFmtId="10" fontId="46" fillId="78" borderId="0" xfId="8" applyNumberFormat="1" applyFont="1" applyFill="1" applyBorder="1" applyAlignment="1">
      <alignment horizontal="center" vertical="center" wrapText="1"/>
    </xf>
    <xf numFmtId="10" fontId="99" fillId="71" borderId="107" xfId="8" applyNumberFormat="1" applyFont="1" applyFill="1" applyBorder="1" applyAlignment="1" applyProtection="1">
      <alignment horizontal="right"/>
      <protection hidden="1"/>
    </xf>
    <xf numFmtId="0" fontId="256" fillId="71" borderId="103" xfId="0" applyFont="1" applyFill="1" applyBorder="1" applyAlignment="1" applyProtection="1">
      <alignment horizontal="right" indent="1"/>
      <protection locked="0" hidden="1"/>
    </xf>
    <xf numFmtId="3" fontId="26" fillId="2" borderId="23" xfId="0" applyNumberFormat="1" applyFont="1" applyFill="1" applyBorder="1"/>
    <xf numFmtId="185" fontId="289" fillId="0" borderId="5" xfId="0" applyNumberFormat="1" applyFont="1" applyBorder="1" applyAlignment="1">
      <alignment wrapText="1"/>
    </xf>
    <xf numFmtId="185" fontId="289" fillId="0" borderId="42" xfId="0" applyNumberFormat="1" applyFont="1" applyBorder="1" applyAlignment="1">
      <alignment wrapText="1"/>
    </xf>
    <xf numFmtId="185" fontId="290" fillId="0" borderId="29" xfId="0" applyNumberFormat="1" applyFont="1" applyBorder="1" applyAlignment="1">
      <alignment wrapText="1"/>
    </xf>
    <xf numFmtId="185" fontId="289" fillId="0" borderId="24" xfId="0" applyNumberFormat="1" applyFont="1" applyBorder="1" applyAlignment="1">
      <alignment wrapText="1"/>
    </xf>
    <xf numFmtId="0" fontId="296" fillId="71" borderId="0" xfId="0" applyFont="1" applyFill="1" applyAlignment="1" applyProtection="1">
      <alignment horizontal="right" vertical="center" indent="1"/>
      <protection hidden="1"/>
    </xf>
    <xf numFmtId="0" fontId="297" fillId="71" borderId="0" xfId="0" applyFont="1" applyFill="1" applyAlignment="1" applyProtection="1">
      <alignment horizontal="right" vertical="center" wrapText="1" indent="1"/>
      <protection hidden="1"/>
    </xf>
    <xf numFmtId="0" fontId="1" fillId="29" borderId="0" xfId="0" quotePrefix="1" applyFont="1" applyFill="1" applyAlignment="1">
      <alignment vertical="center"/>
    </xf>
    <xf numFmtId="2" fontId="246" fillId="71" borderId="101" xfId="8" applyNumberFormat="1" applyFont="1" applyFill="1" applyBorder="1" applyAlignment="1" applyProtection="1">
      <alignment horizontal="right" vertical="center" indent="1"/>
      <protection hidden="1"/>
    </xf>
    <xf numFmtId="0" fontId="1" fillId="29" borderId="0" xfId="0" quotePrefix="1" applyFont="1" applyFill="1"/>
    <xf numFmtId="167" fontId="99" fillId="39" borderId="13" xfId="2" applyFont="1" applyFill="1" applyBorder="1" applyAlignment="1">
      <alignment horizontal="left" vertical="center" wrapText="1" indent="1"/>
    </xf>
    <xf numFmtId="0" fontId="1" fillId="0" borderId="0" xfId="5" quotePrefix="1" applyFont="1" applyAlignment="1">
      <alignment wrapText="1"/>
    </xf>
    <xf numFmtId="167" fontId="276" fillId="71" borderId="0" xfId="1" applyFont="1" applyFill="1" applyBorder="1" applyAlignment="1" applyProtection="1">
      <alignment vertical="top" wrapText="1"/>
      <protection hidden="1"/>
    </xf>
    <xf numFmtId="168" fontId="156" fillId="80" borderId="0" xfId="0" applyNumberFormat="1" applyFont="1" applyFill="1" applyAlignment="1" applyProtection="1">
      <alignment horizontal="center" vertical="center"/>
      <protection hidden="1"/>
    </xf>
    <xf numFmtId="0" fontId="298" fillId="56" borderId="0" xfId="0" applyFont="1" applyFill="1" applyAlignment="1" applyProtection="1">
      <alignment horizontal="left" vertical="center" wrapText="1" indent="1"/>
      <protection hidden="1"/>
    </xf>
    <xf numFmtId="0" fontId="152" fillId="0" borderId="0" xfId="0" applyFont="1" applyAlignment="1" applyProtection="1">
      <alignment vertical="center" wrapText="1"/>
      <protection hidden="1"/>
    </xf>
    <xf numFmtId="168" fontId="287" fillId="0" borderId="0" xfId="0" applyNumberFormat="1" applyFont="1" applyAlignment="1" applyProtection="1">
      <alignment vertical="center"/>
      <protection hidden="1"/>
    </xf>
    <xf numFmtId="168" fontId="0" fillId="0" borderId="0" xfId="0" applyNumberFormat="1" applyAlignment="1" applyProtection="1">
      <alignment vertical="center"/>
      <protection hidden="1"/>
    </xf>
    <xf numFmtId="0" fontId="99" fillId="0" borderId="1" xfId="0" applyFont="1" applyBorder="1" applyAlignment="1">
      <alignment horizontal="left"/>
    </xf>
    <xf numFmtId="174" fontId="100" fillId="0" borderId="1" xfId="0" applyNumberFormat="1" applyFont="1" applyBorder="1" applyAlignment="1">
      <alignment horizontal="left"/>
    </xf>
    <xf numFmtId="174" fontId="100" fillId="0" borderId="95" xfId="9" applyNumberFormat="1" applyFont="1" applyFill="1" applyBorder="1" applyAlignment="1">
      <alignment horizontal="center"/>
    </xf>
    <xf numFmtId="174" fontId="100" fillId="0" borderId="97" xfId="9" applyNumberFormat="1" applyFont="1" applyFill="1" applyBorder="1" applyAlignment="1">
      <alignment horizontal="center"/>
    </xf>
    <xf numFmtId="0" fontId="122" fillId="0" borderId="0" xfId="0" applyFont="1" applyAlignment="1">
      <alignment vertical="center"/>
    </xf>
    <xf numFmtId="182" fontId="301" fillId="45" borderId="0" xfId="0" applyNumberFormat="1" applyFont="1" applyFill="1" applyAlignment="1" applyProtection="1">
      <alignment horizontal="right"/>
      <protection hidden="1"/>
    </xf>
    <xf numFmtId="168" fontId="299" fillId="45" borderId="0" xfId="0" applyNumberFormat="1" applyFont="1" applyFill="1"/>
    <xf numFmtId="0" fontId="299" fillId="45" borderId="0" xfId="0" applyFont="1" applyFill="1"/>
    <xf numFmtId="0" fontId="299" fillId="45" borderId="0" xfId="0" applyFont="1" applyFill="1" applyAlignment="1">
      <alignment horizontal="right"/>
    </xf>
    <xf numFmtId="182" fontId="301" fillId="0" borderId="0" xfId="0" applyNumberFormat="1" applyFont="1" applyAlignment="1" applyProtection="1">
      <alignment horizontal="right"/>
      <protection hidden="1"/>
    </xf>
    <xf numFmtId="0" fontId="299" fillId="0" borderId="0" xfId="0" applyFont="1"/>
    <xf numFmtId="182" fontId="302" fillId="0" borderId="0" xfId="0" applyNumberFormat="1" applyFont="1" applyAlignment="1" applyProtection="1">
      <alignment horizontal="right"/>
      <protection hidden="1"/>
    </xf>
    <xf numFmtId="182" fontId="302" fillId="45" borderId="0" xfId="0" applyNumberFormat="1" applyFont="1" applyFill="1" applyAlignment="1" applyProtection="1">
      <alignment horizontal="right"/>
      <protection hidden="1"/>
    </xf>
    <xf numFmtId="10" fontId="299" fillId="45" borderId="0" xfId="0" applyNumberFormat="1" applyFont="1" applyFill="1"/>
    <xf numFmtId="10" fontId="299" fillId="0" borderId="0" xfId="0" applyNumberFormat="1" applyFont="1"/>
    <xf numFmtId="14" fontId="299" fillId="0" borderId="0" xfId="0" applyNumberFormat="1" applyFont="1"/>
    <xf numFmtId="168" fontId="299" fillId="0" borderId="0" xfId="9" applyNumberFormat="1" applyFont="1" applyAlignment="1">
      <alignment horizontal="right"/>
    </xf>
    <xf numFmtId="0" fontId="300" fillId="0" borderId="0" xfId="0" applyFont="1" applyAlignment="1">
      <alignment wrapText="1"/>
    </xf>
    <xf numFmtId="174" fontId="299" fillId="0" borderId="0" xfId="0" applyNumberFormat="1" applyFont="1"/>
    <xf numFmtId="174" fontId="307" fillId="45" borderId="0" xfId="0" applyNumberFormat="1" applyFont="1" applyFill="1"/>
    <xf numFmtId="174" fontId="302" fillId="45" borderId="0" xfId="0" applyNumberFormat="1" applyFont="1" applyFill="1" applyAlignment="1">
      <alignment horizontal="right"/>
    </xf>
    <xf numFmtId="174" fontId="299" fillId="45" borderId="0" xfId="0" applyNumberFormat="1" applyFont="1" applyFill="1" applyAlignment="1">
      <alignment vertical="center"/>
    </xf>
    <xf numFmtId="174" fontId="299" fillId="45" borderId="0" xfId="0" applyNumberFormat="1" applyFont="1" applyFill="1"/>
    <xf numFmtId="14" fontId="299" fillId="45" borderId="0" xfId="0" applyNumberFormat="1" applyFont="1" applyFill="1"/>
    <xf numFmtId="0" fontId="309" fillId="0" borderId="0" xfId="0" applyFont="1" applyAlignment="1">
      <alignment horizontal="center" vertical="center" wrapText="1"/>
    </xf>
    <xf numFmtId="0" fontId="309" fillId="0" borderId="0" xfId="0" applyFont="1" applyAlignment="1">
      <alignment horizontal="center" vertical="center"/>
    </xf>
    <xf numFmtId="0" fontId="1" fillId="30" borderId="0" xfId="0" applyFont="1" applyFill="1"/>
    <xf numFmtId="0" fontId="310" fillId="0" borderId="0" xfId="0" applyFont="1"/>
    <xf numFmtId="0" fontId="310" fillId="45" borderId="0" xfId="0" applyFont="1" applyFill="1" applyAlignment="1">
      <alignment wrapText="1"/>
    </xf>
    <xf numFmtId="0" fontId="310" fillId="45" borderId="0" xfId="0" applyFont="1" applyFill="1" applyAlignment="1">
      <alignment vertical="top" wrapText="1"/>
    </xf>
    <xf numFmtId="0" fontId="311" fillId="45" borderId="0" xfId="0" applyFont="1" applyFill="1" applyAlignment="1">
      <alignment vertical="top"/>
    </xf>
    <xf numFmtId="0" fontId="310" fillId="45" borderId="0" xfId="0" applyFont="1" applyFill="1" applyAlignment="1">
      <alignment vertical="top"/>
    </xf>
    <xf numFmtId="0" fontId="311" fillId="45" borderId="0" xfId="0" applyFont="1" applyFill="1" applyAlignment="1">
      <alignment vertical="top" wrapText="1"/>
    </xf>
    <xf numFmtId="0" fontId="310" fillId="38" borderId="0" xfId="0" applyFont="1" applyFill="1" applyAlignment="1">
      <alignment vertical="top" wrapText="1"/>
    </xf>
    <xf numFmtId="0" fontId="311" fillId="38" borderId="0" xfId="0" applyFont="1" applyFill="1" applyAlignment="1">
      <alignment vertical="top" wrapText="1"/>
    </xf>
    <xf numFmtId="0" fontId="310" fillId="38" borderId="0" xfId="0" applyFont="1" applyFill="1" applyAlignment="1">
      <alignment wrapText="1"/>
    </xf>
    <xf numFmtId="0" fontId="0" fillId="38" borderId="0" xfId="0" applyFill="1"/>
    <xf numFmtId="0" fontId="300" fillId="38" borderId="0" xfId="0" applyFont="1" applyFill="1" applyAlignment="1">
      <alignment wrapText="1"/>
    </xf>
    <xf numFmtId="0" fontId="1" fillId="34" borderId="1" xfId="4" applyFont="1" applyFill="1" applyBorder="1" applyAlignment="1">
      <alignment vertical="top"/>
    </xf>
    <xf numFmtId="0" fontId="1" fillId="34" borderId="1" xfId="4" applyFont="1" applyFill="1" applyBorder="1" applyAlignment="1">
      <alignment wrapText="1"/>
    </xf>
    <xf numFmtId="0" fontId="311" fillId="38" borderId="0" xfId="0" applyFont="1" applyFill="1" applyAlignment="1">
      <alignment vertical="top"/>
    </xf>
    <xf numFmtId="0" fontId="310" fillId="38" borderId="0" xfId="0" applyFont="1" applyFill="1" applyAlignment="1">
      <alignment vertical="top"/>
    </xf>
    <xf numFmtId="0" fontId="310" fillId="45" borderId="0" xfId="0" quotePrefix="1" applyFont="1" applyFill="1" applyAlignment="1">
      <alignment vertical="top"/>
    </xf>
    <xf numFmtId="0" fontId="310" fillId="45" borderId="0" xfId="0" quotePrefix="1" applyFont="1" applyFill="1" applyAlignment="1">
      <alignment vertical="top" wrapText="1"/>
    </xf>
    <xf numFmtId="0" fontId="311" fillId="45" borderId="0" xfId="0" quotePrefix="1" applyFont="1" applyFill="1" applyAlignment="1">
      <alignment vertical="top" wrapText="1"/>
    </xf>
    <xf numFmtId="0" fontId="315" fillId="45" borderId="0" xfId="0" applyFont="1" applyFill="1" applyAlignment="1">
      <alignment vertical="top"/>
    </xf>
    <xf numFmtId="0" fontId="316" fillId="45" borderId="0" xfId="0" applyFont="1" applyFill="1" applyAlignment="1">
      <alignment vertical="top"/>
    </xf>
    <xf numFmtId="168" fontId="316" fillId="45" borderId="0" xfId="0" applyNumberFormat="1" applyFont="1" applyFill="1" applyAlignment="1">
      <alignment vertical="top"/>
    </xf>
    <xf numFmtId="0" fontId="310" fillId="38" borderId="0" xfId="0" quotePrefix="1" applyFont="1" applyFill="1" applyAlignment="1">
      <alignment vertical="top" wrapText="1"/>
    </xf>
    <xf numFmtId="0" fontId="315" fillId="45" borderId="0" xfId="0" applyFont="1" applyFill="1" applyAlignment="1">
      <alignment vertical="top" wrapText="1"/>
    </xf>
    <xf numFmtId="0" fontId="318" fillId="38" borderId="0" xfId="0" applyFont="1" applyFill="1" applyAlignment="1">
      <alignment horizontal="left" vertical="center" wrapText="1"/>
    </xf>
    <xf numFmtId="0" fontId="315" fillId="38" borderId="0" xfId="0" applyFont="1" applyFill="1" applyAlignment="1">
      <alignment vertical="top" wrapText="1"/>
    </xf>
    <xf numFmtId="0" fontId="317" fillId="38" borderId="0" xfId="0" applyFont="1" applyFill="1" applyAlignment="1">
      <alignment vertical="top" wrapText="1"/>
    </xf>
    <xf numFmtId="0" fontId="315" fillId="38" borderId="0" xfId="0" applyFont="1" applyFill="1" applyAlignment="1">
      <alignment vertical="top"/>
    </xf>
    <xf numFmtId="0" fontId="0" fillId="45" borderId="0" xfId="0" applyFill="1" applyAlignment="1">
      <alignment vertical="top"/>
    </xf>
    <xf numFmtId="0" fontId="310" fillId="38" borderId="0" xfId="0" applyFont="1" applyFill="1" applyAlignment="1">
      <alignment horizontal="left" vertical="top" wrapText="1"/>
    </xf>
    <xf numFmtId="0" fontId="315" fillId="0" borderId="0" xfId="0" applyFont="1" applyAlignment="1">
      <alignment vertical="top"/>
    </xf>
    <xf numFmtId="0" fontId="311" fillId="38" borderId="0" xfId="0" applyFont="1" applyFill="1" applyAlignment="1">
      <alignment wrapText="1"/>
    </xf>
    <xf numFmtId="0" fontId="311" fillId="38" borderId="0" xfId="0" quotePrefix="1" applyFont="1" applyFill="1" applyAlignment="1">
      <alignment vertical="top" wrapText="1"/>
    </xf>
    <xf numFmtId="0" fontId="311" fillId="38" borderId="0" xfId="0" applyFont="1" applyFill="1"/>
    <xf numFmtId="0" fontId="311" fillId="45" borderId="0" xfId="0" quotePrefix="1" applyFont="1" applyFill="1"/>
    <xf numFmtId="4" fontId="230" fillId="75" borderId="87" xfId="12" applyNumberFormat="1" applyFont="1" applyFill="1" applyBorder="1" applyAlignment="1">
      <alignment horizontal="right" vertical="center" wrapText="1"/>
    </xf>
    <xf numFmtId="0" fontId="225" fillId="74" borderId="0" xfId="11" applyFont="1" applyFill="1" applyAlignment="1">
      <alignment horizontal="center" vertical="center" wrapText="1"/>
    </xf>
    <xf numFmtId="0" fontId="225" fillId="74" borderId="0" xfId="11" applyFont="1" applyFill="1" applyAlignment="1">
      <alignment vertical="center" wrapText="1"/>
    </xf>
    <xf numFmtId="0" fontId="229" fillId="56" borderId="0" xfId="12" applyFont="1" applyFill="1" applyAlignment="1">
      <alignment horizontal="right" vertical="center" wrapText="1"/>
    </xf>
    <xf numFmtId="4" fontId="229" fillId="56" borderId="0" xfId="12" applyNumberFormat="1" applyFont="1" applyFill="1" applyAlignment="1">
      <alignment horizontal="center" vertical="center"/>
    </xf>
    <xf numFmtId="0" fontId="229" fillId="56" borderId="0" xfId="12" applyFont="1" applyFill="1" applyAlignment="1">
      <alignment vertical="center"/>
    </xf>
    <xf numFmtId="0" fontId="226" fillId="74" borderId="0" xfId="12" applyFont="1" applyFill="1" applyAlignment="1">
      <alignment horizontal="center" vertical="center" wrapText="1"/>
    </xf>
    <xf numFmtId="0" fontId="225" fillId="74" borderId="0" xfId="12" applyFont="1" applyFill="1" applyAlignment="1">
      <alignment horizontal="center" vertical="center" wrapText="1"/>
    </xf>
    <xf numFmtId="0" fontId="265" fillId="71" borderId="105" xfId="0" applyFont="1" applyFill="1" applyBorder="1" applyAlignment="1" applyProtection="1">
      <alignment horizontal="right" vertical="center" wrapText="1" indent="1"/>
      <protection hidden="1"/>
    </xf>
    <xf numFmtId="2" fontId="72" fillId="40" borderId="0" xfId="4" applyNumberFormat="1" applyFont="1" applyFill="1"/>
    <xf numFmtId="0" fontId="79" fillId="0" borderId="0" xfId="0" applyFont="1" applyAlignment="1">
      <alignment vertical="center"/>
    </xf>
    <xf numFmtId="2" fontId="272" fillId="83" borderId="0" xfId="0" applyNumberFormat="1" applyFont="1" applyFill="1"/>
    <xf numFmtId="2" fontId="271" fillId="56" borderId="0" xfId="0" applyNumberFormat="1" applyFont="1" applyFill="1" applyAlignment="1">
      <alignment horizontal="left"/>
    </xf>
    <xf numFmtId="0" fontId="292" fillId="45" borderId="154" xfId="0" applyFont="1" applyFill="1" applyBorder="1"/>
    <xf numFmtId="185" fontId="289" fillId="0" borderId="6" xfId="0" applyNumberFormat="1" applyFont="1" applyBorder="1" applyAlignment="1">
      <alignment wrapText="1"/>
    </xf>
    <xf numFmtId="185" fontId="321" fillId="0" borderId="30" xfId="0" applyNumberFormat="1" applyFont="1" applyBorder="1" applyAlignment="1">
      <alignment wrapText="1"/>
    </xf>
    <xf numFmtId="185" fontId="321" fillId="0" borderId="42" xfId="0" applyNumberFormat="1" applyFont="1" applyBorder="1" applyAlignment="1">
      <alignment wrapText="1"/>
    </xf>
    <xf numFmtId="185" fontId="289" fillId="0" borderId="29" xfId="0" applyNumberFormat="1" applyFont="1" applyBorder="1" applyAlignment="1">
      <alignment wrapText="1"/>
    </xf>
    <xf numFmtId="0" fontId="106" fillId="34" borderId="0" xfId="4" applyFont="1" applyFill="1" applyAlignment="1">
      <alignment vertical="top" wrapText="1"/>
    </xf>
    <xf numFmtId="0" fontId="0" fillId="71" borderId="11" xfId="0" applyFill="1" applyBorder="1" applyAlignment="1" applyProtection="1">
      <alignment vertical="center"/>
      <protection hidden="1"/>
    </xf>
    <xf numFmtId="0" fontId="254" fillId="71" borderId="0" xfId="0" applyFont="1" applyFill="1" applyAlignment="1" applyProtection="1">
      <alignment horizontal="center" vertical="center" wrapText="1"/>
      <protection hidden="1"/>
    </xf>
    <xf numFmtId="174" fontId="66" fillId="34" borderId="0" xfId="4" applyNumberFormat="1" applyFill="1"/>
    <xf numFmtId="168" fontId="276" fillId="0" borderId="0" xfId="0" applyNumberFormat="1" applyFont="1" applyAlignment="1" applyProtection="1">
      <alignment horizontal="right" vertical="center" indent="1"/>
      <protection hidden="1"/>
    </xf>
    <xf numFmtId="0" fontId="1" fillId="0" borderId="0" xfId="0" applyFont="1" applyAlignment="1">
      <alignment wrapText="1"/>
    </xf>
    <xf numFmtId="0" fontId="246" fillId="0" borderId="0" xfId="0" applyFont="1" applyAlignment="1" applyProtection="1">
      <alignment horizontal="left" vertical="center"/>
      <protection locked="0"/>
    </xf>
    <xf numFmtId="187" fontId="99" fillId="71" borderId="0" xfId="0" applyNumberFormat="1" applyFont="1" applyFill="1" applyAlignment="1" applyProtection="1">
      <alignment horizontal="right"/>
      <protection hidden="1"/>
    </xf>
    <xf numFmtId="0" fontId="84" fillId="45" borderId="0" xfId="10" applyFill="1" applyAlignment="1">
      <alignment vertical="top" wrapText="1"/>
    </xf>
    <xf numFmtId="0" fontId="84" fillId="38" borderId="0" xfId="10" applyFill="1" applyAlignment="1">
      <alignment vertical="top"/>
    </xf>
    <xf numFmtId="0" fontId="312" fillId="38" borderId="0" xfId="0" applyFont="1" applyFill="1" applyAlignment="1">
      <alignment vertical="top" wrapText="1"/>
    </xf>
    <xf numFmtId="0" fontId="312" fillId="45" borderId="0" xfId="0" applyFont="1" applyFill="1" applyAlignment="1">
      <alignment horizontal="left" vertical="top" wrapText="1"/>
    </xf>
    <xf numFmtId="0" fontId="312" fillId="45" borderId="0" xfId="0" applyFont="1" applyFill="1" applyAlignment="1">
      <alignment vertical="top" wrapText="1"/>
    </xf>
    <xf numFmtId="0" fontId="312" fillId="0" borderId="0" xfId="0" applyFont="1" applyAlignment="1">
      <alignment vertical="top"/>
    </xf>
    <xf numFmtId="0" fontId="312" fillId="45" borderId="0" xfId="0" quotePrefix="1" applyFont="1" applyFill="1" applyAlignment="1">
      <alignment vertical="top" wrapText="1"/>
    </xf>
    <xf numFmtId="0" fontId="312" fillId="45" borderId="0" xfId="0" applyFont="1" applyFill="1" applyAlignment="1">
      <alignment vertical="top"/>
    </xf>
    <xf numFmtId="0" fontId="312" fillId="45" borderId="0" xfId="0" applyFont="1" applyFill="1" applyAlignment="1">
      <alignment horizontal="left" vertical="top" indent="1"/>
    </xf>
    <xf numFmtId="0" fontId="312" fillId="38" borderId="0" xfId="0" applyFont="1" applyFill="1" applyAlignment="1">
      <alignment vertical="top"/>
    </xf>
    <xf numFmtId="0" fontId="246" fillId="0" borderId="156" xfId="0" applyFont="1" applyBorder="1" applyAlignment="1" applyProtection="1">
      <alignment horizontal="center" vertical="center"/>
      <protection locked="0"/>
    </xf>
    <xf numFmtId="0" fontId="253" fillId="71" borderId="105" xfId="0" applyFont="1" applyFill="1" applyBorder="1" applyAlignment="1" applyProtection="1">
      <alignment vertical="center" wrapText="1"/>
      <protection hidden="1"/>
    </xf>
    <xf numFmtId="0" fontId="253" fillId="71" borderId="158" xfId="0" applyFont="1" applyFill="1" applyBorder="1" applyAlignment="1" applyProtection="1">
      <alignment vertical="center" wrapText="1"/>
      <protection hidden="1"/>
    </xf>
    <xf numFmtId="0" fontId="256" fillId="71" borderId="100" xfId="0" applyFont="1" applyFill="1" applyBorder="1" applyAlignment="1" applyProtection="1">
      <alignment horizontal="right" vertical="center" indent="1"/>
      <protection hidden="1"/>
    </xf>
    <xf numFmtId="2" fontId="246" fillId="0" borderId="157" xfId="0" applyNumberFormat="1" applyFont="1" applyBorder="1" applyAlignment="1" applyProtection="1">
      <alignment horizontal="right" vertical="center" indent="1"/>
      <protection locked="0"/>
    </xf>
    <xf numFmtId="0" fontId="253" fillId="71" borderId="109" xfId="0" applyFont="1" applyFill="1" applyBorder="1" applyAlignment="1" applyProtection="1">
      <alignment horizontal="center" vertical="center"/>
      <protection hidden="1"/>
    </xf>
    <xf numFmtId="0" fontId="246" fillId="0" borderId="159" xfId="0" applyFont="1" applyBorder="1" applyAlignment="1" applyProtection="1">
      <alignment horizontal="center" vertical="center"/>
      <protection locked="0"/>
    </xf>
    <xf numFmtId="0" fontId="289" fillId="0" borderId="0" xfId="0" applyFont="1" applyAlignment="1">
      <alignment horizontal="justify" vertical="center" wrapText="1"/>
    </xf>
    <xf numFmtId="0" fontId="289" fillId="85" borderId="45" xfId="0" applyFont="1" applyFill="1" applyBorder="1" applyAlignment="1">
      <alignment horizontal="justify" vertical="center" wrapText="1"/>
    </xf>
    <xf numFmtId="189" fontId="253" fillId="71" borderId="109" xfId="0" applyNumberFormat="1" applyFont="1" applyFill="1" applyBorder="1" applyAlignment="1" applyProtection="1">
      <alignment vertical="center" wrapText="1"/>
      <protection hidden="1"/>
    </xf>
    <xf numFmtId="189" fontId="246" fillId="0" borderId="109" xfId="0" applyNumberFormat="1" applyFont="1" applyBorder="1" applyAlignment="1" applyProtection="1">
      <alignment horizontal="center" vertical="center" shrinkToFit="1"/>
      <protection hidden="1"/>
    </xf>
    <xf numFmtId="0" fontId="253" fillId="71" borderId="155" xfId="0" applyFont="1" applyFill="1" applyBorder="1" applyAlignment="1" applyProtection="1">
      <alignment horizontal="center" wrapText="1"/>
      <protection hidden="1"/>
    </xf>
    <xf numFmtId="0" fontId="253" fillId="71" borderId="155" xfId="0" applyFont="1" applyFill="1" applyBorder="1" applyAlignment="1" applyProtection="1">
      <alignment horizontal="center"/>
      <protection hidden="1"/>
    </xf>
    <xf numFmtId="0" fontId="244" fillId="55" borderId="0" xfId="0" applyFont="1" applyFill="1" applyAlignment="1" applyProtection="1">
      <alignment horizontal="center" vertical="center"/>
      <protection hidden="1"/>
    </xf>
    <xf numFmtId="0" fontId="241" fillId="55" borderId="0" xfId="0" applyFont="1" applyFill="1" applyAlignment="1" applyProtection="1">
      <alignment horizontal="center" vertical="center" wrapText="1"/>
      <protection hidden="1"/>
    </xf>
    <xf numFmtId="0" fontId="276" fillId="71" borderId="0" xfId="0" applyFont="1" applyFill="1" applyAlignment="1" applyProtection="1">
      <alignment horizontal="right" vertical="top" wrapText="1" indent="1"/>
      <protection hidden="1"/>
    </xf>
    <xf numFmtId="10" fontId="244" fillId="55" borderId="0" xfId="8" applyNumberFormat="1" applyFont="1" applyFill="1" applyBorder="1" applyAlignment="1" applyProtection="1">
      <alignment horizontal="center" vertical="center" wrapText="1"/>
      <protection hidden="1"/>
    </xf>
    <xf numFmtId="0" fontId="156" fillId="80" borderId="65" xfId="0" applyFont="1" applyFill="1" applyBorder="1" applyAlignment="1" applyProtection="1">
      <alignment horizontal="center" vertical="center"/>
      <protection locked="0"/>
    </xf>
    <xf numFmtId="0" fontId="156" fillId="80" borderId="66" xfId="0" applyFont="1" applyFill="1" applyBorder="1" applyAlignment="1" applyProtection="1">
      <alignment horizontal="center" vertical="center"/>
      <protection locked="0"/>
    </xf>
    <xf numFmtId="0" fontId="156" fillId="80" borderId="67" xfId="0" applyFont="1" applyFill="1" applyBorder="1" applyAlignment="1" applyProtection="1">
      <alignment horizontal="center" vertical="center"/>
      <protection locked="0"/>
    </xf>
    <xf numFmtId="0" fontId="155" fillId="56" borderId="0" xfId="0" applyFont="1" applyFill="1" applyAlignment="1" applyProtection="1">
      <alignment horizontal="center" vertical="center"/>
      <protection hidden="1"/>
    </xf>
    <xf numFmtId="10" fontId="156" fillId="80" borderId="65" xfId="8" applyNumberFormat="1" applyFont="1" applyFill="1" applyBorder="1" applyAlignment="1" applyProtection="1">
      <alignment horizontal="center" vertical="center" wrapText="1"/>
      <protection hidden="1"/>
    </xf>
    <xf numFmtId="10" fontId="156" fillId="80" borderId="66" xfId="8" applyNumberFormat="1" applyFont="1" applyFill="1" applyBorder="1" applyAlignment="1" applyProtection="1">
      <alignment horizontal="center" vertical="center" wrapText="1"/>
      <protection hidden="1"/>
    </xf>
    <xf numFmtId="10" fontId="156" fillId="80" borderId="67" xfId="8" applyNumberFormat="1" applyFont="1" applyFill="1" applyBorder="1" applyAlignment="1" applyProtection="1">
      <alignment horizontal="center" vertical="center" wrapText="1"/>
      <protection hidden="1"/>
    </xf>
    <xf numFmtId="0" fontId="254" fillId="71" borderId="0" xfId="0" applyFont="1" applyFill="1" applyAlignment="1" applyProtection="1">
      <alignment horizontal="center" vertical="center" textRotation="90"/>
      <protection hidden="1"/>
    </xf>
    <xf numFmtId="0" fontId="150" fillId="56" borderId="0" xfId="0" applyFont="1" applyFill="1" applyAlignment="1" applyProtection="1">
      <alignment horizontal="left" vertical="top" wrapText="1" indent="1"/>
      <protection hidden="1"/>
    </xf>
    <xf numFmtId="0" fontId="276" fillId="0" borderId="103" xfId="0" applyFont="1" applyBorder="1" applyAlignment="1" applyProtection="1">
      <alignment horizontal="center" vertical="center"/>
      <protection locked="0"/>
    </xf>
    <xf numFmtId="0" fontId="276" fillId="0" borderId="104" xfId="0" applyFont="1" applyBorder="1" applyAlignment="1" applyProtection="1">
      <alignment horizontal="center" vertical="center"/>
      <protection locked="0"/>
    </xf>
    <xf numFmtId="0" fontId="254" fillId="71" borderId="0" xfId="0" applyFont="1" applyFill="1" applyAlignment="1" applyProtection="1">
      <alignment horizontal="center" vertical="center" wrapText="1"/>
      <protection hidden="1"/>
    </xf>
    <xf numFmtId="0" fontId="267" fillId="71" borderId="0" xfId="0" applyFont="1" applyFill="1" applyAlignment="1" applyProtection="1">
      <alignment horizontal="center" vertical="center" wrapText="1"/>
      <protection hidden="1"/>
    </xf>
    <xf numFmtId="0" fontId="267" fillId="71" borderId="134" xfId="0" applyFont="1" applyFill="1" applyBorder="1" applyAlignment="1" applyProtection="1">
      <alignment horizontal="center" vertical="center" wrapText="1"/>
      <protection hidden="1"/>
    </xf>
    <xf numFmtId="0" fontId="267" fillId="71" borderId="100" xfId="0" applyFont="1" applyFill="1" applyBorder="1" applyAlignment="1" applyProtection="1">
      <alignment horizontal="center" vertical="center" wrapText="1"/>
      <protection hidden="1"/>
    </xf>
    <xf numFmtId="0" fontId="246" fillId="0" borderId="110" xfId="0" applyFont="1" applyBorder="1" applyAlignment="1" applyProtection="1">
      <alignment horizontal="center" vertical="center"/>
      <protection locked="0"/>
    </xf>
    <xf numFmtId="0" fontId="246" fillId="0" borderId="108" xfId="0" applyFont="1" applyBorder="1" applyAlignment="1" applyProtection="1">
      <alignment horizontal="center" vertical="center"/>
      <protection locked="0"/>
    </xf>
    <xf numFmtId="0" fontId="323" fillId="71" borderId="109" xfId="0" applyFont="1" applyFill="1" applyBorder="1" applyAlignment="1" applyProtection="1">
      <alignment horizontal="left" wrapText="1"/>
      <protection hidden="1"/>
    </xf>
    <xf numFmtId="0" fontId="288" fillId="0" borderId="23" xfId="0" applyFont="1" applyBorder="1" applyAlignment="1">
      <alignment horizontal="justify" vertical="center" wrapText="1"/>
    </xf>
    <xf numFmtId="0" fontId="288" fillId="0" borderId="31" xfId="0" applyFont="1" applyBorder="1" applyAlignment="1">
      <alignment horizontal="justify" vertical="center" wrapText="1"/>
    </xf>
    <xf numFmtId="0" fontId="288" fillId="0" borderId="146" xfId="0" applyFont="1" applyBorder="1" applyAlignment="1">
      <alignment horizontal="justify" vertical="center" wrapText="1"/>
    </xf>
    <xf numFmtId="0" fontId="288" fillId="0" borderId="26" xfId="0" applyFont="1" applyBorder="1" applyAlignment="1">
      <alignment horizontal="justify" vertical="center" wrapText="1"/>
    </xf>
    <xf numFmtId="0" fontId="288" fillId="0" borderId="145" xfId="0" applyFont="1" applyBorder="1" applyAlignment="1">
      <alignment horizontal="justify" vertical="center" wrapText="1"/>
    </xf>
    <xf numFmtId="0" fontId="288" fillId="0" borderId="30" xfId="0" applyFont="1" applyBorder="1" applyAlignment="1">
      <alignment horizontal="justify" vertical="center" wrapText="1"/>
    </xf>
    <xf numFmtId="0" fontId="288" fillId="0" borderId="144" xfId="0" applyFont="1" applyBorder="1" applyAlignment="1">
      <alignment horizontal="justify" vertical="center" wrapText="1"/>
    </xf>
    <xf numFmtId="0" fontId="293" fillId="84" borderId="42" xfId="0" applyFont="1" applyFill="1" applyBorder="1" applyAlignment="1">
      <alignment horizontal="justify" vertical="center" wrapText="1"/>
    </xf>
    <xf numFmtId="0" fontId="293" fillId="84" borderId="143" xfId="0" applyFont="1" applyFill="1" applyBorder="1" applyAlignment="1">
      <alignment horizontal="justify" vertical="center" wrapText="1"/>
    </xf>
    <xf numFmtId="0" fontId="293" fillId="84" borderId="147" xfId="0" applyFont="1" applyFill="1" applyBorder="1" applyAlignment="1">
      <alignment horizontal="center" vertical="center" wrapText="1"/>
    </xf>
    <xf numFmtId="0" fontId="293" fillId="84" borderId="144" xfId="0" applyFont="1" applyFill="1" applyBorder="1" applyAlignment="1">
      <alignment horizontal="center" vertical="center" wrapText="1"/>
    </xf>
    <xf numFmtId="0" fontId="293" fillId="84" borderId="26" xfId="0" applyFont="1" applyFill="1" applyBorder="1" applyAlignment="1">
      <alignment horizontal="justify" vertical="center" wrapText="1"/>
    </xf>
    <xf numFmtId="0" fontId="293" fillId="84" borderId="145" xfId="0" applyFont="1" applyFill="1" applyBorder="1" applyAlignment="1">
      <alignment horizontal="justify" vertical="center" wrapText="1"/>
    </xf>
    <xf numFmtId="0" fontId="288" fillId="0" borderId="6" xfId="0" applyFont="1" applyBorder="1" applyAlignment="1">
      <alignment horizontal="justify" vertical="center" wrapText="1"/>
    </xf>
    <xf numFmtId="0" fontId="320" fillId="74" borderId="0" xfId="11" applyFont="1" applyFill="1" applyAlignment="1">
      <alignment horizontal="center" vertical="center" wrapText="1"/>
    </xf>
    <xf numFmtId="0" fontId="278" fillId="84" borderId="66" xfId="0" applyFont="1" applyFill="1" applyBorder="1" applyAlignment="1" applyProtection="1">
      <alignment horizontal="right" vertical="center"/>
      <protection hidden="1"/>
    </xf>
    <xf numFmtId="0" fontId="278" fillId="84" borderId="139" xfId="0" applyFont="1" applyFill="1" applyBorder="1" applyAlignment="1" applyProtection="1">
      <alignment horizontal="right" vertical="center"/>
      <protection hidden="1"/>
    </xf>
    <xf numFmtId="0" fontId="303" fillId="0" borderId="0" xfId="0" applyFont="1" applyAlignment="1">
      <alignment horizontal="left" vertical="top" wrapText="1"/>
    </xf>
    <xf numFmtId="0" fontId="303" fillId="0" borderId="0" xfId="0" applyFont="1" applyAlignment="1">
      <alignment horizontal="left" vertical="top"/>
    </xf>
    <xf numFmtId="0" fontId="308" fillId="0" borderId="0" xfId="0" applyFont="1" applyAlignment="1">
      <alignment horizontal="center" vertical="center" wrapText="1"/>
    </xf>
    <xf numFmtId="0" fontId="306" fillId="0" borderId="0" xfId="0" applyFont="1" applyAlignment="1" applyProtection="1">
      <alignment horizontal="left" vertical="center" wrapText="1"/>
      <protection hidden="1"/>
    </xf>
    <xf numFmtId="168" fontId="305" fillId="45" borderId="0" xfId="0" applyNumberFormat="1" applyFont="1" applyFill="1" applyAlignment="1" applyProtection="1">
      <alignment horizontal="right" vertical="center" indent="8"/>
      <protection hidden="1"/>
    </xf>
    <xf numFmtId="168" fontId="305" fillId="0" borderId="0" xfId="0" applyNumberFormat="1" applyFont="1" applyAlignment="1" applyProtection="1">
      <alignment horizontal="right" vertical="center" indent="8"/>
      <protection hidden="1"/>
    </xf>
    <xf numFmtId="0" fontId="304" fillId="45" borderId="0" xfId="0" applyFont="1" applyFill="1" applyAlignment="1" applyProtection="1">
      <alignment horizontal="right" vertical="center"/>
      <protection hidden="1"/>
    </xf>
    <xf numFmtId="0" fontId="121" fillId="0" borderId="0" xfId="0" applyFont="1" applyAlignment="1">
      <alignment horizontal="left" vertical="center" wrapText="1" indent="1"/>
    </xf>
    <xf numFmtId="0" fontId="304" fillId="45" borderId="0" xfId="0" applyFont="1" applyFill="1" applyAlignment="1" applyProtection="1">
      <alignment horizontal="right" vertical="center" wrapText="1"/>
      <protection hidden="1"/>
    </xf>
    <xf numFmtId="0" fontId="304" fillId="0" borderId="0" xfId="0" applyFont="1" applyAlignment="1" applyProtection="1">
      <alignment horizontal="right" vertical="center"/>
      <protection hidden="1"/>
    </xf>
    <xf numFmtId="0" fontId="133" fillId="29" borderId="0" xfId="0" applyFont="1" applyFill="1" applyAlignment="1">
      <alignment horizontal="left" vertical="top" wrapText="1"/>
    </xf>
    <xf numFmtId="0" fontId="133" fillId="29" borderId="72" xfId="0" applyFont="1" applyFill="1" applyBorder="1" applyAlignment="1">
      <alignment horizontal="left" vertical="top" wrapText="1"/>
    </xf>
    <xf numFmtId="0" fontId="130" fillId="29" borderId="0" xfId="0" applyFont="1" applyFill="1" applyAlignment="1">
      <alignment horizontal="center" vertical="top" wrapText="1"/>
    </xf>
    <xf numFmtId="0" fontId="130" fillId="29" borderId="72" xfId="0" applyFont="1" applyFill="1" applyBorder="1" applyAlignment="1">
      <alignment horizontal="center" vertical="top" wrapText="1"/>
    </xf>
    <xf numFmtId="0" fontId="119" fillId="43" borderId="0" xfId="0" applyFont="1" applyFill="1" applyAlignment="1">
      <alignment horizontal="left" vertical="center" wrapText="1"/>
    </xf>
    <xf numFmtId="0" fontId="119" fillId="43" borderId="0" xfId="0" applyFont="1" applyFill="1" applyAlignment="1">
      <alignment horizontal="left" vertical="center"/>
    </xf>
    <xf numFmtId="0" fontId="2" fillId="48" borderId="69" xfId="0" applyFont="1" applyFill="1" applyBorder="1" applyAlignment="1">
      <alignment horizontal="center" vertical="center" shrinkToFit="1"/>
    </xf>
    <xf numFmtId="0" fontId="2" fillId="48" borderId="70" xfId="0" applyFont="1" applyFill="1" applyBorder="1" applyAlignment="1">
      <alignment horizontal="center" vertical="center" shrinkToFit="1"/>
    </xf>
    <xf numFmtId="0" fontId="1" fillId="60" borderId="69" xfId="0" applyFont="1" applyFill="1" applyBorder="1" applyAlignment="1" applyProtection="1">
      <alignment horizontal="center" vertical="center" shrinkToFit="1"/>
      <protection locked="0"/>
    </xf>
    <xf numFmtId="0" fontId="1" fillId="60" borderId="71" xfId="0" applyFont="1" applyFill="1" applyBorder="1" applyAlignment="1" applyProtection="1">
      <alignment horizontal="center" vertical="center" shrinkToFit="1"/>
      <protection locked="0"/>
    </xf>
    <xf numFmtId="0" fontId="1" fillId="48" borderId="64" xfId="0" applyFont="1" applyFill="1" applyBorder="1" applyAlignment="1">
      <alignment horizontal="right"/>
    </xf>
    <xf numFmtId="0" fontId="1" fillId="29" borderId="64" xfId="0" applyFont="1" applyFill="1" applyBorder="1" applyAlignment="1">
      <alignment horizontal="right"/>
    </xf>
    <xf numFmtId="0" fontId="100" fillId="29" borderId="85" xfId="0" applyFont="1" applyFill="1" applyBorder="1" applyAlignment="1">
      <alignment horizontal="center" vertical="center"/>
    </xf>
    <xf numFmtId="0" fontId="2" fillId="0" borderId="49" xfId="0" applyFont="1" applyBorder="1" applyAlignment="1">
      <alignment horizontal="center" vertical="center"/>
    </xf>
    <xf numFmtId="0" fontId="100" fillId="0" borderId="98" xfId="0" applyFont="1" applyBorder="1" applyAlignment="1">
      <alignment horizontal="left"/>
    </xf>
    <xf numFmtId="0" fontId="100" fillId="0" borderId="99" xfId="0" applyFont="1" applyBorder="1" applyAlignment="1">
      <alignment horizontal="left"/>
    </xf>
    <xf numFmtId="0" fontId="99" fillId="39" borderId="50" xfId="4" applyFont="1" applyFill="1" applyBorder="1" applyAlignment="1">
      <alignment horizontal="justify" vertical="top" readingOrder="1"/>
    </xf>
    <xf numFmtId="0" fontId="99" fillId="39" borderId="0" xfId="4" applyFont="1" applyFill="1" applyAlignment="1">
      <alignment horizontal="justify" vertical="top" wrapText="1" readingOrder="1"/>
    </xf>
    <xf numFmtId="0" fontId="99" fillId="39" borderId="0" xfId="4" applyFont="1" applyFill="1" applyAlignment="1">
      <alignment horizontal="justify" vertical="top" readingOrder="1"/>
    </xf>
    <xf numFmtId="0" fontId="100" fillId="39" borderId="39" xfId="4" applyFont="1" applyFill="1" applyBorder="1" applyAlignment="1">
      <alignment horizontal="left" vertical="top" wrapText="1"/>
    </xf>
    <xf numFmtId="0" fontId="100" fillId="39" borderId="20" xfId="4" applyFont="1" applyFill="1" applyBorder="1" applyAlignment="1">
      <alignment horizontal="left" vertical="top" wrapText="1"/>
    </xf>
    <xf numFmtId="0" fontId="99" fillId="39" borderId="11" xfId="4" applyFont="1" applyFill="1" applyBorder="1" applyAlignment="1">
      <alignment horizontal="left" vertical="top" wrapText="1" indent="1"/>
    </xf>
    <xf numFmtId="0" fontId="99" fillId="39" borderId="12" xfId="4" applyFont="1" applyFill="1" applyBorder="1" applyAlignment="1">
      <alignment horizontal="left" vertical="top" wrapText="1" indent="1"/>
    </xf>
    <xf numFmtId="0" fontId="312" fillId="45" borderId="0" xfId="0" applyFont="1" applyFill="1" applyAlignment="1">
      <alignment horizontal="left" vertical="top" wrapText="1"/>
    </xf>
    <xf numFmtId="0" fontId="310" fillId="45" borderId="0" xfId="0" applyFont="1" applyFill="1" applyAlignment="1">
      <alignment horizontal="left" vertical="top" wrapText="1"/>
    </xf>
    <xf numFmtId="0" fontId="310" fillId="0" borderId="0" xfId="0" applyFont="1" applyAlignment="1">
      <alignment vertical="top" wrapText="1"/>
    </xf>
    <xf numFmtId="0" fontId="310" fillId="45" borderId="0" xfId="0" applyFont="1" applyFill="1" applyAlignment="1">
      <alignment vertical="top" wrapText="1"/>
    </xf>
    <xf numFmtId="0" fontId="317" fillId="38" borderId="0" xfId="0" applyFont="1" applyFill="1" applyAlignment="1">
      <alignment horizontal="left" vertical="center" wrapText="1"/>
    </xf>
    <xf numFmtId="0" fontId="317" fillId="38" borderId="0" xfId="0" applyFont="1" applyFill="1" applyAlignment="1">
      <alignment horizontal="left" vertical="top" wrapText="1"/>
    </xf>
    <xf numFmtId="0" fontId="317" fillId="0" borderId="0" xfId="0" applyFont="1" applyAlignment="1">
      <alignment horizontal="left" vertical="center"/>
    </xf>
    <xf numFmtId="0" fontId="310" fillId="38" borderId="0" xfId="0" applyFont="1" applyFill="1" applyAlignment="1">
      <alignment vertical="top" wrapText="1"/>
    </xf>
    <xf numFmtId="0" fontId="317" fillId="38" borderId="0" xfId="0" applyFont="1" applyFill="1" applyAlignment="1">
      <alignment vertical="top" wrapText="1"/>
    </xf>
    <xf numFmtId="0" fontId="313" fillId="38" borderId="0" xfId="0" applyFont="1" applyFill="1" applyAlignment="1">
      <alignment vertical="top" wrapText="1"/>
    </xf>
    <xf numFmtId="0" fontId="314" fillId="38" borderId="0" xfId="0" applyFont="1" applyFill="1" applyAlignment="1">
      <alignment horizontal="center" vertical="top"/>
    </xf>
    <xf numFmtId="0" fontId="310" fillId="38" borderId="0" xfId="0" applyFont="1" applyFill="1" applyAlignment="1">
      <alignment horizontal="center" vertical="top" wrapText="1"/>
    </xf>
    <xf numFmtId="0" fontId="312" fillId="45" borderId="0" xfId="0" quotePrefix="1" applyFont="1" applyFill="1" applyAlignment="1">
      <alignment horizontal="left" vertical="top" wrapText="1"/>
    </xf>
    <xf numFmtId="0" fontId="312" fillId="38" borderId="0" xfId="0" applyFont="1" applyFill="1" applyAlignment="1">
      <alignment horizontal="left" vertical="top" wrapText="1"/>
    </xf>
    <xf numFmtId="0" fontId="99" fillId="39" borderId="40" xfId="4" applyFont="1" applyFill="1" applyBorder="1" applyAlignment="1">
      <alignment horizontal="center" vertical="center"/>
    </xf>
    <xf numFmtId="0" fontId="100" fillId="39" borderId="0" xfId="4" applyFont="1" applyFill="1" applyAlignment="1">
      <alignment horizontal="center" vertical="center" wrapText="1"/>
    </xf>
    <xf numFmtId="0" fontId="100" fillId="39" borderId="20" xfId="4" applyFont="1" applyFill="1" applyBorder="1" applyAlignment="1">
      <alignment horizontal="left" vertical="center"/>
    </xf>
    <xf numFmtId="0" fontId="100" fillId="39" borderId="11" xfId="4" applyFont="1" applyFill="1" applyBorder="1" applyAlignment="1">
      <alignment horizontal="left" vertical="center"/>
    </xf>
    <xf numFmtId="0" fontId="100" fillId="39" borderId="39" xfId="4" applyFont="1" applyFill="1" applyBorder="1" applyAlignment="1">
      <alignment vertical="top" wrapText="1"/>
    </xf>
    <xf numFmtId="0" fontId="100" fillId="39" borderId="20" xfId="4" applyFont="1" applyFill="1" applyBorder="1" applyAlignment="1">
      <alignment vertical="top"/>
    </xf>
    <xf numFmtId="0" fontId="100" fillId="39" borderId="21" xfId="4" applyFont="1" applyFill="1" applyBorder="1" applyAlignment="1">
      <alignment vertical="top"/>
    </xf>
    <xf numFmtId="0" fontId="99" fillId="39" borderId="39" xfId="4" applyFont="1" applyFill="1" applyBorder="1" applyAlignment="1">
      <alignment vertical="center"/>
    </xf>
    <xf numFmtId="0" fontId="99" fillId="39" borderId="20" xfId="4" applyFont="1" applyFill="1" applyBorder="1" applyAlignment="1">
      <alignment vertical="center"/>
    </xf>
    <xf numFmtId="0" fontId="99" fillId="39" borderId="21" xfId="4" applyFont="1" applyFill="1" applyBorder="1" applyAlignment="1">
      <alignment vertical="center"/>
    </xf>
    <xf numFmtId="0" fontId="100" fillId="39" borderId="20" xfId="4" applyFont="1" applyFill="1" applyBorder="1" applyAlignment="1">
      <alignment horizontal="left" vertical="top"/>
    </xf>
    <xf numFmtId="0" fontId="99" fillId="39" borderId="39" xfId="4" applyFont="1" applyFill="1" applyBorder="1" applyAlignment="1">
      <alignment horizontal="justify" vertical="center" wrapText="1"/>
    </xf>
    <xf numFmtId="0" fontId="99" fillId="39" borderId="21" xfId="4" applyFont="1" applyFill="1" applyBorder="1" applyAlignment="1">
      <alignment horizontal="justify" vertical="center" wrapText="1"/>
    </xf>
    <xf numFmtId="0" fontId="100" fillId="39" borderId="20" xfId="4" applyFont="1" applyFill="1" applyBorder="1" applyAlignment="1">
      <alignment vertical="top" wrapText="1"/>
    </xf>
    <xf numFmtId="0" fontId="100" fillId="39" borderId="40" xfId="4" applyFont="1" applyFill="1" applyBorder="1" applyAlignment="1">
      <alignment horizontal="left" vertical="center" wrapText="1"/>
    </xf>
    <xf numFmtId="0" fontId="99" fillId="39" borderId="40" xfId="4" applyFont="1" applyFill="1" applyBorder="1" applyAlignment="1">
      <alignment horizontal="left" vertical="center"/>
    </xf>
    <xf numFmtId="0" fontId="100" fillId="39" borderId="40" xfId="4" applyFont="1" applyFill="1" applyBorder="1" applyAlignment="1">
      <alignment horizontal="center" vertical="center"/>
    </xf>
    <xf numFmtId="0" fontId="99" fillId="39" borderId="50" xfId="4" applyFont="1" applyFill="1" applyBorder="1" applyAlignment="1">
      <alignment horizontal="left" vertical="top" wrapText="1"/>
    </xf>
    <xf numFmtId="0" fontId="99" fillId="39" borderId="0" xfId="4" applyFont="1" applyFill="1" applyAlignment="1">
      <alignment horizontal="left" vertical="top" wrapText="1"/>
    </xf>
    <xf numFmtId="0" fontId="99" fillId="39" borderId="49" xfId="4" applyFont="1" applyFill="1" applyBorder="1" applyAlignment="1">
      <alignment horizontal="left" vertical="top" wrapText="1"/>
    </xf>
  </cellXfs>
  <cellStyles count="15">
    <cellStyle name="Dziesiętny" xfId="1" builtinId="3"/>
    <cellStyle name="Dziesiętny 2" xfId="2" xr:uid="{00000000-0005-0000-0000-000001000000}"/>
    <cellStyle name="Hiperłącze" xfId="10" builtinId="8"/>
    <cellStyle name="Hiperłącze 2" xfId="3" xr:uid="{00000000-0005-0000-0000-000003000000}"/>
    <cellStyle name="Hiperłącze 3" xfId="13" xr:uid="{00000000-0005-0000-0000-000004000000}"/>
    <cellStyle name="Normalny" xfId="0" builtinId="0"/>
    <cellStyle name="Normalny 2" xfId="4" xr:uid="{00000000-0005-0000-0000-000006000000}"/>
    <cellStyle name="Normalny 2 2" xfId="5" xr:uid="{00000000-0005-0000-0000-000007000000}"/>
    <cellStyle name="Normalny 2 3" xfId="6" xr:uid="{00000000-0005-0000-0000-000008000000}"/>
    <cellStyle name="Normalny 3" xfId="11" xr:uid="{00000000-0005-0000-0000-000009000000}"/>
    <cellStyle name="Normalny 3 2" xfId="12" xr:uid="{00000000-0005-0000-0000-00000A000000}"/>
    <cellStyle name="Normalny 4" xfId="14" xr:uid="{00000000-0005-0000-0000-00000B000000}"/>
    <cellStyle name="Normalny_Harmonogram" xfId="7" xr:uid="{00000000-0005-0000-0000-00000C000000}"/>
    <cellStyle name="Procentowy" xfId="8" builtinId="5"/>
    <cellStyle name="Walutowy" xfId="9" builtinId="4"/>
  </cellStyles>
  <dxfs count="332">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border>
        <left/>
        <right/>
        <top style="thin">
          <color indexed="64"/>
        </top>
        <bottom style="thin">
          <color indexed="64"/>
        </bottom>
      </border>
    </dxf>
    <dxf>
      <font>
        <color rgb="FFFF0000"/>
      </font>
    </dxf>
    <dxf>
      <font>
        <color theme="6" tint="0.39994506668294322"/>
      </font>
      <fill>
        <patternFill>
          <bgColor theme="6" tint="0.39994506668294322"/>
        </patternFill>
      </fill>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fill>
        <patternFill>
          <bgColor theme="6"/>
        </patternFill>
      </fill>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font>
        <color rgb="FFFF0000"/>
      </font>
    </dxf>
    <dxf>
      <font>
        <color theme="6" tint="0.39994506668294322"/>
      </font>
      <fill>
        <patternFill>
          <bgColor theme="6" tint="0.39994506668294322"/>
        </patternFill>
      </fill>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fill>
        <patternFill>
          <bgColor theme="6"/>
        </patternFill>
      </fill>
    </dxf>
    <dxf>
      <border>
        <left/>
        <right/>
        <top style="thin">
          <color indexed="64"/>
        </top>
        <bottom style="thin">
          <color indexed="64"/>
        </bottom>
      </border>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border outline="0">
        <right style="thin">
          <color theme="4"/>
        </right>
      </border>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1" indent="0" justifyLastLine="0" shrinkToFit="0" readingOrder="0"/>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border outline="0">
        <right style="thin">
          <color theme="4"/>
        </right>
      </border>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1" indent="0" justifyLastLine="0" shrinkToFit="0" readingOrder="0"/>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90" formatCode="m/d/yyyy"/>
    </dxf>
    <dxf>
      <font>
        <strike val="0"/>
        <outline val="0"/>
        <shadow val="0"/>
        <u val="none"/>
        <vertAlign val="baseline"/>
        <sz val="10"/>
        <name val="ING Me Narrow"/>
        <scheme val="none"/>
      </font>
      <numFmt numFmtId="0" formatCode="General"/>
    </dxf>
    <dxf>
      <font>
        <strike val="0"/>
        <outline val="0"/>
        <shadow val="0"/>
        <u val="none"/>
        <vertAlign val="baseline"/>
        <sz val="10"/>
        <name val="ING Me Narrow"/>
        <scheme val="none"/>
      </font>
    </dxf>
    <dxf>
      <font>
        <b/>
        <i val="0"/>
        <strike val="0"/>
        <condense val="0"/>
        <extend val="0"/>
        <outline val="0"/>
        <shadow val="0"/>
        <u val="none"/>
        <vertAlign val="baseline"/>
        <sz val="10"/>
        <color rgb="FFFF6600"/>
        <name val="ING Me Narrow"/>
        <scheme val="none"/>
      </font>
      <fill>
        <patternFill patternType="none">
          <fgColor indexed="64"/>
          <bgColor auto="1"/>
        </patternFill>
      </fill>
      <alignment horizontal="right" vertical="center" textRotation="0" wrapText="0" indent="0" justifyLastLine="0" shrinkToFit="0" readingOrder="0"/>
      <border diagonalUp="0" diagonalDown="0" outline="0">
        <left/>
        <right/>
        <top/>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border>
    </dxf>
    <dxf>
      <border>
        <left/>
        <right/>
        <top/>
        <bottom/>
      </border>
    </dxf>
    <dxf>
      <border>
        <left/>
        <right/>
        <top/>
        <bottom/>
      </border>
    </dxf>
    <dxf>
      <border>
        <left/>
        <right/>
        <top/>
        <bottom/>
      </border>
    </dxf>
    <dxf>
      <border>
        <left/>
        <right/>
        <top/>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bgColor indexed="51"/>
        </patternFill>
      </fill>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color theme="9" tint="0.59996337778862885"/>
      </font>
      <numFmt numFmtId="2" formatCode="0.00"/>
      <fill>
        <patternFill>
          <bgColor theme="9" tint="0.59996337778862885"/>
        </patternFill>
      </fill>
    </dxf>
    <dxf>
      <font>
        <condense val="0"/>
        <extend val="0"/>
        <color indexed="55"/>
      </font>
      <fill>
        <patternFill>
          <bgColor theme="4" tint="0.59996337778862885"/>
        </patternFill>
      </fill>
      <border>
        <left/>
        <right/>
        <top/>
        <bottom/>
      </border>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condense val="0"/>
        <extend val="0"/>
        <color indexed="55"/>
      </font>
      <fill>
        <patternFill>
          <bgColor theme="4" tint="0.59996337778862885"/>
        </patternFill>
      </fill>
      <border>
        <left/>
        <right/>
        <top/>
        <bottom/>
      </border>
    </dxf>
    <dxf>
      <font>
        <condense val="0"/>
        <extend val="0"/>
        <color indexed="55"/>
      </font>
      <fill>
        <patternFill>
          <bgColor indexed="22"/>
        </patternFill>
      </fill>
      <border>
        <left/>
        <right/>
        <top/>
        <bottom/>
      </border>
    </dxf>
    <dxf>
      <font>
        <condense val="0"/>
        <extend val="0"/>
        <color indexed="55"/>
      </font>
      <fill>
        <patternFill>
          <bgColor indexed="22"/>
        </patternFill>
      </fill>
      <border>
        <left/>
        <right/>
        <top/>
        <bottom/>
      </border>
    </dxf>
    <dxf>
      <font>
        <condense val="0"/>
        <extend val="0"/>
        <color indexed="10"/>
      </font>
      <fill>
        <patternFill>
          <bgColor theme="4" tint="0.59996337778862885"/>
        </patternFill>
      </fill>
    </dxf>
    <dxf>
      <font>
        <condense val="0"/>
        <extend val="0"/>
        <color indexed="55"/>
      </font>
      <fill>
        <patternFill>
          <bgColor theme="4" tint="0.59996337778862885"/>
        </patternFill>
      </fill>
      <border>
        <left/>
        <right/>
        <top/>
        <bottom/>
      </border>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condense val="0"/>
        <extend val="0"/>
        <color indexed="22"/>
      </font>
      <fill>
        <patternFill>
          <bgColor indexed="22"/>
        </patternFill>
      </fill>
      <border>
        <left/>
        <right/>
        <top/>
        <bottom/>
      </border>
    </dxf>
    <dxf>
      <font>
        <condense val="0"/>
        <extend val="0"/>
        <color indexed="10"/>
      </font>
      <fill>
        <patternFill>
          <bgColor indexed="51"/>
        </patternFill>
      </fill>
    </dxf>
    <dxf>
      <fill>
        <patternFill>
          <bgColor theme="0" tint="-0.14996795556505021"/>
        </patternFill>
      </fill>
      <border>
        <left style="thin">
          <color auto="1"/>
        </left>
        <right style="thin">
          <color auto="1"/>
        </right>
        <top style="thin">
          <color auto="1"/>
        </top>
        <vertical style="thin">
          <color auto="1"/>
        </vertical>
      </border>
    </dxf>
    <dxf>
      <fill>
        <patternFill>
          <bgColor theme="0" tint="-4.9989318521683403E-2"/>
        </patternFill>
      </fill>
    </dxf>
    <dxf>
      <fill>
        <patternFill>
          <bgColor theme="0"/>
        </patternFill>
      </fill>
    </dxf>
    <dxf>
      <border>
        <left style="thin">
          <color theme="0" tint="-0.14996795556505021"/>
        </left>
        <right style="thin">
          <color theme="0" tint="-0.14996795556505021"/>
        </right>
        <top style="thin">
          <color theme="0" tint="-0.14996795556505021"/>
        </top>
        <bottom style="thin">
          <color theme="0" tint="-0.14996795556505021"/>
        </bottom>
        <vertical/>
        <horizontal style="thin">
          <color theme="0" tint="-0.14996795556505021"/>
        </horizontal>
      </border>
    </dxf>
  </dxfs>
  <tableStyles count="2" defaultTableStyle="TableStyleMedium9" defaultPivotStyle="PivotStyleLight16">
    <tableStyle name="PlanRat" pivot="0" count="3" xr9:uid="{00000000-0011-0000-FFFF-FFFF00000000}">
      <tableStyleElement type="wholeTable" dxfId="331"/>
      <tableStyleElement type="firstRowStripe" dxfId="330"/>
      <tableStyleElement type="secondRowStripe" dxfId="329"/>
    </tableStyle>
    <tableStyle name="Styl tabeli 1" pivot="0" count="1" xr9:uid="{00000000-0011-0000-FFFF-FFFF01000000}">
      <tableStyleElement type="headerRow" dxfId="328"/>
    </tableStyle>
  </tableStyles>
  <colors>
    <mruColors>
      <color rgb="FF66FFFF"/>
      <color rgb="FFFF6600"/>
      <color rgb="FF0033CC"/>
      <color rgb="FFA7F7FB"/>
      <color rgb="FF339933"/>
      <color rgb="FFFE7862"/>
      <color rgb="FF99CC00"/>
      <color rgb="FF33CC33"/>
      <color rgb="FF00CC99"/>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externalLinks/externalLink1.xml" Type="http://schemas.openxmlformats.org/officeDocument/2006/relationships/externalLink"/><Relationship Id="rId37" Target="theme/theme1.xml" Type="http://schemas.openxmlformats.org/officeDocument/2006/relationships/theme"/><Relationship Id="rId38" Target="styles.xml" Type="http://schemas.openxmlformats.org/officeDocument/2006/relationships/styles"/><Relationship Id="rId39" Target="sharedStrings.xml" Type="http://schemas.openxmlformats.org/officeDocument/2006/relationships/sharedStrings"/><Relationship Id="rId4" Target="worksheets/sheet4.xml" Type="http://schemas.openxmlformats.org/officeDocument/2006/relationships/worksheet"/><Relationship Id="rId40" Target="persons/person.xml" Type="http://schemas.microsoft.com/office/2017/10/relationships/person"/><Relationship Id="rId41" Target="calcChain.xml" Type="http://schemas.openxmlformats.org/officeDocument/2006/relationships/calcChain"/><Relationship Id="rId42" Target="vbaProject.bin" Type="http://schemas.microsoft.com/office/2006/relationships/vbaProjec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activeX/_rels/activeX1.xml.rels><?xml version="1.0" encoding="UTF-8" standalone="yes"?><Relationships xmlns="http://schemas.openxmlformats.org/package/2006/relationships"><Relationship Id="rId1" Target="activeX1.bin" Type="http://schemas.microsoft.com/office/2006/relationships/activeXControlBinary"/></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Relationships xmlns="http://schemas.openxmlformats.org/package/2006/relationships"><Relationship Id="rId1" Target="../drawings/drawing23.xml" Type="http://schemas.openxmlformats.org/officeDocument/2006/relationships/chartUserShapes"/></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dPt>
            <c:idx val="0"/>
            <c:invertIfNegative val="0"/>
            <c:bubble3D val="0"/>
            <c:spPr>
              <a:solidFill>
                <a:srgbClr val="99CC00"/>
              </a:solidFill>
              <a:ln>
                <a:solidFill>
                  <a:srgbClr val="339933"/>
                </a:solidFill>
              </a:ln>
            </c:spPr>
            <c:extLst>
              <c:ext xmlns:c16="http://schemas.microsoft.com/office/drawing/2014/chart" uri="{C3380CC4-5D6E-409C-BE32-E72D297353CC}">
                <c16:uniqueId val="{00000001-4B57-4960-B56D-267502EEAD2D}"/>
              </c:ext>
            </c:extLst>
          </c:dPt>
          <c:dPt>
            <c:idx val="1"/>
            <c:invertIfNegative val="0"/>
            <c:bubble3D val="0"/>
            <c:spPr>
              <a:solidFill>
                <a:schemeClr val="accent6"/>
              </a:solidFill>
            </c:spPr>
            <c:extLst>
              <c:ext xmlns:c16="http://schemas.microsoft.com/office/drawing/2014/chart" uri="{C3380CC4-5D6E-409C-BE32-E72D297353CC}">
                <c16:uniqueId val="{00000003-4B57-4960-B56D-267502EEAD2D}"/>
              </c:ext>
            </c:extLst>
          </c:dPt>
          <c:dPt>
            <c:idx val="2"/>
            <c:invertIfNegative val="0"/>
            <c:bubble3D val="0"/>
            <c:spPr>
              <a:solidFill>
                <a:schemeClr val="accent6">
                  <a:alpha val="94000"/>
                </a:schemeClr>
              </a:solidFill>
              <a:effectLst>
                <a:innerShdw blurRad="63500" dist="50800" dir="18900000">
                  <a:schemeClr val="accent6">
                    <a:lumMod val="75000"/>
                    <a:alpha val="50000"/>
                  </a:schemeClr>
                </a:innerShdw>
              </a:effectLst>
            </c:spPr>
            <c:extLst>
              <c:ext xmlns:c16="http://schemas.microsoft.com/office/drawing/2014/chart" uri="{C3380CC4-5D6E-409C-BE32-E72D297353CC}">
                <c16:uniqueId val="{00000005-4B57-4960-B56D-267502EEAD2D}"/>
              </c:ext>
            </c:extLst>
          </c:dPt>
          <c:dPt>
            <c:idx val="3"/>
            <c:invertIfNegative val="0"/>
            <c:bubble3D val="0"/>
            <c:spPr>
              <a:solidFill>
                <a:srgbClr val="00B0F0"/>
              </a:solidFill>
            </c:spPr>
            <c:extLst>
              <c:ext xmlns:c16="http://schemas.microsoft.com/office/drawing/2014/chart" uri="{C3380CC4-5D6E-409C-BE32-E72D297353CC}">
                <c16:uniqueId val="{00000007-4B57-4960-B56D-267502EEAD2D}"/>
              </c:ext>
            </c:extLst>
          </c:dPt>
          <c:dPt>
            <c:idx val="4"/>
            <c:invertIfNegative val="0"/>
            <c:bubble3D val="0"/>
            <c:spPr>
              <a:solidFill>
                <a:schemeClr val="accent6"/>
              </a:solidFill>
            </c:spPr>
            <c:extLst>
              <c:ext xmlns:c16="http://schemas.microsoft.com/office/drawing/2014/chart" uri="{C3380CC4-5D6E-409C-BE32-E72D297353CC}">
                <c16:uniqueId val="{00000009-4B57-4960-B56D-267502EEAD2D}"/>
              </c:ext>
            </c:extLst>
          </c:dPt>
          <c:dPt>
            <c:idx val="5"/>
            <c:invertIfNegative val="0"/>
            <c:bubble3D val="0"/>
            <c:spPr>
              <a:solidFill>
                <a:schemeClr val="accent6"/>
              </a:solidFill>
            </c:spPr>
            <c:extLst>
              <c:ext xmlns:c16="http://schemas.microsoft.com/office/drawing/2014/chart" uri="{C3380CC4-5D6E-409C-BE32-E72D297353CC}">
                <c16:uniqueId val="{0000000B-4B57-4960-B56D-267502EEAD2D}"/>
              </c:ext>
            </c:extLst>
          </c:dPt>
          <c:dPt>
            <c:idx val="6"/>
            <c:invertIfNegative val="0"/>
            <c:bubble3D val="0"/>
            <c:spPr>
              <a:solidFill>
                <a:srgbClr val="99CC00"/>
              </a:solidFill>
            </c:spPr>
            <c:extLst>
              <c:ext xmlns:c16="http://schemas.microsoft.com/office/drawing/2014/chart" uri="{C3380CC4-5D6E-409C-BE32-E72D297353CC}">
                <c16:uniqueId val="{0000000D-4B57-4960-B56D-267502EEAD2D}"/>
              </c:ext>
            </c:extLst>
          </c:dPt>
          <c:dPt>
            <c:idx val="7"/>
            <c:invertIfNegative val="0"/>
            <c:bubble3D val="0"/>
            <c:spPr>
              <a:solidFill>
                <a:schemeClr val="accent6">
                  <a:lumMod val="75000"/>
                </a:schemeClr>
              </a:solidFill>
            </c:spPr>
            <c:extLst>
              <c:ext xmlns:c16="http://schemas.microsoft.com/office/drawing/2014/chart" uri="{C3380CC4-5D6E-409C-BE32-E72D297353CC}">
                <c16:uniqueId val="{0000000F-4B57-4960-B56D-267502EEAD2D}"/>
              </c:ext>
            </c:extLst>
          </c:dPt>
          <c:dLbls>
            <c:dLbl>
              <c:idx val="1"/>
              <c:layout>
                <c:manualLayout>
                  <c:x val="0"/>
                  <c:y val="-5.056554851772634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B57-4960-B56D-267502EEAD2D}"/>
                </c:ext>
              </c:extLst>
            </c:dLbl>
            <c:dLbl>
              <c:idx val="4"/>
              <c:layout>
                <c:manualLayout>
                  <c:x val="-5.0942435048395313E-3"/>
                  <c:y val="-1.7321395189620808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B57-4960-B56D-267502EEAD2D}"/>
                </c:ext>
              </c:extLst>
            </c:dLbl>
            <c:spPr>
              <a:effectLst/>
            </c:spPr>
            <c:txPr>
              <a:bodyPr/>
              <a:lstStyle/>
              <a:p>
                <a:pPr>
                  <a:defRPr b="1"/>
                </a:pPr>
                <a:endParaRPr lang="pl-PL"/>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WIZUALIZACJA!$A$1:$H$1</c:f>
              <c:strCache>
                <c:ptCount val="8"/>
                <c:pt idx="0">
                  <c:v>KWOTA POŻYCZKI
(dzień uruchomienia)</c:v>
                </c:pt>
                <c:pt idx="1">
                  <c:v>Płatność Klienta -UBEZPIECZENIE
(w 48 ratach ) </c:v>
                </c:pt>
                <c:pt idx="2">
                  <c:v>Płatność Klienta -PROWIZJA
(dzień uruchomienia)</c:v>
                </c:pt>
                <c:pt idx="3">
                  <c:v>Pozostaje Kredytobiorcy po zapłaceniu ubezpieczenia 
(dzień uruchomienia)</c:v>
                </c:pt>
                <c:pt idx="4">
                  <c:v>Płatności Klienta 
KWOTA POŻYCZKI 
(w 48 ratach ) </c:v>
                </c:pt>
                <c:pt idx="5">
                  <c:v>Płatności Klienta 
ODSETKI
(w 48 ratach ) </c:v>
                </c:pt>
                <c:pt idx="6">
                  <c:v>Łączny przepływ środków 
(dzień uruchomienia)</c:v>
                </c:pt>
                <c:pt idx="7">
                  <c:v>Łączny przepływ środków  (w całym okresie kredytowania)</c:v>
                </c:pt>
              </c:strCache>
            </c:strRef>
          </c:cat>
          <c:val>
            <c:numRef>
              <c:f>WIZUALIZACJA!$A$2:$H$2</c:f>
              <c:numCache>
                <c:formatCode>_-* #\ ##0.00\ [$zł-415]_-;\-* #\ ##0.00\ [$zł-415]_-;_-* "-"??\ [$zł-415]_-;_-@_-</c:formatCode>
                <c:ptCount val="8"/>
                <c:pt idx="0">
                  <c:v>31000</c:v>
                </c:pt>
                <c:pt idx="1">
                  <c:v>0</c:v>
                </c:pt>
                <c:pt idx="2">
                  <c:v>0</c:v>
                </c:pt>
                <c:pt idx="3">
                  <c:v>31000</c:v>
                </c:pt>
                <c:pt idx="4">
                  <c:v>31000</c:v>
                </c:pt>
                <c:pt idx="5">
                  <c:v>5676.7000000000016</c:v>
                </c:pt>
                <c:pt idx="6">
                  <c:v>31000</c:v>
                </c:pt>
                <c:pt idx="7">
                  <c:v>36676.700000000004</c:v>
                </c:pt>
              </c:numCache>
            </c:numRef>
          </c:val>
          <c:extLst>
            <c:ext xmlns:c16="http://schemas.microsoft.com/office/drawing/2014/chart" uri="{C3380CC4-5D6E-409C-BE32-E72D297353CC}">
              <c16:uniqueId val="{00000010-4B57-4960-B56D-267502EEAD2D}"/>
            </c:ext>
          </c:extLst>
        </c:ser>
        <c:dLbls>
          <c:showLegendKey val="0"/>
          <c:showVal val="0"/>
          <c:showCatName val="0"/>
          <c:showSerName val="0"/>
          <c:showPercent val="0"/>
          <c:showBubbleSize val="0"/>
        </c:dLbls>
        <c:gapWidth val="65"/>
        <c:overlap val="-2"/>
        <c:axId val="349544328"/>
        <c:axId val="349546680"/>
      </c:barChart>
      <c:catAx>
        <c:axId val="349544328"/>
        <c:scaling>
          <c:orientation val="minMax"/>
        </c:scaling>
        <c:delete val="0"/>
        <c:axPos val="b"/>
        <c:numFmt formatCode="General" sourceLinked="0"/>
        <c:majorTickMark val="out"/>
        <c:minorTickMark val="none"/>
        <c:tickLblPos val="nextTo"/>
        <c:txPr>
          <a:bodyPr/>
          <a:lstStyle/>
          <a:p>
            <a:pPr>
              <a:defRPr sz="1050" b="0"/>
            </a:pPr>
            <a:endParaRPr lang="pl-PL"/>
          </a:p>
        </c:txPr>
        <c:crossAx val="349546680"/>
        <c:crosses val="autoZero"/>
        <c:auto val="1"/>
        <c:lblAlgn val="ctr"/>
        <c:lblOffset val="100"/>
        <c:noMultiLvlLbl val="0"/>
      </c:catAx>
      <c:valAx>
        <c:axId val="349546680"/>
        <c:scaling>
          <c:orientation val="minMax"/>
        </c:scaling>
        <c:delete val="0"/>
        <c:axPos val="l"/>
        <c:majorGridlines>
          <c:spPr>
            <a:ln>
              <a:solidFill>
                <a:schemeClr val="bg1">
                  <a:lumMod val="75000"/>
                </a:schemeClr>
              </a:solidFill>
            </a:ln>
          </c:spPr>
        </c:majorGridlines>
        <c:numFmt formatCode="#,##0" sourceLinked="0"/>
        <c:majorTickMark val="out"/>
        <c:minorTickMark val="none"/>
        <c:tickLblPos val="nextTo"/>
        <c:crossAx val="349544328"/>
        <c:crosses val="autoZero"/>
        <c:crossBetween val="between"/>
      </c:valAx>
    </c:plotArea>
    <c:plotVisOnly val="1"/>
    <c:dispBlanksAs val="gap"/>
    <c:showDLblsOverMax val="0"/>
  </c:chart>
  <c:printSettings>
    <c:headerFooter/>
    <c:pageMargins b="0.75" l="0.7" r="0.7" t="0.75" header="0.3" footer="0.3"/>
    <c:pageSetup/>
  </c:printSettings>
  <c:userShapes r:id="rId1"/>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checked="Checked" fmlaLink="$D$14" lockText="1"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drawings/_rels/drawing2.xml.rels><?xml version="1.0" encoding="UTF-8" standalone="yes"?><Relationships xmlns="http://schemas.openxmlformats.org/package/2006/relationships"><Relationship Id="rId1" Target="../media/image2.emf" Type="http://schemas.openxmlformats.org/officeDocument/2006/relationships/image"/></Relationships>
</file>

<file path=xl/drawings/_rels/drawing4.xml.rels><?xml version="1.0" encoding="UTF-8" standalone="yes"?><Relationships xmlns="http://schemas.openxmlformats.org/package/2006/relationships"><Relationship Id="rId1" Target="../media/image3.png" Type="http://schemas.openxmlformats.org/officeDocument/2006/relationships/image"/><Relationship Id="rId2" Target="../media/image4.emf" Type="http://schemas.openxmlformats.org/officeDocument/2006/relationships/image"/></Relationships>
</file>

<file path=xl/drawings/_rels/drawing6.xml.rels><?xml version="1.0" encoding="UTF-8" standalone="yes"?><Relationships xmlns="http://schemas.openxmlformats.org/package/2006/relationships"><Relationship Id="rId1" Target="../media/image6.png" Type="http://schemas.openxmlformats.org/officeDocument/2006/relationships/image"/></Relationships>
</file>

<file path=xl/drawings/_rels/drawing7.xml.rels><?xml version="1.0" encoding="UTF-8" standalone="yes"?><Relationships xmlns="http://schemas.openxmlformats.org/package/2006/relationships"><Relationship Id="rId1" Target="../media/image9.png" Type="http://schemas.openxmlformats.org/officeDocument/2006/relationships/image"/><Relationship Id="rId2" Target="../media/image10.png" Type="http://schemas.openxmlformats.org/officeDocument/2006/relationships/image"/></Relationships>
</file>

<file path=xl/drawings/_rels/drawing20.xml.rels><?xml version="1.0" encoding="UTF-8" standalone="yes"?><Relationships xmlns="http://schemas.openxmlformats.org/package/2006/relationships"><Relationship Id="rId1" Target="../media/image6.png" Type="http://schemas.openxmlformats.org/officeDocument/2006/relationships/image"/></Relationships>
</file>

<file path=xl/drawings/_rels/drawing22.xml.rels><?xml version="1.0" encoding="UTF-8" standalone="yes"?><Relationships xmlns="http://schemas.openxmlformats.org/package/2006/relationships"><Relationship Id="rId1" Target="../charts/chart1.xml" Type="http://schemas.openxmlformats.org/officeDocument/2006/relationships/chart"/></Relationships>
</file>

<file path=xl/drawings/_rels/vmlDrawing1.vml.rels><?xml version="1.0" encoding="UTF-8" standalone="yes"?><Relationships xmlns="http://schemas.openxmlformats.org/package/2006/relationships"><Relationship Id="rId1" Target="../media/image1.emf" Type="http://schemas.openxmlformats.org/officeDocument/2006/relationships/image"/></Relationships>
</file>

<file path=xl/drawings/_rels/vmlDrawing6.vml.rels><?xml version="1.0" encoding="UTF-8" standalone="yes"?><Relationships xmlns="http://schemas.openxmlformats.org/package/2006/relationships"><Relationship Id="rId1" Target="../media/image5.emf" Type="http://schemas.openxmlformats.org/officeDocument/2006/relationships/image"/></Relationships>
</file>

<file path=xl/drawings/_rels/vmlDrawing7.vml.rels><?xml version="1.0" encoding="UTF-8" standalone="yes"?><Relationships xmlns="http://schemas.openxmlformats.org/package/2006/relationships"><Relationship Id="rId1" Target="../media/image7.png" Type="http://schemas.openxmlformats.org/officeDocument/2006/relationships/image"/><Relationship Id="rId2" Target="../media/image8.png" Type="http://schemas.openxmlformats.org/officeDocument/2006/relationships/image"/></Relationships>
</file>

<file path=xl/drawings/_rels/vmlDrawing20.vml.rels><?xml version="1.0" encoding="UTF-8" standalone="yes"?><Relationships xmlns="http://schemas.openxmlformats.org/package/2006/relationships"><Relationship Id="rId1" Target="../media/image8.png" Type="http://schemas.openxmlformats.org/officeDocument/2006/relationships/image"/></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1574800</xdr:colOff>
          <xdr:row>1</xdr:row>
          <xdr:rowOff>57150</xdr:rowOff>
        </xdr:from>
        <xdr:to>
          <xdr:col>12</xdr:col>
          <xdr:colOff>2336800</xdr:colOff>
          <xdr:row>2</xdr:row>
          <xdr:rowOff>50800</xdr:rowOff>
        </xdr:to>
        <xdr:sp macro="" textlink="">
          <xdr:nvSpPr>
            <xdr:cNvPr id="2192" name="Object 144"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146050</xdr:colOff>
          <xdr:row>18</xdr:row>
          <xdr:rowOff>12700</xdr:rowOff>
        </xdr:from>
        <xdr:to>
          <xdr:col>10</xdr:col>
          <xdr:colOff>57150</xdr:colOff>
          <xdr:row>19</xdr:row>
          <xdr:rowOff>184150</xdr:rowOff>
        </xdr:to>
        <xdr:sp macro="" textlink="">
          <xdr:nvSpPr>
            <xdr:cNvPr id="2706" name="Button 658" hidden="1">
              <a:extLst>
                <a:ext uri="{63B3BB69-23CF-44E3-9099-C40C66FF867C}">
                  <a14:compatExt spid="_x0000_s2706"/>
                </a:ext>
                <a:ext uri="{FF2B5EF4-FFF2-40B4-BE49-F238E27FC236}">
                  <a16:creationId xmlns:a16="http://schemas.microsoft.com/office/drawing/2014/main" id="{00000000-0008-0000-0000-0000920A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pl-PL" sz="1200" b="1" i="0" u="none" strike="noStrike" baseline="0">
                  <a:solidFill>
                    <a:srgbClr val="333399"/>
                  </a:solidFill>
                  <a:latin typeface="Arial Narrow"/>
                </a:rPr>
                <a:t>INFORMACJA SKRÓCONA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146050</xdr:colOff>
          <xdr:row>20</xdr:row>
          <xdr:rowOff>57150</xdr:rowOff>
        </xdr:from>
        <xdr:to>
          <xdr:col>10</xdr:col>
          <xdr:colOff>57150</xdr:colOff>
          <xdr:row>21</xdr:row>
          <xdr:rowOff>228600</xdr:rowOff>
        </xdr:to>
        <xdr:sp macro="" textlink="">
          <xdr:nvSpPr>
            <xdr:cNvPr id="2728" name="Button 680" hidden="1">
              <a:extLst>
                <a:ext uri="{63B3BB69-23CF-44E3-9099-C40C66FF867C}">
                  <a14:compatExt spid="_x0000_s2728"/>
                </a:ext>
                <a:ext uri="{FF2B5EF4-FFF2-40B4-BE49-F238E27FC236}">
                  <a16:creationId xmlns:a16="http://schemas.microsoft.com/office/drawing/2014/main" id="{00000000-0008-0000-0000-0000A80A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pl-PL" sz="1200" b="1" i="0" u="none" strike="noStrike" baseline="0">
                  <a:solidFill>
                    <a:srgbClr val="000080"/>
                  </a:solidFill>
                  <a:latin typeface="Arial Narrow"/>
                </a:rPr>
                <a:t>SYMULACJA SPŁATY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24</xdr:row>
          <xdr:rowOff>12700</xdr:rowOff>
        </xdr:from>
        <xdr:to>
          <xdr:col>16383</xdr:col>
          <xdr:colOff>0</xdr:colOff>
          <xdr:row>29</xdr:row>
          <xdr:rowOff>12700</xdr:rowOff>
        </xdr:to>
        <xdr:sp macro="" textlink="">
          <xdr:nvSpPr>
            <xdr:cNvPr id="2829" name="Button 781" hidden="1">
              <a:extLst>
                <a:ext uri="{63B3BB69-23CF-44E3-9099-C40C66FF867C}">
                  <a14:compatExt spid="_x0000_s2829"/>
                </a:ext>
                <a:ext uri="{FF2B5EF4-FFF2-40B4-BE49-F238E27FC236}">
                  <a16:creationId xmlns:a16="http://schemas.microsoft.com/office/drawing/2014/main" id="{00000000-0008-0000-0000-00000D0B0000}"/>
                </a:ext>
              </a:extLst>
            </xdr:cNvPr>
            <xdr:cNvSpPr/>
          </xdr:nvSpPr>
          <xdr:spPr bwMode="auto">
            <a:xfrm>
              <a:off x="0" y="0"/>
              <a:ext cx="0" cy="0"/>
            </a:xfrm>
            <a:prstGeom prst="rect">
              <a:avLst/>
            </a:prstGeom>
            <a:noFill/>
            <a:ln w="9525">
              <a:miter lim="800000"/>
              <a:headEnd/>
              <a:tailEnd/>
            </a:ln>
            <a:effectLst/>
            <a:extLst>
              <a:ext uri="{53640926-AAD7-44D8-BBD7-CCE9431645EC}">
                <a14:shadowObscured val="1"/>
              </a:ext>
            </a:extLst>
          </xdr:spPr>
          <xdr:txBody>
            <a:bodyPr vertOverflow="clip" wrap="square" lIns="45720" tIns="41148" rIns="45720" bIns="41148" anchor="ctr" upright="1"/>
            <a:lstStyle/>
            <a:p>
              <a:pPr algn="ctr" rtl="0">
                <a:defRPr sz="1000"/>
              </a:pPr>
              <a:r>
                <a:rPr lang="pl-PL" sz="1300" b="1" i="0" u="none" strike="noStrike" baseline="0">
                  <a:solidFill>
                    <a:srgbClr val="000080"/>
                  </a:solidFill>
                  <a:latin typeface="Calibri"/>
                  <a:ea typeface="Calibri"/>
                  <a:cs typeface="Calibri"/>
                </a:rPr>
                <a:t>ZOBACZ MAKSYMALNE OFERTY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29</xdr:row>
          <xdr:rowOff>12700</xdr:rowOff>
        </xdr:from>
        <xdr:to>
          <xdr:col>16383</xdr:col>
          <xdr:colOff>0</xdr:colOff>
          <xdr:row>29</xdr:row>
          <xdr:rowOff>12700</xdr:rowOff>
        </xdr:to>
        <xdr:sp macro="" textlink="">
          <xdr:nvSpPr>
            <xdr:cNvPr id="2832" name="Button 784" hidden="1">
              <a:extLst>
                <a:ext uri="{63B3BB69-23CF-44E3-9099-C40C66FF867C}">
                  <a14:compatExt spid="_x0000_s2832"/>
                </a:ext>
                <a:ext uri="{FF2B5EF4-FFF2-40B4-BE49-F238E27FC236}">
                  <a16:creationId xmlns:a16="http://schemas.microsoft.com/office/drawing/2014/main" id="{00000000-0008-0000-0000-0000100B0000}"/>
                </a:ext>
              </a:extLst>
            </xdr:cNvPr>
            <xdr:cNvSpPr/>
          </xdr:nvSpPr>
          <xdr:spPr bwMode="auto">
            <a:xfrm>
              <a:off x="0" y="0"/>
              <a:ext cx="0" cy="0"/>
            </a:xfrm>
            <a:prstGeom prst="rect">
              <a:avLst/>
            </a:prstGeom>
            <a:noFill/>
            <a:ln w="9525">
              <a:miter lim="800000"/>
              <a:headEnd/>
              <a:tailEnd/>
            </a:ln>
            <a:effectLst/>
            <a:extLst>
              <a:ext uri="{53640926-AAD7-44D8-BBD7-CCE9431645EC}">
                <a14:shadowObscured val="1"/>
              </a:ext>
            </a:extLst>
          </xdr:spPr>
          <xdr:txBody>
            <a:bodyPr vertOverflow="clip" wrap="square" lIns="45720" tIns="41148" rIns="45720" bIns="41148" anchor="ctr" upright="1"/>
            <a:lstStyle/>
            <a:p>
              <a:pPr algn="ctr" rtl="0">
                <a:defRPr sz="1000"/>
              </a:pPr>
              <a:r>
                <a:rPr lang="pl-PL" sz="1300" b="1" i="0" u="none" strike="noStrike" baseline="0">
                  <a:solidFill>
                    <a:srgbClr val="000080"/>
                  </a:solidFill>
                  <a:latin typeface="Calibri"/>
                  <a:ea typeface="Calibri"/>
                  <a:cs typeface="Calibri"/>
                </a:rPr>
                <a:t>OFERTY     Contact Center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14</xdr:row>
          <xdr:rowOff>50800</xdr:rowOff>
        </xdr:from>
        <xdr:to>
          <xdr:col>4</xdr:col>
          <xdr:colOff>1257300</xdr:colOff>
          <xdr:row>14</xdr:row>
          <xdr:rowOff>247650</xdr:rowOff>
        </xdr:to>
        <xdr:sp macro="" textlink="">
          <xdr:nvSpPr>
            <xdr:cNvPr id="2890" name="prowizja_kred_bool" hidden="1">
              <a:extLst>
                <a:ext uri="{63B3BB69-23CF-44E3-9099-C40C66FF867C}">
                  <a14:compatExt spid="_x0000_s2890"/>
                </a:ext>
                <a:ext uri="{FF2B5EF4-FFF2-40B4-BE49-F238E27FC236}">
                  <a16:creationId xmlns:a16="http://schemas.microsoft.com/office/drawing/2014/main" id="{00000000-0008-0000-0000-00004A0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pl-PL" sz="800" b="0" i="0" u="none" strike="noStrike" baseline="0">
                  <a:solidFill>
                    <a:srgbClr val="000000"/>
                  </a:solidFill>
                  <a:latin typeface="Segoe UI"/>
                  <a:cs typeface="Segoe UI"/>
                </a:rPr>
                <a:t>Prowizja Kredytowana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107950</xdr:colOff>
          <xdr:row>21</xdr:row>
          <xdr:rowOff>0</xdr:rowOff>
        </xdr:from>
        <xdr:to>
          <xdr:col>4</xdr:col>
          <xdr:colOff>1428750</xdr:colOff>
          <xdr:row>22</xdr:row>
          <xdr:rowOff>19050</xdr:rowOff>
        </xdr:to>
        <xdr:sp macro="" textlink="">
          <xdr:nvSpPr>
            <xdr:cNvPr id="2892" name="zdolnosc_kredytowa" hidden="1">
              <a:extLst>
                <a:ext uri="{63B3BB69-23CF-44E3-9099-C40C66FF867C}">
                  <a14:compatExt spid="_x0000_s2892"/>
                </a:ext>
                <a:ext uri="{FF2B5EF4-FFF2-40B4-BE49-F238E27FC236}">
                  <a16:creationId xmlns:a16="http://schemas.microsoft.com/office/drawing/2014/main" id="{00000000-0008-0000-0000-00004C0B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000" b="0" i="0" u="none" strike="noStrike" baseline="0">
                  <a:solidFill>
                    <a:srgbClr val="000000"/>
                  </a:solidFill>
                  <a:latin typeface="Arial"/>
                  <a:cs typeface="Arial"/>
                </a:rPr>
                <a:t>OBLICZ ZDOLNOŚĆ KREDYTOWĄ</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274320</xdr:colOff>
      <xdr:row>7</xdr:row>
      <xdr:rowOff>7620</xdr:rowOff>
    </xdr:from>
    <xdr:to>
      <xdr:col>12</xdr:col>
      <xdr:colOff>762000</xdr:colOff>
      <xdr:row>13</xdr:row>
      <xdr:rowOff>99060</xdr:rowOff>
    </xdr:to>
    <xdr:sp macro="" textlink="">
      <xdr:nvSpPr>
        <xdr:cNvPr id="9219" name="AutoShape 3">
          <a:extLst>
            <a:ext uri="{FF2B5EF4-FFF2-40B4-BE49-F238E27FC236}">
              <a16:creationId xmlns:a16="http://schemas.microsoft.com/office/drawing/2014/main" id="{00000000-0008-0000-0A00-000003240000}"/>
            </a:ext>
          </a:extLst>
        </xdr:cNvPr>
        <xdr:cNvSpPr>
          <a:spLocks noChangeArrowheads="1"/>
        </xdr:cNvSpPr>
      </xdr:nvSpPr>
      <xdr:spPr bwMode="auto">
        <a:xfrm>
          <a:off x="8496300" y="1196340"/>
          <a:ext cx="1562100" cy="1097280"/>
        </a:xfrm>
        <a:prstGeom prst="foldedCorner">
          <a:avLst>
            <a:gd name="adj" fmla="val 22579"/>
          </a:avLst>
        </a:prstGeom>
        <a:solidFill>
          <a:srgbClr val="FFFFFF"/>
        </a:solidFill>
        <a:ln w="15875">
          <a:solidFill>
            <a:srgbClr val="000000"/>
          </a:solidFill>
          <a:round/>
          <a:headEnd/>
          <a:tailEnd/>
        </a:ln>
      </xdr:spPr>
      <xdr:txBody>
        <a:bodyPr vertOverflow="clip" wrap="square" lIns="27432" tIns="22860" rIns="27432" bIns="0" anchor="t" upright="1"/>
        <a:lstStyle/>
        <a:p>
          <a:pPr algn="ctr" rtl="0">
            <a:defRPr sz="1000"/>
          </a:pPr>
          <a:r>
            <a:rPr lang="pl-PL" sz="1000" b="0" i="0" u="none" strike="noStrike" baseline="0">
              <a:solidFill>
                <a:srgbClr val="000000"/>
              </a:solidFill>
              <a:latin typeface="Arial"/>
              <a:cs typeface="Arial"/>
            </a:rPr>
            <a:t>Maksymalne </a:t>
          </a:r>
        </a:p>
        <a:p>
          <a:pPr algn="ctr" rtl="0">
            <a:defRPr sz="1000"/>
          </a:pPr>
          <a:r>
            <a:rPr lang="pl-PL" sz="1000" b="0" i="0" u="none" strike="noStrike" baseline="0">
              <a:solidFill>
                <a:srgbClr val="000000"/>
              </a:solidFill>
              <a:latin typeface="Arial"/>
              <a:cs typeface="Arial"/>
            </a:rPr>
            <a:t>Kwoty</a:t>
          </a:r>
        </a:p>
        <a:p>
          <a:pPr algn="ctr" rtl="0">
            <a:defRPr sz="1000"/>
          </a:pPr>
          <a:r>
            <a:rPr lang="pl-PL" sz="1000" b="0" i="0" u="none" strike="noStrike" baseline="0">
              <a:solidFill>
                <a:srgbClr val="000000"/>
              </a:solidFill>
              <a:latin typeface="Arial"/>
              <a:cs typeface="Arial"/>
            </a:rPr>
            <a:t>Dla</a:t>
          </a:r>
        </a:p>
        <a:p>
          <a:pPr algn="ctr" rtl="0">
            <a:defRPr sz="1000"/>
          </a:pPr>
          <a:r>
            <a:rPr lang="pl-PL" sz="1000" b="1" i="0" u="none" strike="noStrike" baseline="0">
              <a:solidFill>
                <a:srgbClr val="FF0000"/>
              </a:solidFill>
              <a:latin typeface="Arial"/>
              <a:cs typeface="Arial"/>
            </a:rPr>
            <a:t>Wybranego</a:t>
          </a:r>
        </a:p>
        <a:p>
          <a:pPr algn="ctr" rtl="0">
            <a:defRPr sz="1000"/>
          </a:pPr>
          <a:r>
            <a:rPr lang="pl-PL" sz="1000" b="1" i="0" u="none" strike="noStrike" baseline="0">
              <a:solidFill>
                <a:srgbClr val="FF0000"/>
              </a:solidFill>
              <a:latin typeface="Arial"/>
              <a:cs typeface="Arial"/>
            </a:rPr>
            <a:t>Produktu</a:t>
          </a:r>
          <a:endParaRPr lang="pl-PL" sz="1000" b="0" i="0" u="none" strike="noStrike" baseline="0">
            <a:solidFill>
              <a:srgbClr val="000000"/>
            </a:solidFill>
            <a:latin typeface="Arial"/>
            <a:cs typeface="Arial"/>
          </a:endParaRPr>
        </a:p>
        <a:p>
          <a:pPr algn="ctr" rtl="0">
            <a:defRPr sz="1000"/>
          </a:pPr>
          <a:endParaRPr lang="pl-PL" sz="1000" b="0" i="0" u="none" strike="noStrike" baseline="0">
            <a:solidFill>
              <a:srgbClr val="000000"/>
            </a:solidFill>
            <a:latin typeface="Arial"/>
            <a:cs typeface="Arial"/>
          </a:endParaRPr>
        </a:p>
      </xdr:txBody>
    </xdr:sp>
    <xdr:clientData/>
  </xdr:twoCellAnchor>
  <xdr:twoCellAnchor editAs="oneCell">
    <xdr:from>
      <xdr:col>4</xdr:col>
      <xdr:colOff>160020</xdr:colOff>
      <xdr:row>21</xdr:row>
      <xdr:rowOff>15240</xdr:rowOff>
    </xdr:from>
    <xdr:to>
      <xdr:col>12</xdr:col>
      <xdr:colOff>262890</xdr:colOff>
      <xdr:row>25</xdr:row>
      <xdr:rowOff>45720</xdr:rowOff>
    </xdr:to>
    <xdr:pic>
      <xdr:nvPicPr>
        <xdr:cNvPr id="41695" name="Obraz 2">
          <a:extLst>
            <a:ext uri="{FF2B5EF4-FFF2-40B4-BE49-F238E27FC236}">
              <a16:creationId xmlns:a16="http://schemas.microsoft.com/office/drawing/2014/main" id="{00000000-0008-0000-0A00-0000DFA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32760" y="3642360"/>
          <a:ext cx="7330440" cy="701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88900</xdr:colOff>
          <xdr:row>53</xdr:row>
          <xdr:rowOff>127000</xdr:rowOff>
        </xdr:from>
        <xdr:to>
          <xdr:col>7</xdr:col>
          <xdr:colOff>946150</xdr:colOff>
          <xdr:row>56</xdr:row>
          <xdr:rowOff>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B00-000001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sng" strike="noStrike" baseline="0">
                  <a:solidFill>
                    <a:srgbClr val="660066"/>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228600</xdr:colOff>
          <xdr:row>10</xdr:row>
          <xdr:rowOff>69850</xdr:rowOff>
        </xdr:from>
        <xdr:to>
          <xdr:col>7</xdr:col>
          <xdr:colOff>431800</xdr:colOff>
          <xdr:row>12</xdr:row>
          <xdr:rowOff>76200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B00-00000A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none" strike="noStrike" baseline="0">
                  <a:solidFill>
                    <a:srgbClr val="000000"/>
                  </a:solidFill>
                  <a:latin typeface="Arial Narrow"/>
                </a:rPr>
                <a:t>ZEROWANIE</a:t>
              </a:r>
            </a:p>
          </xdr:txBody>
        </xdr:sp>
        <xdr:clientData fPrintsWithSheet="0"/>
      </xdr:twoCellAnchor>
    </mc:Choice>
    <mc:Fallback/>
  </mc:AlternateContent>
  <xdr:twoCellAnchor>
    <xdr:from>
      <xdr:col>5</xdr:col>
      <xdr:colOff>114298</xdr:colOff>
      <xdr:row>6</xdr:row>
      <xdr:rowOff>38101</xdr:rowOff>
    </xdr:from>
    <xdr:to>
      <xdr:col>7</xdr:col>
      <xdr:colOff>1095373</xdr:colOff>
      <xdr:row>8</xdr:row>
      <xdr:rowOff>142875</xdr:rowOff>
    </xdr:to>
    <xdr:sp macro="" textlink="">
      <xdr:nvSpPr>
        <xdr:cNvPr id="2" name="Strzałka w prawo 1">
          <a:extLst>
            <a:ext uri="{FF2B5EF4-FFF2-40B4-BE49-F238E27FC236}">
              <a16:creationId xmlns:a16="http://schemas.microsoft.com/office/drawing/2014/main" id="{00000000-0008-0000-0B00-000002000000}"/>
            </a:ext>
          </a:extLst>
        </xdr:cNvPr>
        <xdr:cNvSpPr/>
      </xdr:nvSpPr>
      <xdr:spPr bwMode="auto">
        <a:xfrm flipH="1">
          <a:off x="5305423" y="609601"/>
          <a:ext cx="1876425" cy="485774"/>
        </a:xfrm>
        <a:prstGeom prst="rightArrow">
          <a:avLst>
            <a:gd name="adj1" fmla="val 50000"/>
            <a:gd name="adj2" fmla="val 38223"/>
          </a:avLst>
        </a:prstGeom>
        <a:ln>
          <a:headEnd type="none" w="med" len="med"/>
          <a:tailEnd type="none" w="med" len="med"/>
        </a:ln>
        <a:extLst>
          <a:ext uri="{53640926-AAD7-44D8-BBD7-CCE9431645EC}">
            <a14:shadowObscured xmlns:a14="http://schemas.microsoft.com/office/drawing/2010/main" val="1"/>
          </a:ext>
        </a:extLst>
      </xdr:spPr>
      <xdr:style>
        <a:lnRef idx="0">
          <a:schemeClr val="accent6"/>
        </a:lnRef>
        <a:fillRef idx="3">
          <a:schemeClr val="accent6"/>
        </a:fillRef>
        <a:effectRef idx="3">
          <a:schemeClr val="accent6"/>
        </a:effectRef>
        <a:fontRef idx="minor">
          <a:schemeClr val="lt1"/>
        </a:fontRef>
      </xdr:style>
      <xdr:txBody>
        <a:bodyPr vertOverflow="clip" horzOverflow="clip" wrap="square" lIns="18288" tIns="0" rIns="0" bIns="0" rtlCol="0" anchor="ctr" upright="1"/>
        <a:lstStyle/>
        <a:p>
          <a:pPr algn="ctr"/>
          <a:r>
            <a:rPr lang="pl-PL" sz="1050"/>
            <a:t>ZDOLNOŚĆ KREDYTOWA</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628650</xdr:colOff>
      <xdr:row>13</xdr:row>
      <xdr:rowOff>133350</xdr:rowOff>
    </xdr:from>
    <xdr:to>
      <xdr:col>7</xdr:col>
      <xdr:colOff>409575</xdr:colOff>
      <xdr:row>19</xdr:row>
      <xdr:rowOff>46990</xdr:rowOff>
    </xdr:to>
    <xdr:pic>
      <xdr:nvPicPr>
        <xdr:cNvPr id="14" name="Obraz 13">
          <a:extLst>
            <a:ext uri="{FF2B5EF4-FFF2-40B4-BE49-F238E27FC236}">
              <a16:creationId xmlns:a16="http://schemas.microsoft.com/office/drawing/2014/main" id="{00000000-0008-0000-0C00-00000E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81350" y="2609850"/>
          <a:ext cx="4076700" cy="913765"/>
        </a:xfrm>
        <a:prstGeom prst="rect">
          <a:avLst/>
        </a:prstGeom>
        <a:solidFill>
          <a:srgbClr val="FFC000"/>
        </a:solidFill>
        <a:ln>
          <a:noFill/>
        </a:ln>
      </xdr:spPr>
    </xdr:pic>
    <xdr:clientData/>
  </xdr:twoCellAnchor>
  <xdr:twoCellAnchor editAs="oneCell">
    <xdr:from>
      <xdr:col>2</xdr:col>
      <xdr:colOff>704851</xdr:colOff>
      <xdr:row>9</xdr:row>
      <xdr:rowOff>95250</xdr:rowOff>
    </xdr:from>
    <xdr:to>
      <xdr:col>10</xdr:col>
      <xdr:colOff>600076</xdr:colOff>
      <xdr:row>12</xdr:row>
      <xdr:rowOff>133350</xdr:rowOff>
    </xdr:to>
    <xdr:pic>
      <xdr:nvPicPr>
        <xdr:cNvPr id="15" name="Obraz 14">
          <a:extLst>
            <a:ext uri="{FF2B5EF4-FFF2-40B4-BE49-F238E27FC236}">
              <a16:creationId xmlns:a16="http://schemas.microsoft.com/office/drawing/2014/main" id="{00000000-0008-0000-0C00-00000F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7392" b="36666"/>
        <a:stretch/>
      </xdr:blipFill>
      <xdr:spPr bwMode="auto">
        <a:xfrm>
          <a:off x="3257551" y="1733550"/>
          <a:ext cx="632460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19050</xdr:colOff>
      <xdr:row>6</xdr:row>
      <xdr:rowOff>0</xdr:rowOff>
    </xdr:from>
    <xdr:to>
      <xdr:col>2</xdr:col>
      <xdr:colOff>628650</xdr:colOff>
      <xdr:row>14</xdr:row>
      <xdr:rowOff>56833</xdr:rowOff>
    </xdr:to>
    <xdr:cxnSp macro="">
      <xdr:nvCxnSpPr>
        <xdr:cNvPr id="5" name="Łącznik prosty ze strzałką 4">
          <a:extLst>
            <a:ext uri="{FF2B5EF4-FFF2-40B4-BE49-F238E27FC236}">
              <a16:creationId xmlns:a16="http://schemas.microsoft.com/office/drawing/2014/main" id="{00000000-0008-0000-0C00-000005000000}"/>
            </a:ext>
          </a:extLst>
        </xdr:cNvPr>
        <xdr:cNvCxnSpPr>
          <a:stCxn id="14" idx="1"/>
        </xdr:cNvCxnSpPr>
      </xdr:nvCxnSpPr>
      <xdr:spPr bwMode="auto">
        <a:xfrm flipH="1" flipV="1">
          <a:off x="2571750" y="1152525"/>
          <a:ext cx="609600" cy="1542733"/>
        </a:xfrm>
        <a:prstGeom prst="straightConnector1">
          <a:avLst/>
        </a:prstGeom>
        <a:solidFill>
          <a:srgbClr val="FFFFE1"/>
        </a:solidFill>
        <a:ln w="9525" cap="flat" cmpd="sng" algn="ctr">
          <a:solidFill>
            <a:srgbClr val="000000"/>
          </a:solidFill>
          <a:prstDash val="solid"/>
          <a:round/>
          <a:headEnd type="none" w="med" len="med"/>
          <a:tailEnd type="triangle"/>
        </a:ln>
        <a:effectLst>
          <a:outerShdw dist="35921" dir="2700000" algn="ctr" rotWithShape="0">
            <a:srgbClr val="000000"/>
          </a:outerShdw>
        </a:effectLst>
        <a:extLst>
          <a:ext uri="{53640926-AAD7-44D8-BBD7-CCE9431645EC}">
            <a14:shadowObscured xmlns:a14="http://schemas.microsoft.com/office/drawing/2010/main" val="1"/>
          </a:ext>
        </a:extLst>
      </xdr:spPr>
    </xdr:cxnSp>
    <xdr:clientData/>
  </xdr:twoCellAnchor>
  <xdr:twoCellAnchor>
    <xdr:from>
      <xdr:col>2</xdr:col>
      <xdr:colOff>41414</xdr:colOff>
      <xdr:row>9</xdr:row>
      <xdr:rowOff>368162</xdr:rowOff>
    </xdr:from>
    <xdr:to>
      <xdr:col>2</xdr:col>
      <xdr:colOff>704851</xdr:colOff>
      <xdr:row>10</xdr:row>
      <xdr:rowOff>99392</xdr:rowOff>
    </xdr:to>
    <xdr:cxnSp macro="">
      <xdr:nvCxnSpPr>
        <xdr:cNvPr id="10" name="Łącznik prosty ze strzałką 9">
          <a:extLst>
            <a:ext uri="{FF2B5EF4-FFF2-40B4-BE49-F238E27FC236}">
              <a16:creationId xmlns:a16="http://schemas.microsoft.com/office/drawing/2014/main" id="{00000000-0008-0000-0C00-00000A000000}"/>
            </a:ext>
          </a:extLst>
        </xdr:cNvPr>
        <xdr:cNvCxnSpPr>
          <a:stCxn id="15" idx="1"/>
        </xdr:cNvCxnSpPr>
      </xdr:nvCxnSpPr>
      <xdr:spPr bwMode="auto">
        <a:xfrm flipH="1">
          <a:off x="2592457" y="2032966"/>
          <a:ext cx="663437" cy="219904"/>
        </a:xfrm>
        <a:prstGeom prst="straightConnector1">
          <a:avLst/>
        </a:prstGeom>
        <a:solidFill>
          <a:srgbClr val="FFFFE1"/>
        </a:solidFill>
        <a:ln w="9525" cap="flat" cmpd="sng" algn="ctr">
          <a:solidFill>
            <a:srgbClr val="000000"/>
          </a:solidFill>
          <a:prstDash val="solid"/>
          <a:round/>
          <a:headEnd type="none" w="med" len="med"/>
          <a:tailEnd type="triangle"/>
        </a:ln>
        <a:effectLst>
          <a:outerShdw dist="35921" dir="2700000" algn="ctr" rotWithShape="0">
            <a:srgbClr val="000000"/>
          </a:outerShdw>
        </a:effectLst>
        <a:extLst>
          <a:ext uri="{53640926-AAD7-44D8-BBD7-CCE9431645EC}">
            <a14:shadowObscured xmlns:a14="http://schemas.microsoft.com/office/drawing/2010/main" val="1"/>
          </a:ext>
        </a:extLst>
      </xdr:spPr>
    </xdr:cxnSp>
    <xdr:clientData/>
  </xdr:twoCellAnchor>
  <xdr:twoCellAnchor>
    <xdr:from>
      <xdr:col>8</xdr:col>
      <xdr:colOff>33617</xdr:colOff>
      <xdr:row>4</xdr:row>
      <xdr:rowOff>33618</xdr:rowOff>
    </xdr:from>
    <xdr:to>
      <xdr:col>9</xdr:col>
      <xdr:colOff>504825</xdr:colOff>
      <xdr:row>5</xdr:row>
      <xdr:rowOff>100853</xdr:rowOff>
    </xdr:to>
    <xdr:cxnSp macro="">
      <xdr:nvCxnSpPr>
        <xdr:cNvPr id="12" name="Łącznik prosty ze strzałką 11">
          <a:extLst>
            <a:ext uri="{FF2B5EF4-FFF2-40B4-BE49-F238E27FC236}">
              <a16:creationId xmlns:a16="http://schemas.microsoft.com/office/drawing/2014/main" id="{00000000-0008-0000-0C00-00000C000000}"/>
            </a:ext>
          </a:extLst>
        </xdr:cNvPr>
        <xdr:cNvCxnSpPr/>
      </xdr:nvCxnSpPr>
      <xdr:spPr bwMode="auto">
        <a:xfrm flipH="1" flipV="1">
          <a:off x="7026088" y="661147"/>
          <a:ext cx="1076325" cy="235324"/>
        </a:xfrm>
        <a:prstGeom prst="straightConnector1">
          <a:avLst/>
        </a:prstGeom>
        <a:solidFill>
          <a:srgbClr val="FFFFE1"/>
        </a:solidFill>
        <a:ln w="9525" cap="flat" cmpd="sng" algn="ctr">
          <a:solidFill>
            <a:srgbClr val="000000"/>
          </a:solidFill>
          <a:prstDash val="solid"/>
          <a:round/>
          <a:headEnd type="none" w="med" len="med"/>
          <a:tailEnd type="triangle"/>
        </a:ln>
        <a:effectLst>
          <a:outerShdw dist="35921" dir="2700000" algn="ctr" rotWithShape="0">
            <a:srgbClr val="000000"/>
          </a:outerShdw>
        </a:effectLst>
        <a:extLst>
          <a:ext uri="{53640926-AAD7-44D8-BBD7-CCE9431645EC}">
            <a14:shadowObscured xmlns:a14="http://schemas.microsoft.com/office/drawing/2010/main" val="1"/>
          </a:ext>
        </a:extLst>
      </xdr:spPr>
    </xdr:cxnSp>
    <xdr:clientData/>
  </xdr:twoCellAnchor>
  <xdr:twoCellAnchor>
    <xdr:from>
      <xdr:col>9</xdr:col>
      <xdr:colOff>266700</xdr:colOff>
      <xdr:row>0</xdr:row>
      <xdr:rowOff>85725</xdr:rowOff>
    </xdr:from>
    <xdr:to>
      <xdr:col>15</xdr:col>
      <xdr:colOff>400050</xdr:colOff>
      <xdr:row>9</xdr:row>
      <xdr:rowOff>38100</xdr:rowOff>
    </xdr:to>
    <xdr:grpSp>
      <xdr:nvGrpSpPr>
        <xdr:cNvPr id="11267" name="Group 3">
          <a:extLst>
            <a:ext uri="{FF2B5EF4-FFF2-40B4-BE49-F238E27FC236}">
              <a16:creationId xmlns:a16="http://schemas.microsoft.com/office/drawing/2014/main" id="{00000000-0008-0000-0C00-0000032C0000}"/>
            </a:ext>
          </a:extLst>
        </xdr:cNvPr>
        <xdr:cNvGrpSpPr>
          <a:grpSpLocks noChangeAspect="1"/>
        </xdr:cNvGrpSpPr>
      </xdr:nvGrpSpPr>
      <xdr:grpSpPr bwMode="auto">
        <a:xfrm>
          <a:off x="8562109" y="82550"/>
          <a:ext cx="4636077" cy="2189595"/>
          <a:chOff x="853" y="7"/>
          <a:chExt cx="398" cy="185"/>
        </a:xfrm>
      </xdr:grpSpPr>
      <xdr:sp macro="" textlink="">
        <xdr:nvSpPr>
          <xdr:cNvPr id="11266" name="AutoShape 2">
            <a:extLst>
              <a:ext uri="{FF2B5EF4-FFF2-40B4-BE49-F238E27FC236}">
                <a16:creationId xmlns:a16="http://schemas.microsoft.com/office/drawing/2014/main" id="{00000000-0008-0000-0C00-0000022C0000}"/>
              </a:ext>
            </a:extLst>
          </xdr:cNvPr>
          <xdr:cNvSpPr>
            <a:spLocks noChangeAspect="1" noChangeArrowheads="1" noTextEdit="1"/>
          </xdr:cNvSpPr>
        </xdr:nvSpPr>
        <xdr:spPr bwMode="auto">
          <a:xfrm>
            <a:off x="853" y="7"/>
            <a:ext cx="398" cy="1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11268" name="Rectangle 4">
            <a:extLst>
              <a:ext uri="{FF2B5EF4-FFF2-40B4-BE49-F238E27FC236}">
                <a16:creationId xmlns:a16="http://schemas.microsoft.com/office/drawing/2014/main" id="{00000000-0008-0000-0C00-0000042C0000}"/>
              </a:ext>
            </a:extLst>
          </xdr:cNvPr>
          <xdr:cNvSpPr>
            <a:spLocks noChangeArrowheads="1"/>
          </xdr:cNvSpPr>
        </xdr:nvSpPr>
        <xdr:spPr bwMode="auto">
          <a:xfrm>
            <a:off x="859" y="7"/>
            <a:ext cx="276" cy="19"/>
          </a:xfrm>
          <a:prstGeom prst="rect">
            <a:avLst/>
          </a:prstGeom>
          <a:solidFill>
            <a:srgbClr val="FFC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69" name="Rectangle 5">
            <a:extLst>
              <a:ext uri="{FF2B5EF4-FFF2-40B4-BE49-F238E27FC236}">
                <a16:creationId xmlns:a16="http://schemas.microsoft.com/office/drawing/2014/main" id="{00000000-0008-0000-0C00-0000052C0000}"/>
              </a:ext>
            </a:extLst>
          </xdr:cNvPr>
          <xdr:cNvSpPr>
            <a:spLocks noChangeArrowheads="1"/>
          </xdr:cNvSpPr>
        </xdr:nvSpPr>
        <xdr:spPr bwMode="auto">
          <a:xfrm>
            <a:off x="864" y="8"/>
            <a:ext cx="266" cy="17"/>
          </a:xfrm>
          <a:prstGeom prst="rect">
            <a:avLst/>
          </a:prstGeom>
          <a:solidFill>
            <a:srgbClr val="FFC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0" name="Rectangle 6">
            <a:extLst>
              <a:ext uri="{FF2B5EF4-FFF2-40B4-BE49-F238E27FC236}">
                <a16:creationId xmlns:a16="http://schemas.microsoft.com/office/drawing/2014/main" id="{00000000-0008-0000-0C00-0000062C0000}"/>
              </a:ext>
            </a:extLst>
          </xdr:cNvPr>
          <xdr:cNvSpPr>
            <a:spLocks noChangeArrowheads="1"/>
          </xdr:cNvSpPr>
        </xdr:nvSpPr>
        <xdr:spPr bwMode="auto">
          <a:xfrm>
            <a:off x="1113" y="8"/>
            <a:ext cx="21"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1" u="none" strike="noStrike" baseline="0">
                <a:solidFill>
                  <a:srgbClr val="000000"/>
                </a:solidFill>
                <a:latin typeface="Calibri"/>
                <a:cs typeface="Calibri"/>
              </a:rPr>
              <a:t>X%</a:t>
            </a:r>
          </a:p>
        </xdr:txBody>
      </xdr:sp>
      <xdr:sp macro="" textlink="">
        <xdr:nvSpPr>
          <xdr:cNvPr id="11271" name="Rectangle 7">
            <a:extLst>
              <a:ext uri="{FF2B5EF4-FFF2-40B4-BE49-F238E27FC236}">
                <a16:creationId xmlns:a16="http://schemas.microsoft.com/office/drawing/2014/main" id="{00000000-0008-0000-0C00-0000072C0000}"/>
              </a:ext>
            </a:extLst>
          </xdr:cNvPr>
          <xdr:cNvSpPr>
            <a:spLocks noChangeArrowheads="1"/>
          </xdr:cNvSpPr>
        </xdr:nvSpPr>
        <xdr:spPr bwMode="auto">
          <a:xfrm>
            <a:off x="1130" y="8"/>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1" u="none" strike="noStrike" baseline="0">
                <a:solidFill>
                  <a:srgbClr val="000000"/>
                </a:solidFill>
                <a:latin typeface="Calibri"/>
                <a:cs typeface="Calibri"/>
              </a:rPr>
              <a:t> </a:t>
            </a:r>
          </a:p>
        </xdr:txBody>
      </xdr:sp>
      <xdr:sp macro="" textlink="">
        <xdr:nvSpPr>
          <xdr:cNvPr id="11272" name="Rectangle 8">
            <a:extLst>
              <a:ext uri="{FF2B5EF4-FFF2-40B4-BE49-F238E27FC236}">
                <a16:creationId xmlns:a16="http://schemas.microsoft.com/office/drawing/2014/main" id="{00000000-0008-0000-0C00-0000082C0000}"/>
              </a:ext>
            </a:extLst>
          </xdr:cNvPr>
          <xdr:cNvSpPr>
            <a:spLocks noChangeArrowheads="1"/>
          </xdr:cNvSpPr>
        </xdr:nvSpPr>
        <xdr:spPr bwMode="auto">
          <a:xfrm>
            <a:off x="1188" y="16"/>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73" name="Rectangle 9">
            <a:extLst>
              <a:ext uri="{FF2B5EF4-FFF2-40B4-BE49-F238E27FC236}">
                <a16:creationId xmlns:a16="http://schemas.microsoft.com/office/drawing/2014/main" id="{00000000-0008-0000-0C00-0000092C0000}"/>
              </a:ext>
            </a:extLst>
          </xdr:cNvPr>
          <xdr:cNvSpPr>
            <a:spLocks noChangeArrowheads="1"/>
          </xdr:cNvSpPr>
        </xdr:nvSpPr>
        <xdr:spPr bwMode="auto">
          <a:xfrm>
            <a:off x="859" y="27"/>
            <a:ext cx="276" cy="20"/>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4" name="Rectangle 10">
            <a:extLst>
              <a:ext uri="{FF2B5EF4-FFF2-40B4-BE49-F238E27FC236}">
                <a16:creationId xmlns:a16="http://schemas.microsoft.com/office/drawing/2014/main" id="{00000000-0008-0000-0C00-00000A2C0000}"/>
              </a:ext>
            </a:extLst>
          </xdr:cNvPr>
          <xdr:cNvSpPr>
            <a:spLocks noChangeArrowheads="1"/>
          </xdr:cNvSpPr>
        </xdr:nvSpPr>
        <xdr:spPr bwMode="auto">
          <a:xfrm>
            <a:off x="864" y="29"/>
            <a:ext cx="266" cy="16"/>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5" name="Rectangle 11">
            <a:extLst>
              <a:ext uri="{FF2B5EF4-FFF2-40B4-BE49-F238E27FC236}">
                <a16:creationId xmlns:a16="http://schemas.microsoft.com/office/drawing/2014/main" id="{00000000-0008-0000-0C00-00000B2C0000}"/>
              </a:ext>
            </a:extLst>
          </xdr:cNvPr>
          <xdr:cNvSpPr>
            <a:spLocks noChangeArrowheads="1"/>
          </xdr:cNvSpPr>
        </xdr:nvSpPr>
        <xdr:spPr bwMode="auto">
          <a:xfrm>
            <a:off x="903" y="29"/>
            <a:ext cx="10"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76" name="Rectangle 12">
            <a:extLst>
              <a:ext uri="{FF2B5EF4-FFF2-40B4-BE49-F238E27FC236}">
                <a16:creationId xmlns:a16="http://schemas.microsoft.com/office/drawing/2014/main" id="{00000000-0008-0000-0C00-00000C2C0000}"/>
              </a:ext>
            </a:extLst>
          </xdr:cNvPr>
          <xdr:cNvSpPr>
            <a:spLocks noChangeArrowheads="1"/>
          </xdr:cNvSpPr>
        </xdr:nvSpPr>
        <xdr:spPr bwMode="auto">
          <a:xfrm>
            <a:off x="913" y="29"/>
            <a:ext cx="193"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Dochód netto gosp. domowego</a:t>
            </a:r>
          </a:p>
        </xdr:txBody>
      </xdr:sp>
      <xdr:sp macro="" textlink="">
        <xdr:nvSpPr>
          <xdr:cNvPr id="11277" name="Rectangle 13">
            <a:extLst>
              <a:ext uri="{FF2B5EF4-FFF2-40B4-BE49-F238E27FC236}">
                <a16:creationId xmlns:a16="http://schemas.microsoft.com/office/drawing/2014/main" id="{00000000-0008-0000-0C00-00000D2C0000}"/>
              </a:ext>
            </a:extLst>
          </xdr:cNvPr>
          <xdr:cNvSpPr>
            <a:spLocks noChangeArrowheads="1"/>
          </xdr:cNvSpPr>
        </xdr:nvSpPr>
        <xdr:spPr bwMode="auto">
          <a:xfrm>
            <a:off x="1091" y="2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78" name="Rectangle 14">
            <a:extLst>
              <a:ext uri="{FF2B5EF4-FFF2-40B4-BE49-F238E27FC236}">
                <a16:creationId xmlns:a16="http://schemas.microsoft.com/office/drawing/2014/main" id="{00000000-0008-0000-0C00-00000E2C0000}"/>
              </a:ext>
            </a:extLst>
          </xdr:cNvPr>
          <xdr:cNvSpPr>
            <a:spLocks noChangeArrowheads="1"/>
          </xdr:cNvSpPr>
        </xdr:nvSpPr>
        <xdr:spPr bwMode="auto">
          <a:xfrm>
            <a:off x="1135" y="27"/>
            <a:ext cx="106" cy="20"/>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9" name="Rectangle 15">
            <a:extLst>
              <a:ext uri="{FF2B5EF4-FFF2-40B4-BE49-F238E27FC236}">
                <a16:creationId xmlns:a16="http://schemas.microsoft.com/office/drawing/2014/main" id="{00000000-0008-0000-0C00-00000F2C0000}"/>
              </a:ext>
            </a:extLst>
          </xdr:cNvPr>
          <xdr:cNvSpPr>
            <a:spLocks noChangeArrowheads="1"/>
          </xdr:cNvSpPr>
        </xdr:nvSpPr>
        <xdr:spPr bwMode="auto">
          <a:xfrm>
            <a:off x="1140" y="29"/>
            <a:ext cx="97" cy="16"/>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0" name="Rectangle 16">
            <a:extLst>
              <a:ext uri="{FF2B5EF4-FFF2-40B4-BE49-F238E27FC236}">
                <a16:creationId xmlns:a16="http://schemas.microsoft.com/office/drawing/2014/main" id="{00000000-0008-0000-0C00-0000102C0000}"/>
              </a:ext>
            </a:extLst>
          </xdr:cNvPr>
          <xdr:cNvSpPr>
            <a:spLocks noChangeArrowheads="1"/>
          </xdr:cNvSpPr>
        </xdr:nvSpPr>
        <xdr:spPr bwMode="auto">
          <a:xfrm>
            <a:off x="1179" y="29"/>
            <a:ext cx="19"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1" i="0" u="none" strike="noStrike" baseline="0">
                <a:solidFill>
                  <a:srgbClr val="000000"/>
                </a:solidFill>
                <a:latin typeface="Calibri"/>
                <a:cs typeface="Calibri"/>
              </a:rPr>
              <a:t>X%</a:t>
            </a:r>
          </a:p>
        </xdr:txBody>
      </xdr:sp>
      <xdr:sp macro="" textlink="">
        <xdr:nvSpPr>
          <xdr:cNvPr id="11281" name="Rectangle 17">
            <a:extLst>
              <a:ext uri="{FF2B5EF4-FFF2-40B4-BE49-F238E27FC236}">
                <a16:creationId xmlns:a16="http://schemas.microsoft.com/office/drawing/2014/main" id="{00000000-0008-0000-0C00-0000112C0000}"/>
              </a:ext>
            </a:extLst>
          </xdr:cNvPr>
          <xdr:cNvSpPr>
            <a:spLocks noChangeArrowheads="1"/>
          </xdr:cNvSpPr>
        </xdr:nvSpPr>
        <xdr:spPr bwMode="auto">
          <a:xfrm>
            <a:off x="1196" y="2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1" i="0" u="none" strike="noStrike" baseline="0">
                <a:solidFill>
                  <a:srgbClr val="000000"/>
                </a:solidFill>
                <a:latin typeface="Calibri"/>
                <a:cs typeface="Calibri"/>
              </a:rPr>
              <a:t> </a:t>
            </a:r>
          </a:p>
        </xdr:txBody>
      </xdr:sp>
      <xdr:sp macro="" textlink="">
        <xdr:nvSpPr>
          <xdr:cNvPr id="11282" name="Rectangle 18">
            <a:extLst>
              <a:ext uri="{FF2B5EF4-FFF2-40B4-BE49-F238E27FC236}">
                <a16:creationId xmlns:a16="http://schemas.microsoft.com/office/drawing/2014/main" id="{00000000-0008-0000-0C00-0000122C0000}"/>
              </a:ext>
            </a:extLst>
          </xdr:cNvPr>
          <xdr:cNvSpPr>
            <a:spLocks noChangeArrowheads="1"/>
          </xdr:cNvSpPr>
        </xdr:nvSpPr>
        <xdr:spPr bwMode="auto">
          <a:xfrm>
            <a:off x="858"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3" name="Rectangle 19">
            <a:extLst>
              <a:ext uri="{FF2B5EF4-FFF2-40B4-BE49-F238E27FC236}">
                <a16:creationId xmlns:a16="http://schemas.microsoft.com/office/drawing/2014/main" id="{00000000-0008-0000-0C00-0000132C0000}"/>
              </a:ext>
            </a:extLst>
          </xdr:cNvPr>
          <xdr:cNvSpPr>
            <a:spLocks noChangeArrowheads="1"/>
          </xdr:cNvSpPr>
        </xdr:nvSpPr>
        <xdr:spPr bwMode="auto">
          <a:xfrm>
            <a:off x="858"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4" name="Rectangle 20">
            <a:extLst>
              <a:ext uri="{FF2B5EF4-FFF2-40B4-BE49-F238E27FC236}">
                <a16:creationId xmlns:a16="http://schemas.microsoft.com/office/drawing/2014/main" id="{00000000-0008-0000-0C00-0000142C0000}"/>
              </a:ext>
            </a:extLst>
          </xdr:cNvPr>
          <xdr:cNvSpPr>
            <a:spLocks noChangeArrowheads="1"/>
          </xdr:cNvSpPr>
        </xdr:nvSpPr>
        <xdr:spPr bwMode="auto">
          <a:xfrm>
            <a:off x="859"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5" name="Rectangle 21">
            <a:extLst>
              <a:ext uri="{FF2B5EF4-FFF2-40B4-BE49-F238E27FC236}">
                <a16:creationId xmlns:a16="http://schemas.microsoft.com/office/drawing/2014/main" id="{00000000-0008-0000-0C00-0000152C0000}"/>
              </a:ext>
            </a:extLst>
          </xdr:cNvPr>
          <xdr:cNvSpPr>
            <a:spLocks noChangeArrowheads="1"/>
          </xdr:cNvSpPr>
        </xdr:nvSpPr>
        <xdr:spPr bwMode="auto">
          <a:xfrm>
            <a:off x="860" y="26"/>
            <a:ext cx="27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6" name="Rectangle 22">
            <a:extLst>
              <a:ext uri="{FF2B5EF4-FFF2-40B4-BE49-F238E27FC236}">
                <a16:creationId xmlns:a16="http://schemas.microsoft.com/office/drawing/2014/main" id="{00000000-0008-0000-0C00-0000162C0000}"/>
              </a:ext>
            </a:extLst>
          </xdr:cNvPr>
          <xdr:cNvSpPr>
            <a:spLocks noChangeArrowheads="1"/>
          </xdr:cNvSpPr>
        </xdr:nvSpPr>
        <xdr:spPr bwMode="auto">
          <a:xfrm>
            <a:off x="1135"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7" name="Rectangle 23">
            <a:extLst>
              <a:ext uri="{FF2B5EF4-FFF2-40B4-BE49-F238E27FC236}">
                <a16:creationId xmlns:a16="http://schemas.microsoft.com/office/drawing/2014/main" id="{00000000-0008-0000-0C00-0000172C0000}"/>
              </a:ext>
            </a:extLst>
          </xdr:cNvPr>
          <xdr:cNvSpPr>
            <a:spLocks noChangeArrowheads="1"/>
          </xdr:cNvSpPr>
        </xdr:nvSpPr>
        <xdr:spPr bwMode="auto">
          <a:xfrm>
            <a:off x="1136"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8" name="Rectangle 24">
            <a:extLst>
              <a:ext uri="{FF2B5EF4-FFF2-40B4-BE49-F238E27FC236}">
                <a16:creationId xmlns:a16="http://schemas.microsoft.com/office/drawing/2014/main" id="{00000000-0008-0000-0C00-0000182C0000}"/>
              </a:ext>
            </a:extLst>
          </xdr:cNvPr>
          <xdr:cNvSpPr>
            <a:spLocks noChangeArrowheads="1"/>
          </xdr:cNvSpPr>
        </xdr:nvSpPr>
        <xdr:spPr bwMode="auto">
          <a:xfrm>
            <a:off x="1137" y="26"/>
            <a:ext cx="104"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9" name="Rectangle 25">
            <a:extLst>
              <a:ext uri="{FF2B5EF4-FFF2-40B4-BE49-F238E27FC236}">
                <a16:creationId xmlns:a16="http://schemas.microsoft.com/office/drawing/2014/main" id="{00000000-0008-0000-0C00-0000192C0000}"/>
              </a:ext>
            </a:extLst>
          </xdr:cNvPr>
          <xdr:cNvSpPr>
            <a:spLocks noChangeArrowheads="1"/>
          </xdr:cNvSpPr>
        </xdr:nvSpPr>
        <xdr:spPr bwMode="auto">
          <a:xfrm>
            <a:off x="1241"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0" name="Rectangle 26">
            <a:extLst>
              <a:ext uri="{FF2B5EF4-FFF2-40B4-BE49-F238E27FC236}">
                <a16:creationId xmlns:a16="http://schemas.microsoft.com/office/drawing/2014/main" id="{00000000-0008-0000-0C00-00001A2C0000}"/>
              </a:ext>
            </a:extLst>
          </xdr:cNvPr>
          <xdr:cNvSpPr>
            <a:spLocks noChangeArrowheads="1"/>
          </xdr:cNvSpPr>
        </xdr:nvSpPr>
        <xdr:spPr bwMode="auto">
          <a:xfrm>
            <a:off x="1241"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1" name="Rectangle 27">
            <a:extLst>
              <a:ext uri="{FF2B5EF4-FFF2-40B4-BE49-F238E27FC236}">
                <a16:creationId xmlns:a16="http://schemas.microsoft.com/office/drawing/2014/main" id="{00000000-0008-0000-0C00-00001B2C0000}"/>
              </a:ext>
            </a:extLst>
          </xdr:cNvPr>
          <xdr:cNvSpPr>
            <a:spLocks noChangeArrowheads="1"/>
          </xdr:cNvSpPr>
        </xdr:nvSpPr>
        <xdr:spPr bwMode="auto">
          <a:xfrm>
            <a:off x="858" y="27"/>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2" name="Rectangle 28">
            <a:extLst>
              <a:ext uri="{FF2B5EF4-FFF2-40B4-BE49-F238E27FC236}">
                <a16:creationId xmlns:a16="http://schemas.microsoft.com/office/drawing/2014/main" id="{00000000-0008-0000-0C00-00001C2C0000}"/>
              </a:ext>
            </a:extLst>
          </xdr:cNvPr>
          <xdr:cNvSpPr>
            <a:spLocks noChangeArrowheads="1"/>
          </xdr:cNvSpPr>
        </xdr:nvSpPr>
        <xdr:spPr bwMode="auto">
          <a:xfrm>
            <a:off x="1135" y="27"/>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3" name="Rectangle 29">
            <a:extLst>
              <a:ext uri="{FF2B5EF4-FFF2-40B4-BE49-F238E27FC236}">
                <a16:creationId xmlns:a16="http://schemas.microsoft.com/office/drawing/2014/main" id="{00000000-0008-0000-0C00-00001D2C0000}"/>
              </a:ext>
            </a:extLst>
          </xdr:cNvPr>
          <xdr:cNvSpPr>
            <a:spLocks noChangeArrowheads="1"/>
          </xdr:cNvSpPr>
        </xdr:nvSpPr>
        <xdr:spPr bwMode="auto">
          <a:xfrm>
            <a:off x="1241" y="27"/>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4" name="Rectangle 30">
            <a:extLst>
              <a:ext uri="{FF2B5EF4-FFF2-40B4-BE49-F238E27FC236}">
                <a16:creationId xmlns:a16="http://schemas.microsoft.com/office/drawing/2014/main" id="{00000000-0008-0000-0C00-00001E2C0000}"/>
              </a:ext>
            </a:extLst>
          </xdr:cNvPr>
          <xdr:cNvSpPr>
            <a:spLocks noChangeArrowheads="1"/>
          </xdr:cNvSpPr>
        </xdr:nvSpPr>
        <xdr:spPr bwMode="auto">
          <a:xfrm>
            <a:off x="970" y="49"/>
            <a:ext cx="12"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(0</a:t>
            </a:r>
          </a:p>
        </xdr:txBody>
      </xdr:sp>
      <xdr:sp macro="" textlink="">
        <xdr:nvSpPr>
          <xdr:cNvPr id="11295" name="Rectangle 31">
            <a:extLst>
              <a:ext uri="{FF2B5EF4-FFF2-40B4-BE49-F238E27FC236}">
                <a16:creationId xmlns:a16="http://schemas.microsoft.com/office/drawing/2014/main" id="{00000000-0008-0000-0C00-00001F2C0000}"/>
              </a:ext>
            </a:extLst>
          </xdr:cNvPr>
          <xdr:cNvSpPr>
            <a:spLocks noChangeArrowheads="1"/>
          </xdr:cNvSpPr>
        </xdr:nvSpPr>
        <xdr:spPr bwMode="auto">
          <a:xfrm>
            <a:off x="982" y="49"/>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296" name="Rectangle 32">
            <a:extLst>
              <a:ext uri="{FF2B5EF4-FFF2-40B4-BE49-F238E27FC236}">
                <a16:creationId xmlns:a16="http://schemas.microsoft.com/office/drawing/2014/main" id="{00000000-0008-0000-0C00-0000202C0000}"/>
              </a:ext>
            </a:extLst>
          </xdr:cNvPr>
          <xdr:cNvSpPr>
            <a:spLocks noChangeArrowheads="1"/>
          </xdr:cNvSpPr>
        </xdr:nvSpPr>
        <xdr:spPr bwMode="auto">
          <a:xfrm>
            <a:off x="986" y="49"/>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3500&gt;</a:t>
            </a:r>
          </a:p>
        </xdr:txBody>
      </xdr:sp>
      <xdr:sp macro="" textlink="">
        <xdr:nvSpPr>
          <xdr:cNvPr id="11297" name="Rectangle 33">
            <a:extLst>
              <a:ext uri="{FF2B5EF4-FFF2-40B4-BE49-F238E27FC236}">
                <a16:creationId xmlns:a16="http://schemas.microsoft.com/office/drawing/2014/main" id="{00000000-0008-0000-0C00-0000212C0000}"/>
              </a:ext>
            </a:extLst>
          </xdr:cNvPr>
          <xdr:cNvSpPr>
            <a:spLocks noChangeArrowheads="1"/>
          </xdr:cNvSpPr>
        </xdr:nvSpPr>
        <xdr:spPr bwMode="auto">
          <a:xfrm>
            <a:off x="1023" y="4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98" name="Rectangle 34">
            <a:extLst>
              <a:ext uri="{FF2B5EF4-FFF2-40B4-BE49-F238E27FC236}">
                <a16:creationId xmlns:a16="http://schemas.microsoft.com/office/drawing/2014/main" id="{00000000-0008-0000-0C00-0000222C0000}"/>
              </a:ext>
            </a:extLst>
          </xdr:cNvPr>
          <xdr:cNvSpPr>
            <a:spLocks noChangeArrowheads="1"/>
          </xdr:cNvSpPr>
        </xdr:nvSpPr>
        <xdr:spPr bwMode="auto">
          <a:xfrm>
            <a:off x="1176" y="49"/>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43%</a:t>
            </a:r>
          </a:p>
        </xdr:txBody>
      </xdr:sp>
      <xdr:sp macro="" textlink="">
        <xdr:nvSpPr>
          <xdr:cNvPr id="11299" name="Rectangle 35">
            <a:extLst>
              <a:ext uri="{FF2B5EF4-FFF2-40B4-BE49-F238E27FC236}">
                <a16:creationId xmlns:a16="http://schemas.microsoft.com/office/drawing/2014/main" id="{00000000-0008-0000-0C00-0000232C0000}"/>
              </a:ext>
            </a:extLst>
          </xdr:cNvPr>
          <xdr:cNvSpPr>
            <a:spLocks noChangeArrowheads="1"/>
          </xdr:cNvSpPr>
        </xdr:nvSpPr>
        <xdr:spPr bwMode="auto">
          <a:xfrm>
            <a:off x="1201" y="4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00" name="Rectangle 36">
            <a:extLst>
              <a:ext uri="{FF2B5EF4-FFF2-40B4-BE49-F238E27FC236}">
                <a16:creationId xmlns:a16="http://schemas.microsoft.com/office/drawing/2014/main" id="{00000000-0008-0000-0C00-0000242C0000}"/>
              </a:ext>
            </a:extLst>
          </xdr:cNvPr>
          <xdr:cNvSpPr>
            <a:spLocks noChangeArrowheads="1"/>
          </xdr:cNvSpPr>
        </xdr:nvSpPr>
        <xdr:spPr bwMode="auto">
          <a:xfrm>
            <a:off x="858" y="47"/>
            <a:ext cx="1"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1" name="Rectangle 37">
            <a:extLst>
              <a:ext uri="{FF2B5EF4-FFF2-40B4-BE49-F238E27FC236}">
                <a16:creationId xmlns:a16="http://schemas.microsoft.com/office/drawing/2014/main" id="{00000000-0008-0000-0C00-0000252C0000}"/>
              </a:ext>
            </a:extLst>
          </xdr:cNvPr>
          <xdr:cNvSpPr>
            <a:spLocks noChangeArrowheads="1"/>
          </xdr:cNvSpPr>
        </xdr:nvSpPr>
        <xdr:spPr bwMode="auto">
          <a:xfrm>
            <a:off x="859" y="47"/>
            <a:ext cx="276"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2" name="Rectangle 38">
            <a:extLst>
              <a:ext uri="{FF2B5EF4-FFF2-40B4-BE49-F238E27FC236}">
                <a16:creationId xmlns:a16="http://schemas.microsoft.com/office/drawing/2014/main" id="{00000000-0008-0000-0C00-0000262C0000}"/>
              </a:ext>
            </a:extLst>
          </xdr:cNvPr>
          <xdr:cNvSpPr>
            <a:spLocks noChangeArrowheads="1"/>
          </xdr:cNvSpPr>
        </xdr:nvSpPr>
        <xdr:spPr bwMode="auto">
          <a:xfrm>
            <a:off x="1135" y="47"/>
            <a:ext cx="1"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3" name="Rectangle 39">
            <a:extLst>
              <a:ext uri="{FF2B5EF4-FFF2-40B4-BE49-F238E27FC236}">
                <a16:creationId xmlns:a16="http://schemas.microsoft.com/office/drawing/2014/main" id="{00000000-0008-0000-0C00-0000272C0000}"/>
              </a:ext>
            </a:extLst>
          </xdr:cNvPr>
          <xdr:cNvSpPr>
            <a:spLocks noChangeArrowheads="1"/>
          </xdr:cNvSpPr>
        </xdr:nvSpPr>
        <xdr:spPr bwMode="auto">
          <a:xfrm>
            <a:off x="1136" y="47"/>
            <a:ext cx="105"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4" name="Rectangle 40">
            <a:extLst>
              <a:ext uri="{FF2B5EF4-FFF2-40B4-BE49-F238E27FC236}">
                <a16:creationId xmlns:a16="http://schemas.microsoft.com/office/drawing/2014/main" id="{00000000-0008-0000-0C00-0000282C0000}"/>
              </a:ext>
            </a:extLst>
          </xdr:cNvPr>
          <xdr:cNvSpPr>
            <a:spLocks noChangeArrowheads="1"/>
          </xdr:cNvSpPr>
        </xdr:nvSpPr>
        <xdr:spPr bwMode="auto">
          <a:xfrm>
            <a:off x="1241" y="47"/>
            <a:ext cx="1"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5" name="Rectangle 41">
            <a:extLst>
              <a:ext uri="{FF2B5EF4-FFF2-40B4-BE49-F238E27FC236}">
                <a16:creationId xmlns:a16="http://schemas.microsoft.com/office/drawing/2014/main" id="{00000000-0008-0000-0C00-0000292C0000}"/>
              </a:ext>
            </a:extLst>
          </xdr:cNvPr>
          <xdr:cNvSpPr>
            <a:spLocks noChangeArrowheads="1"/>
          </xdr:cNvSpPr>
        </xdr:nvSpPr>
        <xdr:spPr bwMode="auto">
          <a:xfrm>
            <a:off x="858" y="4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6" name="Rectangle 42">
            <a:extLst>
              <a:ext uri="{FF2B5EF4-FFF2-40B4-BE49-F238E27FC236}">
                <a16:creationId xmlns:a16="http://schemas.microsoft.com/office/drawing/2014/main" id="{00000000-0008-0000-0C00-00002A2C0000}"/>
              </a:ext>
            </a:extLst>
          </xdr:cNvPr>
          <xdr:cNvSpPr>
            <a:spLocks noChangeArrowheads="1"/>
          </xdr:cNvSpPr>
        </xdr:nvSpPr>
        <xdr:spPr bwMode="auto">
          <a:xfrm>
            <a:off x="1135" y="4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7" name="Rectangle 43">
            <a:extLst>
              <a:ext uri="{FF2B5EF4-FFF2-40B4-BE49-F238E27FC236}">
                <a16:creationId xmlns:a16="http://schemas.microsoft.com/office/drawing/2014/main" id="{00000000-0008-0000-0C00-00002B2C0000}"/>
              </a:ext>
            </a:extLst>
          </xdr:cNvPr>
          <xdr:cNvSpPr>
            <a:spLocks noChangeArrowheads="1"/>
          </xdr:cNvSpPr>
        </xdr:nvSpPr>
        <xdr:spPr bwMode="auto">
          <a:xfrm>
            <a:off x="1241" y="4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8" name="Rectangle 44">
            <a:extLst>
              <a:ext uri="{FF2B5EF4-FFF2-40B4-BE49-F238E27FC236}">
                <a16:creationId xmlns:a16="http://schemas.microsoft.com/office/drawing/2014/main" id="{00000000-0008-0000-0C00-00002C2C0000}"/>
              </a:ext>
            </a:extLst>
          </xdr:cNvPr>
          <xdr:cNvSpPr>
            <a:spLocks noChangeArrowheads="1"/>
          </xdr:cNvSpPr>
        </xdr:nvSpPr>
        <xdr:spPr bwMode="auto">
          <a:xfrm>
            <a:off x="960" y="70"/>
            <a:ext cx="28"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(3500</a:t>
            </a:r>
          </a:p>
        </xdr:txBody>
      </xdr:sp>
      <xdr:sp macro="" textlink="">
        <xdr:nvSpPr>
          <xdr:cNvPr id="11309" name="Rectangle 45">
            <a:extLst>
              <a:ext uri="{FF2B5EF4-FFF2-40B4-BE49-F238E27FC236}">
                <a16:creationId xmlns:a16="http://schemas.microsoft.com/office/drawing/2014/main" id="{00000000-0008-0000-0C00-00002D2C0000}"/>
              </a:ext>
            </a:extLst>
          </xdr:cNvPr>
          <xdr:cNvSpPr>
            <a:spLocks noChangeArrowheads="1"/>
          </xdr:cNvSpPr>
        </xdr:nvSpPr>
        <xdr:spPr bwMode="auto">
          <a:xfrm>
            <a:off x="994" y="70"/>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310" name="Rectangle 46">
            <a:extLst>
              <a:ext uri="{FF2B5EF4-FFF2-40B4-BE49-F238E27FC236}">
                <a16:creationId xmlns:a16="http://schemas.microsoft.com/office/drawing/2014/main" id="{00000000-0008-0000-0C00-00002E2C0000}"/>
              </a:ext>
            </a:extLst>
          </xdr:cNvPr>
          <xdr:cNvSpPr>
            <a:spLocks noChangeArrowheads="1"/>
          </xdr:cNvSpPr>
        </xdr:nvSpPr>
        <xdr:spPr bwMode="auto">
          <a:xfrm>
            <a:off x="998" y="70"/>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4500&gt;</a:t>
            </a:r>
          </a:p>
        </xdr:txBody>
      </xdr:sp>
      <xdr:sp macro="" textlink="">
        <xdr:nvSpPr>
          <xdr:cNvPr id="11311" name="Rectangle 47">
            <a:extLst>
              <a:ext uri="{FF2B5EF4-FFF2-40B4-BE49-F238E27FC236}">
                <a16:creationId xmlns:a16="http://schemas.microsoft.com/office/drawing/2014/main" id="{00000000-0008-0000-0C00-00002F2C0000}"/>
              </a:ext>
            </a:extLst>
          </xdr:cNvPr>
          <xdr:cNvSpPr>
            <a:spLocks noChangeArrowheads="1"/>
          </xdr:cNvSpPr>
        </xdr:nvSpPr>
        <xdr:spPr bwMode="auto">
          <a:xfrm>
            <a:off x="1034" y="70"/>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12" name="Rectangle 48">
            <a:extLst>
              <a:ext uri="{FF2B5EF4-FFF2-40B4-BE49-F238E27FC236}">
                <a16:creationId xmlns:a16="http://schemas.microsoft.com/office/drawing/2014/main" id="{00000000-0008-0000-0C00-0000302C0000}"/>
              </a:ext>
            </a:extLst>
          </xdr:cNvPr>
          <xdr:cNvSpPr>
            <a:spLocks noChangeArrowheads="1"/>
          </xdr:cNvSpPr>
        </xdr:nvSpPr>
        <xdr:spPr bwMode="auto">
          <a:xfrm>
            <a:off x="1176" y="70"/>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35%</a:t>
            </a:r>
          </a:p>
        </xdr:txBody>
      </xdr:sp>
      <xdr:sp macro="" textlink="">
        <xdr:nvSpPr>
          <xdr:cNvPr id="11313" name="Rectangle 49">
            <a:extLst>
              <a:ext uri="{FF2B5EF4-FFF2-40B4-BE49-F238E27FC236}">
                <a16:creationId xmlns:a16="http://schemas.microsoft.com/office/drawing/2014/main" id="{00000000-0008-0000-0C00-0000312C0000}"/>
              </a:ext>
            </a:extLst>
          </xdr:cNvPr>
          <xdr:cNvSpPr>
            <a:spLocks noChangeArrowheads="1"/>
          </xdr:cNvSpPr>
        </xdr:nvSpPr>
        <xdr:spPr bwMode="auto">
          <a:xfrm>
            <a:off x="1201" y="70"/>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14" name="Rectangle 50">
            <a:extLst>
              <a:ext uri="{FF2B5EF4-FFF2-40B4-BE49-F238E27FC236}">
                <a16:creationId xmlns:a16="http://schemas.microsoft.com/office/drawing/2014/main" id="{00000000-0008-0000-0C00-0000322C0000}"/>
              </a:ext>
            </a:extLst>
          </xdr:cNvPr>
          <xdr:cNvSpPr>
            <a:spLocks noChangeArrowheads="1"/>
          </xdr:cNvSpPr>
        </xdr:nvSpPr>
        <xdr:spPr bwMode="auto">
          <a:xfrm>
            <a:off x="858" y="6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5" name="Rectangle 51">
            <a:extLst>
              <a:ext uri="{FF2B5EF4-FFF2-40B4-BE49-F238E27FC236}">
                <a16:creationId xmlns:a16="http://schemas.microsoft.com/office/drawing/2014/main" id="{00000000-0008-0000-0C00-0000332C0000}"/>
              </a:ext>
            </a:extLst>
          </xdr:cNvPr>
          <xdr:cNvSpPr>
            <a:spLocks noChangeArrowheads="1"/>
          </xdr:cNvSpPr>
        </xdr:nvSpPr>
        <xdr:spPr bwMode="auto">
          <a:xfrm>
            <a:off x="859" y="68"/>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6" name="Rectangle 52">
            <a:extLst>
              <a:ext uri="{FF2B5EF4-FFF2-40B4-BE49-F238E27FC236}">
                <a16:creationId xmlns:a16="http://schemas.microsoft.com/office/drawing/2014/main" id="{00000000-0008-0000-0C00-0000342C0000}"/>
              </a:ext>
            </a:extLst>
          </xdr:cNvPr>
          <xdr:cNvSpPr>
            <a:spLocks noChangeArrowheads="1"/>
          </xdr:cNvSpPr>
        </xdr:nvSpPr>
        <xdr:spPr bwMode="auto">
          <a:xfrm>
            <a:off x="1135" y="6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7" name="Rectangle 53">
            <a:extLst>
              <a:ext uri="{FF2B5EF4-FFF2-40B4-BE49-F238E27FC236}">
                <a16:creationId xmlns:a16="http://schemas.microsoft.com/office/drawing/2014/main" id="{00000000-0008-0000-0C00-0000352C0000}"/>
              </a:ext>
            </a:extLst>
          </xdr:cNvPr>
          <xdr:cNvSpPr>
            <a:spLocks noChangeArrowheads="1"/>
          </xdr:cNvSpPr>
        </xdr:nvSpPr>
        <xdr:spPr bwMode="auto">
          <a:xfrm>
            <a:off x="1136" y="68"/>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8" name="Rectangle 54">
            <a:extLst>
              <a:ext uri="{FF2B5EF4-FFF2-40B4-BE49-F238E27FC236}">
                <a16:creationId xmlns:a16="http://schemas.microsoft.com/office/drawing/2014/main" id="{00000000-0008-0000-0C00-0000362C0000}"/>
              </a:ext>
            </a:extLst>
          </xdr:cNvPr>
          <xdr:cNvSpPr>
            <a:spLocks noChangeArrowheads="1"/>
          </xdr:cNvSpPr>
        </xdr:nvSpPr>
        <xdr:spPr bwMode="auto">
          <a:xfrm>
            <a:off x="1241" y="6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9" name="Rectangle 55">
            <a:extLst>
              <a:ext uri="{FF2B5EF4-FFF2-40B4-BE49-F238E27FC236}">
                <a16:creationId xmlns:a16="http://schemas.microsoft.com/office/drawing/2014/main" id="{00000000-0008-0000-0C00-0000372C0000}"/>
              </a:ext>
            </a:extLst>
          </xdr:cNvPr>
          <xdr:cNvSpPr>
            <a:spLocks noChangeArrowheads="1"/>
          </xdr:cNvSpPr>
        </xdr:nvSpPr>
        <xdr:spPr bwMode="auto">
          <a:xfrm>
            <a:off x="858" y="6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0" name="Rectangle 56">
            <a:extLst>
              <a:ext uri="{FF2B5EF4-FFF2-40B4-BE49-F238E27FC236}">
                <a16:creationId xmlns:a16="http://schemas.microsoft.com/office/drawing/2014/main" id="{00000000-0008-0000-0C00-0000382C0000}"/>
              </a:ext>
            </a:extLst>
          </xdr:cNvPr>
          <xdr:cNvSpPr>
            <a:spLocks noChangeArrowheads="1"/>
          </xdr:cNvSpPr>
        </xdr:nvSpPr>
        <xdr:spPr bwMode="auto">
          <a:xfrm>
            <a:off x="1135" y="6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1" name="Rectangle 57">
            <a:extLst>
              <a:ext uri="{FF2B5EF4-FFF2-40B4-BE49-F238E27FC236}">
                <a16:creationId xmlns:a16="http://schemas.microsoft.com/office/drawing/2014/main" id="{00000000-0008-0000-0C00-0000392C0000}"/>
              </a:ext>
            </a:extLst>
          </xdr:cNvPr>
          <xdr:cNvSpPr>
            <a:spLocks noChangeArrowheads="1"/>
          </xdr:cNvSpPr>
        </xdr:nvSpPr>
        <xdr:spPr bwMode="auto">
          <a:xfrm>
            <a:off x="1241" y="6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2" name="Rectangle 58">
            <a:extLst>
              <a:ext uri="{FF2B5EF4-FFF2-40B4-BE49-F238E27FC236}">
                <a16:creationId xmlns:a16="http://schemas.microsoft.com/office/drawing/2014/main" id="{00000000-0008-0000-0C00-00003A2C0000}"/>
              </a:ext>
            </a:extLst>
          </xdr:cNvPr>
          <xdr:cNvSpPr>
            <a:spLocks noChangeArrowheads="1"/>
          </xdr:cNvSpPr>
        </xdr:nvSpPr>
        <xdr:spPr bwMode="auto">
          <a:xfrm>
            <a:off x="960" y="91"/>
            <a:ext cx="28"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(4500</a:t>
            </a:r>
          </a:p>
        </xdr:txBody>
      </xdr:sp>
      <xdr:sp macro="" textlink="">
        <xdr:nvSpPr>
          <xdr:cNvPr id="11323" name="Rectangle 59">
            <a:extLst>
              <a:ext uri="{FF2B5EF4-FFF2-40B4-BE49-F238E27FC236}">
                <a16:creationId xmlns:a16="http://schemas.microsoft.com/office/drawing/2014/main" id="{00000000-0008-0000-0C00-00003B2C0000}"/>
              </a:ext>
            </a:extLst>
          </xdr:cNvPr>
          <xdr:cNvSpPr>
            <a:spLocks noChangeArrowheads="1"/>
          </xdr:cNvSpPr>
        </xdr:nvSpPr>
        <xdr:spPr bwMode="auto">
          <a:xfrm>
            <a:off x="994" y="91"/>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324" name="Rectangle 60">
            <a:extLst>
              <a:ext uri="{FF2B5EF4-FFF2-40B4-BE49-F238E27FC236}">
                <a16:creationId xmlns:a16="http://schemas.microsoft.com/office/drawing/2014/main" id="{00000000-0008-0000-0C00-00003C2C0000}"/>
              </a:ext>
            </a:extLst>
          </xdr:cNvPr>
          <xdr:cNvSpPr>
            <a:spLocks noChangeArrowheads="1"/>
          </xdr:cNvSpPr>
        </xdr:nvSpPr>
        <xdr:spPr bwMode="auto">
          <a:xfrm>
            <a:off x="998" y="91"/>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6000&gt;</a:t>
            </a:r>
          </a:p>
        </xdr:txBody>
      </xdr:sp>
      <xdr:sp macro="" textlink="">
        <xdr:nvSpPr>
          <xdr:cNvPr id="11325" name="Rectangle 61">
            <a:extLst>
              <a:ext uri="{FF2B5EF4-FFF2-40B4-BE49-F238E27FC236}">
                <a16:creationId xmlns:a16="http://schemas.microsoft.com/office/drawing/2014/main" id="{00000000-0008-0000-0C00-00003D2C0000}"/>
              </a:ext>
            </a:extLst>
          </xdr:cNvPr>
          <xdr:cNvSpPr>
            <a:spLocks noChangeArrowheads="1"/>
          </xdr:cNvSpPr>
        </xdr:nvSpPr>
        <xdr:spPr bwMode="auto">
          <a:xfrm>
            <a:off x="1034" y="9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26" name="Rectangle 62">
            <a:extLst>
              <a:ext uri="{FF2B5EF4-FFF2-40B4-BE49-F238E27FC236}">
                <a16:creationId xmlns:a16="http://schemas.microsoft.com/office/drawing/2014/main" id="{00000000-0008-0000-0C00-00003E2C0000}"/>
              </a:ext>
            </a:extLst>
          </xdr:cNvPr>
          <xdr:cNvSpPr>
            <a:spLocks noChangeArrowheads="1"/>
          </xdr:cNvSpPr>
        </xdr:nvSpPr>
        <xdr:spPr bwMode="auto">
          <a:xfrm>
            <a:off x="1176" y="91"/>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30%</a:t>
            </a:r>
          </a:p>
        </xdr:txBody>
      </xdr:sp>
      <xdr:sp macro="" textlink="">
        <xdr:nvSpPr>
          <xdr:cNvPr id="11327" name="Rectangle 63">
            <a:extLst>
              <a:ext uri="{FF2B5EF4-FFF2-40B4-BE49-F238E27FC236}">
                <a16:creationId xmlns:a16="http://schemas.microsoft.com/office/drawing/2014/main" id="{00000000-0008-0000-0C00-00003F2C0000}"/>
              </a:ext>
            </a:extLst>
          </xdr:cNvPr>
          <xdr:cNvSpPr>
            <a:spLocks noChangeArrowheads="1"/>
          </xdr:cNvSpPr>
        </xdr:nvSpPr>
        <xdr:spPr bwMode="auto">
          <a:xfrm>
            <a:off x="1201" y="9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28" name="Rectangle 64">
            <a:extLst>
              <a:ext uri="{FF2B5EF4-FFF2-40B4-BE49-F238E27FC236}">
                <a16:creationId xmlns:a16="http://schemas.microsoft.com/office/drawing/2014/main" id="{00000000-0008-0000-0C00-0000402C0000}"/>
              </a:ext>
            </a:extLst>
          </xdr:cNvPr>
          <xdr:cNvSpPr>
            <a:spLocks noChangeArrowheads="1"/>
          </xdr:cNvSpPr>
        </xdr:nvSpPr>
        <xdr:spPr bwMode="auto">
          <a:xfrm>
            <a:off x="858" y="8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9" name="Rectangle 65">
            <a:extLst>
              <a:ext uri="{FF2B5EF4-FFF2-40B4-BE49-F238E27FC236}">
                <a16:creationId xmlns:a16="http://schemas.microsoft.com/office/drawing/2014/main" id="{00000000-0008-0000-0C00-0000412C0000}"/>
              </a:ext>
            </a:extLst>
          </xdr:cNvPr>
          <xdr:cNvSpPr>
            <a:spLocks noChangeArrowheads="1"/>
          </xdr:cNvSpPr>
        </xdr:nvSpPr>
        <xdr:spPr bwMode="auto">
          <a:xfrm>
            <a:off x="859" y="88"/>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0" name="Rectangle 66">
            <a:extLst>
              <a:ext uri="{FF2B5EF4-FFF2-40B4-BE49-F238E27FC236}">
                <a16:creationId xmlns:a16="http://schemas.microsoft.com/office/drawing/2014/main" id="{00000000-0008-0000-0C00-0000422C0000}"/>
              </a:ext>
            </a:extLst>
          </xdr:cNvPr>
          <xdr:cNvSpPr>
            <a:spLocks noChangeArrowheads="1"/>
          </xdr:cNvSpPr>
        </xdr:nvSpPr>
        <xdr:spPr bwMode="auto">
          <a:xfrm>
            <a:off x="1135" y="8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1" name="Rectangle 67">
            <a:extLst>
              <a:ext uri="{FF2B5EF4-FFF2-40B4-BE49-F238E27FC236}">
                <a16:creationId xmlns:a16="http://schemas.microsoft.com/office/drawing/2014/main" id="{00000000-0008-0000-0C00-0000432C0000}"/>
              </a:ext>
            </a:extLst>
          </xdr:cNvPr>
          <xdr:cNvSpPr>
            <a:spLocks noChangeArrowheads="1"/>
          </xdr:cNvSpPr>
        </xdr:nvSpPr>
        <xdr:spPr bwMode="auto">
          <a:xfrm>
            <a:off x="1136" y="88"/>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2" name="Rectangle 68">
            <a:extLst>
              <a:ext uri="{FF2B5EF4-FFF2-40B4-BE49-F238E27FC236}">
                <a16:creationId xmlns:a16="http://schemas.microsoft.com/office/drawing/2014/main" id="{00000000-0008-0000-0C00-0000442C0000}"/>
              </a:ext>
            </a:extLst>
          </xdr:cNvPr>
          <xdr:cNvSpPr>
            <a:spLocks noChangeArrowheads="1"/>
          </xdr:cNvSpPr>
        </xdr:nvSpPr>
        <xdr:spPr bwMode="auto">
          <a:xfrm>
            <a:off x="1241" y="8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3" name="Rectangle 69">
            <a:extLst>
              <a:ext uri="{FF2B5EF4-FFF2-40B4-BE49-F238E27FC236}">
                <a16:creationId xmlns:a16="http://schemas.microsoft.com/office/drawing/2014/main" id="{00000000-0008-0000-0C00-0000452C0000}"/>
              </a:ext>
            </a:extLst>
          </xdr:cNvPr>
          <xdr:cNvSpPr>
            <a:spLocks noChangeArrowheads="1"/>
          </xdr:cNvSpPr>
        </xdr:nvSpPr>
        <xdr:spPr bwMode="auto">
          <a:xfrm>
            <a:off x="858" y="89"/>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4" name="Rectangle 70">
            <a:extLst>
              <a:ext uri="{FF2B5EF4-FFF2-40B4-BE49-F238E27FC236}">
                <a16:creationId xmlns:a16="http://schemas.microsoft.com/office/drawing/2014/main" id="{00000000-0008-0000-0C00-0000462C0000}"/>
              </a:ext>
            </a:extLst>
          </xdr:cNvPr>
          <xdr:cNvSpPr>
            <a:spLocks noChangeArrowheads="1"/>
          </xdr:cNvSpPr>
        </xdr:nvSpPr>
        <xdr:spPr bwMode="auto">
          <a:xfrm>
            <a:off x="1135" y="89"/>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5" name="Rectangle 71">
            <a:extLst>
              <a:ext uri="{FF2B5EF4-FFF2-40B4-BE49-F238E27FC236}">
                <a16:creationId xmlns:a16="http://schemas.microsoft.com/office/drawing/2014/main" id="{00000000-0008-0000-0C00-0000472C0000}"/>
              </a:ext>
            </a:extLst>
          </xdr:cNvPr>
          <xdr:cNvSpPr>
            <a:spLocks noChangeArrowheads="1"/>
          </xdr:cNvSpPr>
        </xdr:nvSpPr>
        <xdr:spPr bwMode="auto">
          <a:xfrm>
            <a:off x="1241" y="89"/>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6" name="Rectangle 72">
            <a:extLst>
              <a:ext uri="{FF2B5EF4-FFF2-40B4-BE49-F238E27FC236}">
                <a16:creationId xmlns:a16="http://schemas.microsoft.com/office/drawing/2014/main" id="{00000000-0008-0000-0C00-0000482C0000}"/>
              </a:ext>
            </a:extLst>
          </xdr:cNvPr>
          <xdr:cNvSpPr>
            <a:spLocks noChangeArrowheads="1"/>
          </xdr:cNvSpPr>
        </xdr:nvSpPr>
        <xdr:spPr bwMode="auto">
          <a:xfrm>
            <a:off x="960" y="111"/>
            <a:ext cx="28"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(6000</a:t>
            </a:r>
          </a:p>
        </xdr:txBody>
      </xdr:sp>
      <xdr:sp macro="" textlink="">
        <xdr:nvSpPr>
          <xdr:cNvPr id="11337" name="Rectangle 73">
            <a:extLst>
              <a:ext uri="{FF2B5EF4-FFF2-40B4-BE49-F238E27FC236}">
                <a16:creationId xmlns:a16="http://schemas.microsoft.com/office/drawing/2014/main" id="{00000000-0008-0000-0C00-0000492C0000}"/>
              </a:ext>
            </a:extLst>
          </xdr:cNvPr>
          <xdr:cNvSpPr>
            <a:spLocks noChangeArrowheads="1"/>
          </xdr:cNvSpPr>
        </xdr:nvSpPr>
        <xdr:spPr bwMode="auto">
          <a:xfrm>
            <a:off x="994" y="111"/>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338" name="Rectangle 74">
            <a:extLst>
              <a:ext uri="{FF2B5EF4-FFF2-40B4-BE49-F238E27FC236}">
                <a16:creationId xmlns:a16="http://schemas.microsoft.com/office/drawing/2014/main" id="{00000000-0008-0000-0C00-00004A2C0000}"/>
              </a:ext>
            </a:extLst>
          </xdr:cNvPr>
          <xdr:cNvSpPr>
            <a:spLocks noChangeArrowheads="1"/>
          </xdr:cNvSpPr>
        </xdr:nvSpPr>
        <xdr:spPr bwMode="auto">
          <a:xfrm>
            <a:off x="998" y="111"/>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8500&gt;</a:t>
            </a:r>
          </a:p>
        </xdr:txBody>
      </xdr:sp>
      <xdr:sp macro="" textlink="">
        <xdr:nvSpPr>
          <xdr:cNvPr id="11339" name="Rectangle 75">
            <a:extLst>
              <a:ext uri="{FF2B5EF4-FFF2-40B4-BE49-F238E27FC236}">
                <a16:creationId xmlns:a16="http://schemas.microsoft.com/office/drawing/2014/main" id="{00000000-0008-0000-0C00-00004B2C0000}"/>
              </a:ext>
            </a:extLst>
          </xdr:cNvPr>
          <xdr:cNvSpPr>
            <a:spLocks noChangeArrowheads="1"/>
          </xdr:cNvSpPr>
        </xdr:nvSpPr>
        <xdr:spPr bwMode="auto">
          <a:xfrm>
            <a:off x="1034" y="11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40" name="Rectangle 76">
            <a:extLst>
              <a:ext uri="{FF2B5EF4-FFF2-40B4-BE49-F238E27FC236}">
                <a16:creationId xmlns:a16="http://schemas.microsoft.com/office/drawing/2014/main" id="{00000000-0008-0000-0C00-00004C2C0000}"/>
              </a:ext>
            </a:extLst>
          </xdr:cNvPr>
          <xdr:cNvSpPr>
            <a:spLocks noChangeArrowheads="1"/>
          </xdr:cNvSpPr>
        </xdr:nvSpPr>
        <xdr:spPr bwMode="auto">
          <a:xfrm>
            <a:off x="1176" y="111"/>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25%</a:t>
            </a:r>
          </a:p>
        </xdr:txBody>
      </xdr:sp>
      <xdr:sp macro="" textlink="">
        <xdr:nvSpPr>
          <xdr:cNvPr id="11341" name="Rectangle 77">
            <a:extLst>
              <a:ext uri="{FF2B5EF4-FFF2-40B4-BE49-F238E27FC236}">
                <a16:creationId xmlns:a16="http://schemas.microsoft.com/office/drawing/2014/main" id="{00000000-0008-0000-0C00-00004D2C0000}"/>
              </a:ext>
            </a:extLst>
          </xdr:cNvPr>
          <xdr:cNvSpPr>
            <a:spLocks noChangeArrowheads="1"/>
          </xdr:cNvSpPr>
        </xdr:nvSpPr>
        <xdr:spPr bwMode="auto">
          <a:xfrm>
            <a:off x="1201" y="11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42" name="Rectangle 78">
            <a:extLst>
              <a:ext uri="{FF2B5EF4-FFF2-40B4-BE49-F238E27FC236}">
                <a16:creationId xmlns:a16="http://schemas.microsoft.com/office/drawing/2014/main" id="{00000000-0008-0000-0C00-00004E2C0000}"/>
              </a:ext>
            </a:extLst>
          </xdr:cNvPr>
          <xdr:cNvSpPr>
            <a:spLocks noChangeArrowheads="1"/>
          </xdr:cNvSpPr>
        </xdr:nvSpPr>
        <xdr:spPr bwMode="auto">
          <a:xfrm>
            <a:off x="858" y="109"/>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3" name="Rectangle 79">
            <a:extLst>
              <a:ext uri="{FF2B5EF4-FFF2-40B4-BE49-F238E27FC236}">
                <a16:creationId xmlns:a16="http://schemas.microsoft.com/office/drawing/2014/main" id="{00000000-0008-0000-0C00-00004F2C0000}"/>
              </a:ext>
            </a:extLst>
          </xdr:cNvPr>
          <xdr:cNvSpPr>
            <a:spLocks noChangeArrowheads="1"/>
          </xdr:cNvSpPr>
        </xdr:nvSpPr>
        <xdr:spPr bwMode="auto">
          <a:xfrm>
            <a:off x="859" y="109"/>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4" name="Rectangle 80">
            <a:extLst>
              <a:ext uri="{FF2B5EF4-FFF2-40B4-BE49-F238E27FC236}">
                <a16:creationId xmlns:a16="http://schemas.microsoft.com/office/drawing/2014/main" id="{00000000-0008-0000-0C00-0000502C0000}"/>
              </a:ext>
            </a:extLst>
          </xdr:cNvPr>
          <xdr:cNvSpPr>
            <a:spLocks noChangeArrowheads="1"/>
          </xdr:cNvSpPr>
        </xdr:nvSpPr>
        <xdr:spPr bwMode="auto">
          <a:xfrm>
            <a:off x="1135" y="109"/>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5" name="Rectangle 81">
            <a:extLst>
              <a:ext uri="{FF2B5EF4-FFF2-40B4-BE49-F238E27FC236}">
                <a16:creationId xmlns:a16="http://schemas.microsoft.com/office/drawing/2014/main" id="{00000000-0008-0000-0C00-0000512C0000}"/>
              </a:ext>
            </a:extLst>
          </xdr:cNvPr>
          <xdr:cNvSpPr>
            <a:spLocks noChangeArrowheads="1"/>
          </xdr:cNvSpPr>
        </xdr:nvSpPr>
        <xdr:spPr bwMode="auto">
          <a:xfrm>
            <a:off x="1136" y="109"/>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6" name="Rectangle 82">
            <a:extLst>
              <a:ext uri="{FF2B5EF4-FFF2-40B4-BE49-F238E27FC236}">
                <a16:creationId xmlns:a16="http://schemas.microsoft.com/office/drawing/2014/main" id="{00000000-0008-0000-0C00-0000522C0000}"/>
              </a:ext>
            </a:extLst>
          </xdr:cNvPr>
          <xdr:cNvSpPr>
            <a:spLocks noChangeArrowheads="1"/>
          </xdr:cNvSpPr>
        </xdr:nvSpPr>
        <xdr:spPr bwMode="auto">
          <a:xfrm>
            <a:off x="1241" y="109"/>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7" name="Rectangle 83">
            <a:extLst>
              <a:ext uri="{FF2B5EF4-FFF2-40B4-BE49-F238E27FC236}">
                <a16:creationId xmlns:a16="http://schemas.microsoft.com/office/drawing/2014/main" id="{00000000-0008-0000-0C00-0000532C0000}"/>
              </a:ext>
            </a:extLst>
          </xdr:cNvPr>
          <xdr:cNvSpPr>
            <a:spLocks noChangeArrowheads="1"/>
          </xdr:cNvSpPr>
        </xdr:nvSpPr>
        <xdr:spPr bwMode="auto">
          <a:xfrm>
            <a:off x="858" y="110"/>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8" name="Rectangle 84">
            <a:extLst>
              <a:ext uri="{FF2B5EF4-FFF2-40B4-BE49-F238E27FC236}">
                <a16:creationId xmlns:a16="http://schemas.microsoft.com/office/drawing/2014/main" id="{00000000-0008-0000-0C00-0000542C0000}"/>
              </a:ext>
            </a:extLst>
          </xdr:cNvPr>
          <xdr:cNvSpPr>
            <a:spLocks noChangeArrowheads="1"/>
          </xdr:cNvSpPr>
        </xdr:nvSpPr>
        <xdr:spPr bwMode="auto">
          <a:xfrm>
            <a:off x="1135" y="110"/>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9" name="Rectangle 85">
            <a:extLst>
              <a:ext uri="{FF2B5EF4-FFF2-40B4-BE49-F238E27FC236}">
                <a16:creationId xmlns:a16="http://schemas.microsoft.com/office/drawing/2014/main" id="{00000000-0008-0000-0C00-0000552C0000}"/>
              </a:ext>
            </a:extLst>
          </xdr:cNvPr>
          <xdr:cNvSpPr>
            <a:spLocks noChangeArrowheads="1"/>
          </xdr:cNvSpPr>
        </xdr:nvSpPr>
        <xdr:spPr bwMode="auto">
          <a:xfrm>
            <a:off x="1241" y="110"/>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1" name="Rectangle 87">
            <a:extLst>
              <a:ext uri="{FF2B5EF4-FFF2-40B4-BE49-F238E27FC236}">
                <a16:creationId xmlns:a16="http://schemas.microsoft.com/office/drawing/2014/main" id="{00000000-0008-0000-0C00-0000572C0000}"/>
              </a:ext>
            </a:extLst>
          </xdr:cNvPr>
          <xdr:cNvSpPr>
            <a:spLocks noChangeArrowheads="1"/>
          </xdr:cNvSpPr>
        </xdr:nvSpPr>
        <xdr:spPr bwMode="auto">
          <a:xfrm>
            <a:off x="994" y="133"/>
            <a:ext cx="0"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endParaRPr lang="pl-PL" sz="1100" b="0" i="0" u="none" strike="noStrike" baseline="0">
              <a:solidFill>
                <a:srgbClr val="000000"/>
              </a:solidFill>
              <a:latin typeface="Calibri"/>
              <a:cs typeface="Calibri"/>
            </a:endParaRPr>
          </a:p>
        </xdr:txBody>
      </xdr:sp>
      <xdr:sp macro="" textlink="">
        <xdr:nvSpPr>
          <xdr:cNvPr id="11352" name="Rectangle 88">
            <a:extLst>
              <a:ext uri="{FF2B5EF4-FFF2-40B4-BE49-F238E27FC236}">
                <a16:creationId xmlns:a16="http://schemas.microsoft.com/office/drawing/2014/main" id="{00000000-0008-0000-0C00-0000582C0000}"/>
              </a:ext>
            </a:extLst>
          </xdr:cNvPr>
          <xdr:cNvSpPr>
            <a:spLocks noChangeArrowheads="1"/>
          </xdr:cNvSpPr>
        </xdr:nvSpPr>
        <xdr:spPr bwMode="auto">
          <a:xfrm>
            <a:off x="998" y="133"/>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&gt;8500</a:t>
            </a:r>
          </a:p>
        </xdr:txBody>
      </xdr:sp>
      <xdr:sp macro="" textlink="">
        <xdr:nvSpPr>
          <xdr:cNvPr id="11353" name="Rectangle 89">
            <a:extLst>
              <a:ext uri="{FF2B5EF4-FFF2-40B4-BE49-F238E27FC236}">
                <a16:creationId xmlns:a16="http://schemas.microsoft.com/office/drawing/2014/main" id="{00000000-0008-0000-0C00-0000592C0000}"/>
              </a:ext>
            </a:extLst>
          </xdr:cNvPr>
          <xdr:cNvSpPr>
            <a:spLocks noChangeArrowheads="1"/>
          </xdr:cNvSpPr>
        </xdr:nvSpPr>
        <xdr:spPr bwMode="auto">
          <a:xfrm>
            <a:off x="1034" y="133"/>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54" name="Rectangle 90">
            <a:extLst>
              <a:ext uri="{FF2B5EF4-FFF2-40B4-BE49-F238E27FC236}">
                <a16:creationId xmlns:a16="http://schemas.microsoft.com/office/drawing/2014/main" id="{00000000-0008-0000-0C00-00005A2C0000}"/>
              </a:ext>
            </a:extLst>
          </xdr:cNvPr>
          <xdr:cNvSpPr>
            <a:spLocks noChangeArrowheads="1"/>
          </xdr:cNvSpPr>
        </xdr:nvSpPr>
        <xdr:spPr bwMode="auto">
          <a:xfrm>
            <a:off x="1176" y="133"/>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17%</a:t>
            </a:r>
          </a:p>
        </xdr:txBody>
      </xdr:sp>
      <xdr:sp macro="" textlink="">
        <xdr:nvSpPr>
          <xdr:cNvPr id="11355" name="Rectangle 91">
            <a:extLst>
              <a:ext uri="{FF2B5EF4-FFF2-40B4-BE49-F238E27FC236}">
                <a16:creationId xmlns:a16="http://schemas.microsoft.com/office/drawing/2014/main" id="{00000000-0008-0000-0C00-00005B2C0000}"/>
              </a:ext>
            </a:extLst>
          </xdr:cNvPr>
          <xdr:cNvSpPr>
            <a:spLocks noChangeArrowheads="1"/>
          </xdr:cNvSpPr>
        </xdr:nvSpPr>
        <xdr:spPr bwMode="auto">
          <a:xfrm>
            <a:off x="1201" y="133"/>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56" name="Rectangle 92">
            <a:extLst>
              <a:ext uri="{FF2B5EF4-FFF2-40B4-BE49-F238E27FC236}">
                <a16:creationId xmlns:a16="http://schemas.microsoft.com/office/drawing/2014/main" id="{00000000-0008-0000-0C00-00005C2C0000}"/>
              </a:ext>
            </a:extLst>
          </xdr:cNvPr>
          <xdr:cNvSpPr>
            <a:spLocks noChangeArrowheads="1"/>
          </xdr:cNvSpPr>
        </xdr:nvSpPr>
        <xdr:spPr bwMode="auto">
          <a:xfrm>
            <a:off x="858" y="130"/>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7" name="Rectangle 93">
            <a:extLst>
              <a:ext uri="{FF2B5EF4-FFF2-40B4-BE49-F238E27FC236}">
                <a16:creationId xmlns:a16="http://schemas.microsoft.com/office/drawing/2014/main" id="{00000000-0008-0000-0C00-00005D2C0000}"/>
              </a:ext>
            </a:extLst>
          </xdr:cNvPr>
          <xdr:cNvSpPr>
            <a:spLocks noChangeArrowheads="1"/>
          </xdr:cNvSpPr>
        </xdr:nvSpPr>
        <xdr:spPr bwMode="auto">
          <a:xfrm>
            <a:off x="859" y="130"/>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8" name="Rectangle 94">
            <a:extLst>
              <a:ext uri="{FF2B5EF4-FFF2-40B4-BE49-F238E27FC236}">
                <a16:creationId xmlns:a16="http://schemas.microsoft.com/office/drawing/2014/main" id="{00000000-0008-0000-0C00-00005E2C0000}"/>
              </a:ext>
            </a:extLst>
          </xdr:cNvPr>
          <xdr:cNvSpPr>
            <a:spLocks noChangeArrowheads="1"/>
          </xdr:cNvSpPr>
        </xdr:nvSpPr>
        <xdr:spPr bwMode="auto">
          <a:xfrm>
            <a:off x="1135" y="130"/>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9" name="Rectangle 95">
            <a:extLst>
              <a:ext uri="{FF2B5EF4-FFF2-40B4-BE49-F238E27FC236}">
                <a16:creationId xmlns:a16="http://schemas.microsoft.com/office/drawing/2014/main" id="{00000000-0008-0000-0C00-00005F2C0000}"/>
              </a:ext>
            </a:extLst>
          </xdr:cNvPr>
          <xdr:cNvSpPr>
            <a:spLocks noChangeArrowheads="1"/>
          </xdr:cNvSpPr>
        </xdr:nvSpPr>
        <xdr:spPr bwMode="auto">
          <a:xfrm>
            <a:off x="1136" y="130"/>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0" name="Rectangle 96">
            <a:extLst>
              <a:ext uri="{FF2B5EF4-FFF2-40B4-BE49-F238E27FC236}">
                <a16:creationId xmlns:a16="http://schemas.microsoft.com/office/drawing/2014/main" id="{00000000-0008-0000-0C00-0000602C0000}"/>
              </a:ext>
            </a:extLst>
          </xdr:cNvPr>
          <xdr:cNvSpPr>
            <a:spLocks noChangeArrowheads="1"/>
          </xdr:cNvSpPr>
        </xdr:nvSpPr>
        <xdr:spPr bwMode="auto">
          <a:xfrm>
            <a:off x="1241" y="130"/>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1" name="Rectangle 97">
            <a:extLst>
              <a:ext uri="{FF2B5EF4-FFF2-40B4-BE49-F238E27FC236}">
                <a16:creationId xmlns:a16="http://schemas.microsoft.com/office/drawing/2014/main" id="{00000000-0008-0000-0C00-0000612C0000}"/>
              </a:ext>
            </a:extLst>
          </xdr:cNvPr>
          <xdr:cNvSpPr>
            <a:spLocks noChangeArrowheads="1"/>
          </xdr:cNvSpPr>
        </xdr:nvSpPr>
        <xdr:spPr bwMode="auto">
          <a:xfrm>
            <a:off x="858" y="131"/>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2" name="Rectangle 98">
            <a:extLst>
              <a:ext uri="{FF2B5EF4-FFF2-40B4-BE49-F238E27FC236}">
                <a16:creationId xmlns:a16="http://schemas.microsoft.com/office/drawing/2014/main" id="{00000000-0008-0000-0C00-0000622C0000}"/>
              </a:ext>
            </a:extLst>
          </xdr:cNvPr>
          <xdr:cNvSpPr>
            <a:spLocks noChangeArrowheads="1"/>
          </xdr:cNvSpPr>
        </xdr:nvSpPr>
        <xdr:spPr bwMode="auto">
          <a:xfrm>
            <a:off x="1135" y="131"/>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3" name="Rectangle 99">
            <a:extLst>
              <a:ext uri="{FF2B5EF4-FFF2-40B4-BE49-F238E27FC236}">
                <a16:creationId xmlns:a16="http://schemas.microsoft.com/office/drawing/2014/main" id="{00000000-0008-0000-0C00-0000632C0000}"/>
              </a:ext>
            </a:extLst>
          </xdr:cNvPr>
          <xdr:cNvSpPr>
            <a:spLocks noChangeArrowheads="1"/>
          </xdr:cNvSpPr>
        </xdr:nvSpPr>
        <xdr:spPr bwMode="auto">
          <a:xfrm>
            <a:off x="1241" y="131"/>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5" name="Rectangle 101">
            <a:extLst>
              <a:ext uri="{FF2B5EF4-FFF2-40B4-BE49-F238E27FC236}">
                <a16:creationId xmlns:a16="http://schemas.microsoft.com/office/drawing/2014/main" id="{00000000-0008-0000-0C00-0000652C0000}"/>
              </a:ext>
            </a:extLst>
          </xdr:cNvPr>
          <xdr:cNvSpPr>
            <a:spLocks noChangeArrowheads="1"/>
          </xdr:cNvSpPr>
        </xdr:nvSpPr>
        <xdr:spPr bwMode="auto">
          <a:xfrm>
            <a:off x="1015" y="155"/>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67" name="Rectangle 103">
            <a:extLst>
              <a:ext uri="{FF2B5EF4-FFF2-40B4-BE49-F238E27FC236}">
                <a16:creationId xmlns:a16="http://schemas.microsoft.com/office/drawing/2014/main" id="{00000000-0008-0000-0C00-0000672C0000}"/>
              </a:ext>
            </a:extLst>
          </xdr:cNvPr>
          <xdr:cNvSpPr>
            <a:spLocks noChangeArrowheads="1"/>
          </xdr:cNvSpPr>
        </xdr:nvSpPr>
        <xdr:spPr bwMode="auto">
          <a:xfrm>
            <a:off x="1201" y="155"/>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68" name="Rectangle 104">
            <a:extLst>
              <a:ext uri="{FF2B5EF4-FFF2-40B4-BE49-F238E27FC236}">
                <a16:creationId xmlns:a16="http://schemas.microsoft.com/office/drawing/2014/main" id="{00000000-0008-0000-0C00-0000682C0000}"/>
              </a:ext>
            </a:extLst>
          </xdr:cNvPr>
          <xdr:cNvSpPr>
            <a:spLocks noChangeArrowheads="1"/>
          </xdr:cNvSpPr>
        </xdr:nvSpPr>
        <xdr:spPr bwMode="auto">
          <a:xfrm>
            <a:off x="858" y="151"/>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9" name="Rectangle 105">
            <a:extLst>
              <a:ext uri="{FF2B5EF4-FFF2-40B4-BE49-F238E27FC236}">
                <a16:creationId xmlns:a16="http://schemas.microsoft.com/office/drawing/2014/main" id="{00000000-0008-0000-0C00-0000692C0000}"/>
              </a:ext>
            </a:extLst>
          </xdr:cNvPr>
          <xdr:cNvSpPr>
            <a:spLocks noChangeArrowheads="1"/>
          </xdr:cNvSpPr>
        </xdr:nvSpPr>
        <xdr:spPr bwMode="auto">
          <a:xfrm>
            <a:off x="859" y="151"/>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0" name="Rectangle 106">
            <a:extLst>
              <a:ext uri="{FF2B5EF4-FFF2-40B4-BE49-F238E27FC236}">
                <a16:creationId xmlns:a16="http://schemas.microsoft.com/office/drawing/2014/main" id="{00000000-0008-0000-0C00-00006A2C0000}"/>
              </a:ext>
            </a:extLst>
          </xdr:cNvPr>
          <xdr:cNvSpPr>
            <a:spLocks noChangeArrowheads="1"/>
          </xdr:cNvSpPr>
        </xdr:nvSpPr>
        <xdr:spPr bwMode="auto">
          <a:xfrm>
            <a:off x="1135" y="151"/>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1" name="Rectangle 107">
            <a:extLst>
              <a:ext uri="{FF2B5EF4-FFF2-40B4-BE49-F238E27FC236}">
                <a16:creationId xmlns:a16="http://schemas.microsoft.com/office/drawing/2014/main" id="{00000000-0008-0000-0C00-00006B2C0000}"/>
              </a:ext>
            </a:extLst>
          </xdr:cNvPr>
          <xdr:cNvSpPr>
            <a:spLocks noChangeArrowheads="1"/>
          </xdr:cNvSpPr>
        </xdr:nvSpPr>
        <xdr:spPr bwMode="auto">
          <a:xfrm>
            <a:off x="1136" y="151"/>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2" name="Rectangle 108">
            <a:extLst>
              <a:ext uri="{FF2B5EF4-FFF2-40B4-BE49-F238E27FC236}">
                <a16:creationId xmlns:a16="http://schemas.microsoft.com/office/drawing/2014/main" id="{00000000-0008-0000-0C00-00006C2C0000}"/>
              </a:ext>
            </a:extLst>
          </xdr:cNvPr>
          <xdr:cNvSpPr>
            <a:spLocks noChangeArrowheads="1"/>
          </xdr:cNvSpPr>
        </xdr:nvSpPr>
        <xdr:spPr bwMode="auto">
          <a:xfrm>
            <a:off x="1241" y="151"/>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3" name="Rectangle 109">
            <a:extLst>
              <a:ext uri="{FF2B5EF4-FFF2-40B4-BE49-F238E27FC236}">
                <a16:creationId xmlns:a16="http://schemas.microsoft.com/office/drawing/2014/main" id="{00000000-0008-0000-0C00-00006D2C0000}"/>
              </a:ext>
            </a:extLst>
          </xdr:cNvPr>
          <xdr:cNvSpPr>
            <a:spLocks noChangeArrowheads="1"/>
          </xdr:cNvSpPr>
        </xdr:nvSpPr>
        <xdr:spPr bwMode="auto">
          <a:xfrm>
            <a:off x="858" y="152"/>
            <a:ext cx="1" cy="23"/>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4" name="Rectangle 110">
            <a:extLst>
              <a:ext uri="{FF2B5EF4-FFF2-40B4-BE49-F238E27FC236}">
                <a16:creationId xmlns:a16="http://schemas.microsoft.com/office/drawing/2014/main" id="{00000000-0008-0000-0C00-00006E2C0000}"/>
              </a:ext>
            </a:extLst>
          </xdr:cNvPr>
          <xdr:cNvSpPr>
            <a:spLocks noChangeArrowheads="1"/>
          </xdr:cNvSpPr>
        </xdr:nvSpPr>
        <xdr:spPr bwMode="auto">
          <a:xfrm>
            <a:off x="858"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5" name="Rectangle 111">
            <a:extLst>
              <a:ext uri="{FF2B5EF4-FFF2-40B4-BE49-F238E27FC236}">
                <a16:creationId xmlns:a16="http://schemas.microsoft.com/office/drawing/2014/main" id="{00000000-0008-0000-0C00-00006F2C0000}"/>
              </a:ext>
            </a:extLst>
          </xdr:cNvPr>
          <xdr:cNvSpPr>
            <a:spLocks noChangeArrowheads="1"/>
          </xdr:cNvSpPr>
        </xdr:nvSpPr>
        <xdr:spPr bwMode="auto">
          <a:xfrm>
            <a:off x="858"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6" name="Rectangle 112">
            <a:extLst>
              <a:ext uri="{FF2B5EF4-FFF2-40B4-BE49-F238E27FC236}">
                <a16:creationId xmlns:a16="http://schemas.microsoft.com/office/drawing/2014/main" id="{00000000-0008-0000-0C00-0000702C0000}"/>
              </a:ext>
            </a:extLst>
          </xdr:cNvPr>
          <xdr:cNvSpPr>
            <a:spLocks noChangeArrowheads="1"/>
          </xdr:cNvSpPr>
        </xdr:nvSpPr>
        <xdr:spPr bwMode="auto">
          <a:xfrm>
            <a:off x="859" y="175"/>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7" name="Rectangle 113">
            <a:extLst>
              <a:ext uri="{FF2B5EF4-FFF2-40B4-BE49-F238E27FC236}">
                <a16:creationId xmlns:a16="http://schemas.microsoft.com/office/drawing/2014/main" id="{00000000-0008-0000-0C00-0000712C0000}"/>
              </a:ext>
            </a:extLst>
          </xdr:cNvPr>
          <xdr:cNvSpPr>
            <a:spLocks noChangeArrowheads="1"/>
          </xdr:cNvSpPr>
        </xdr:nvSpPr>
        <xdr:spPr bwMode="auto">
          <a:xfrm>
            <a:off x="1135" y="152"/>
            <a:ext cx="1" cy="23"/>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8" name="Rectangle 114">
            <a:extLst>
              <a:ext uri="{FF2B5EF4-FFF2-40B4-BE49-F238E27FC236}">
                <a16:creationId xmlns:a16="http://schemas.microsoft.com/office/drawing/2014/main" id="{00000000-0008-0000-0C00-0000722C0000}"/>
              </a:ext>
            </a:extLst>
          </xdr:cNvPr>
          <xdr:cNvSpPr>
            <a:spLocks noChangeArrowheads="1"/>
          </xdr:cNvSpPr>
        </xdr:nvSpPr>
        <xdr:spPr bwMode="auto">
          <a:xfrm>
            <a:off x="1135"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9" name="Rectangle 115">
            <a:extLst>
              <a:ext uri="{FF2B5EF4-FFF2-40B4-BE49-F238E27FC236}">
                <a16:creationId xmlns:a16="http://schemas.microsoft.com/office/drawing/2014/main" id="{00000000-0008-0000-0C00-0000732C0000}"/>
              </a:ext>
            </a:extLst>
          </xdr:cNvPr>
          <xdr:cNvSpPr>
            <a:spLocks noChangeArrowheads="1"/>
          </xdr:cNvSpPr>
        </xdr:nvSpPr>
        <xdr:spPr bwMode="auto">
          <a:xfrm>
            <a:off x="1136" y="175"/>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0" name="Rectangle 116">
            <a:extLst>
              <a:ext uri="{FF2B5EF4-FFF2-40B4-BE49-F238E27FC236}">
                <a16:creationId xmlns:a16="http://schemas.microsoft.com/office/drawing/2014/main" id="{00000000-0008-0000-0C00-0000742C0000}"/>
              </a:ext>
            </a:extLst>
          </xdr:cNvPr>
          <xdr:cNvSpPr>
            <a:spLocks noChangeArrowheads="1"/>
          </xdr:cNvSpPr>
        </xdr:nvSpPr>
        <xdr:spPr bwMode="auto">
          <a:xfrm>
            <a:off x="1241" y="152"/>
            <a:ext cx="1" cy="23"/>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1" name="Rectangle 117">
            <a:extLst>
              <a:ext uri="{FF2B5EF4-FFF2-40B4-BE49-F238E27FC236}">
                <a16:creationId xmlns:a16="http://schemas.microsoft.com/office/drawing/2014/main" id="{00000000-0008-0000-0C00-0000752C0000}"/>
              </a:ext>
            </a:extLst>
          </xdr:cNvPr>
          <xdr:cNvSpPr>
            <a:spLocks noChangeArrowheads="1"/>
          </xdr:cNvSpPr>
        </xdr:nvSpPr>
        <xdr:spPr bwMode="auto">
          <a:xfrm>
            <a:off x="1241"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2" name="Rectangle 118">
            <a:extLst>
              <a:ext uri="{FF2B5EF4-FFF2-40B4-BE49-F238E27FC236}">
                <a16:creationId xmlns:a16="http://schemas.microsoft.com/office/drawing/2014/main" id="{00000000-0008-0000-0C00-0000762C0000}"/>
              </a:ext>
            </a:extLst>
          </xdr:cNvPr>
          <xdr:cNvSpPr>
            <a:spLocks noChangeArrowheads="1"/>
          </xdr:cNvSpPr>
        </xdr:nvSpPr>
        <xdr:spPr bwMode="auto">
          <a:xfrm>
            <a:off x="1241"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3" name="Rectangle 119">
            <a:extLst>
              <a:ext uri="{FF2B5EF4-FFF2-40B4-BE49-F238E27FC236}">
                <a16:creationId xmlns:a16="http://schemas.microsoft.com/office/drawing/2014/main" id="{00000000-0008-0000-0C00-0000772C0000}"/>
              </a:ext>
            </a:extLst>
          </xdr:cNvPr>
          <xdr:cNvSpPr>
            <a:spLocks noChangeArrowheads="1"/>
          </xdr:cNvSpPr>
        </xdr:nvSpPr>
        <xdr:spPr bwMode="auto">
          <a:xfrm>
            <a:off x="859" y="174"/>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33</xdr:col>
          <xdr:colOff>476250</xdr:colOff>
          <xdr:row>12</xdr:row>
          <xdr:rowOff>0</xdr:rowOff>
        </xdr:from>
        <xdr:to>
          <xdr:col>35</xdr:col>
          <xdr:colOff>285750</xdr:colOff>
          <xdr:row>12</xdr:row>
          <xdr:rowOff>0</xdr:rowOff>
        </xdr:to>
        <xdr:sp macro="" textlink="">
          <xdr:nvSpPr>
            <xdr:cNvPr id="48173" name="Button 45" hidden="1">
              <a:extLst>
                <a:ext uri="{63B3BB69-23CF-44E3-9099-C40C66FF867C}">
                  <a14:compatExt spid="_x0000_s48173"/>
                </a:ext>
                <a:ext uri="{FF2B5EF4-FFF2-40B4-BE49-F238E27FC236}">
                  <a16:creationId xmlns:a16="http://schemas.microsoft.com/office/drawing/2014/main" id="{00000000-0008-0000-0E00-00002DB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000" b="0" i="0" u="none" strike="noStrike" baseline="0">
                  <a:solidFill>
                    <a:srgbClr val="000000"/>
                  </a:solidFill>
                  <a:latin typeface="Arial"/>
                  <a:cs typeface="Arial"/>
                </a:rPr>
                <a:t>Oblicz OE RRSO</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0</xdr:row>
          <xdr:rowOff>12700</xdr:rowOff>
        </xdr:from>
        <xdr:to>
          <xdr:col>6</xdr:col>
          <xdr:colOff>184150</xdr:colOff>
          <xdr:row>2</xdr:row>
          <xdr:rowOff>114300</xdr:rowOff>
        </xdr:to>
        <xdr:sp macro="" textlink="">
          <xdr:nvSpPr>
            <xdr:cNvPr id="31746" name="Button 2" descr="POWRÓT" hidden="1">
              <a:extLst>
                <a:ext uri="{63B3BB69-23CF-44E3-9099-C40C66FF867C}">
                  <a14:compatExt spid="_x0000_s31746"/>
                </a:ext>
                <a:ext uri="{FF2B5EF4-FFF2-40B4-BE49-F238E27FC236}">
                  <a16:creationId xmlns:a16="http://schemas.microsoft.com/office/drawing/2014/main" id="{00000000-0008-0000-0F00-0000027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8000"/>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3</xdr:col>
          <xdr:colOff>704850</xdr:colOff>
          <xdr:row>2</xdr:row>
          <xdr:rowOff>114300</xdr:rowOff>
        </xdr:to>
        <xdr:sp macro="" textlink="">
          <xdr:nvSpPr>
            <xdr:cNvPr id="31748" name="cmdPrintArea" hidden="1">
              <a:extLst>
                <a:ext uri="{63B3BB69-23CF-44E3-9099-C40C66FF867C}">
                  <a14:compatExt spid="_x0000_s31748"/>
                </a:ext>
                <a:ext uri="{FF2B5EF4-FFF2-40B4-BE49-F238E27FC236}">
                  <a16:creationId xmlns:a16="http://schemas.microsoft.com/office/drawing/2014/main" id="{00000000-0008-0000-0F00-000004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179917</xdr:colOff>
      <xdr:row>4</xdr:row>
      <xdr:rowOff>62614</xdr:rowOff>
    </xdr:from>
    <xdr:to>
      <xdr:col>1</xdr:col>
      <xdr:colOff>727076</xdr:colOff>
      <xdr:row>5</xdr:row>
      <xdr:rowOff>27516</xdr:rowOff>
    </xdr:to>
    <xdr:pic>
      <xdr:nvPicPr>
        <xdr:cNvPr id="4" name="Obraz 3" descr="ikona_kredyty">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9917" y="697614"/>
          <a:ext cx="843492" cy="8327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121920</xdr:colOff>
      <xdr:row>0</xdr:row>
      <xdr:rowOff>0</xdr:rowOff>
    </xdr:from>
    <xdr:to>
      <xdr:col>9</xdr:col>
      <xdr:colOff>342900</xdr:colOff>
      <xdr:row>0</xdr:row>
      <xdr:rowOff>0</xdr:rowOff>
    </xdr:to>
    <xdr:pic>
      <xdr:nvPicPr>
        <xdr:cNvPr id="42868" name="Obraz 1">
          <a:extLst>
            <a:ext uri="{FF2B5EF4-FFF2-40B4-BE49-F238E27FC236}">
              <a16:creationId xmlns:a16="http://schemas.microsoft.com/office/drawing/2014/main" id="{00000000-0008-0000-1000-000074A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 y="0"/>
          <a:ext cx="5707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579120</xdr:colOff>
      <xdr:row>1</xdr:row>
      <xdr:rowOff>30480</xdr:rowOff>
    </xdr:from>
    <xdr:to>
      <xdr:col>9</xdr:col>
      <xdr:colOff>220980</xdr:colOff>
      <xdr:row>25</xdr:row>
      <xdr:rowOff>76200</xdr:rowOff>
    </xdr:to>
    <xdr:pic>
      <xdr:nvPicPr>
        <xdr:cNvPr id="42869" name="Obraz 2">
          <a:extLst>
            <a:ext uri="{FF2B5EF4-FFF2-40B4-BE49-F238E27FC236}">
              <a16:creationId xmlns:a16="http://schemas.microsoft.com/office/drawing/2014/main" id="{00000000-0008-0000-1000-000075A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9120" y="0"/>
          <a:ext cx="51282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0</xdr:colOff>
      <xdr:row>31</xdr:row>
      <xdr:rowOff>0</xdr:rowOff>
    </xdr:from>
    <xdr:ext cx="2346960" cy="1986826"/>
    <xdr:sp macro="" textlink="">
      <xdr:nvSpPr>
        <xdr:cNvPr id="5" name="pole tekstowe 4">
          <a:extLst>
            <a:ext uri="{FF2B5EF4-FFF2-40B4-BE49-F238E27FC236}">
              <a16:creationId xmlns:a16="http://schemas.microsoft.com/office/drawing/2014/main" id="{00000000-0008-0000-1000-000005000000}"/>
            </a:ext>
          </a:extLst>
        </xdr:cNvPr>
        <xdr:cNvSpPr txBox="1"/>
      </xdr:nvSpPr>
      <xdr:spPr>
        <a:xfrm>
          <a:off x="609600" y="838200"/>
          <a:ext cx="2346960" cy="1986826"/>
        </a:xfrm>
        <a:prstGeom prst="rect">
          <a:avLst/>
        </a:prstGeom>
        <a:gradFill>
          <a:gsLst>
            <a:gs pos="0">
              <a:schemeClr val="accent1">
                <a:tint val="66000"/>
                <a:satMod val="160000"/>
                <a:alpha val="0"/>
              </a:schemeClr>
            </a:gs>
            <a:gs pos="2000">
              <a:schemeClr val="accent2">
                <a:lumMod val="20000"/>
                <a:lumOff val="80000"/>
                <a:alpha val="36000"/>
              </a:schemeClr>
            </a:gs>
            <a:gs pos="100000">
              <a:schemeClr val="accent1">
                <a:tint val="23500"/>
                <a:satMod val="160000"/>
              </a:schemeClr>
            </a:gs>
          </a:gsLst>
          <a:lin ang="5400000" scaled="0"/>
        </a:gradFill>
        <a:ln w="9525" cmpd="sng">
          <a:solidFill>
            <a:schemeClr val="accent3">
              <a:lumMod val="50000"/>
            </a:schemeClr>
          </a:solidFill>
        </a:ln>
        <a:effectLst>
          <a:outerShdw blurRad="63500" sx="102000" sy="102000" algn="ctr" rotWithShape="0">
            <a:prstClr val="black">
              <a:alpha val="20000"/>
            </a:prstClr>
          </a:outerShdw>
        </a:effectLst>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spAutoFit/>
        </a:bodyPr>
        <a:lstStyle/>
        <a:p>
          <a:r>
            <a:rPr lang="pl-PL" sz="1100" b="1">
              <a:solidFill>
                <a:schemeClr val="tx1"/>
              </a:solidFill>
            </a:rPr>
            <a:t>Opis</a:t>
          </a:r>
          <a:r>
            <a:rPr lang="pl-PL" sz="1100" b="1" baseline="0">
              <a:solidFill>
                <a:schemeClr val="tx1"/>
              </a:solidFill>
            </a:rPr>
            <a:t> tworzenia Planu rat</a:t>
          </a:r>
        </a:p>
        <a:p>
          <a:r>
            <a:rPr lang="pl-PL" sz="1100" baseline="0">
              <a:solidFill>
                <a:schemeClr val="tx1"/>
              </a:solidFill>
            </a:rPr>
            <a:t>- kolumna (C) wyznaczenie </a:t>
          </a:r>
          <a:r>
            <a:rPr lang="pl-PL" sz="1100" b="1" baseline="0">
              <a:solidFill>
                <a:schemeClr val="tx1"/>
              </a:solidFill>
            </a:rPr>
            <a:t>LP</a:t>
          </a:r>
          <a:r>
            <a:rPr lang="pl-PL" sz="1100" baseline="0">
              <a:solidFill>
                <a:schemeClr val="tx1"/>
              </a:solidFill>
            </a:rPr>
            <a:t> rat; </a:t>
          </a:r>
        </a:p>
        <a:p>
          <a:r>
            <a:rPr lang="pl-PL" sz="1100" baseline="0">
              <a:solidFill>
                <a:schemeClr val="tx1"/>
              </a:solidFill>
            </a:rPr>
            <a:t>liczby rat, w tym celu zastosowanie zmiennej (_NrRaty)-patrz Ctrs+F3 </a:t>
          </a:r>
        </a:p>
        <a:p>
          <a:endParaRPr lang="pl-PL" sz="1100" baseline="0">
            <a:solidFill>
              <a:schemeClr val="tx1"/>
            </a:solidFill>
          </a:endParaRPr>
        </a:p>
        <a:p>
          <a:r>
            <a:rPr lang="pl-PL" sz="1100" baseline="0">
              <a:solidFill>
                <a:schemeClr val="tx1"/>
              </a:solidFill>
            </a:rPr>
            <a:t>- Wyznaczenie dat rat w kolumnach (B,D): </a:t>
          </a:r>
          <a:r>
            <a:rPr lang="pl-PL" sz="1100" b="0" i="0" u="none" strike="noStrike">
              <a:solidFill>
                <a:schemeClr val="tx1"/>
              </a:solidFill>
              <a:effectLst/>
              <a:latin typeface="+mn-lt"/>
              <a:ea typeface="+mn-ea"/>
              <a:cs typeface="+mn-cs"/>
            </a:rPr>
            <a:t>Data Pomocnicza</a:t>
          </a:r>
          <a:r>
            <a:rPr lang="pl-PL">
              <a:solidFill>
                <a:schemeClr val="tx1"/>
              </a:solidFill>
            </a:rPr>
            <a:t> </a:t>
          </a:r>
          <a:r>
            <a:rPr lang="pl-PL" sz="1100" b="0" i="0" u="none" strike="noStrike">
              <a:solidFill>
                <a:schemeClr val="tx1"/>
              </a:solidFill>
              <a:effectLst/>
              <a:latin typeface="+mn-lt"/>
              <a:ea typeface="+mn-ea"/>
              <a:cs typeface="+mn-cs"/>
            </a:rPr>
            <a:t> </a:t>
          </a:r>
          <a:r>
            <a:rPr lang="pl-PL">
              <a:solidFill>
                <a:schemeClr val="tx1"/>
              </a:solidFill>
            </a:rPr>
            <a:t> </a:t>
          </a:r>
          <a:r>
            <a:rPr lang="pl-PL" sz="1100" b="1" i="0" u="none" strike="noStrike">
              <a:solidFill>
                <a:schemeClr val="tx1"/>
              </a:solidFill>
              <a:effectLst/>
              <a:latin typeface="+mn-lt"/>
              <a:ea typeface="+mn-ea"/>
              <a:cs typeface="+mn-cs"/>
            </a:rPr>
            <a:t>Data Spłaty</a:t>
          </a:r>
          <a:r>
            <a:rPr lang="pl-PL" b="1">
              <a:solidFill>
                <a:schemeClr val="tx1"/>
              </a:solidFill>
            </a:rPr>
            <a:t> </a:t>
          </a:r>
        </a:p>
        <a:p>
          <a:endParaRPr lang="pl-PL" sz="1100" baseline="0">
            <a:solidFill>
              <a:schemeClr val="tx1"/>
            </a:solidFill>
          </a:endParaRPr>
        </a:p>
        <a:p>
          <a:r>
            <a:rPr lang="pl-PL" sz="1100" baseline="0">
              <a:solidFill>
                <a:schemeClr val="tx1"/>
              </a:solidFill>
            </a:rPr>
            <a:t>- Obliczanie kwoty raty -- działalnia pomocnicze -liczenie Q 1/Q</a:t>
          </a:r>
        </a:p>
        <a:p>
          <a:endParaRPr lang="pl-PL" sz="1100" baseline="0">
            <a:solidFill>
              <a:schemeClr val="tx1"/>
            </a:solidFill>
          </a:endParaRPr>
        </a:p>
      </xdr:txBody>
    </xdr:sp>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5</xdr:row>
          <xdr:rowOff>133350</xdr:rowOff>
        </xdr:from>
        <xdr:to>
          <xdr:col>8</xdr:col>
          <xdr:colOff>19050</xdr:colOff>
          <xdr:row>7</xdr:row>
          <xdr:rowOff>133350</xdr:rowOff>
        </xdr:to>
        <xdr:sp macro="" textlink="">
          <xdr:nvSpPr>
            <xdr:cNvPr id="44037" name="Button 5" hidden="1">
              <a:extLst>
                <a:ext uri="{63B3BB69-23CF-44E3-9099-C40C66FF867C}">
                  <a14:compatExt spid="_x0000_s44037"/>
                </a:ext>
                <a:ext uri="{FF2B5EF4-FFF2-40B4-BE49-F238E27FC236}">
                  <a16:creationId xmlns:a16="http://schemas.microsoft.com/office/drawing/2014/main" id="{00000000-0008-0000-1100-000005A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none" strike="noStrike" baseline="0">
                  <a:solidFill>
                    <a:srgbClr val="333399"/>
                  </a:solidFill>
                  <a:latin typeface="Arial"/>
                  <a:cs typeface="Arial"/>
                </a:rPr>
                <a:t>Generuj Oferty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31750</xdr:colOff>
          <xdr:row>0</xdr:row>
          <xdr:rowOff>69850</xdr:rowOff>
        </xdr:from>
        <xdr:to>
          <xdr:col>0</xdr:col>
          <xdr:colOff>1460500</xdr:colOff>
          <xdr:row>3</xdr:row>
          <xdr:rowOff>76200</xdr:rowOff>
        </xdr:to>
        <xdr:sp macro="" textlink="">
          <xdr:nvSpPr>
            <xdr:cNvPr id="44055" name="Button 23" descr="POWRÓT" hidden="1">
              <a:extLst>
                <a:ext uri="{63B3BB69-23CF-44E3-9099-C40C66FF867C}">
                  <a14:compatExt spid="_x0000_s44055"/>
                </a:ext>
                <a:ext uri="{FF2B5EF4-FFF2-40B4-BE49-F238E27FC236}">
                  <a16:creationId xmlns:a16="http://schemas.microsoft.com/office/drawing/2014/main" id="{00000000-0008-0000-1100-000017A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pl-PL" sz="1200" b="1" i="0" u="none" strike="noStrike" baseline="0">
                  <a:solidFill>
                    <a:srgbClr val="000080"/>
                  </a:solidFill>
                  <a:latin typeface="Arial"/>
                  <a:cs typeface="Arial"/>
                </a:rPr>
                <a:t>POWRÓT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3</xdr:row>
          <xdr:rowOff>0</xdr:rowOff>
        </xdr:from>
        <xdr:to>
          <xdr:col>0</xdr:col>
          <xdr:colOff>1714500</xdr:colOff>
          <xdr:row>7</xdr:row>
          <xdr:rowOff>0</xdr:rowOff>
        </xdr:to>
        <xdr:sp macro="" textlink="">
          <xdr:nvSpPr>
            <xdr:cNvPr id="39979" name="Button 43" descr="POWRÓT" hidden="1">
              <a:extLst>
                <a:ext uri="{63B3BB69-23CF-44E3-9099-C40C66FF867C}">
                  <a14:compatExt spid="_x0000_s39979"/>
                </a:ext>
                <a:ext uri="{FF2B5EF4-FFF2-40B4-BE49-F238E27FC236}">
                  <a16:creationId xmlns:a16="http://schemas.microsoft.com/office/drawing/2014/main" id="{00000000-0008-0000-1200-00002B9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0080"/>
                  </a:solidFill>
                  <a:latin typeface="Arial"/>
                  <a:cs typeface="Arial"/>
                </a:rPr>
                <a:t>POWRÓT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50800</xdr:colOff>
          <xdr:row>0</xdr:row>
          <xdr:rowOff>31750</xdr:rowOff>
        </xdr:from>
        <xdr:to>
          <xdr:col>4</xdr:col>
          <xdr:colOff>1752600</xdr:colOff>
          <xdr:row>3</xdr:row>
          <xdr:rowOff>133350</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1300-000001740000}"/>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pl-PL" sz="1600" b="1" i="0" u="none" strike="noStrike" baseline="0">
                  <a:solidFill>
                    <a:srgbClr val="0000FF"/>
                  </a:solidFill>
                  <a:latin typeface="Arial"/>
                  <a:cs typeface="Arial"/>
                </a:rPr>
                <a:t>POWROT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87041" name="Button 1" hidden="1">
              <a:extLst>
                <a:ext uri="{63B3BB69-23CF-44E3-9099-C40C66FF867C}">
                  <a14:compatExt spid="_x0000_s87041"/>
                </a:ext>
                <a:ext uri="{FF2B5EF4-FFF2-40B4-BE49-F238E27FC236}">
                  <a16:creationId xmlns:a16="http://schemas.microsoft.com/office/drawing/2014/main" id="{00000000-0008-0000-1400-0000015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87042" name="Button 2" hidden="1">
              <a:extLst>
                <a:ext uri="{63B3BB69-23CF-44E3-9099-C40C66FF867C}">
                  <a14:compatExt spid="_x0000_s87042"/>
                </a:ext>
                <a:ext uri="{FF2B5EF4-FFF2-40B4-BE49-F238E27FC236}">
                  <a16:creationId xmlns:a16="http://schemas.microsoft.com/office/drawing/2014/main" id="{00000000-0008-0000-1400-0000025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1500-0000014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18531" name="Button 99" hidden="1">
              <a:extLst>
                <a:ext uri="{63B3BB69-23CF-44E3-9099-C40C66FF867C}">
                  <a14:compatExt spid="_x0000_s18531"/>
                </a:ext>
                <a:ext uri="{FF2B5EF4-FFF2-40B4-BE49-F238E27FC236}">
                  <a16:creationId xmlns:a16="http://schemas.microsoft.com/office/drawing/2014/main" id="{00000000-0008-0000-1500-0000634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70657" name="Button 1" hidden="1">
              <a:extLst>
                <a:ext uri="{63B3BB69-23CF-44E3-9099-C40C66FF867C}">
                  <a14:compatExt spid="_x0000_s70657"/>
                </a:ext>
                <a:ext uri="{FF2B5EF4-FFF2-40B4-BE49-F238E27FC236}">
                  <a16:creationId xmlns:a16="http://schemas.microsoft.com/office/drawing/2014/main" id="{00000000-0008-0000-1600-0000011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70658" name="Button 2" hidden="1">
              <a:extLst>
                <a:ext uri="{63B3BB69-23CF-44E3-9099-C40C66FF867C}">
                  <a14:compatExt spid="_x0000_s70658"/>
                </a:ext>
                <a:ext uri="{FF2B5EF4-FFF2-40B4-BE49-F238E27FC236}">
                  <a16:creationId xmlns:a16="http://schemas.microsoft.com/office/drawing/2014/main" id="{00000000-0008-0000-1600-0000021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105473" name="Button 1" hidden="1">
              <a:extLst>
                <a:ext uri="{63B3BB69-23CF-44E3-9099-C40C66FF867C}">
                  <a14:compatExt spid="_x0000_s105473"/>
                </a:ext>
                <a:ext uri="{FF2B5EF4-FFF2-40B4-BE49-F238E27FC236}">
                  <a16:creationId xmlns:a16="http://schemas.microsoft.com/office/drawing/2014/main" id="{00000000-0008-0000-1700-0000019C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105474" name="Button 2" hidden="1">
              <a:extLst>
                <a:ext uri="{63B3BB69-23CF-44E3-9099-C40C66FF867C}">
                  <a14:compatExt spid="_x0000_s105474"/>
                </a:ext>
                <a:ext uri="{FF2B5EF4-FFF2-40B4-BE49-F238E27FC236}">
                  <a16:creationId xmlns:a16="http://schemas.microsoft.com/office/drawing/2014/main" id="{00000000-0008-0000-1700-0000029C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1800-000001A0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106498" name="Button 2" hidden="1">
              <a:extLst>
                <a:ext uri="{63B3BB69-23CF-44E3-9099-C40C66FF867C}">
                  <a14:compatExt spid="_x0000_s106498"/>
                </a:ext>
                <a:ext uri="{FF2B5EF4-FFF2-40B4-BE49-F238E27FC236}">
                  <a16:creationId xmlns:a16="http://schemas.microsoft.com/office/drawing/2014/main" id="{00000000-0008-0000-1800-000002A0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71681" name="Button 1" hidden="1">
              <a:extLst>
                <a:ext uri="{63B3BB69-23CF-44E3-9099-C40C66FF867C}">
                  <a14:compatExt spid="_x0000_s71681"/>
                </a:ext>
                <a:ext uri="{FF2B5EF4-FFF2-40B4-BE49-F238E27FC236}">
                  <a16:creationId xmlns:a16="http://schemas.microsoft.com/office/drawing/2014/main" id="{00000000-0008-0000-1900-00000118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71682" name="Button 2" hidden="1">
              <a:extLst>
                <a:ext uri="{63B3BB69-23CF-44E3-9099-C40C66FF867C}">
                  <a14:compatExt spid="_x0000_s71682"/>
                </a:ext>
                <a:ext uri="{FF2B5EF4-FFF2-40B4-BE49-F238E27FC236}">
                  <a16:creationId xmlns:a16="http://schemas.microsoft.com/office/drawing/2014/main" id="{00000000-0008-0000-1900-00000218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72705" name="Button 1" hidden="1">
              <a:extLst>
                <a:ext uri="{63B3BB69-23CF-44E3-9099-C40C66FF867C}">
                  <a14:compatExt spid="_x0000_s72705"/>
                </a:ext>
                <a:ext uri="{FF2B5EF4-FFF2-40B4-BE49-F238E27FC236}">
                  <a16:creationId xmlns:a16="http://schemas.microsoft.com/office/drawing/2014/main" id="{00000000-0008-0000-1A00-0000011C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72706" name="Button 2" hidden="1">
              <a:extLst>
                <a:ext uri="{63B3BB69-23CF-44E3-9099-C40C66FF867C}">
                  <a14:compatExt spid="_x0000_s72706"/>
                </a:ext>
                <a:ext uri="{FF2B5EF4-FFF2-40B4-BE49-F238E27FC236}">
                  <a16:creationId xmlns:a16="http://schemas.microsoft.com/office/drawing/2014/main" id="{00000000-0008-0000-1A00-0000021C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73729" name="Button 1" hidden="1">
              <a:extLst>
                <a:ext uri="{63B3BB69-23CF-44E3-9099-C40C66FF867C}">
                  <a14:compatExt spid="_x0000_s73729"/>
                </a:ext>
                <a:ext uri="{FF2B5EF4-FFF2-40B4-BE49-F238E27FC236}">
                  <a16:creationId xmlns:a16="http://schemas.microsoft.com/office/drawing/2014/main" id="{00000000-0008-0000-1B00-00000120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73730" name="Button 2" hidden="1">
              <a:extLst>
                <a:ext uri="{63B3BB69-23CF-44E3-9099-C40C66FF867C}">
                  <a14:compatExt spid="_x0000_s73730"/>
                </a:ext>
                <a:ext uri="{FF2B5EF4-FFF2-40B4-BE49-F238E27FC236}">
                  <a16:creationId xmlns:a16="http://schemas.microsoft.com/office/drawing/2014/main" id="{00000000-0008-0000-1B00-00000220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850900</xdr:colOff>
          <xdr:row>8</xdr:row>
          <xdr:rowOff>146050</xdr:rowOff>
        </xdr:from>
        <xdr:to>
          <xdr:col>3</xdr:col>
          <xdr:colOff>3041650</xdr:colOff>
          <xdr:row>11</xdr:row>
          <xdr:rowOff>171450</xdr:rowOff>
        </xdr:to>
        <xdr:sp macro="" textlink="">
          <xdr:nvSpPr>
            <xdr:cNvPr id="23586" name="Button 34" descr="POWRÓT" hidden="1">
              <a:extLst>
                <a:ext uri="{63B3BB69-23CF-44E3-9099-C40C66FF867C}">
                  <a14:compatExt spid="_x0000_s23586"/>
                </a:ext>
                <a:ext uri="{FF2B5EF4-FFF2-40B4-BE49-F238E27FC236}">
                  <a16:creationId xmlns:a16="http://schemas.microsoft.com/office/drawing/2014/main" id="{00000000-0008-0000-1C00-0000225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8000"/>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323850</xdr:colOff>
          <xdr:row>8</xdr:row>
          <xdr:rowOff>152400</xdr:rowOff>
        </xdr:from>
        <xdr:to>
          <xdr:col>3</xdr:col>
          <xdr:colOff>133350</xdr:colOff>
          <xdr:row>12</xdr:row>
          <xdr:rowOff>0</xdr:rowOff>
        </xdr:to>
        <xdr:sp macro="" textlink="">
          <xdr:nvSpPr>
            <xdr:cNvPr id="23590" name="Button 38" hidden="1">
              <a:extLst>
                <a:ext uri="{63B3BB69-23CF-44E3-9099-C40C66FF867C}">
                  <a14:compatExt spid="_x0000_s23590"/>
                </a:ext>
                <a:ext uri="{FF2B5EF4-FFF2-40B4-BE49-F238E27FC236}">
                  <a16:creationId xmlns:a16="http://schemas.microsoft.com/office/drawing/2014/main" id="{00000000-0008-0000-1C00-0000265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8000"/>
                  </a:solidFill>
                  <a:latin typeface="Arial"/>
                  <a:cs typeface="Arial"/>
                </a:rPr>
                <a:t>Drukuj </a:t>
              </a:r>
            </a:p>
            <a:p>
              <a:pPr algn="ctr" rtl="0">
                <a:defRPr sz="1000"/>
              </a:pPr>
              <a:r>
                <a:rPr lang="pl-PL" sz="1400" b="1" i="0" u="none" strike="noStrike" baseline="0">
                  <a:solidFill>
                    <a:srgbClr val="008000"/>
                  </a:solidFill>
                  <a:latin typeface="Arial"/>
                  <a:cs typeface="Arial"/>
                </a:rPr>
                <a:t>Formularz Konsumencki</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0</xdr:col>
      <xdr:colOff>559594</xdr:colOff>
      <xdr:row>2</xdr:row>
      <xdr:rowOff>359940</xdr:rowOff>
    </xdr:from>
    <xdr:to>
      <xdr:col>0</xdr:col>
      <xdr:colOff>1774031</xdr:colOff>
      <xdr:row>2</xdr:row>
      <xdr:rowOff>1575288</xdr:rowOff>
    </xdr:to>
    <xdr:pic>
      <xdr:nvPicPr>
        <xdr:cNvPr id="3" name="Obraz 2" descr="ikona_kredyty">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9594" y="682325"/>
          <a:ext cx="1214437" cy="12153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850900</xdr:colOff>
          <xdr:row>8</xdr:row>
          <xdr:rowOff>146050</xdr:rowOff>
        </xdr:from>
        <xdr:to>
          <xdr:col>3</xdr:col>
          <xdr:colOff>3041650</xdr:colOff>
          <xdr:row>11</xdr:row>
          <xdr:rowOff>171450</xdr:rowOff>
        </xdr:to>
        <xdr:sp macro="" textlink="">
          <xdr:nvSpPr>
            <xdr:cNvPr id="61441" name="Button 1" descr="POWRÓT" hidden="1">
              <a:extLst>
                <a:ext uri="{63B3BB69-23CF-44E3-9099-C40C66FF867C}">
                  <a14:compatExt spid="_x0000_s61441"/>
                </a:ext>
                <a:ext uri="{FF2B5EF4-FFF2-40B4-BE49-F238E27FC236}">
                  <a16:creationId xmlns:a16="http://schemas.microsoft.com/office/drawing/2014/main" id="{00000000-0008-0000-1E00-000001F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8000"/>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323850</xdr:colOff>
          <xdr:row>8</xdr:row>
          <xdr:rowOff>152400</xdr:rowOff>
        </xdr:from>
        <xdr:to>
          <xdr:col>3</xdr:col>
          <xdr:colOff>133350</xdr:colOff>
          <xdr:row>12</xdr:row>
          <xdr:rowOff>0</xdr:rowOff>
        </xdr:to>
        <xdr:sp macro="" textlink="">
          <xdr:nvSpPr>
            <xdr:cNvPr id="61442" name="Button 2" hidden="1">
              <a:extLst>
                <a:ext uri="{63B3BB69-23CF-44E3-9099-C40C66FF867C}">
                  <a14:compatExt spid="_x0000_s61442"/>
                </a:ext>
                <a:ext uri="{FF2B5EF4-FFF2-40B4-BE49-F238E27FC236}">
                  <a16:creationId xmlns:a16="http://schemas.microsoft.com/office/drawing/2014/main" id="{00000000-0008-0000-1E00-000002F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8000"/>
                  </a:solidFill>
                  <a:latin typeface="Arial"/>
                  <a:cs typeface="Arial"/>
                </a:rPr>
                <a:t>Drukuj </a:t>
              </a:r>
            </a:p>
            <a:p>
              <a:pPr algn="ctr" rtl="0">
                <a:defRPr sz="1000"/>
              </a:pPr>
              <a:r>
                <a:rPr lang="pl-PL" sz="1400" b="1" i="0" u="none" strike="noStrike" baseline="0">
                  <a:solidFill>
                    <a:srgbClr val="008000"/>
                  </a:solidFill>
                  <a:latin typeface="Arial"/>
                  <a:cs typeface="Arial"/>
                </a:rPr>
                <a:t>Formularz Konsumencki</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twoCellAnchor>
    <xdr:from>
      <xdr:col>0</xdr:col>
      <xdr:colOff>144780</xdr:colOff>
      <xdr:row>5</xdr:row>
      <xdr:rowOff>3410</xdr:rowOff>
    </xdr:from>
    <xdr:to>
      <xdr:col>16</xdr:col>
      <xdr:colOff>121920</xdr:colOff>
      <xdr:row>29</xdr:row>
      <xdr:rowOff>99060</xdr:rowOff>
    </xdr:to>
    <xdr:graphicFrame macro="">
      <xdr:nvGraphicFramePr>
        <xdr:cNvPr id="2" name="Wykres 1">
          <a:extLst>
            <a:ext uri="{FF2B5EF4-FFF2-40B4-BE49-F238E27FC236}">
              <a16:creationId xmlns:a16="http://schemas.microsoft.com/office/drawing/2014/main" id="{00000000-0008-0000-2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273405</xdr:colOff>
      <xdr:row>11</xdr:row>
      <xdr:rowOff>18240</xdr:rowOff>
    </xdr:from>
    <xdr:to>
      <xdr:col>4</xdr:col>
      <xdr:colOff>71475</xdr:colOff>
      <xdr:row>17</xdr:row>
      <xdr:rowOff>72692</xdr:rowOff>
    </xdr:to>
    <xdr:sp macro="" textlink="">
      <xdr:nvSpPr>
        <xdr:cNvPr id="5" name="Prążkowana strzałka w prawo 4">
          <a:extLst>
            <a:ext uri="{FF2B5EF4-FFF2-40B4-BE49-F238E27FC236}">
              <a16:creationId xmlns:a16="http://schemas.microsoft.com/office/drawing/2014/main" id="{00000000-0008-0000-2000-000005000000}"/>
            </a:ext>
          </a:extLst>
        </xdr:cNvPr>
        <xdr:cNvSpPr/>
      </xdr:nvSpPr>
      <xdr:spPr bwMode="auto">
        <a:xfrm rot="16200000">
          <a:off x="2114984" y="2055241"/>
          <a:ext cx="1060292" cy="415290"/>
        </a:xfrm>
        <a:prstGeom prst="stripedRightArrow">
          <a:avLst/>
        </a:prstGeom>
        <a:solidFill>
          <a:srgbClr val="FE7862">
            <a:alpha val="55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8</xdr:col>
      <xdr:colOff>498347</xdr:colOff>
      <xdr:row>2</xdr:row>
      <xdr:rowOff>225553</xdr:rowOff>
    </xdr:from>
    <xdr:to>
      <xdr:col>9</xdr:col>
      <xdr:colOff>373379</xdr:colOff>
      <xdr:row>9</xdr:row>
      <xdr:rowOff>30481</xdr:rowOff>
    </xdr:to>
    <xdr:sp macro="" textlink="">
      <xdr:nvSpPr>
        <xdr:cNvPr id="9" name="Prążkowana strzałka w prawo 8">
          <a:extLst>
            <a:ext uri="{FF2B5EF4-FFF2-40B4-BE49-F238E27FC236}">
              <a16:creationId xmlns:a16="http://schemas.microsoft.com/office/drawing/2014/main" id="{00000000-0008-0000-2000-000009000000}"/>
            </a:ext>
          </a:extLst>
        </xdr:cNvPr>
        <xdr:cNvSpPr/>
      </xdr:nvSpPr>
      <xdr:spPr bwMode="auto">
        <a:xfrm rot="16200000">
          <a:off x="5463539" y="640081"/>
          <a:ext cx="1054608" cy="484632"/>
        </a:xfrm>
        <a:prstGeom prst="stripedRightArrow">
          <a:avLst/>
        </a:prstGeom>
        <a:solidFill>
          <a:srgbClr val="FE7862">
            <a:alpha val="54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10</xdr:col>
      <xdr:colOff>403860</xdr:colOff>
      <xdr:row>3</xdr:row>
      <xdr:rowOff>91441</xdr:rowOff>
    </xdr:from>
    <xdr:to>
      <xdr:col>11</xdr:col>
      <xdr:colOff>278892</xdr:colOff>
      <xdr:row>9</xdr:row>
      <xdr:rowOff>64009</xdr:rowOff>
    </xdr:to>
    <xdr:sp macro="" textlink="">
      <xdr:nvSpPr>
        <xdr:cNvPr id="10" name="Prążkowana strzałka w prawo 9">
          <a:extLst>
            <a:ext uri="{FF2B5EF4-FFF2-40B4-BE49-F238E27FC236}">
              <a16:creationId xmlns:a16="http://schemas.microsoft.com/office/drawing/2014/main" id="{00000000-0008-0000-2000-00000A000000}"/>
            </a:ext>
          </a:extLst>
        </xdr:cNvPr>
        <xdr:cNvSpPr/>
      </xdr:nvSpPr>
      <xdr:spPr bwMode="auto">
        <a:xfrm rot="16200000">
          <a:off x="6626352" y="711709"/>
          <a:ext cx="978408" cy="484632"/>
        </a:xfrm>
        <a:prstGeom prst="stripedRightArrow">
          <a:avLst/>
        </a:prstGeom>
        <a:solidFill>
          <a:srgbClr val="FE7862">
            <a:alpha val="54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11</xdr:col>
      <xdr:colOff>579120</xdr:colOff>
      <xdr:row>0</xdr:row>
      <xdr:rowOff>0</xdr:rowOff>
    </xdr:from>
    <xdr:to>
      <xdr:col>12</xdr:col>
      <xdr:colOff>22860</xdr:colOff>
      <xdr:row>32</xdr:row>
      <xdr:rowOff>152400</xdr:rowOff>
    </xdr:to>
    <xdr:cxnSp macro="">
      <xdr:nvCxnSpPr>
        <xdr:cNvPr id="12" name="Łącznik prostoliniowy 11">
          <a:extLst>
            <a:ext uri="{FF2B5EF4-FFF2-40B4-BE49-F238E27FC236}">
              <a16:creationId xmlns:a16="http://schemas.microsoft.com/office/drawing/2014/main" id="{00000000-0008-0000-2000-00000C000000}"/>
            </a:ext>
          </a:extLst>
        </xdr:cNvPr>
        <xdr:cNvCxnSpPr/>
      </xdr:nvCxnSpPr>
      <xdr:spPr bwMode="auto">
        <a:xfrm>
          <a:off x="7658100" y="0"/>
          <a:ext cx="53340" cy="5486400"/>
        </a:xfrm>
        <a:prstGeom prst="line">
          <a:avLst/>
        </a:prstGeom>
        <a:solidFill>
          <a:srgbClr val="FFFFE1"/>
        </a:solidFill>
        <a:ln w="53975" cap="flat" cmpd="sng" algn="ctr">
          <a:solidFill>
            <a:srgbClr val="0033CC"/>
          </a:solidFill>
          <a:prstDash val="sysDash"/>
          <a:round/>
          <a:headEnd type="none" w="med" len="med"/>
          <a:tailEnd type="none" w="med" len="med"/>
        </a:ln>
        <a:effectLst/>
        <a:extLst>
          <a:ext uri="{53640926-AAD7-44D8-BBD7-CCE9431645EC}">
            <a14:shadowObscured xmlns:a14="http://schemas.microsoft.com/office/drawing/2010/main" val="1"/>
          </a:ext>
        </a:extLst>
      </xdr:spPr>
    </xdr:cxnSp>
    <xdr:clientData/>
  </xdr:twoCellAnchor>
  <xdr:twoCellAnchor>
    <xdr:from>
      <xdr:col>16</xdr:col>
      <xdr:colOff>556260</xdr:colOff>
      <xdr:row>0</xdr:row>
      <xdr:rowOff>0</xdr:rowOff>
    </xdr:from>
    <xdr:to>
      <xdr:col>17</xdr:col>
      <xdr:colOff>0</xdr:colOff>
      <xdr:row>32</xdr:row>
      <xdr:rowOff>129540</xdr:rowOff>
    </xdr:to>
    <xdr:cxnSp macro="">
      <xdr:nvCxnSpPr>
        <xdr:cNvPr id="20" name="Łącznik prostoliniowy 19">
          <a:extLst>
            <a:ext uri="{FF2B5EF4-FFF2-40B4-BE49-F238E27FC236}">
              <a16:creationId xmlns:a16="http://schemas.microsoft.com/office/drawing/2014/main" id="{00000000-0008-0000-2000-000014000000}"/>
            </a:ext>
          </a:extLst>
        </xdr:cNvPr>
        <xdr:cNvCxnSpPr/>
      </xdr:nvCxnSpPr>
      <xdr:spPr bwMode="auto">
        <a:xfrm>
          <a:off x="10683240" y="0"/>
          <a:ext cx="53340" cy="5463540"/>
        </a:xfrm>
        <a:prstGeom prst="line">
          <a:avLst/>
        </a:prstGeom>
        <a:solidFill>
          <a:srgbClr val="FFFFE1"/>
        </a:solidFill>
        <a:ln w="53975" cap="flat" cmpd="sng" algn="ctr">
          <a:solidFill>
            <a:srgbClr val="0033CC"/>
          </a:solidFill>
          <a:prstDash val="sysDash"/>
          <a:round/>
          <a:headEnd type="none" w="med" len="med"/>
          <a:tailEnd type="none" w="med" len="med"/>
        </a:ln>
        <a:effectLst/>
        <a:extLst>
          <a:ext uri="{53640926-AAD7-44D8-BBD7-CCE9431645EC}">
            <a14:shadowObscured xmlns:a14="http://schemas.microsoft.com/office/drawing/2010/main" val="1"/>
          </a:ext>
        </a:extLst>
      </xdr:spPr>
    </xdr:cxnSp>
    <xdr:clientData/>
  </xdr:twoCellAnchor>
  <xdr:twoCellAnchor>
    <xdr:from>
      <xdr:col>1</xdr:col>
      <xdr:colOff>558453</xdr:colOff>
      <xdr:row>2</xdr:row>
      <xdr:rowOff>191110</xdr:rowOff>
    </xdr:from>
    <xdr:to>
      <xdr:col>2</xdr:col>
      <xdr:colOff>214842</xdr:colOff>
      <xdr:row>6</xdr:row>
      <xdr:rowOff>153010</xdr:rowOff>
    </xdr:to>
    <xdr:sp macro="" textlink="">
      <xdr:nvSpPr>
        <xdr:cNvPr id="25" name="Strzałka w dół 24">
          <a:extLst>
            <a:ext uri="{FF2B5EF4-FFF2-40B4-BE49-F238E27FC236}">
              <a16:creationId xmlns:a16="http://schemas.microsoft.com/office/drawing/2014/main" id="{00000000-0008-0000-2000-000019000000}"/>
            </a:ext>
          </a:extLst>
        </xdr:cNvPr>
        <xdr:cNvSpPr/>
      </xdr:nvSpPr>
      <xdr:spPr bwMode="auto">
        <a:xfrm>
          <a:off x="1175673" y="320650"/>
          <a:ext cx="433629" cy="708660"/>
        </a:xfrm>
        <a:prstGeom prst="downArrow">
          <a:avLst/>
        </a:prstGeom>
        <a:solidFill>
          <a:srgbClr val="99CC00">
            <a:alpha val="36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12</xdr:col>
      <xdr:colOff>160020</xdr:colOff>
      <xdr:row>0</xdr:row>
      <xdr:rowOff>68580</xdr:rowOff>
    </xdr:from>
    <xdr:to>
      <xdr:col>13</xdr:col>
      <xdr:colOff>510540</xdr:colOff>
      <xdr:row>2</xdr:row>
      <xdr:rowOff>137160</xdr:rowOff>
    </xdr:to>
    <xdr:sp macro="" textlink="">
      <xdr:nvSpPr>
        <xdr:cNvPr id="3" name="Prostokąt 2">
          <a:extLst>
            <a:ext uri="{FF2B5EF4-FFF2-40B4-BE49-F238E27FC236}">
              <a16:creationId xmlns:a16="http://schemas.microsoft.com/office/drawing/2014/main" id="{00000000-0008-0000-2000-000003000000}"/>
            </a:ext>
          </a:extLst>
        </xdr:cNvPr>
        <xdr:cNvSpPr/>
      </xdr:nvSpPr>
      <xdr:spPr bwMode="auto">
        <a:xfrm>
          <a:off x="7848600" y="68580"/>
          <a:ext cx="960120" cy="19812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BANK</a:t>
          </a:r>
          <a:endParaRPr lang="en-GB" sz="1400"/>
        </a:p>
      </xdr:txBody>
    </xdr:sp>
    <xdr:clientData/>
  </xdr:twoCellAnchor>
  <xdr:twoCellAnchor>
    <xdr:from>
      <xdr:col>12</xdr:col>
      <xdr:colOff>464820</xdr:colOff>
      <xdr:row>2</xdr:row>
      <xdr:rowOff>160020</xdr:rowOff>
    </xdr:from>
    <xdr:to>
      <xdr:col>13</xdr:col>
      <xdr:colOff>213360</xdr:colOff>
      <xdr:row>4</xdr:row>
      <xdr:rowOff>137160</xdr:rowOff>
    </xdr:to>
    <xdr:sp macro="" textlink="">
      <xdr:nvSpPr>
        <xdr:cNvPr id="14" name="Strzałka w dół 13">
          <a:extLst>
            <a:ext uri="{FF2B5EF4-FFF2-40B4-BE49-F238E27FC236}">
              <a16:creationId xmlns:a16="http://schemas.microsoft.com/office/drawing/2014/main" id="{00000000-0008-0000-2000-00000E000000}"/>
            </a:ext>
          </a:extLst>
        </xdr:cNvPr>
        <xdr:cNvSpPr/>
      </xdr:nvSpPr>
      <xdr:spPr bwMode="auto">
        <a:xfrm>
          <a:off x="8153400" y="289560"/>
          <a:ext cx="358140" cy="388620"/>
        </a:xfrm>
        <a:prstGeom prst="downArrow">
          <a:avLst/>
        </a:prstGeom>
        <a:solidFill>
          <a:srgbClr val="99CC00">
            <a:alpha val="86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11</xdr:col>
      <xdr:colOff>594360</xdr:colOff>
      <xdr:row>5</xdr:row>
      <xdr:rowOff>30480</xdr:rowOff>
    </xdr:from>
    <xdr:to>
      <xdr:col>14</xdr:col>
      <xdr:colOff>190500</xdr:colOff>
      <xdr:row>6</xdr:row>
      <xdr:rowOff>68580</xdr:rowOff>
    </xdr:to>
    <xdr:sp macro="" textlink="">
      <xdr:nvSpPr>
        <xdr:cNvPr id="15" name="Prostokąt 14">
          <a:extLst>
            <a:ext uri="{FF2B5EF4-FFF2-40B4-BE49-F238E27FC236}">
              <a16:creationId xmlns:a16="http://schemas.microsoft.com/office/drawing/2014/main" id="{00000000-0008-0000-2000-00000F000000}"/>
            </a:ext>
          </a:extLst>
        </xdr:cNvPr>
        <xdr:cNvSpPr/>
      </xdr:nvSpPr>
      <xdr:spPr bwMode="auto">
        <a:xfrm>
          <a:off x="7673340" y="739140"/>
          <a:ext cx="1424940" cy="20574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KREDYTOBIORCA</a:t>
          </a:r>
          <a:endParaRPr lang="en-GB" sz="1400"/>
        </a:p>
      </xdr:txBody>
    </xdr:sp>
    <xdr:clientData/>
  </xdr:twoCellAnchor>
  <xdr:twoCellAnchor>
    <xdr:from>
      <xdr:col>14</xdr:col>
      <xdr:colOff>419100</xdr:colOff>
      <xdr:row>0</xdr:row>
      <xdr:rowOff>0</xdr:rowOff>
    </xdr:from>
    <xdr:to>
      <xdr:col>16</xdr:col>
      <xdr:colOff>144780</xdr:colOff>
      <xdr:row>2</xdr:row>
      <xdr:rowOff>167640</xdr:rowOff>
    </xdr:to>
    <xdr:sp macro="" textlink="">
      <xdr:nvSpPr>
        <xdr:cNvPr id="26" name="Prostokąt 25">
          <a:extLst>
            <a:ext uri="{FF2B5EF4-FFF2-40B4-BE49-F238E27FC236}">
              <a16:creationId xmlns:a16="http://schemas.microsoft.com/office/drawing/2014/main" id="{00000000-0008-0000-2000-00001A000000}"/>
            </a:ext>
          </a:extLst>
        </xdr:cNvPr>
        <xdr:cNvSpPr/>
      </xdr:nvSpPr>
      <xdr:spPr bwMode="auto">
        <a:xfrm>
          <a:off x="9326880" y="0"/>
          <a:ext cx="944880" cy="23622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BANK</a:t>
          </a:r>
          <a:endParaRPr lang="en-GB" sz="1400"/>
        </a:p>
      </xdr:txBody>
    </xdr:sp>
    <xdr:clientData/>
  </xdr:twoCellAnchor>
  <xdr:twoCellAnchor>
    <xdr:from>
      <xdr:col>14</xdr:col>
      <xdr:colOff>266700</xdr:colOff>
      <xdr:row>5</xdr:row>
      <xdr:rowOff>30480</xdr:rowOff>
    </xdr:from>
    <xdr:to>
      <xdr:col>16</xdr:col>
      <xdr:colOff>472440</xdr:colOff>
      <xdr:row>6</xdr:row>
      <xdr:rowOff>68580</xdr:rowOff>
    </xdr:to>
    <xdr:sp macro="" textlink="">
      <xdr:nvSpPr>
        <xdr:cNvPr id="29" name="Prostokąt 28">
          <a:extLst>
            <a:ext uri="{FF2B5EF4-FFF2-40B4-BE49-F238E27FC236}">
              <a16:creationId xmlns:a16="http://schemas.microsoft.com/office/drawing/2014/main" id="{00000000-0008-0000-2000-00001D000000}"/>
            </a:ext>
          </a:extLst>
        </xdr:cNvPr>
        <xdr:cNvSpPr/>
      </xdr:nvSpPr>
      <xdr:spPr bwMode="auto">
        <a:xfrm>
          <a:off x="9174480" y="739140"/>
          <a:ext cx="1424940" cy="20574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KREDYTOBIORCA</a:t>
          </a:r>
          <a:endParaRPr lang="en-GB" sz="1400"/>
        </a:p>
      </xdr:txBody>
    </xdr:sp>
    <xdr:clientData/>
  </xdr:twoCellAnchor>
  <xdr:twoCellAnchor>
    <xdr:from>
      <xdr:col>15</xdr:col>
      <xdr:colOff>129544</xdr:colOff>
      <xdr:row>2</xdr:row>
      <xdr:rowOff>99060</xdr:rowOff>
    </xdr:from>
    <xdr:to>
      <xdr:col>15</xdr:col>
      <xdr:colOff>541020</xdr:colOff>
      <xdr:row>4</xdr:row>
      <xdr:rowOff>152400</xdr:rowOff>
    </xdr:to>
    <xdr:sp macro="" textlink="">
      <xdr:nvSpPr>
        <xdr:cNvPr id="30" name="Prążkowana strzałka w prawo 29">
          <a:extLst>
            <a:ext uri="{FF2B5EF4-FFF2-40B4-BE49-F238E27FC236}">
              <a16:creationId xmlns:a16="http://schemas.microsoft.com/office/drawing/2014/main" id="{00000000-0008-0000-2000-00001E000000}"/>
            </a:ext>
          </a:extLst>
        </xdr:cNvPr>
        <xdr:cNvSpPr/>
      </xdr:nvSpPr>
      <xdr:spPr bwMode="auto">
        <a:xfrm rot="16200000">
          <a:off x="9620252" y="255272"/>
          <a:ext cx="464820" cy="411476"/>
        </a:xfrm>
        <a:prstGeom prst="stripedRightArrow">
          <a:avLst/>
        </a:prstGeom>
        <a:solidFill>
          <a:srgbClr val="FE7862">
            <a:alpha val="83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mc:AlternateContent xmlns:mc="http://schemas.openxmlformats.org/markup-compatibility/2006">
    <mc:Choice xmlns:a14="http://schemas.microsoft.com/office/drawing/2010/main" Requires="a14">
      <xdr:twoCellAnchor>
        <xdr:from>
          <xdr:col>4</xdr:col>
          <xdr:colOff>57150</xdr:colOff>
          <xdr:row>29</xdr:row>
          <xdr:rowOff>146050</xdr:rowOff>
        </xdr:from>
        <xdr:to>
          <xdr:col>7</xdr:col>
          <xdr:colOff>533400</xdr:colOff>
          <xdr:row>31</xdr:row>
          <xdr:rowOff>209550</xdr:rowOff>
        </xdr:to>
        <xdr:sp macro="" textlink="">
          <xdr:nvSpPr>
            <xdr:cNvPr id="56321" name="Button 1" hidden="1">
              <a:extLst>
                <a:ext uri="{63B3BB69-23CF-44E3-9099-C40C66FF867C}">
                  <a14:compatExt spid="_x0000_s56321"/>
                </a:ext>
                <a:ext uri="{FF2B5EF4-FFF2-40B4-BE49-F238E27FC236}">
                  <a16:creationId xmlns:a16="http://schemas.microsoft.com/office/drawing/2014/main" id="{00000000-0008-0000-2000-000001DC0000}"/>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pl-PL" sz="1600" b="1" i="0" u="none" strike="noStrike" baseline="0">
                  <a:solidFill>
                    <a:srgbClr val="0000FF"/>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527050</xdr:colOff>
          <xdr:row>2</xdr:row>
          <xdr:rowOff>146050</xdr:rowOff>
        </xdr:from>
        <xdr:to>
          <xdr:col>7</xdr:col>
          <xdr:colOff>393700</xdr:colOff>
          <xdr:row>4</xdr:row>
          <xdr:rowOff>57150</xdr:rowOff>
        </xdr:to>
        <xdr:sp macro="" textlink="">
          <xdr:nvSpPr>
            <xdr:cNvPr id="56323" name="Button 3" hidden="1">
              <a:extLst>
                <a:ext uri="{63B3BB69-23CF-44E3-9099-C40C66FF867C}">
                  <a14:compatExt spid="_x0000_s56323"/>
                </a:ext>
                <a:ext uri="{FF2B5EF4-FFF2-40B4-BE49-F238E27FC236}">
                  <a16:creationId xmlns:a16="http://schemas.microsoft.com/office/drawing/2014/main" id="{00000000-0008-0000-2000-000003DC0000}"/>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pl-PL" sz="1600" b="1" i="0" u="none" strike="noStrike" baseline="0">
                  <a:solidFill>
                    <a:srgbClr val="0000FF"/>
                  </a:solidFill>
                  <a:latin typeface="Arial"/>
                  <a:cs typeface="Arial"/>
                </a:rPr>
                <a:t>POWRÓT</a:t>
              </a:r>
            </a:p>
          </xdr:txBody>
        </xdr:sp>
        <xdr:clientData fPrintsWithSheet="0"/>
      </xdr:twoCellAnchor>
    </mc:Choice>
    <mc:Fallback/>
  </mc:AlternateContent>
</xdr:wsDr>
</file>

<file path=xl/drawings/drawing23.xml><?xml version="1.0" encoding="utf-8"?>
<c:userShapes xmlns:c="http://schemas.openxmlformats.org/drawingml/2006/chart">
  <cdr:relSizeAnchor xmlns:cdr="http://schemas.openxmlformats.org/drawingml/2006/chartDrawing">
    <cdr:from>
      <cdr:x>0.31908</cdr:x>
      <cdr:y>0.24173</cdr:y>
    </cdr:from>
    <cdr:to>
      <cdr:x>0.36211</cdr:x>
      <cdr:y>0.49914</cdr:y>
    </cdr:to>
    <cdr:sp macro="" textlink="">
      <cdr:nvSpPr>
        <cdr:cNvPr id="7" name="Prążkowana strzałka w prawo 6"/>
        <cdr:cNvSpPr/>
      </cdr:nvSpPr>
      <cdr:spPr bwMode="auto">
        <a:xfrm xmlns:a="http://schemas.openxmlformats.org/drawingml/2006/main" rot="16200000">
          <a:off x="2911261" y="1308436"/>
          <a:ext cx="1060275" cy="434780"/>
        </a:xfrm>
        <a:prstGeom xmlns:a="http://schemas.openxmlformats.org/drawingml/2006/main" prst="stripedRightArrow">
          <a:avLst/>
        </a:prstGeom>
        <a:solidFill xmlns:a="http://schemas.openxmlformats.org/drawingml/2006/main">
          <a:srgbClr val="FE7862">
            <a:alpha val="55000"/>
          </a:srgbClr>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a:outerShdw dist="35921" dir="2700000" algn="ctr" rotWithShape="0">
            <a:srgbClr val="000000"/>
          </a:outerShdw>
        </a:effectLst>
        <a:extLst xmlns:a="http://schemas.openxmlformats.org/drawingml/2006/main">
          <a:ext uri="{53640926-AAD7-44D8-BBD7-CCE9431645EC}">
            <a14:shadowObscured xmlns:a14="http://schemas.microsoft.com/office/drawing/2010/main" val="1"/>
          </a:ext>
        </a:extLst>
      </cdr:spPr>
      <cdr:txBody>
        <a:bodyPr xmlns:a="http://schemas.openxmlformats.org/drawingml/2006/main" wrap="square" lIns="18288" tIns="0" rIns="0" bIns="0" rtlCol="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l"/>
          <a:endParaRPr lang="en-GB" sz="1400"/>
        </a:p>
      </cdr:txBody>
    </cdr:sp>
  </cdr:relSizeAnchor>
</c:userShapes>
</file>

<file path=xl/externalLinks/_rels/externalLink1.xml.rels><?xml version="1.0" encoding="UTF-8" standalone="yes"?><Relationships xmlns="http://schemas.openxmlformats.org/package/2006/relationships"><Relationship Id="rId1" Target="file:///C:/DOCUME~1/b0576839/LOCALS~1/Temp/notes77B314/~0435688.xlsm"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ERSJA2"/>
      <sheetName val="Korzyści Bezp Pożyczka Silver"/>
      <sheetName val="Korzyści Bezp Pożyczka GOLD"/>
      <sheetName val="DOD1"/>
      <sheetName val="DODZ"/>
      <sheetName val="wskaz"/>
      <sheetName val="Miesieczne Obciazenia"/>
      <sheetName val="TestyOfert"/>
      <sheetName val="RATY_OE"/>
      <sheetName val="Raty_RRSO"/>
      <sheetName val="HARMONOGRAM"/>
      <sheetName val="WzoryZalozenia"/>
      <sheetName val="DccOfertownik"/>
      <sheetName val="PreOfertownik"/>
      <sheetName val="F_SKROCONY"/>
      <sheetName val="FORMULARZ"/>
      <sheetName val="FORMULARZ (2)"/>
      <sheetName val="cwiczenia"/>
      <sheetName val="WIZUALIZACJA"/>
      <sheetName val="testowy"/>
      <sheetName val="Korzyści Bezp Pożyczka Silver_"/>
      <sheetName val="Korzyści Bezp Pożyczka GOLD_"/>
    </sheetNames>
    <sheetDataSet>
      <sheetData sheetId="0">
        <row r="3">
          <cell r="D3" t="str">
            <v>FrontEnd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persons/person.xml><?xml version="1.0" encoding="utf-8"?>
<personList xmlns="http://schemas.microsoft.com/office/spreadsheetml/2018/threadedcomments" xmlns:x="http://schemas.openxmlformats.org/spreadsheetml/2006/main">
  <person displayName="Jureczka, K. (Kamil)" id="{3B868232-E8AF-4290-9E48-97F5EB8DD762}" userId="S::ER03IP@ing.com::4833e117-3a90-415b-b435-58c9b4f6781c"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24:G145" totalsRowShown="0" headerRowDxfId="82" dataDxfId="81">
  <tableColumns count="7">
    <tableColumn id="1" xr3:uid="{00000000-0010-0000-0000-000001000000}" name="Lp" dataDxfId="80">
      <calculatedColumnFormula>IF(Raty_RRSO!B10&lt;&gt;"",RATY_OE!BL30,"")</calculatedColumnFormula>
    </tableColumn>
    <tableColumn id="2" xr3:uid="{00000000-0010-0000-0000-000002000000}" name="Data Płatności" dataDxfId="79">
      <calculatedColumnFormula>IF(Raty_RRSO!B10&lt;&gt;"",RATY_OE!BM30,"")</calculatedColumnFormula>
    </tableColumn>
    <tableColumn id="3" xr3:uid="{00000000-0010-0000-0000-000003000000}" name="Rata" dataDxfId="78">
      <calculatedColumnFormula>IF(Raty_RRSO!B10&lt;&gt;"",Raty_RRSO!H10,"")</calculatedColumnFormula>
    </tableColumn>
    <tableColumn id="4" xr3:uid="{00000000-0010-0000-0000-000004000000}" name="Kapitał" dataDxfId="77">
      <calculatedColumnFormula>IF(Raty_RRSO!B10&lt;&gt;"",Raty_RRSO!F10,"")</calculatedColumnFormula>
    </tableColumn>
    <tableColumn id="5" xr3:uid="{00000000-0010-0000-0000-000005000000}" name="Odsetki" dataDxfId="76">
      <calculatedColumnFormula>IF(Raty_RRSO!B10&lt;&gt;"",Raty_RRSO!E10,"")</calculatedColumnFormula>
    </tableColumn>
    <tableColumn id="6" xr3:uid="{00000000-0010-0000-0000-000006000000}" name="Saldo pożyczki" dataDxfId="75">
      <calculatedColumnFormula>IF(RATY_OE!BL30&lt;&gt;"",RATY_OE!BQ30,"")</calculatedColumnFormula>
    </tableColumn>
    <tableColumn id="7" xr3:uid="{00000000-0010-0000-0000-000007000000}" name="Rata + składka ubezpieczenia" dataDxfId="74">
      <calculatedColumnFormula>IF(RATY_OE!BL30&lt;&gt;"",RATY_OE!BR30+RATY_OE!BN30,"")</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8" xr:uid="{00000000-000C-0000-FFFF-FFFF01000000}" name="Tabela61139" displayName="Tabela61139" ref="B10:I44" totalsRowShown="0" headerRowDxfId="54" dataDxfId="53">
  <tableColumns count="8">
    <tableColumn id="1" xr3:uid="{00000000-0010-0000-0100-000001000000}" name="RODZAJ POŻYCZKI" dataDxfId="52"/>
    <tableColumn id="3" xr3:uid="{00000000-0010-0000-0100-000003000000}" name="RODZAJ OFERTY" dataDxfId="51"/>
    <tableColumn id="5" xr3:uid="{00000000-0010-0000-0100-000005000000}" name="Liczba Rat" dataDxfId="50"/>
    <tableColumn id="6" xr3:uid="{00000000-0010-0000-0100-000006000000}" name="Oprocentowanie" dataDxfId="49"/>
    <tableColumn id="10" xr3:uid="{00000000-0010-0000-0100-00000A000000}" name="Prowizja" dataDxfId="48"/>
    <tableColumn id="7" xr3:uid="{00000000-0010-0000-0100-000007000000}" name="Kwota Na Rękę" dataDxfId="47">
      <calculatedColumnFormula>IF(AV11=0,"",AR11)</calculatedColumnFormula>
    </tableColumn>
    <tableColumn id="8" xr3:uid="{00000000-0010-0000-0100-000008000000}" name="KWOTA POŻYCZKI" dataDxfId="46"/>
    <tableColumn id="9" xr3:uid="{00000000-0010-0000-0100-000009000000}" name="Przybliżona Rata Kredytu" dataDxfId="45">
      <calculatedColumnFormula>IF(AV11=0,"",AS11)</calculatedColumnFormula>
    </tableColumn>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02000000}" name="Tabela61" displayName="Tabela61" ref="B10:I24" totalsRowShown="0" headerRowDxfId="44" dataDxfId="43">
  <tableColumns count="8">
    <tableColumn id="1" xr3:uid="{00000000-0010-0000-0200-000001000000}" name="RODZAJ POŻYCZKI" dataDxfId="42"/>
    <tableColumn id="3" xr3:uid="{00000000-0010-0000-0200-000003000000}" name="OFERTY MAKSYMALNE:_x000a__x000a_RODZAJ OFERTY" dataDxfId="41"/>
    <tableColumn id="5" xr3:uid="{00000000-0010-0000-0200-000005000000}" name="Liczba Rat" dataDxfId="40"/>
    <tableColumn id="6" xr3:uid="{00000000-0010-0000-0200-000006000000}" name="Oprocentowanie" dataDxfId="39"/>
    <tableColumn id="10" xr3:uid="{00000000-0010-0000-0200-00000A000000}" name="Prowizja" dataDxfId="38"/>
    <tableColumn id="7" xr3:uid="{00000000-0010-0000-0200-000007000000}" name="Kwota Na Rękę" dataDxfId="37"/>
    <tableColumn id="8" xr3:uid="{00000000-0010-0000-0200-000008000000}" name="KWOTA POŻYCZKI" dataDxfId="36"/>
    <tableColumn id="9" xr3:uid="{00000000-0010-0000-0200-000009000000}" name="Przybliżona Rata" dataDxfId="35">
      <calculatedColumnFormula>IF(AH11=0,"",AE11)</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8" dT="2026-01-08T08:44:20.54" personId="{3B868232-E8AF-4290-9E48-97F5EB8DD762}" id="{331165E5-5981-4BD7-B959-E025E151AC91}">
    <text xml:space="preserve">oprocentowanie/marża w przypadku pożyczek powyżej 30 tys. zł z konsolidacją min. 30 tys. zł zobowiązań kredytowych z innych banków </text>
  </threadedComment>
</ThreadedComments>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10" Target="../ctrlProps/ctrlProp5.xml" Type="http://schemas.openxmlformats.org/officeDocument/2006/relationships/ctrlProp"/><Relationship Id="rId11" Target="../ctrlProps/ctrlProp6.xml" Type="http://schemas.openxmlformats.org/officeDocument/2006/relationships/ctrlProp"/><Relationship Id="rId12" Target="../comments1.xml" Type="http://schemas.openxmlformats.org/officeDocument/2006/relationships/comments"/><Relationship Id="rId13" Target="../threadedComments/threadedComment1.xml" Type="http://schemas.microsoft.com/office/2017/10/relationships/threadedComment"/><Relationship Id="rId2" Target="../drawings/drawing1.xml" Type="http://schemas.openxmlformats.org/officeDocument/2006/relationships/drawing"/><Relationship Id="rId3" Target="../drawings/vmlDrawing1.vml" Type="http://schemas.openxmlformats.org/officeDocument/2006/relationships/vmlDrawing"/><Relationship Id="rId4" Target="../embeddings/oleObject1.bin" Type="http://schemas.openxmlformats.org/officeDocument/2006/relationships/oleObject"/><Relationship Id="rId5" Target="../media/image1.emf" Type="http://schemas.openxmlformats.org/officeDocument/2006/relationships/image"/><Relationship Id="rId6" Target="../ctrlProps/ctrlProp1.xml" Type="http://schemas.openxmlformats.org/officeDocument/2006/relationships/ctrlProp"/><Relationship Id="rId7" Target="../ctrlProps/ctrlProp2.xml" Type="http://schemas.openxmlformats.org/officeDocument/2006/relationships/ctrlProp"/><Relationship Id="rId8" Target="../ctrlProps/ctrlProp3.xml" Type="http://schemas.openxmlformats.org/officeDocument/2006/relationships/ctrlProp"/><Relationship Id="rId9" Target="../ctrlProps/ctrlProp4.xml" Type="http://schemas.openxmlformats.org/officeDocument/2006/relationships/ctrlProp"/></Relationships>
</file>

<file path=xl/worksheets/_rels/sheet4.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vmlDrawing2.vml" Type="http://schemas.openxmlformats.org/officeDocument/2006/relationships/vmlDrawing"/><Relationship Id="rId3" Target="../comments2.xml" Type="http://schemas.openxmlformats.org/officeDocument/2006/relationships/comments"/></Relationships>
</file>

<file path=xl/worksheets/_rels/sheet11.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2.xml" Type="http://schemas.openxmlformats.org/officeDocument/2006/relationships/drawing"/><Relationship Id="rId3" Target="../drawings/vmlDrawing3.vml" Type="http://schemas.openxmlformats.org/officeDocument/2006/relationships/vmlDrawing"/><Relationship Id="rId4" Target="../comments3.xml" Type="http://schemas.openxmlformats.org/officeDocument/2006/relationships/comments"/></Relationships>
</file>

<file path=xl/worksheets/_rels/sheet12.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3.xml" Type="http://schemas.openxmlformats.org/officeDocument/2006/relationships/drawing"/><Relationship Id="rId3" Target="../drawings/vmlDrawing4.vml" Type="http://schemas.openxmlformats.org/officeDocument/2006/relationships/vmlDrawing"/><Relationship Id="rId4" Target="../ctrlProps/ctrlProp7.xml" Type="http://schemas.openxmlformats.org/officeDocument/2006/relationships/ctrlProp"/><Relationship Id="rId5" Target="../ctrlProps/ctrlProp8.xml" Type="http://schemas.openxmlformats.org/officeDocument/2006/relationships/ctrlProp"/><Relationship Id="rId6" Target="../comments4.xml" Type="http://schemas.openxmlformats.org/officeDocument/2006/relationships/comments"/></Relationships>
</file>

<file path=xl/worksheets/_rels/sheet13.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4.xml" Type="http://schemas.openxmlformats.org/officeDocument/2006/relationships/drawing"/></Relationships>
</file>

<file path=xl/worksheets/_rels/sheet14.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15.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5.xml" Type="http://schemas.openxmlformats.org/officeDocument/2006/relationships/drawing"/><Relationship Id="rId3" Target="../drawings/vmlDrawing5.vml" Type="http://schemas.openxmlformats.org/officeDocument/2006/relationships/vmlDrawing"/><Relationship Id="rId4" Target="../ctrlProps/ctrlProp9.xml" Type="http://schemas.openxmlformats.org/officeDocument/2006/relationships/ctrlProp"/><Relationship Id="rId5" Target="../comments5.xml" Type="http://schemas.openxmlformats.org/officeDocument/2006/relationships/comments"/></Relationships>
</file>

<file path=xl/worksheets/_rels/sheet16.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drawing6.xml" Type="http://schemas.openxmlformats.org/officeDocument/2006/relationships/drawing"/><Relationship Id="rId3" Target="../drawings/vmlDrawing6.vml" Type="http://schemas.openxmlformats.org/officeDocument/2006/relationships/vmlDrawing"/><Relationship Id="rId4" Target="../drawings/vmlDrawing7.vml" Type="http://schemas.openxmlformats.org/officeDocument/2006/relationships/vmlDrawing"/><Relationship Id="rId5" Target="../activeX/activeX1.xml" Type="http://schemas.openxmlformats.org/officeDocument/2006/relationships/control"/><Relationship Id="rId6" Target="../media/image5.emf" Type="http://schemas.openxmlformats.org/officeDocument/2006/relationships/image"/><Relationship Id="rId7" Target="../ctrlProps/ctrlProp10.xml" Type="http://schemas.openxmlformats.org/officeDocument/2006/relationships/ctrlProp"/><Relationship Id="rId8" Target="../tables/table1.xml" Type="http://schemas.openxmlformats.org/officeDocument/2006/relationships/table"/><Relationship Id="rId9" Target="../comments6.xml" Type="http://schemas.openxmlformats.org/officeDocument/2006/relationships/comments"/></Relationships>
</file>

<file path=xl/worksheets/_rels/sheet17.xml.rels><?xml version="1.0" encoding="UTF-8" standalone="yes"?><Relationships xmlns="http://schemas.openxmlformats.org/package/2006/relationships"><Relationship Id="rId1" Target="../drawings/drawing7.xml" Type="http://schemas.openxmlformats.org/officeDocument/2006/relationships/drawing"/></Relationships>
</file>

<file path=xl/worksheets/_rels/sheet18.xml.rels><?xml version="1.0" encoding="UTF-8" standalone="yes"?><Relationships xmlns="http://schemas.openxmlformats.org/package/2006/relationships"><Relationship Id="rId1" Target="../printerSettings/printerSettings10.bin" Type="http://schemas.openxmlformats.org/officeDocument/2006/relationships/printerSettings"/><Relationship Id="rId2" Target="../drawings/drawing8.xml" Type="http://schemas.openxmlformats.org/officeDocument/2006/relationships/drawing"/><Relationship Id="rId3" Target="../drawings/vmlDrawing8.vml" Type="http://schemas.openxmlformats.org/officeDocument/2006/relationships/vmlDrawing"/><Relationship Id="rId4" Target="../ctrlProps/ctrlProp11.xml" Type="http://schemas.openxmlformats.org/officeDocument/2006/relationships/ctrlProp"/><Relationship Id="rId5" Target="../ctrlProps/ctrlProp12.xml" Type="http://schemas.openxmlformats.org/officeDocument/2006/relationships/ctrlProp"/><Relationship Id="rId6" Target="../tables/table2.xml" Type="http://schemas.openxmlformats.org/officeDocument/2006/relationships/table"/><Relationship Id="rId7" Target="../comments7.xml" Type="http://schemas.openxmlformats.org/officeDocument/2006/relationships/comments"/></Relationships>
</file>

<file path=xl/worksheets/_rels/sheet19.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drawing9.xml" Type="http://schemas.openxmlformats.org/officeDocument/2006/relationships/drawing"/><Relationship Id="rId3" Target="../drawings/vmlDrawing9.vml" Type="http://schemas.openxmlformats.org/officeDocument/2006/relationships/vmlDrawing"/><Relationship Id="rId4" Target="../ctrlProps/ctrlProp13.xml" Type="http://schemas.openxmlformats.org/officeDocument/2006/relationships/ctrlProp"/><Relationship Id="rId5" Target="../tables/table3.xml" Type="http://schemas.openxmlformats.org/officeDocument/2006/relationships/table"/><Relationship Id="rId6" Target="../comments8.xml" Type="http://schemas.openxmlformats.org/officeDocument/2006/relationships/comments"/></Relationships>
</file>

<file path=xl/worksheets/_rels/sheet20.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10.xml" Type="http://schemas.openxmlformats.org/officeDocument/2006/relationships/drawing"/><Relationship Id="rId3" Target="../drawings/vmlDrawing10.vml" Type="http://schemas.openxmlformats.org/officeDocument/2006/relationships/vmlDrawing"/><Relationship Id="rId4" Target="../ctrlProps/ctrlProp14.xml" Type="http://schemas.openxmlformats.org/officeDocument/2006/relationships/ctrlProp"/></Relationships>
</file>

<file path=xl/worksheets/_rels/sheet21.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11.xml" Type="http://schemas.openxmlformats.org/officeDocument/2006/relationships/drawing"/><Relationship Id="rId3" Target="../drawings/vmlDrawing11.vml" Type="http://schemas.openxmlformats.org/officeDocument/2006/relationships/vmlDrawing"/><Relationship Id="rId4" Target="../ctrlProps/ctrlProp15.xml" Type="http://schemas.openxmlformats.org/officeDocument/2006/relationships/ctrlProp"/><Relationship Id="rId5" Target="../ctrlProps/ctrlProp16.xml" Type="http://schemas.openxmlformats.org/officeDocument/2006/relationships/ctrlProp"/></Relationships>
</file>

<file path=xl/worksheets/_rels/sheet22.xml.rels><?xml version="1.0" encoding="UTF-8" standalone="yes"?><Relationships xmlns="http://schemas.openxmlformats.org/package/2006/relationships"><Relationship Id="rId1" Target="../printerSettings/printerSettings14.bin" Type="http://schemas.openxmlformats.org/officeDocument/2006/relationships/printerSettings"/><Relationship Id="rId2" Target="../drawings/drawing12.xml" Type="http://schemas.openxmlformats.org/officeDocument/2006/relationships/drawing"/><Relationship Id="rId3" Target="../drawings/vmlDrawing12.vml" Type="http://schemas.openxmlformats.org/officeDocument/2006/relationships/vmlDrawing"/><Relationship Id="rId4" Target="../ctrlProps/ctrlProp17.xml" Type="http://schemas.openxmlformats.org/officeDocument/2006/relationships/ctrlProp"/><Relationship Id="rId5" Target="../ctrlProps/ctrlProp18.xml" Type="http://schemas.openxmlformats.org/officeDocument/2006/relationships/ctrlProp"/></Relationships>
</file>

<file path=xl/worksheets/_rels/sheet23.xml.rels><?xml version="1.0" encoding="UTF-8" standalone="yes"?><Relationships xmlns="http://schemas.openxmlformats.org/package/2006/relationships"><Relationship Id="rId1" Target="../printerSettings/printerSettings15.bin" Type="http://schemas.openxmlformats.org/officeDocument/2006/relationships/printerSettings"/><Relationship Id="rId2" Target="../drawings/drawing13.xml" Type="http://schemas.openxmlformats.org/officeDocument/2006/relationships/drawing"/><Relationship Id="rId3" Target="../drawings/vmlDrawing13.vml" Type="http://schemas.openxmlformats.org/officeDocument/2006/relationships/vmlDrawing"/><Relationship Id="rId4" Target="../ctrlProps/ctrlProp19.xml" Type="http://schemas.openxmlformats.org/officeDocument/2006/relationships/ctrlProp"/><Relationship Id="rId5" Target="../ctrlProps/ctrlProp20.xml" Type="http://schemas.openxmlformats.org/officeDocument/2006/relationships/ctrlProp"/></Relationships>
</file>

<file path=xl/worksheets/_rels/sheet24.xml.rels><?xml version="1.0" encoding="UTF-8" standalone="yes"?><Relationships xmlns="http://schemas.openxmlformats.org/package/2006/relationships"><Relationship Id="rId1" Target="../printerSettings/printerSettings16.bin" Type="http://schemas.openxmlformats.org/officeDocument/2006/relationships/printerSettings"/><Relationship Id="rId2" Target="../drawings/drawing14.xml" Type="http://schemas.openxmlformats.org/officeDocument/2006/relationships/drawing"/><Relationship Id="rId3" Target="../drawings/vmlDrawing14.vml" Type="http://schemas.openxmlformats.org/officeDocument/2006/relationships/vmlDrawing"/><Relationship Id="rId4" Target="../ctrlProps/ctrlProp21.xml" Type="http://schemas.openxmlformats.org/officeDocument/2006/relationships/ctrlProp"/><Relationship Id="rId5" Target="../ctrlProps/ctrlProp22.xml" Type="http://schemas.openxmlformats.org/officeDocument/2006/relationships/ctrlProp"/></Relationships>
</file>

<file path=xl/worksheets/_rels/sheet25.xml.rels><?xml version="1.0" encoding="UTF-8" standalone="yes"?><Relationships xmlns="http://schemas.openxmlformats.org/package/2006/relationships"><Relationship Id="rId1" Target="../printerSettings/printerSettings17.bin" Type="http://schemas.openxmlformats.org/officeDocument/2006/relationships/printerSettings"/><Relationship Id="rId2" Target="../drawings/drawing15.xml" Type="http://schemas.openxmlformats.org/officeDocument/2006/relationships/drawing"/><Relationship Id="rId3" Target="../drawings/vmlDrawing15.vml" Type="http://schemas.openxmlformats.org/officeDocument/2006/relationships/vmlDrawing"/><Relationship Id="rId4" Target="../ctrlProps/ctrlProp23.xml" Type="http://schemas.openxmlformats.org/officeDocument/2006/relationships/ctrlProp"/><Relationship Id="rId5" Target="../ctrlProps/ctrlProp24.xml" Type="http://schemas.openxmlformats.org/officeDocument/2006/relationships/ctrlProp"/></Relationships>
</file>

<file path=xl/worksheets/_rels/sheet26.xml.rels><?xml version="1.0" encoding="UTF-8" standalone="yes"?><Relationships xmlns="http://schemas.openxmlformats.org/package/2006/relationships"><Relationship Id="rId1" Target="../printerSettings/printerSettings18.bin" Type="http://schemas.openxmlformats.org/officeDocument/2006/relationships/printerSettings"/><Relationship Id="rId2" Target="../drawings/drawing16.xml" Type="http://schemas.openxmlformats.org/officeDocument/2006/relationships/drawing"/><Relationship Id="rId3" Target="../drawings/vmlDrawing16.vml" Type="http://schemas.openxmlformats.org/officeDocument/2006/relationships/vmlDrawing"/><Relationship Id="rId4" Target="../ctrlProps/ctrlProp25.xml" Type="http://schemas.openxmlformats.org/officeDocument/2006/relationships/ctrlProp"/><Relationship Id="rId5" Target="../ctrlProps/ctrlProp26.xml" Type="http://schemas.openxmlformats.org/officeDocument/2006/relationships/ctrlProp"/></Relationships>
</file>

<file path=xl/worksheets/_rels/sheet27.xml.rels><?xml version="1.0" encoding="UTF-8" standalone="yes"?><Relationships xmlns="http://schemas.openxmlformats.org/package/2006/relationships"><Relationship Id="rId1" Target="../printerSettings/printerSettings19.bin" Type="http://schemas.openxmlformats.org/officeDocument/2006/relationships/printerSettings"/><Relationship Id="rId2" Target="../drawings/drawing17.xml" Type="http://schemas.openxmlformats.org/officeDocument/2006/relationships/drawing"/><Relationship Id="rId3" Target="../drawings/vmlDrawing17.vml" Type="http://schemas.openxmlformats.org/officeDocument/2006/relationships/vmlDrawing"/><Relationship Id="rId4" Target="../ctrlProps/ctrlProp27.xml" Type="http://schemas.openxmlformats.org/officeDocument/2006/relationships/ctrlProp"/><Relationship Id="rId5" Target="../ctrlProps/ctrlProp28.xml" Type="http://schemas.openxmlformats.org/officeDocument/2006/relationships/ctrlProp"/></Relationships>
</file>

<file path=xl/worksheets/_rels/sheet28.xml.rels><?xml version="1.0" encoding="UTF-8" standalone="yes"?><Relationships xmlns="http://schemas.openxmlformats.org/package/2006/relationships"><Relationship Id="rId1" Target="../printerSettings/printerSettings20.bin" Type="http://schemas.openxmlformats.org/officeDocument/2006/relationships/printerSettings"/><Relationship Id="rId2" Target="../drawings/drawing18.xml" Type="http://schemas.openxmlformats.org/officeDocument/2006/relationships/drawing"/><Relationship Id="rId3" Target="../drawings/vmlDrawing18.vml" Type="http://schemas.openxmlformats.org/officeDocument/2006/relationships/vmlDrawing"/><Relationship Id="rId4" Target="../ctrlProps/ctrlProp29.xml" Type="http://schemas.openxmlformats.org/officeDocument/2006/relationships/ctrlProp"/><Relationship Id="rId5" Target="../ctrlProps/ctrlProp30.xml" Type="http://schemas.openxmlformats.org/officeDocument/2006/relationships/ctrlProp"/></Relationships>
</file>

<file path=xl/worksheets/_rels/sheet29.xml.rels><?xml version="1.0" encoding="UTF-8" standalone="yes"?><Relationships xmlns="http://schemas.openxmlformats.org/package/2006/relationships"><Relationship Id="rId1" Target="http://www.ingbank.pl/" TargetMode="External" Type="http://schemas.openxmlformats.org/officeDocument/2006/relationships/hyperlink"/><Relationship Id="rId2" Target="../printerSettings/printerSettings21.bin" Type="http://schemas.openxmlformats.org/officeDocument/2006/relationships/printerSettings"/><Relationship Id="rId3" Target="../drawings/drawing19.xml" Type="http://schemas.openxmlformats.org/officeDocument/2006/relationships/drawing"/><Relationship Id="rId4" Target="../drawings/vmlDrawing19.vml" Type="http://schemas.openxmlformats.org/officeDocument/2006/relationships/vmlDrawing"/><Relationship Id="rId5" Target="../ctrlProps/ctrlProp31.xml" Type="http://schemas.openxmlformats.org/officeDocument/2006/relationships/ctrlProp"/><Relationship Id="rId6" Target="../ctrlProps/ctrlProp32.xml" Type="http://schemas.openxmlformats.org/officeDocument/2006/relationships/ctrlProp"/><Relationship Id="rId7" Target="../comments9.xml" Type="http://schemas.openxmlformats.org/officeDocument/2006/relationships/comments"/></Relationships>
</file>

<file path=xl/worksheets/_rels/sheet30.xml.rels><?xml version="1.0" encoding="UTF-8" standalone="yes"?><Relationships xmlns="http://schemas.openxmlformats.org/package/2006/relationships"><Relationship Id="rId1" Target="mailto:info@ing.pl" TargetMode="External" Type="http://schemas.openxmlformats.org/officeDocument/2006/relationships/hyperlink"/><Relationship Id="rId2" Target="mailto:info@ing.pl%20Adres%20do%20dor&#281;cze&#324;%20elektronicznych%20wpisany%20do%20bazy%20adres&#243;w%20elektronicznych%20AE:PL-69368-51081-ERVRU-12" TargetMode="External" Type="http://schemas.openxmlformats.org/officeDocument/2006/relationships/hyperlink"/><Relationship Id="rId3" Target="../printerSettings/printerSettings22.bin" Type="http://schemas.openxmlformats.org/officeDocument/2006/relationships/printerSettings"/><Relationship Id="rId4" Target="../drawings/drawing20.xml" Type="http://schemas.openxmlformats.org/officeDocument/2006/relationships/drawing"/><Relationship Id="rId5" Target="../drawings/vmlDrawing20.vml" Type="http://schemas.openxmlformats.org/officeDocument/2006/relationships/vmlDrawing"/></Relationships>
</file>

<file path=xl/worksheets/_rels/sheet31.xml.rels><?xml version="1.0" encoding="UTF-8" standalone="yes"?><Relationships xmlns="http://schemas.openxmlformats.org/package/2006/relationships"><Relationship Id="rId1" Target="http://www.ingbank.pl/" TargetMode="External" Type="http://schemas.openxmlformats.org/officeDocument/2006/relationships/hyperlink"/><Relationship Id="rId2" Target="http://www.ingbank.pl/" TargetMode="External" Type="http://schemas.openxmlformats.org/officeDocument/2006/relationships/hyperlink"/><Relationship Id="rId3" Target="../printerSettings/printerSettings23.bin" Type="http://schemas.openxmlformats.org/officeDocument/2006/relationships/printerSettings"/><Relationship Id="rId4" Target="../drawings/drawing21.xml" Type="http://schemas.openxmlformats.org/officeDocument/2006/relationships/drawing"/><Relationship Id="rId5" Target="../drawings/vmlDrawing21.vml" Type="http://schemas.openxmlformats.org/officeDocument/2006/relationships/vmlDrawing"/><Relationship Id="rId6" Target="../ctrlProps/ctrlProp33.xml" Type="http://schemas.openxmlformats.org/officeDocument/2006/relationships/ctrlProp"/><Relationship Id="rId7" Target="../ctrlProps/ctrlProp34.xml" Type="http://schemas.openxmlformats.org/officeDocument/2006/relationships/ctrlProp"/><Relationship Id="rId8" Target="../comments10.xml" Type="http://schemas.openxmlformats.org/officeDocument/2006/relationships/comments"/></Relationships>
</file>

<file path=xl/worksheets/_rels/sheet33.xml.rels><?xml version="1.0" encoding="UTF-8" standalone="yes"?><Relationships xmlns="http://schemas.openxmlformats.org/package/2006/relationships"><Relationship Id="rId1" Target="../printerSettings/printerSettings24.bin" Type="http://schemas.openxmlformats.org/officeDocument/2006/relationships/printerSettings"/><Relationship Id="rId2" Target="../drawings/drawing22.xml" Type="http://schemas.openxmlformats.org/officeDocument/2006/relationships/drawing"/><Relationship Id="rId3" Target="../drawings/vmlDrawing22.vml" Type="http://schemas.openxmlformats.org/officeDocument/2006/relationships/vmlDrawing"/><Relationship Id="rId4" Target="../ctrlProps/ctrlProp35.xml" Type="http://schemas.openxmlformats.org/officeDocument/2006/relationships/ctrlProp"/><Relationship Id="rId5" Target="../ctrlProps/ctrlProp36.xml" Type="http://schemas.openxmlformats.org/officeDocument/2006/relationships/ctrlProp"/></Relationships>
</file>

<file path=xl/worksheets/_rels/sheet34.xml.rels><?xml version="1.0" encoding="UTF-8" standalone="yes"?><Relationships xmlns="http://schemas.openxmlformats.org/package/2006/relationships"><Relationship Id="rId1" Target="../drawings/vmlDrawing23.vml" Type="http://schemas.openxmlformats.org/officeDocument/2006/relationships/vmlDrawing"/><Relationship Id="rId2" Target="../comments11.xml" Type="http://schemas.openxmlformats.org/officeDocument/2006/relationships/comment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indexed="30"/>
    <pageSetUpPr fitToPage="1"/>
  </sheetPr>
  <dimension ref="A1:BE53"/>
  <sheetViews>
    <sheetView tabSelected="1" zoomScale="85" zoomScaleNormal="85" workbookViewId="0">
      <selection activeCell="M10" sqref="M10:M26"/>
    </sheetView>
  </sheetViews>
  <sheetFormatPr defaultColWidth="5.81640625" defaultRowHeight="0" customHeight="1" zeroHeight="1" x14ac:dyDescent="0.3"/>
  <cols>
    <col min="1" max="1" width="2.26953125" style="761" customWidth="1"/>
    <col min="2" max="2" width="3.453125" style="778" customWidth="1"/>
    <col min="3" max="3" width="22.54296875" style="779" customWidth="1"/>
    <col min="4" max="4" width="24.54296875" style="778" customWidth="1"/>
    <col min="5" max="5" width="23.81640625" style="780" customWidth="1"/>
    <col min="6" max="6" width="2" style="1547" customWidth="1"/>
    <col min="7" max="7" width="4" style="778" customWidth="1"/>
    <col min="8" max="8" width="0.1796875" style="778" customWidth="1"/>
    <col min="9" max="9" width="33" style="779" customWidth="1"/>
    <col min="10" max="10" width="18.26953125" style="783" customWidth="1"/>
    <col min="11" max="11" width="2.7265625" style="778" customWidth="1"/>
    <col min="12" max="12" width="2.26953125" style="1547" customWidth="1"/>
    <col min="13" max="13" width="176" style="778" customWidth="1"/>
    <col min="14" max="14" width="1.26953125" style="784" customWidth="1"/>
    <col min="15" max="17" width="9.1796875" style="760" hidden="1" customWidth="1"/>
    <col min="18" max="18" width="20.453125" style="760" hidden="1" customWidth="1"/>
    <col min="19" max="19" width="34.7265625" style="760" hidden="1" customWidth="1"/>
    <col min="20" max="20" width="21.453125" style="760" hidden="1" customWidth="1"/>
    <col min="21" max="21" width="22.81640625" style="760" hidden="1" customWidth="1"/>
    <col min="22" max="22" width="22.54296875" style="760" hidden="1" customWidth="1"/>
    <col min="23" max="57" width="9.1796875" style="760" hidden="1" customWidth="1"/>
    <col min="58" max="255" width="9.1796875" style="760" customWidth="1"/>
    <col min="256" max="16384" width="5.81640625" style="760"/>
  </cols>
  <sheetData>
    <row r="1" spans="1:24" s="1547" customFormat="1" ht="5.15" customHeight="1" thickBot="1" x14ac:dyDescent="0.35">
      <c r="B1" s="1555"/>
      <c r="C1" s="1549"/>
      <c r="E1" s="1556"/>
      <c r="I1" s="1549"/>
      <c r="J1" s="1550"/>
      <c r="N1" s="1551"/>
    </row>
    <row r="2" spans="1:24" ht="22" thickTop="1" thickBot="1" x14ac:dyDescent="0.35">
      <c r="A2" s="1547"/>
      <c r="B2" s="1887" t="s">
        <v>1879</v>
      </c>
      <c r="C2" s="1888"/>
      <c r="D2" s="1888"/>
      <c r="E2" s="1889"/>
      <c r="F2" s="1557"/>
      <c r="G2" s="1891" t="str">
        <f>IFERROR(IF('DOD1'!G1=1,'DOD1'!G2,"SZCZEGÓŁY OFERTY :"),"NIEPRAWIDŁOWE PARAMETRY")</f>
        <v>SZCZEGÓŁY OFERTY :</v>
      </c>
      <c r="H2" s="1892"/>
      <c r="I2" s="1892"/>
      <c r="J2" s="1892"/>
      <c r="K2" s="1893"/>
      <c r="M2" s="788"/>
      <c r="N2" s="759"/>
      <c r="R2" s="762" t="s">
        <v>24</v>
      </c>
      <c r="S2" s="763"/>
      <c r="T2" s="763"/>
      <c r="U2" s="763"/>
      <c r="X2" s="760" t="str">
        <f ca="1">IF(OR('DOD1'!J2="",'DOD1'!J2=0),"","● "&amp;"
")&amp;IF('DOD1'!Q2=0,"","● "&amp;'DOD1'!Q2&amp;"
")&amp;IF('DOD1'!M2=0,"","● "&amp;'DOD1'!M2&amp;"
")&amp;IF('DOD1'!F2=0,"","● "&amp;'DOD1'!F2&amp;"
")&amp;IF(DODZ!V11=0,"","● "&amp;DODZ!V11&amp;"
")&amp;IF(DODZ!V10=0,"","● "&amp;DODZ!V10&amp;"
")&amp;IF(DODZ!H8=0,"","● "&amp;DODZ!H8&amp;"
")&amp;IF('DOD1'!I1=0,"","● "&amp;'DOD1'!I1&amp;"
")&amp;IF(DODZ!T5=0,"","● "&amp;DODZ!T5&amp;"
")&amp;IF(wskaz!J1=0,"","● "&amp;wskaz!J1&amp;"
")&amp;IF(DODZ!S1=0,"","● "&amp;DODZ!S1&amp;"
")&amp;IF(DODZ!I8=0,"","● "&amp;DODZ!I8)</f>
        <v xml:space="preserve">● Nie jest wymagana zgoda WSPÓŁMAŁŻONKA
</v>
      </c>
    </row>
    <row r="3" spans="1:24" ht="17.5" customHeight="1" thickTop="1" thickBot="1" x14ac:dyDescent="0.35">
      <c r="A3" s="1548"/>
      <c r="B3" s="1558"/>
      <c r="C3" s="1702" t="s">
        <v>2016</v>
      </c>
      <c r="D3" s="1704" t="s">
        <v>2000</v>
      </c>
      <c r="E3" s="1703"/>
      <c r="F3" s="1552"/>
      <c r="G3" s="1573"/>
      <c r="H3" s="1573"/>
      <c r="I3" s="1573"/>
      <c r="J3" s="1585"/>
      <c r="K3" s="1573"/>
      <c r="M3" s="1890" t="s">
        <v>26</v>
      </c>
      <c r="N3" s="759"/>
      <c r="R3" s="762"/>
      <c r="S3" s="763"/>
      <c r="T3" s="763"/>
      <c r="U3" s="763"/>
    </row>
    <row r="4" spans="1:24" ht="17.25" customHeight="1" thickTop="1" thickBot="1" x14ac:dyDescent="0.5">
      <c r="A4" s="1548"/>
      <c r="B4" s="1894" t="s">
        <v>176</v>
      </c>
      <c r="C4" s="1875" t="s">
        <v>31</v>
      </c>
      <c r="D4" s="1902" t="s">
        <v>3</v>
      </c>
      <c r="E4" s="1529" t="s">
        <v>171</v>
      </c>
      <c r="G4" s="1574"/>
      <c r="H4" s="1574"/>
      <c r="I4" s="1586" t="s">
        <v>36</v>
      </c>
      <c r="J4" s="1589">
        <f>IFERROR(OPROCENTOWANIE!J2,"BRAK OFERTY")</f>
        <v>0</v>
      </c>
      <c r="K4" s="1573"/>
      <c r="M4" s="1890"/>
      <c r="N4" s="759"/>
      <c r="R4" s="764"/>
      <c r="S4" s="764"/>
      <c r="T4" s="764"/>
      <c r="U4" s="764"/>
      <c r="X4" s="1142">
        <f>'DOD1'!J2</f>
        <v>0</v>
      </c>
    </row>
    <row r="5" spans="1:24" ht="15.5" thickTop="1" thickBot="1" x14ac:dyDescent="0.35">
      <c r="A5" s="1548"/>
      <c r="B5" s="1894"/>
      <c r="C5" s="1532"/>
      <c r="D5" s="1903"/>
      <c r="E5" s="1528"/>
      <c r="G5" s="1574"/>
      <c r="H5" s="1574"/>
      <c r="I5" s="1586" t="s">
        <v>37</v>
      </c>
      <c r="J5" s="1590">
        <f>IF(J4="BRAK OFERTY","BRAK OFERTY",IFERROR(KwNaReke*OPROCENTOWANIE!J2,"BRAK OFERTY"))</f>
        <v>0</v>
      </c>
      <c r="K5" s="1545"/>
      <c r="M5" s="1769"/>
      <c r="N5" s="759"/>
      <c r="R5" s="764"/>
      <c r="S5" s="764"/>
      <c r="T5" s="764"/>
      <c r="U5" s="764"/>
      <c r="X5" s="1142"/>
    </row>
    <row r="6" spans="1:24" ht="19.5" customHeight="1" thickTop="1" thickBot="1" x14ac:dyDescent="0.5">
      <c r="A6" s="1548"/>
      <c r="B6" s="1894"/>
      <c r="C6" s="1533" t="s">
        <v>2189</v>
      </c>
      <c r="D6" s="1572" t="s">
        <v>2191</v>
      </c>
      <c r="E6" s="1529"/>
      <c r="G6" s="1575"/>
      <c r="H6" s="1574"/>
      <c r="I6" s="1593" t="s">
        <v>2124</v>
      </c>
      <c r="J6" s="1594">
        <f>IF(DODZ!T3&lt;&gt;0,0,'DOD1'!N3*WSP_TN_Ujednor)</f>
        <v>0</v>
      </c>
      <c r="K6" s="1545"/>
      <c r="M6" s="1769"/>
      <c r="N6" s="759"/>
      <c r="R6" s="765" t="s">
        <v>8</v>
      </c>
      <c r="S6" s="765" t="s">
        <v>2190</v>
      </c>
      <c r="T6" s="765" t="s">
        <v>9</v>
      </c>
      <c r="U6" s="765" t="s">
        <v>2188</v>
      </c>
      <c r="V6" s="765" t="s">
        <v>2082</v>
      </c>
      <c r="X6" s="760" t="str">
        <f>IF('DOD1'!Q2=0,"","● "&amp;'DOD1'!Q2&amp;"
")</f>
        <v xml:space="preserve">● Nie jest wymagana zgoda WSPÓŁMAŁŻONKA
</v>
      </c>
    </row>
    <row r="7" spans="1:24" ht="19.5" customHeight="1" thickTop="1" thickBot="1" x14ac:dyDescent="0.5">
      <c r="A7" s="1548"/>
      <c r="B7" s="1894"/>
      <c r="C7" s="1533" t="s">
        <v>2447</v>
      </c>
      <c r="D7" s="1870" t="s">
        <v>2186</v>
      </c>
      <c r="E7" s="1529"/>
      <c r="G7" s="1575"/>
      <c r="H7" s="1574"/>
      <c r="I7" s="1593"/>
      <c r="J7" s="1594"/>
      <c r="K7" s="1545"/>
      <c r="M7" s="1769"/>
      <c r="N7" s="759"/>
      <c r="R7" s="765"/>
      <c r="S7" s="765"/>
      <c r="T7" s="765"/>
      <c r="U7" s="765"/>
      <c r="V7" s="765"/>
    </row>
    <row r="8" spans="1:24" ht="15" customHeight="1" thickTop="1" thickBot="1" x14ac:dyDescent="0.5">
      <c r="A8" s="1548"/>
      <c r="B8" s="1894"/>
      <c r="C8" s="1533" t="s">
        <v>2187</v>
      </c>
      <c r="D8" s="1876" t="s">
        <v>181</v>
      </c>
      <c r="E8" s="1904" t="s">
        <v>2458</v>
      </c>
      <c r="G8" s="1574"/>
      <c r="H8" s="1574"/>
      <c r="I8" s="1586" t="s">
        <v>2230</v>
      </c>
      <c r="J8" s="1763">
        <f>IF(J4="BRAK OFERTY","BRAK OFERTY",IF(KwPoz&lt;=1600000,RATY_OE!J31,"BRAK OFERTY"))</f>
        <v>0</v>
      </c>
      <c r="K8" s="1576"/>
      <c r="M8" s="1595"/>
      <c r="N8" s="759"/>
      <c r="R8" s="766"/>
      <c r="S8" s="769" t="s">
        <v>2191</v>
      </c>
      <c r="T8" s="768" t="s">
        <v>2449</v>
      </c>
      <c r="U8" s="768" t="s">
        <v>2186</v>
      </c>
      <c r="V8" s="760">
        <v>20</v>
      </c>
    </row>
    <row r="9" spans="1:24" ht="24" customHeight="1" thickTop="1" thickBot="1" x14ac:dyDescent="0.35">
      <c r="A9" s="1548"/>
      <c r="B9" s="1894"/>
      <c r="C9" s="1879" t="s">
        <v>2451</v>
      </c>
      <c r="D9" s="1880" t="s">
        <v>2449</v>
      </c>
      <c r="E9" s="1904"/>
      <c r="G9" s="1574"/>
      <c r="H9" s="1574"/>
      <c r="I9" s="1586" t="s">
        <v>2127</v>
      </c>
      <c r="J9" s="1588" t="str">
        <f>IFERROR(IF(DODZ!T3&lt;&gt;0,'DOD1'!G2,'DOD1'!S8),"BRAK OFERTY")</f>
        <v>ZMIENNE</v>
      </c>
      <c r="K9" s="1545"/>
      <c r="M9" s="1595"/>
      <c r="N9" s="759"/>
      <c r="R9" s="766"/>
      <c r="S9" s="767" t="s">
        <v>2194</v>
      </c>
      <c r="T9" s="768" t="s">
        <v>2450</v>
      </c>
      <c r="U9" s="768" t="s">
        <v>181</v>
      </c>
      <c r="V9" s="760">
        <v>12</v>
      </c>
    </row>
    <row r="10" spans="1:24" ht="15" customHeight="1" thickTop="1" thickBot="1" x14ac:dyDescent="0.5">
      <c r="A10" s="1548"/>
      <c r="B10" s="1894"/>
      <c r="C10" s="1871"/>
      <c r="D10" s="1872"/>
      <c r="E10" s="1529"/>
      <c r="G10" s="1574"/>
      <c r="H10" s="1574"/>
      <c r="I10" s="1586" t="s">
        <v>2128</v>
      </c>
      <c r="J10" s="1587">
        <f>OPROCENTOWANIE!J1</f>
        <v>8.4900000000000003E-2</v>
      </c>
      <c r="K10" s="1545"/>
      <c r="M10" s="1895"/>
      <c r="N10" s="759"/>
      <c r="R10" s="766"/>
      <c r="S10" s="767" t="s">
        <v>2192</v>
      </c>
      <c r="T10" s="768" t="s">
        <v>2452</v>
      </c>
      <c r="U10" s="768"/>
      <c r="V10" s="760">
        <v>6</v>
      </c>
    </row>
    <row r="11" spans="1:24" ht="76.5" customHeight="1" thickTop="1" thickBot="1" x14ac:dyDescent="0.5">
      <c r="A11" s="1548"/>
      <c r="B11" s="1894"/>
      <c r="C11" s="1842" t="s">
        <v>2406</v>
      </c>
      <c r="D11" s="1874">
        <v>0</v>
      </c>
      <c r="E11" s="1529" t="s">
        <v>171</v>
      </c>
      <c r="G11" s="1574"/>
      <c r="H11" s="1574"/>
      <c r="I11" s="1854" t="s">
        <v>2412</v>
      </c>
      <c r="J11" s="1763">
        <f ca="1">FORMULARZ!J5</f>
        <v>0</v>
      </c>
      <c r="K11" s="1545"/>
      <c r="M11" s="1895"/>
      <c r="N11" s="759"/>
      <c r="R11" s="766"/>
      <c r="S11" s="767"/>
      <c r="T11" s="1487"/>
      <c r="U11" s="768"/>
    </row>
    <row r="12" spans="1:24" ht="15" customHeight="1" thickTop="1" thickBot="1" x14ac:dyDescent="0.35">
      <c r="A12" s="1548"/>
      <c r="B12" s="1894"/>
      <c r="C12" s="1546" t="str">
        <f>"KREDYTOWANE UBEZPIECZENIE"</f>
        <v>KREDYTOWANE UBEZPIECZENIE</v>
      </c>
      <c r="D12" s="1873" t="str">
        <f>"NIE"</f>
        <v>NIE</v>
      </c>
      <c r="E12" s="1753"/>
      <c r="G12" s="1574"/>
      <c r="H12" s="1574"/>
      <c r="I12" s="1898"/>
      <c r="J12" s="1898"/>
      <c r="K12" s="1545"/>
      <c r="M12" s="1895"/>
      <c r="N12" s="759"/>
      <c r="R12" s="766"/>
      <c r="S12" s="767" t="s">
        <v>2193</v>
      </c>
      <c r="T12" s="770"/>
      <c r="U12" s="768"/>
      <c r="V12" s="760">
        <v>20</v>
      </c>
    </row>
    <row r="13" spans="1:24" ht="15" customHeight="1" thickTop="1" thickBot="1" x14ac:dyDescent="0.5">
      <c r="A13" s="1548"/>
      <c r="B13" s="1539"/>
      <c r="C13" s="1534" t="s">
        <v>75</v>
      </c>
      <c r="D13" s="1526">
        <v>48</v>
      </c>
      <c r="E13" s="1529" t="s">
        <v>171</v>
      </c>
      <c r="G13" s="1899" t="s">
        <v>2126</v>
      </c>
      <c r="H13" s="1899"/>
      <c r="I13" s="1899"/>
      <c r="J13" s="1591">
        <f>IFERROR(J5+J6,"")</f>
        <v>0</v>
      </c>
      <c r="K13" s="1545"/>
      <c r="M13" s="1895"/>
      <c r="N13" s="759"/>
      <c r="R13" s="768"/>
      <c r="S13" s="767"/>
      <c r="T13" s="770"/>
      <c r="U13" s="768"/>
      <c r="V13" s="760">
        <v>12</v>
      </c>
    </row>
    <row r="14" spans="1:24" ht="15" thickTop="1" thickBot="1" x14ac:dyDescent="0.4">
      <c r="A14" s="1548"/>
      <c r="B14" s="1540"/>
      <c r="C14" s="1532"/>
      <c r="D14" s="1754">
        <v>1</v>
      </c>
      <c r="E14" s="1530"/>
      <c r="G14" s="1574"/>
      <c r="H14" s="1574"/>
      <c r="I14" s="1575"/>
      <c r="J14" s="1535"/>
      <c r="K14" s="1545"/>
      <c r="M14" s="1895"/>
      <c r="N14" s="759"/>
      <c r="S14" s="767"/>
      <c r="T14" s="770"/>
      <c r="U14" s="760" t="s">
        <v>2185</v>
      </c>
    </row>
    <row r="15" spans="1:24" ht="24" customHeight="1" thickTop="1" thickBot="1" x14ac:dyDescent="0.35">
      <c r="A15" s="1548"/>
      <c r="B15" s="1896" t="s">
        <v>2300</v>
      </c>
      <c r="C15" s="1897"/>
      <c r="D15" s="1527">
        <v>31000</v>
      </c>
      <c r="E15" s="1592"/>
      <c r="F15" s="1726"/>
      <c r="G15" s="1885" t="str">
        <f>"ŁĄCZNA KWOTA POŻYCZKI"</f>
        <v>ŁĄCZNA KWOTA POŻYCZKI</v>
      </c>
      <c r="H15" s="1885"/>
      <c r="I15" s="1885"/>
      <c r="J15" s="1767">
        <f>IFERROR(IF(prowizja_kredytowana=TRUE,KwNaReke+(KwNaReke*OPROCENTOWANIE!$J$2),KwNaReke),"BRAK OFERTY")</f>
        <v>31000</v>
      </c>
      <c r="K15" s="1545"/>
      <c r="M15" s="1895"/>
      <c r="N15" s="759"/>
      <c r="S15" s="767"/>
      <c r="U15" s="760" t="s">
        <v>2186</v>
      </c>
    </row>
    <row r="16" spans="1:24" ht="18" customHeight="1" thickTop="1" x14ac:dyDescent="0.3">
      <c r="A16" s="1548"/>
      <c r="B16" s="1541"/>
      <c r="C16" s="1760" t="s">
        <v>1836</v>
      </c>
      <c r="D16" s="1591">
        <f>KwNaReke</f>
        <v>31000</v>
      </c>
      <c r="E16" s="1531"/>
      <c r="G16" s="1577"/>
      <c r="H16" s="1577"/>
      <c r="I16" s="1761" t="s">
        <v>1835</v>
      </c>
      <c r="J16" s="1591">
        <f>IFERROR(J15,"")</f>
        <v>31000</v>
      </c>
      <c r="K16" s="1545"/>
      <c r="M16" s="1895"/>
      <c r="N16" s="759"/>
      <c r="S16" s="767"/>
      <c r="U16" s="760" t="s">
        <v>181</v>
      </c>
    </row>
    <row r="17" spans="1:23" ht="16.5" customHeight="1" thickBot="1" x14ac:dyDescent="0.4">
      <c r="A17" s="1548"/>
      <c r="B17" s="1540"/>
      <c r="C17" s="1536" t="s">
        <v>76</v>
      </c>
      <c r="D17" s="1538"/>
      <c r="E17" s="1528"/>
      <c r="G17" s="1574"/>
      <c r="H17" s="1574"/>
      <c r="I17" s="1578" t="s">
        <v>2125</v>
      </c>
      <c r="J17" s="1579">
        <f ca="1">IFERROR(IF(DODZ!T3&lt;&gt;0,'DOD1'!G2,ROUND(PMT_,2)),"BRAK OFERTY")</f>
        <v>764.1</v>
      </c>
      <c r="K17" s="1545"/>
      <c r="M17" s="1895"/>
      <c r="N17" s="771"/>
      <c r="S17" s="760" t="s">
        <v>2091</v>
      </c>
      <c r="T17" s="770" t="s">
        <v>2083</v>
      </c>
      <c r="W17" s="760" t="s">
        <v>7</v>
      </c>
    </row>
    <row r="18" spans="1:23" ht="25.5" customHeight="1" thickTop="1" thickBot="1" x14ac:dyDescent="0.5">
      <c r="A18" s="1548"/>
      <c r="B18" s="1540"/>
      <c r="C18" s="1532" t="s">
        <v>44</v>
      </c>
      <c r="D18" s="1542">
        <f ca="1">TODAY()</f>
        <v>46199</v>
      </c>
      <c r="E18" s="1529"/>
      <c r="G18" s="1540"/>
      <c r="H18" s="1540"/>
      <c r="I18" s="1578" t="s">
        <v>2229</v>
      </c>
      <c r="J18" s="1579">
        <f ca="1">IFERROR(J17+RATY_OE!J31,"BRAK OFERTY")</f>
        <v>764.1</v>
      </c>
      <c r="K18" s="1580"/>
      <c r="M18" s="1895"/>
      <c r="N18" s="771"/>
      <c r="S18" s="767" t="s">
        <v>179</v>
      </c>
      <c r="W18" s="760" t="s">
        <v>3</v>
      </c>
    </row>
    <row r="19" spans="1:23" ht="13.5" customHeight="1" thickTop="1" thickBot="1" x14ac:dyDescent="0.5">
      <c r="A19" s="1548"/>
      <c r="B19" s="1540"/>
      <c r="C19" s="1534" t="s">
        <v>72</v>
      </c>
      <c r="D19" s="1543">
        <f ca="1">DAY(D18)</f>
        <v>26</v>
      </c>
      <c r="E19" s="1529" t="s">
        <v>171</v>
      </c>
      <c r="G19" s="1545"/>
      <c r="H19" s="1545"/>
      <c r="I19" s="1581"/>
      <c r="J19" s="1582"/>
      <c r="K19" s="1545"/>
      <c r="M19" s="1895"/>
      <c r="N19" s="759"/>
      <c r="S19" s="767" t="s">
        <v>2048</v>
      </c>
    </row>
    <row r="20" spans="1:23" ht="15" customHeight="1" thickTop="1" thickBot="1" x14ac:dyDescent="0.35">
      <c r="A20" s="1548"/>
      <c r="B20" s="1540"/>
      <c r="C20" s="1534" t="s">
        <v>73</v>
      </c>
      <c r="D20" s="1544">
        <f ca="1">Raty_RRSO!B1</f>
        <v>46229</v>
      </c>
      <c r="E20" s="1528"/>
      <c r="G20" s="1545"/>
      <c r="H20" s="1545"/>
      <c r="I20" s="1537"/>
      <c r="J20" s="1583"/>
      <c r="K20" s="1545"/>
      <c r="M20" s="1895"/>
      <c r="N20" s="759"/>
      <c r="S20" s="767" t="s">
        <v>184</v>
      </c>
    </row>
    <row r="21" spans="1:23" s="772" customFormat="1" ht="15.75" customHeight="1" thickTop="1" x14ac:dyDescent="0.3">
      <c r="A21" s="1548"/>
      <c r="B21" s="1545"/>
      <c r="C21" s="1537"/>
      <c r="D21" s="1545"/>
      <c r="E21" s="1528"/>
      <c r="F21" s="1553"/>
      <c r="G21" s="1545"/>
      <c r="H21" s="1545"/>
      <c r="I21" s="1537"/>
      <c r="J21" s="1583"/>
      <c r="K21" s="1545"/>
      <c r="L21" s="1553"/>
      <c r="M21" s="1895"/>
      <c r="N21" s="759"/>
      <c r="S21" s="767" t="s">
        <v>1939</v>
      </c>
    </row>
    <row r="22" spans="1:23" ht="21" customHeight="1" x14ac:dyDescent="0.3">
      <c r="A22" s="1548"/>
      <c r="B22" s="1899"/>
      <c r="C22" s="1899"/>
      <c r="D22" s="1899"/>
      <c r="E22" s="1528"/>
      <c r="G22" s="1545"/>
      <c r="H22" s="1584"/>
      <c r="I22" s="1584"/>
      <c r="J22" s="1584"/>
      <c r="K22" s="1584"/>
      <c r="M22" s="1895"/>
      <c r="N22" s="759"/>
      <c r="S22" s="772"/>
    </row>
    <row r="23" spans="1:23" ht="12" customHeight="1" thickBot="1" x14ac:dyDescent="0.35">
      <c r="A23" s="1548"/>
      <c r="B23" s="1900" t="s">
        <v>2261</v>
      </c>
      <c r="C23" s="1901"/>
      <c r="D23" s="1901"/>
      <c r="E23" s="1528"/>
      <c r="F23" s="1554"/>
      <c r="G23" s="1545"/>
      <c r="H23" s="1545"/>
      <c r="I23" s="1545"/>
      <c r="J23" s="1545"/>
      <c r="K23" s="1545"/>
      <c r="M23" s="1895"/>
      <c r="N23" s="759"/>
    </row>
    <row r="24" spans="1:23" ht="15" hidden="1" customHeight="1" x14ac:dyDescent="0.3">
      <c r="A24" s="1547"/>
      <c r="B24" s="1489"/>
      <c r="C24" s="1489" t="s">
        <v>42</v>
      </c>
      <c r="D24" s="1562">
        <v>1000000</v>
      </c>
      <c r="E24" s="1489" t="s">
        <v>171</v>
      </c>
      <c r="F24" s="1554"/>
      <c r="G24" s="1488"/>
      <c r="H24" s="1488"/>
      <c r="I24" s="1490"/>
      <c r="J24" s="1491"/>
      <c r="K24" s="1488"/>
      <c r="M24" s="1895"/>
      <c r="N24" s="759"/>
    </row>
    <row r="25" spans="1:23" ht="3.75" hidden="1" customHeight="1" thickTop="1" x14ac:dyDescent="0.3">
      <c r="A25" s="1561"/>
      <c r="B25" s="1562"/>
      <c r="C25" s="1562"/>
      <c r="D25" s="1562"/>
      <c r="E25" s="1562"/>
      <c r="F25" s="1561"/>
      <c r="G25" s="1561"/>
      <c r="H25" s="1561"/>
      <c r="I25" s="1563"/>
      <c r="J25" s="1564"/>
      <c r="K25" s="1561"/>
      <c r="M25" s="1895"/>
      <c r="N25" s="759"/>
    </row>
    <row r="26" spans="1:23" ht="0.75" hidden="1" customHeight="1" x14ac:dyDescent="0.3">
      <c r="A26" s="1547"/>
      <c r="B26" s="1489"/>
      <c r="C26" s="1489" t="s">
        <v>1821</v>
      </c>
      <c r="D26" s="1562">
        <f>'Miesieczne Obciazenia'!E11</f>
        <v>0</v>
      </c>
      <c r="E26" s="1489"/>
      <c r="F26" s="1554"/>
      <c r="G26" s="1886"/>
      <c r="H26" s="1886"/>
      <c r="I26" s="1886"/>
      <c r="J26" s="1886"/>
      <c r="K26" s="1886"/>
      <c r="M26" s="1895"/>
      <c r="N26" s="759"/>
    </row>
    <row r="27" spans="1:23" ht="0.75" hidden="1" customHeight="1" x14ac:dyDescent="0.3">
      <c r="A27" s="1547"/>
      <c r="B27" s="1489"/>
      <c r="C27" s="1489"/>
      <c r="D27" s="1562"/>
      <c r="E27" s="1489"/>
      <c r="F27" s="1554"/>
      <c r="G27" s="1883" t="s">
        <v>1878</v>
      </c>
      <c r="H27" s="1883"/>
      <c r="I27" s="1883"/>
      <c r="J27" s="1883"/>
      <c r="K27" s="1883"/>
      <c r="M27" s="773"/>
      <c r="N27" s="759"/>
    </row>
    <row r="28" spans="1:23" ht="15" hidden="1" customHeight="1" x14ac:dyDescent="0.3">
      <c r="A28" s="1547"/>
      <c r="B28" s="1489"/>
      <c r="C28" s="1489" t="s">
        <v>43</v>
      </c>
      <c r="D28" s="1562">
        <v>1</v>
      </c>
      <c r="E28" s="1489" t="s">
        <v>171</v>
      </c>
      <c r="F28" s="1554"/>
      <c r="G28" s="1883"/>
      <c r="H28" s="1883"/>
      <c r="I28" s="1883"/>
      <c r="J28" s="1883"/>
      <c r="K28" s="1883"/>
      <c r="M28" s="773"/>
      <c r="N28" s="759"/>
    </row>
    <row r="29" spans="1:23" ht="2.25" hidden="1" customHeight="1" x14ac:dyDescent="0.3">
      <c r="A29" s="1547"/>
      <c r="B29" s="1489" t="s">
        <v>172</v>
      </c>
      <c r="C29" s="1489"/>
      <c r="D29" s="1562">
        <v>200</v>
      </c>
      <c r="E29" s="1489" t="s">
        <v>171</v>
      </c>
      <c r="F29" s="1554"/>
      <c r="G29" s="1884" t="s">
        <v>1833</v>
      </c>
      <c r="H29" s="1884"/>
      <c r="I29" s="1884"/>
      <c r="J29" s="1492">
        <f>DODZ!S6</f>
        <v>250000</v>
      </c>
      <c r="K29" s="1488"/>
      <c r="M29" s="774"/>
      <c r="N29" s="759"/>
    </row>
    <row r="30" spans="1:23" ht="5.25" hidden="1" customHeight="1" x14ac:dyDescent="0.3">
      <c r="A30" s="1547"/>
      <c r="B30" s="1559"/>
      <c r="C30" s="1562"/>
      <c r="D30" s="1562"/>
      <c r="E30" s="1562"/>
      <c r="F30" s="1561"/>
      <c r="G30" s="1561"/>
      <c r="H30" s="1561"/>
      <c r="I30" s="1565" t="s">
        <v>74</v>
      </c>
      <c r="J30" s="1562">
        <f>DODZ!R6</f>
        <v>250000</v>
      </c>
      <c r="K30" s="1571"/>
      <c r="M30" s="775"/>
      <c r="N30" s="759"/>
    </row>
    <row r="31" spans="1:23" ht="20.25" hidden="1" customHeight="1" thickBot="1" x14ac:dyDescent="0.35">
      <c r="A31" s="1547"/>
      <c r="B31" s="1559"/>
      <c r="C31" s="1725"/>
      <c r="D31" s="1768" t="s">
        <v>2267</v>
      </c>
      <c r="E31" s="1562"/>
      <c r="F31" s="1569"/>
      <c r="G31" s="1561"/>
      <c r="H31" s="1566"/>
      <c r="I31" s="1567"/>
      <c r="J31" s="1567"/>
      <c r="K31" s="1571"/>
      <c r="M31" s="775"/>
      <c r="N31" s="759"/>
    </row>
    <row r="32" spans="1:23" ht="21" customHeight="1" thickTop="1" x14ac:dyDescent="0.3">
      <c r="A32" s="1561"/>
      <c r="B32" s="1561"/>
      <c r="C32" s="1561"/>
      <c r="D32" s="1561"/>
      <c r="E32" s="1561"/>
      <c r="F32" s="1569"/>
      <c r="G32" s="1561"/>
      <c r="H32" s="1568"/>
      <c r="I32" s="1569" t="s">
        <v>1931</v>
      </c>
      <c r="J32" s="1570">
        <f>IFERROR(J30*(1-L_RAT_DlaWnioskProd*'DOD1'!N8*WSP_TN_Ujednor*(1-WSP_TNkrU)-(1+L_RAT_DlaWnioskProd*'DOD1'!N8*WSP_TN_Ujednor*WSP_TNkrU)*J4*(1-WSP_TNkrP)),
"")</f>
        <v>250000</v>
      </c>
      <c r="K32" s="1571"/>
      <c r="M32" s="776"/>
      <c r="N32" s="759"/>
      <c r="T32" s="760" t="s">
        <v>2186</v>
      </c>
    </row>
    <row r="33" spans="1:20" ht="21" customHeight="1" x14ac:dyDescent="0.3">
      <c r="A33" s="1561"/>
      <c r="B33" s="1561"/>
      <c r="C33" s="1561"/>
      <c r="D33" s="1561"/>
      <c r="E33" s="1561"/>
      <c r="F33" s="1569"/>
      <c r="G33" s="1561"/>
      <c r="H33" s="1561"/>
      <c r="I33" s="1567"/>
      <c r="J33" s="1567"/>
      <c r="K33" s="1571"/>
      <c r="M33" s="777"/>
      <c r="N33" s="759"/>
      <c r="T33" s="760" t="s">
        <v>181</v>
      </c>
    </row>
    <row r="34" spans="1:20" ht="48.65" hidden="1" customHeight="1" x14ac:dyDescent="0.3">
      <c r="A34" s="1547"/>
      <c r="B34" s="1881" t="s">
        <v>2448</v>
      </c>
      <c r="C34" s="1882"/>
      <c r="D34" s="1858"/>
      <c r="E34" s="1859"/>
      <c r="F34" s="1569"/>
      <c r="G34" s="1561"/>
      <c r="H34" s="1561"/>
      <c r="I34" s="1567"/>
      <c r="J34" s="1567"/>
      <c r="K34" s="1571"/>
      <c r="M34" s="777"/>
      <c r="N34" s="759"/>
    </row>
    <row r="35" spans="1:20" ht="15" hidden="1" customHeight="1" x14ac:dyDescent="0.3">
      <c r="A35" s="1547"/>
      <c r="B35" s="1547"/>
      <c r="C35" s="1549"/>
      <c r="D35" s="1569"/>
      <c r="E35" s="1569"/>
      <c r="F35" s="1569"/>
      <c r="G35" s="1547"/>
      <c r="H35" s="1547"/>
      <c r="I35" s="1549"/>
      <c r="J35" s="1560"/>
      <c r="K35" s="1547"/>
      <c r="M35" s="781"/>
      <c r="N35" s="759"/>
    </row>
    <row r="36" spans="1:20" ht="15" hidden="1" customHeight="1" x14ac:dyDescent="0.3">
      <c r="B36" s="782"/>
    </row>
    <row r="37" spans="1:20" ht="15" hidden="1" customHeight="1" x14ac:dyDescent="0.3">
      <c r="H37" s="779"/>
      <c r="I37" s="783"/>
      <c r="J37" s="778"/>
      <c r="M37" s="784"/>
    </row>
    <row r="38" spans="1:20" ht="15" hidden="1" customHeight="1" x14ac:dyDescent="0.3">
      <c r="H38" s="779"/>
      <c r="I38" s="783"/>
      <c r="J38" s="778"/>
      <c r="M38" s="784"/>
    </row>
    <row r="39" spans="1:20" ht="15" hidden="1" customHeight="1" x14ac:dyDescent="0.3">
      <c r="E39" s="780">
        <v>0</v>
      </c>
    </row>
    <row r="40" spans="1:20" ht="15" hidden="1" customHeight="1" x14ac:dyDescent="0.3"/>
    <row r="41" spans="1:20" ht="15" hidden="1" customHeight="1" x14ac:dyDescent="0.3"/>
    <row r="42" spans="1:20" ht="15" hidden="1" customHeight="1" x14ac:dyDescent="0.3"/>
    <row r="43" spans="1:20" ht="15" hidden="1" customHeight="1" x14ac:dyDescent="0.3"/>
    <row r="44" spans="1:20" ht="15" hidden="1" customHeight="1" x14ac:dyDescent="0.3">
      <c r="N44" s="785"/>
    </row>
    <row r="45" spans="1:20" ht="15" hidden="1" customHeight="1" x14ac:dyDescent="0.3">
      <c r="N45" s="785"/>
    </row>
    <row r="53" spans="5:5" ht="15" hidden="1" customHeight="1" x14ac:dyDescent="0.3">
      <c r="E53" s="780">
        <v>0</v>
      </c>
    </row>
  </sheetData>
  <sheetProtection sheet="1" objects="1" scenarios="1"/>
  <dataConsolidate/>
  <mergeCells count="17">
    <mergeCell ref="B2:E2"/>
    <mergeCell ref="M3:M4"/>
    <mergeCell ref="G2:K2"/>
    <mergeCell ref="B4:B12"/>
    <mergeCell ref="M10:M26"/>
    <mergeCell ref="B15:C15"/>
    <mergeCell ref="I12:J12"/>
    <mergeCell ref="G13:I13"/>
    <mergeCell ref="B23:D23"/>
    <mergeCell ref="B22:D22"/>
    <mergeCell ref="D4:D5"/>
    <mergeCell ref="E8:E9"/>
    <mergeCell ref="B34:C34"/>
    <mergeCell ref="G27:K28"/>
    <mergeCell ref="G29:I29"/>
    <mergeCell ref="G15:I15"/>
    <mergeCell ref="G26:K26"/>
  </mergeCells>
  <phoneticPr fontId="6" type="noConversion"/>
  <conditionalFormatting sqref="G3 B3">
    <cfRule type="cellIs" dxfId="327" priority="80" stopIfTrue="1" operator="equal">
      <formula>"brak oferty"</formula>
    </cfRule>
  </conditionalFormatting>
  <conditionalFormatting sqref="J19">
    <cfRule type="cellIs" dxfId="326" priority="84" stopIfTrue="1" operator="equal">
      <formula>0</formula>
    </cfRule>
  </conditionalFormatting>
  <conditionalFormatting sqref="J17 J4:J5 J9:J10">
    <cfRule type="cellIs" dxfId="325" priority="76" stopIfTrue="1" operator="equal">
      <formula>"brak oferty"</formula>
    </cfRule>
  </conditionalFormatting>
  <conditionalFormatting sqref="T11:T14">
    <cfRule type="expression" dxfId="324" priority="100" stopIfTrue="1">
      <formula>ROW(T11)=_DOD1</formula>
    </cfRule>
  </conditionalFormatting>
  <conditionalFormatting sqref="J13">
    <cfRule type="containsBlanks" dxfId="323" priority="101" stopIfTrue="1">
      <formula>LEN(TRIM(J13))=0</formula>
    </cfRule>
  </conditionalFormatting>
  <conditionalFormatting sqref="G2">
    <cfRule type="cellIs" dxfId="322" priority="65" stopIfTrue="1" operator="equal">
      <formula>"brak oferty"</formula>
    </cfRule>
  </conditionalFormatting>
  <conditionalFormatting sqref="J29">
    <cfRule type="cellIs" dxfId="321" priority="63" stopIfTrue="1" operator="equal">
      <formula>"brak oferty"</formula>
    </cfRule>
  </conditionalFormatting>
  <conditionalFormatting sqref="J32">
    <cfRule type="cellIs" dxfId="320" priority="61" stopIfTrue="1" operator="equal">
      <formula>"brak oferty"</formula>
    </cfRule>
  </conditionalFormatting>
  <conditionalFormatting sqref="J16">
    <cfRule type="containsBlanks" dxfId="319" priority="60" stopIfTrue="1">
      <formula>LEN(TRIM(J16))=0</formula>
    </cfRule>
  </conditionalFormatting>
  <conditionalFormatting sqref="D16">
    <cfRule type="containsBlanks" dxfId="318" priority="59" stopIfTrue="1">
      <formula>LEN(TRIM(D16))=0</formula>
    </cfRule>
  </conditionalFormatting>
  <conditionalFormatting sqref="T16">
    <cfRule type="expression" dxfId="317" priority="23" stopIfTrue="1">
      <formula>ROW(T16)=_DOD1</formula>
    </cfRule>
  </conditionalFormatting>
  <conditionalFormatting sqref="J18">
    <cfRule type="cellIs" dxfId="316" priority="15" stopIfTrue="1" operator="equal">
      <formula>"brak oferty"</formula>
    </cfRule>
  </conditionalFormatting>
  <conditionalFormatting sqref="T17">
    <cfRule type="expression" dxfId="315" priority="6" stopIfTrue="1">
      <formula>ROW(T17)=_DOD1</formula>
    </cfRule>
  </conditionalFormatting>
  <conditionalFormatting sqref="J8">
    <cfRule type="cellIs" dxfId="314" priority="4" stopIfTrue="1" operator="equal">
      <formula>"brak oferty"</formula>
    </cfRule>
  </conditionalFormatting>
  <conditionalFormatting sqref="D11">
    <cfRule type="expression" dxfId="313" priority="2">
      <formula>$D$9="POZOSTAŁY"</formula>
    </cfRule>
  </conditionalFormatting>
  <conditionalFormatting sqref="J11">
    <cfRule type="cellIs" dxfId="312" priority="1" stopIfTrue="1" operator="equal">
      <formula>"brak oferty"</formula>
    </cfRule>
  </conditionalFormatting>
  <dataValidations count="11">
    <dataValidation type="whole" allowBlank="1" showInputMessage="1" showErrorMessage="1" errorTitle="Nieprawidłowa wartość!!!" error="Wpisz poprawnie liczbę osób w rodzinie!!!" sqref="D28" xr:uid="{00000000-0002-0000-0000-000000000000}">
      <formula1>1</formula1>
      <formula2>15</formula2>
    </dataValidation>
    <dataValidation type="whole" allowBlank="1" showInputMessage="1" showErrorMessage="1" errorTitle="Nieprawidłowa Wartość !!!" error="Wpisz poprawnie zgłoszony przez klienta dzień miesiąca spłaty pożyczki._x000a_Minimum: 1; maksimum: 31!_x000a_" sqref="D19" xr:uid="{00000000-0002-0000-0000-000001000000}">
      <formula1>1</formula1>
      <formula2>31</formula2>
    </dataValidation>
    <dataValidation type="whole" allowBlank="1" showInputMessage="1" showErrorMessage="1" errorTitle="Nieprawidłowa wartość!!!" error="Wpisz poprawnie liczbę miesięcy! _x000a_Uwaga! Sprawdź maksymalny okres kredytowania dla wybranego produktu." sqref="D13" xr:uid="{00000000-0002-0000-0000-000002000000}">
      <formula1>3</formula1>
      <formula2>120</formula2>
    </dataValidation>
    <dataValidation type="list" allowBlank="1" showInputMessage="1" showErrorMessage="1" sqref="D8" xr:uid="{00000000-0002-0000-0000-000003000000}">
      <formula1>$U$8:$U$9</formula1>
    </dataValidation>
    <dataValidation type="whole" operator="greaterThanOrEqual" allowBlank="1" showErrorMessage="1" errorTitle="MINIMALNY DOCHÓD 800 ZŁ" error="MINIMALNY DOCHÓD 800 ZŁ_x000a__x000a_Aby wyliczyć ofertę wprowadź wartość 800 lub więcej" sqref="D24" xr:uid="{00000000-0002-0000-0000-000004000000}">
      <formula1>800</formula1>
    </dataValidation>
    <dataValidation type="whole" allowBlank="1" showInputMessage="1" showErrorMessage="1" errorTitle="Nieprawidłowa Wartość !!!" error="Wpisz poprawnie wysokość wydatków gospodarstwa domowego deklarowanych przez Klienta" sqref="D29" xr:uid="{00000000-0002-0000-0000-000005000000}">
      <formula1>100</formula1>
      <formula2>1000000000</formula2>
    </dataValidation>
    <dataValidation operator="greaterThanOrEqual" allowBlank="1" showErrorMessage="1" errorTitle="MINIMALNY DOCHÓD 800 ZŁ" error="MINIMALNY DOCHÓD 800 ZŁ_x000a__x000a_Aby wyliczyć ofertę wprowadź wartość 800 lub więcej" sqref="D15" xr:uid="{00000000-0002-0000-0000-000007000000}"/>
    <dataValidation allowBlank="1" sqref="D3" xr:uid="{00000000-0002-0000-0000-000008000000}"/>
    <dataValidation type="list" allowBlank="1" showInputMessage="1" showErrorMessage="1" sqref="D6" xr:uid="{00000000-0002-0000-0000-00000A000000}">
      <formula1>$S$8:$S$11</formula1>
    </dataValidation>
    <dataValidation allowBlank="1" showInputMessage="1" showErrorMessage="1" errorTitle="Nieprawidłowa wartość!!!" error="Wpisz poprawnie liczbę miesięcy! _x000a_Uwaga! Sprawdź maksymalny okres kredytowania dla wybranego produktu." sqref="D11" xr:uid="{00000000-0002-0000-0000-00000D000000}"/>
    <dataValidation type="list" allowBlank="1" showInputMessage="1" showErrorMessage="1" sqref="D7" xr:uid="{00000000-0002-0000-0000-00000E000000}">
      <formula1>$T$32:$T$33</formula1>
    </dataValidation>
  </dataValidations>
  <printOptions horizontalCentered="1" verticalCentered="1"/>
  <pageMargins left="0.39370078740157483" right="0.24" top="0.98425196850393704" bottom="0.98425196850393704" header="0.51181102362204722" footer="0.51181102362204722"/>
  <pageSetup paperSize="9" scale="75" orientation="landscape" r:id="rId1"/>
  <headerFooter alignWithMargins="0"/>
  <drawing r:id="rId2"/>
  <legacyDrawing r:id="rId3"/>
  <oleObjects>
    <mc:AlternateContent xmlns:mc="http://schemas.openxmlformats.org/markup-compatibility/2006">
      <mc:Choice Requires="x14">
        <oleObject shapeId="2192" r:id="rId4">
          <objectPr defaultSize="0" autoPict="0" r:id="rId5">
            <anchor moveWithCells="1" sizeWithCells="1">
              <from>
                <xdr:col>12</xdr:col>
                <xdr:colOff>1574800</xdr:colOff>
                <xdr:row>1</xdr:row>
                <xdr:rowOff>57150</xdr:rowOff>
              </from>
              <to>
                <xdr:col>12</xdr:col>
                <xdr:colOff>2336800</xdr:colOff>
                <xdr:row>2</xdr:row>
                <xdr:rowOff>50800</xdr:rowOff>
              </to>
            </anchor>
          </objectPr>
        </oleObject>
      </mc:Choice>
      <mc:Fallback>
        <oleObject shapeId="2192" r:id="rId4"/>
      </mc:Fallback>
    </mc:AlternateContent>
  </oleObjects>
  <mc:AlternateContent xmlns:mc="http://schemas.openxmlformats.org/markup-compatibility/2006">
    <mc:Choice Requires="x14">
      <controls>
        <mc:AlternateContent xmlns:mc="http://schemas.openxmlformats.org/markup-compatibility/2006">
          <mc:Choice Requires="x14">
            <control shapeId="2706" r:id="rId6" name="Button 658">
              <controlPr defaultSize="0" print="0" autoFill="0" autoPict="0" macro="[0]!PRZYCISKPrzejdzDoARK_F_SKROCONY_Klikniecie">
                <anchor moveWithCells="1" sizeWithCells="1">
                  <from>
                    <xdr:col>6</xdr:col>
                    <xdr:colOff>146050</xdr:colOff>
                    <xdr:row>18</xdr:row>
                    <xdr:rowOff>12700</xdr:rowOff>
                  </from>
                  <to>
                    <xdr:col>10</xdr:col>
                    <xdr:colOff>57150</xdr:colOff>
                    <xdr:row>19</xdr:row>
                    <xdr:rowOff>184150</xdr:rowOff>
                  </to>
                </anchor>
              </controlPr>
            </control>
          </mc:Choice>
        </mc:AlternateContent>
        <mc:AlternateContent xmlns:mc="http://schemas.openxmlformats.org/markup-compatibility/2006">
          <mc:Choice Requires="x14">
            <control shapeId="2728" r:id="rId7" name="Button 680">
              <controlPr defaultSize="0" print="0" autoFill="0" autoPict="0" macro="[0]!PRZYCISKPrzejdzDoARK_HARMONOGRAM_Klikniecie">
                <anchor moveWithCells="1" sizeWithCells="1">
                  <from>
                    <xdr:col>6</xdr:col>
                    <xdr:colOff>146050</xdr:colOff>
                    <xdr:row>20</xdr:row>
                    <xdr:rowOff>57150</xdr:rowOff>
                  </from>
                  <to>
                    <xdr:col>10</xdr:col>
                    <xdr:colOff>57150</xdr:colOff>
                    <xdr:row>21</xdr:row>
                    <xdr:rowOff>228600</xdr:rowOff>
                  </to>
                </anchor>
              </controlPr>
            </control>
          </mc:Choice>
        </mc:AlternateContent>
        <mc:AlternateContent xmlns:mc="http://schemas.openxmlformats.org/markup-compatibility/2006">
          <mc:Choice Requires="x14">
            <control shapeId="2829" r:id="rId8" name="Button 781">
              <controlPr defaultSize="0" print="0" autoFill="0" autoPict="0" macro="[0]!PRZYCISKPrzejdzDoARK_PreOfertownik_Klikniecie">
                <anchor moveWithCells="1" sizeWithCells="1">
                  <from>
                    <xdr:col>16383</xdr:col>
                    <xdr:colOff>0</xdr:colOff>
                    <xdr:row>24</xdr:row>
                    <xdr:rowOff>12700</xdr:rowOff>
                  </from>
                  <to>
                    <xdr:col>16383</xdr:col>
                    <xdr:colOff>0</xdr:colOff>
                    <xdr:row>29</xdr:row>
                    <xdr:rowOff>12700</xdr:rowOff>
                  </to>
                </anchor>
              </controlPr>
            </control>
          </mc:Choice>
        </mc:AlternateContent>
        <mc:AlternateContent xmlns:mc="http://schemas.openxmlformats.org/markup-compatibility/2006">
          <mc:Choice Requires="x14">
            <control shapeId="2832" r:id="rId9" name="Button 784">
              <controlPr defaultSize="0" print="0" autoFill="0" autoPict="0" macro="[0]!PRZYCISKPrzejdzDoARK_DccOfertownik_Klikniecie">
                <anchor moveWithCells="1" sizeWithCells="1">
                  <from>
                    <xdr:col>16383</xdr:col>
                    <xdr:colOff>0</xdr:colOff>
                    <xdr:row>29</xdr:row>
                    <xdr:rowOff>12700</xdr:rowOff>
                  </from>
                  <to>
                    <xdr:col>16383</xdr:col>
                    <xdr:colOff>0</xdr:colOff>
                    <xdr:row>29</xdr:row>
                    <xdr:rowOff>12700</xdr:rowOff>
                  </to>
                </anchor>
              </controlPr>
            </control>
          </mc:Choice>
        </mc:AlternateContent>
        <mc:AlternateContent xmlns:mc="http://schemas.openxmlformats.org/markup-compatibility/2006">
          <mc:Choice Requires="x14">
            <control shapeId="2890" r:id="rId10" name="prowizja_kred_bool">
              <controlPr defaultSize="0" autoFill="0" autoLine="0" autoPict="0" macro="[0]!prowizja_kred_bool_Kliknięcie">
                <anchor moveWithCells="1">
                  <from>
                    <xdr:col>4</xdr:col>
                    <xdr:colOff>57150</xdr:colOff>
                    <xdr:row>14</xdr:row>
                    <xdr:rowOff>50800</xdr:rowOff>
                  </from>
                  <to>
                    <xdr:col>4</xdr:col>
                    <xdr:colOff>1257300</xdr:colOff>
                    <xdr:row>14</xdr:row>
                    <xdr:rowOff>247650</xdr:rowOff>
                  </to>
                </anchor>
              </controlPr>
            </control>
          </mc:Choice>
        </mc:AlternateContent>
        <mc:AlternateContent xmlns:mc="http://schemas.openxmlformats.org/markup-compatibility/2006">
          <mc:Choice Requires="x14">
            <control shapeId="2892" r:id="rId11" name="zdolnosc_kredytowa">
              <controlPr defaultSize="0" print="0" autoFill="0" autoPict="0" macro="[0]!Przycisk810_Kliknięcie">
                <anchor moveWithCells="1" sizeWithCells="1">
                  <from>
                    <xdr:col>1</xdr:col>
                    <xdr:colOff>107950</xdr:colOff>
                    <xdr:row>21</xdr:row>
                    <xdr:rowOff>0</xdr:rowOff>
                  </from>
                  <to>
                    <xdr:col>4</xdr:col>
                    <xdr:colOff>1428750</xdr:colOff>
                    <xdr:row>22</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32ABD-1194-47B7-81B7-6C349F17359F}">
  <sheetPr codeName="Arkusz35"/>
  <dimension ref="A1"/>
  <sheetViews>
    <sheetView workbookViewId="0"/>
  </sheetViews>
  <sheetFormatPr defaultRowHeight="12.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7"/>
  <dimension ref="C2:I4"/>
  <sheetViews>
    <sheetView workbookViewId="0">
      <selection activeCell="B31" sqref="B31"/>
    </sheetView>
  </sheetViews>
  <sheetFormatPr defaultRowHeight="12.5" x14ac:dyDescent="0.25"/>
  <cols>
    <col min="2" max="2" width="12.26953125" bestFit="1" customWidth="1"/>
    <col min="9" max="9" width="104.54296875" customWidth="1"/>
  </cols>
  <sheetData>
    <row r="2" spans="3:9" ht="25" x14ac:dyDescent="0.25">
      <c r="I2" s="1518" t="s">
        <v>2220</v>
      </c>
    </row>
    <row r="4" spans="3:9" x14ac:dyDescent="0.25">
      <c r="C4">
        <f>KwPoz</f>
        <v>31000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2"/>
  <dimension ref="A1:X73"/>
  <sheetViews>
    <sheetView zoomScale="85" zoomScaleNormal="85" workbookViewId="0">
      <pane xSplit="5" ySplit="9" topLeftCell="G10" activePane="bottomRight" state="frozen"/>
      <selection activeCell="B31" sqref="B31"/>
      <selection pane="topRight" activeCell="B31" sqref="B31"/>
      <selection pane="bottomLeft" activeCell="B31" sqref="B31"/>
      <selection pane="bottomRight" activeCell="L18" sqref="L18"/>
    </sheetView>
  </sheetViews>
  <sheetFormatPr defaultColWidth="9.1796875" defaultRowHeight="13" x14ac:dyDescent="0.3"/>
  <cols>
    <col min="1" max="1" width="48.54296875" style="263" bestFit="1" customWidth="1"/>
    <col min="2" max="2" width="21.7265625" style="263" customWidth="1"/>
    <col min="3" max="3" width="26.26953125" style="263" customWidth="1"/>
    <col min="4" max="4" width="21" style="263" customWidth="1"/>
    <col min="5" max="5" width="12" style="263" customWidth="1"/>
    <col min="6" max="6" width="62.81640625" style="263" bestFit="1" customWidth="1"/>
    <col min="7" max="7" width="14.7265625" style="263" bestFit="1" customWidth="1"/>
    <col min="8" max="8" width="19.1796875" style="263" bestFit="1" customWidth="1"/>
    <col min="9" max="9" width="15.1796875" style="338" customWidth="1"/>
    <col min="10" max="10" width="13.26953125" style="263" customWidth="1"/>
    <col min="11" max="11" width="16.81640625" style="263" customWidth="1"/>
    <col min="12" max="12" width="29.7265625" style="263" customWidth="1"/>
    <col min="13" max="13" width="35.26953125" style="263" customWidth="1"/>
    <col min="14" max="14" width="17.26953125" style="263" bestFit="1" customWidth="1"/>
    <col min="15" max="15" width="15.81640625" style="339" bestFit="1" customWidth="1"/>
    <col min="16" max="16" width="23.81640625" style="263" customWidth="1"/>
    <col min="17" max="17" width="9.1796875" style="263" customWidth="1"/>
    <col min="18" max="18" width="73.26953125" style="263" bestFit="1" customWidth="1"/>
    <col min="19" max="19" width="11.54296875" style="263" bestFit="1" customWidth="1"/>
    <col min="20" max="20" width="27.7265625" style="263" bestFit="1" customWidth="1"/>
    <col min="21" max="22" width="9.1796875" style="263"/>
    <col min="23" max="23" width="11.7265625" style="263" customWidth="1"/>
    <col min="24" max="24" width="16.7265625" style="263" customWidth="1"/>
    <col min="25" max="16384" width="9.1796875" style="263"/>
  </cols>
  <sheetData>
    <row r="1" spans="1:24" ht="13.5" customHeight="1" thickBot="1" x14ac:dyDescent="0.35">
      <c r="A1" s="266" t="s">
        <v>21</v>
      </c>
      <c r="B1" s="266"/>
      <c r="C1" s="1517" t="s">
        <v>2219</v>
      </c>
      <c r="D1" s="266"/>
      <c r="E1" s="266"/>
      <c r="F1" s="266">
        <f>IF(F2=E2,G2,0)</f>
        <v>0</v>
      </c>
      <c r="G1" s="267">
        <f>IF(OR(G2=G3,G2=H3,G2=K2,G2=F1,I1=I2,M1=G2),1,0)</f>
        <v>0</v>
      </c>
      <c r="H1" s="268"/>
      <c r="I1" s="269">
        <f>IF(K8&lt;I8,I2,0)</f>
        <v>0</v>
      </c>
      <c r="J1" s="269">
        <f>IF(J2="",1,0)</f>
        <v>0</v>
      </c>
      <c r="K1" s="269">
        <v>50000</v>
      </c>
      <c r="L1" s="268"/>
      <c r="M1" s="269">
        <f>IF(DODZ!T7&lt;&gt;1,IF(M2=M3,G2,0),IF(M2=N2,G2,0))</f>
        <v>0</v>
      </c>
      <c r="N1" s="270">
        <f>IF(J3=0,0,N2)</f>
        <v>0</v>
      </c>
      <c r="O1" s="271"/>
      <c r="P1" s="266"/>
      <c r="Q1" s="266"/>
    </row>
    <row r="2" spans="1:24" ht="13.5" thickBot="1" x14ac:dyDescent="0.35">
      <c r="A2" s="272" t="s">
        <v>17</v>
      </c>
      <c r="B2" s="273" t="str">
        <f>MID(B29,1,11)</f>
        <v/>
      </c>
      <c r="C2" s="273" t="s">
        <v>18</v>
      </c>
      <c r="D2" s="274" t="s">
        <v>18</v>
      </c>
      <c r="E2" s="273" t="str">
        <f>CONCATENATE("Maksymalny Okres Kredytowania Oferty wynosi ",E4," miesięcy")</f>
        <v>Maksymalny Okres Kredytowania Oferty wynosi 120 miesięcy</v>
      </c>
      <c r="F2" s="275">
        <f>IF(E3=0,0,E2)</f>
        <v>0</v>
      </c>
      <c r="G2" s="276" t="s">
        <v>15</v>
      </c>
      <c r="H2" s="277">
        <f>$H$3</f>
        <v>8.4900000000000003E-2</v>
      </c>
      <c r="I2" s="278" t="str">
        <f>"Minimalna Kwota Wybranego Produktu "&amp;FIXED(I8,0)&amp; " zł. "</f>
        <v xml:space="preserve">Minimalna Kwota Wybranego Produktu 1 000 zł. </v>
      </c>
      <c r="J2" s="279">
        <f>VLOOKUP(A6,F10:J60,5,FALSE)</f>
        <v>0</v>
      </c>
      <c r="K2" s="280">
        <f>IF(K3&gt;K4,"brak oferty",0)</f>
        <v>0</v>
      </c>
      <c r="L2" s="281">
        <f>IF(E3=G2,0,IF(K2=0,0,L3))</f>
        <v>0</v>
      </c>
      <c r="M2" s="281">
        <f>IF(DODZ!T7&lt;&gt;1,IF(K2=0,0,M3),N1)</f>
        <v>0</v>
      </c>
      <c r="N2" s="282" t="str">
        <f>CONCATENATE(M8," ",N4/1000," ",(N5-N4)/100,(N6-N5)/10,"0 zł")</f>
        <v>0 250 000 zł</v>
      </c>
      <c r="O2" s="283"/>
      <c r="P2" s="283"/>
      <c r="Q2" s="284" t="str">
        <f>IF(G1=1,0,Q3)</f>
        <v>Nie jest wymagana zgoda WSPÓŁMAŁŻONKA</v>
      </c>
      <c r="S2" s="260" t="str">
        <f>S8</f>
        <v>ZMIENNE</v>
      </c>
      <c r="T2" s="260" t="str">
        <f>IF(A8&lt;&gt;T6,"Z Programem Ubezpieczeniowym","Bez Programu Ubezpieczeniowego")</f>
        <v>Bez Programu Ubezpieczeniowego</v>
      </c>
    </row>
    <row r="3" spans="1:24" ht="13.5" thickBot="1" x14ac:dyDescent="0.35">
      <c r="A3" s="272"/>
      <c r="B3" s="273"/>
      <c r="C3" s="273"/>
      <c r="D3" s="273" t="s">
        <v>20</v>
      </c>
      <c r="E3" s="273">
        <f>IF(E8&gt;E4,"brak oferty",0)</f>
        <v>0</v>
      </c>
      <c r="F3" s="273" t="s">
        <v>90</v>
      </c>
      <c r="G3" s="285">
        <f>VLOOKUP(A6,F10:G13,2,FALSE)</f>
        <v>0</v>
      </c>
      <c r="H3" s="285">
        <f>VLOOKUP(A6,F10:I60,3,FALSE)</f>
        <v>8.4900000000000003E-2</v>
      </c>
      <c r="I3" s="286">
        <f>IF(AND(DODZ!R7&lt;'DOD1'!I8,DODZ!S7&lt;'DOD1'!I8),1,0)</f>
        <v>0</v>
      </c>
      <c r="J3" s="287">
        <f>IF(K8&gt;J4,"patrz.OgranBrutto",0)</f>
        <v>0</v>
      </c>
      <c r="K3" s="410">
        <f>K8</f>
        <v>31000</v>
      </c>
      <c r="L3" s="289" t="str">
        <f>CONCATENATE(" - wnioskowana Netto ",L4/1000," ",(L5-L4)/100,(L6-L5)/10,"0 zł")</f>
        <v xml:space="preserve"> - wnioskowana Netto 250 000 zł</v>
      </c>
      <c r="M3" s="290" t="str">
        <f>CONCATENATE("Maksymalna kwota pożyczki z kredytowaną prowizją = ",M4/1000," ",(M5-M4)/100,(M6-M5)/10,"0 zł")</f>
        <v>Maksymalna kwota pożyczki z kredytowaną prowizją = 250 000 zł</v>
      </c>
      <c r="N3" s="291">
        <f>IF(G3=G2,0,IF(A8="Z UBEZPIECZENIEM ",ROUND(K8*E8*N8,2),0))</f>
        <v>0</v>
      </c>
      <c r="O3" s="283"/>
      <c r="P3" s="292" t="str">
        <f>IF(P4=1,IF(K3&lt;=O8,P8,R8),"")</f>
        <v/>
      </c>
      <c r="Q3" s="293" t="str">
        <f>IF(K3&gt;=Q4,"Wymagana zgoda WSPÓŁMAŁŻONKA;
Kwota zaangażowań bez zgody WSPÓŁMAŁŻONKA 
wynosi 50 000 zł","Nie jest wymagana zgoda WSPÓŁMAŁŻONKA")</f>
        <v>Nie jest wymagana zgoda WSPÓŁMAŁŻONKA</v>
      </c>
    </row>
    <row r="4" spans="1:24" x14ac:dyDescent="0.3">
      <c r="A4" s="294" t="s">
        <v>19</v>
      </c>
      <c r="B4" s="295" t="s">
        <v>0</v>
      </c>
      <c r="C4" s="295"/>
      <c r="D4" s="295" t="s">
        <v>2</v>
      </c>
      <c r="E4" s="1755">
        <f>MAX(E10:E13)</f>
        <v>120</v>
      </c>
      <c r="F4" s="295"/>
      <c r="G4" s="296">
        <f>IF(prowizja_kredytowana=TRUE,0,KwNaReke*OPROCENTOWANIE!J2)</f>
        <v>0</v>
      </c>
      <c r="H4" s="297"/>
      <c r="I4" s="296"/>
      <c r="J4" s="287">
        <f>VLOOKUP(A6,F10:L60,7,FALSE)</f>
        <v>250000</v>
      </c>
      <c r="K4" s="288">
        <f>VLOOKUP(A6,F10:K60,6,FALSE)</f>
        <v>250000</v>
      </c>
      <c r="L4" s="298">
        <f>ROUNDDOWN(L7,-3)</f>
        <v>250000</v>
      </c>
      <c r="M4" s="299">
        <f>ROUNDDOWN(K4,-3)</f>
        <v>250000</v>
      </c>
      <c r="N4" s="300">
        <f>ROUNDDOWN(J4,-3)</f>
        <v>250000</v>
      </c>
      <c r="O4" s="301"/>
      <c r="P4" s="302">
        <f>IF(B8=B4,IF(D8=D4,1,0),0)</f>
        <v>0</v>
      </c>
      <c r="Q4" s="303">
        <v>50000.000999999997</v>
      </c>
    </row>
    <row r="5" spans="1:24" x14ac:dyDescent="0.3">
      <c r="A5" s="304" t="s">
        <v>16</v>
      </c>
      <c r="B5" s="305"/>
      <c r="C5" s="305"/>
      <c r="D5" s="305"/>
      <c r="E5" s="306">
        <f>DMIN(A9:E111,E9,A7:D8)</f>
        <v>120</v>
      </c>
      <c r="F5" s="307"/>
      <c r="G5" s="308">
        <f>G3*$K$4</f>
        <v>0</v>
      </c>
      <c r="H5" s="305"/>
      <c r="I5" s="309"/>
      <c r="J5" s="287" t="s">
        <v>156</v>
      </c>
      <c r="K5" s="288" t="s">
        <v>128</v>
      </c>
      <c r="L5" s="298">
        <f>ROUNDDOWN(L7,-2)</f>
        <v>250000</v>
      </c>
      <c r="M5" s="299">
        <f>ROUNDDOWN(K4,-2)</f>
        <v>250000</v>
      </c>
      <c r="N5" s="300">
        <f>ROUNDDOWN(J4,-2)</f>
        <v>250000</v>
      </c>
      <c r="O5" s="301"/>
      <c r="P5" s="295"/>
      <c r="Q5" s="305"/>
    </row>
    <row r="6" spans="1:24" ht="13.5" thickBot="1" x14ac:dyDescent="0.35">
      <c r="A6" s="345" t="str">
        <f>CONCATENATE(A8,B8,C8,D8,E6)</f>
        <v>BEZ UBEZPIECZENIAMASSMOJE INGNIE120</v>
      </c>
      <c r="B6" s="310"/>
      <c r="C6" s="310"/>
      <c r="D6" s="310"/>
      <c r="E6" s="311">
        <f>IF(E8&lt;=E5,E5,E4)</f>
        <v>120</v>
      </c>
      <c r="F6" s="307"/>
      <c r="G6" s="307"/>
      <c r="H6" s="307"/>
      <c r="I6" s="309"/>
      <c r="J6" s="287" t="s">
        <v>157</v>
      </c>
      <c r="K6" s="288" t="s">
        <v>127</v>
      </c>
      <c r="L6" s="312">
        <f>ROUNDDOWN(L7,-1)</f>
        <v>250000</v>
      </c>
      <c r="M6" s="313">
        <f>ROUNDDOWN(K4,-1)</f>
        <v>250000</v>
      </c>
      <c r="N6" s="300">
        <f>ROUNDDOWN(J4,-1)</f>
        <v>250000</v>
      </c>
      <c r="O6" s="301"/>
      <c r="P6" s="295"/>
      <c r="Q6" s="305"/>
      <c r="T6" s="263" t="s">
        <v>3</v>
      </c>
      <c r="W6" s="263">
        <f>WSP_TNkrU</f>
        <v>0</v>
      </c>
      <c r="X6" s="263" t="str">
        <f>WERSJA2!D4</f>
        <v>BEZ UBEZPIECZENIA</v>
      </c>
    </row>
    <row r="7" spans="1:24" ht="13.5" thickBot="1" x14ac:dyDescent="0.35">
      <c r="A7" s="341" t="s">
        <v>8</v>
      </c>
      <c r="B7" s="342" t="s">
        <v>4</v>
      </c>
      <c r="C7" s="342" t="s">
        <v>9</v>
      </c>
      <c r="D7" s="343" t="s">
        <v>10</v>
      </c>
      <c r="E7" s="344" t="s">
        <v>12</v>
      </c>
      <c r="F7" s="307"/>
      <c r="G7" s="307">
        <f>IF(OR(G2=G3,G2=H3,G2=K2,G2=F1,I1=I2),1,0)</f>
        <v>0</v>
      </c>
      <c r="H7" s="307"/>
      <c r="I7" s="309"/>
      <c r="J7" s="314"/>
      <c r="K7" s="315"/>
      <c r="L7" s="312">
        <f>K4*(K8/K3)</f>
        <v>250000</v>
      </c>
      <c r="M7" s="316"/>
      <c r="N7" s="317"/>
      <c r="O7" s="301"/>
      <c r="P7" s="295"/>
      <c r="Q7" s="305"/>
      <c r="T7" s="263" t="s">
        <v>166</v>
      </c>
      <c r="W7" s="263">
        <f>WSP_TN_Ujednor</f>
        <v>1</v>
      </c>
      <c r="X7" s="263">
        <f>RodzUbezp</f>
        <v>0</v>
      </c>
    </row>
    <row r="8" spans="1:24" ht="14" thickTop="1" thickBot="1" x14ac:dyDescent="0.35">
      <c r="A8" s="346" t="str">
        <f>WERSJA2!$D$4</f>
        <v>BEZ UBEZPIECZENIA</v>
      </c>
      <c r="B8" s="346" t="str">
        <f>WERSJA2!$D$6</f>
        <v>MASS</v>
      </c>
      <c r="C8" s="346" t="str">
        <f>WERSJA2!$D$9</f>
        <v>MOJE ING</v>
      </c>
      <c r="D8" s="346" t="str">
        <f>WERSJA2!$D$8</f>
        <v>NIE</v>
      </c>
      <c r="E8" s="340">
        <f>WERSJA2!$D$13</f>
        <v>48</v>
      </c>
      <c r="F8" s="318" t="str">
        <f>VLOOKUP($A$6,$F$10:$S$111,1,FALSE)</f>
        <v>BEZ UBEZPIECZENIAMASSMOJE INGNIE120</v>
      </c>
      <c r="G8" s="347">
        <f>VLOOKUP($A$6,$F$10:$S$111,2,FALSE)</f>
        <v>0</v>
      </c>
      <c r="H8" s="347">
        <f>VLOOKUP($A$6,$F$10:$S$111,3,FALSE)</f>
        <v>8.4900000000000003E-2</v>
      </c>
      <c r="I8" s="348">
        <f>VLOOKUP($A$6,$F$10:$S$111,4,FALSE)</f>
        <v>1000</v>
      </c>
      <c r="J8" s="348">
        <f>VLOOKUP($A$6,$F$10:$S$111,5,FALSE)</f>
        <v>0</v>
      </c>
      <c r="K8" s="319">
        <f>WERSJA2!D16</f>
        <v>31000</v>
      </c>
      <c r="L8" s="320"/>
      <c r="M8" s="320">
        <f>VLOOKUP(A6,F10:M60,8,FALSE)</f>
        <v>0</v>
      </c>
      <c r="N8" s="321">
        <f>VLOOKUP(A6,F10:N60,9,FALSE)</f>
        <v>0</v>
      </c>
      <c r="O8" s="322">
        <f>VLOOKUP(A6,F10:O60,10,FALSE)</f>
        <v>5000000</v>
      </c>
      <c r="P8" s="323" t="str">
        <f>CONCATENATE("Maksymalny limit zaangażowań niezabezpieczonych: ",O8/1000," 000 zł!")</f>
        <v>Maksymalny limit zaangażowań niezabezpieczonych: 5000 000 zł!</v>
      </c>
      <c r="Q8" s="305"/>
      <c r="R8" s="305" t="str">
        <f>CONCATENATE("UWAGA!!! Został przekroczony maksymalny limit zaangażowań niezabezpieczonych: ",O8/1000," 000 zł!")</f>
        <v>UWAGA!!! Został przekroczony maksymalny limit zaangażowań niezabezpieczonych: 5000 000 zł!</v>
      </c>
      <c r="S8" s="259" t="str">
        <f>VLOOKUP(A6,F10:S60,14,FALSE)</f>
        <v>ZMIENNE</v>
      </c>
      <c r="U8" s="263">
        <f>VLOOKUP(A6,F10:U60,16,FALSE)</f>
        <v>7.4999999999999997E-3</v>
      </c>
      <c r="V8" s="691">
        <f>VLOOKUP(A6,F10:W60,17,FALSE)</f>
        <v>48</v>
      </c>
      <c r="W8" s="691">
        <f>VLOOKUP(A6,F10:W60,18,FALSE)</f>
        <v>31000</v>
      </c>
    </row>
    <row r="9" spans="1:24" s="337" customFormat="1" ht="52.5" customHeight="1" thickBot="1" x14ac:dyDescent="0.3">
      <c r="A9" s="324" t="s">
        <v>8</v>
      </c>
      <c r="B9" s="325" t="s">
        <v>4</v>
      </c>
      <c r="C9" s="325" t="s">
        <v>9</v>
      </c>
      <c r="D9" s="326" t="s">
        <v>10</v>
      </c>
      <c r="E9" s="326" t="s">
        <v>12</v>
      </c>
      <c r="F9" s="326" t="s">
        <v>168</v>
      </c>
      <c r="G9" s="326" t="s">
        <v>6</v>
      </c>
      <c r="H9" s="327" t="s">
        <v>5</v>
      </c>
      <c r="I9" s="328" t="s">
        <v>117</v>
      </c>
      <c r="J9" s="329" t="s">
        <v>91</v>
      </c>
      <c r="K9" s="330" t="s">
        <v>126</v>
      </c>
      <c r="L9" s="331" t="s">
        <v>28</v>
      </c>
      <c r="M9" s="331" t="s">
        <v>23</v>
      </c>
      <c r="N9" s="332" t="s">
        <v>27</v>
      </c>
      <c r="O9" s="333" t="s">
        <v>29</v>
      </c>
      <c r="P9" s="334" t="s">
        <v>93</v>
      </c>
      <c r="Q9" s="332" t="s">
        <v>22</v>
      </c>
      <c r="R9" s="335" t="s">
        <v>30</v>
      </c>
      <c r="S9" s="336" t="s">
        <v>68</v>
      </c>
      <c r="T9" s="336" t="s">
        <v>165</v>
      </c>
      <c r="U9" s="361" t="s">
        <v>169</v>
      </c>
      <c r="V9" s="690" t="s">
        <v>1831</v>
      </c>
      <c r="W9" s="1240" t="s">
        <v>1832</v>
      </c>
      <c r="X9" s="690" t="s">
        <v>1834</v>
      </c>
    </row>
    <row r="10" spans="1:24" customFormat="1" ht="15" thickTop="1" thickBot="1" x14ac:dyDescent="0.35">
      <c r="A10" s="1467" t="str">
        <f>WERSJA2!$D$4</f>
        <v>BEZ UBEZPIECZENIA</v>
      </c>
      <c r="B10" s="1468" t="s">
        <v>2191</v>
      </c>
      <c r="C10" s="1469" t="str">
        <f>WERSJA2!$D$9</f>
        <v>MOJE ING</v>
      </c>
      <c r="D10" s="1470" t="str">
        <f>WERSJA2!$D$8</f>
        <v>NIE</v>
      </c>
      <c r="E10" s="406">
        <v>120</v>
      </c>
      <c r="F10" s="1471" t="str">
        <f t="shared" ref="F10:F13" si="0">CONCATENATE(A10,B10,C10,D10,E10)</f>
        <v>BEZ UBEZPIECZENIAMASSMOJE INGNIE120</v>
      </c>
      <c r="G10" s="1752">
        <f>OPROCENTOWANIE!$J$2</f>
        <v>0</v>
      </c>
      <c r="H10" s="1476">
        <f>OPROCENTOWANIE!$J$1</f>
        <v>8.4900000000000003E-2</v>
      </c>
      <c r="I10" s="1472">
        <v>1000</v>
      </c>
      <c r="J10" s="1473"/>
      <c r="K10" s="1296">
        <v>250000</v>
      </c>
      <c r="L10" s="1478">
        <v>250000</v>
      </c>
      <c r="M10" s="1471"/>
      <c r="N10" s="758">
        <f>IF(OR(KwNaReke&gt;160000,A10="BEZ UBEZPIECZENIA"),0,0.28%)</f>
        <v>0</v>
      </c>
      <c r="O10" s="1479">
        <v>5000000</v>
      </c>
      <c r="P10" s="1471"/>
      <c r="Q10" s="1471"/>
      <c r="R10" s="1471"/>
      <c r="S10" s="1295" t="str">
        <f t="shared" ref="S10:S13" si="1">IF($E$8&lt;=36,"STAŁE","ZMIENNE")</f>
        <v>ZMIENNE</v>
      </c>
      <c r="T10" s="1471"/>
      <c r="U10" s="1474">
        <f t="shared" ref="U10:U13" si="2">IF(S10="ZMIENNE",0.0075,0)</f>
        <v>7.4999999999999997E-3</v>
      </c>
      <c r="V10" s="1475">
        <f t="shared" ref="V10:V13" si="3">MIN($E$8,E10)</f>
        <v>48</v>
      </c>
      <c r="W10" s="1519">
        <f>IF(prowizja_kredytowana=FALSE,KwNaReke,KwNaReke+(KwNaReke*OPROCENTOWANIE!$J$2))</f>
        <v>31000</v>
      </c>
      <c r="X10" s="374"/>
    </row>
    <row r="11" spans="1:24" customFormat="1" ht="15" thickTop="1" thickBot="1" x14ac:dyDescent="0.35">
      <c r="A11" s="1467" t="str">
        <f>WERSJA2!$D$4</f>
        <v>BEZ UBEZPIECZENIA</v>
      </c>
      <c r="B11" s="1468" t="s">
        <v>2194</v>
      </c>
      <c r="C11" s="1469" t="str">
        <f>WERSJA2!$D$9</f>
        <v>MOJE ING</v>
      </c>
      <c r="D11" s="1470" t="str">
        <f>WERSJA2!$D$8</f>
        <v>NIE</v>
      </c>
      <c r="E11" s="406">
        <v>120</v>
      </c>
      <c r="F11" s="1471" t="str">
        <f t="shared" si="0"/>
        <v>BEZ UBEZPIECZENIAPremium PBMOJE INGNIE120</v>
      </c>
      <c r="G11" s="1752">
        <f>OPROCENTOWANIE!$J$2</f>
        <v>0</v>
      </c>
      <c r="H11" s="1476">
        <f>OPROCENTOWANIE!$J$1</f>
        <v>8.4900000000000003E-2</v>
      </c>
      <c r="I11" s="1472">
        <v>1000</v>
      </c>
      <c r="J11" s="1473"/>
      <c r="K11" s="1296">
        <v>250000</v>
      </c>
      <c r="L11" s="1478">
        <v>250000</v>
      </c>
      <c r="M11" s="1471"/>
      <c r="N11" s="758">
        <f>IF(OR(KwNaReke&gt;160000,A11="BEZ UBEZPIECZENIA"),0,0.28%)</f>
        <v>0</v>
      </c>
      <c r="O11" s="1479">
        <v>5000000</v>
      </c>
      <c r="P11" s="1471"/>
      <c r="Q11" s="1471"/>
      <c r="R11" s="1471"/>
      <c r="S11" s="1295" t="str">
        <f t="shared" si="1"/>
        <v>ZMIENNE</v>
      </c>
      <c r="T11" s="1471"/>
      <c r="U11" s="1474">
        <f t="shared" si="2"/>
        <v>7.4999999999999997E-3</v>
      </c>
      <c r="V11" s="1475">
        <f t="shared" si="3"/>
        <v>48</v>
      </c>
      <c r="W11" s="1519">
        <f>IF(prowizja_kredytowana=FALSE,KwNaReke,KwNaReke+(KwNaReke*OPROCENTOWANIE!$J$2))</f>
        <v>31000</v>
      </c>
      <c r="X11" s="374"/>
    </row>
    <row r="12" spans="1:24" customFormat="1" ht="15" thickTop="1" thickBot="1" x14ac:dyDescent="0.35">
      <c r="A12" s="1467" t="str">
        <f>WERSJA2!$D$4</f>
        <v>BEZ UBEZPIECZENIA</v>
      </c>
      <c r="B12" s="1468" t="s">
        <v>2192</v>
      </c>
      <c r="C12" s="1469" t="str">
        <f>WERSJA2!$D$9</f>
        <v>MOJE ING</v>
      </c>
      <c r="D12" s="1470" t="str">
        <f>WERSJA2!$D$8</f>
        <v>NIE</v>
      </c>
      <c r="E12" s="406">
        <v>120</v>
      </c>
      <c r="F12" s="1471" t="str">
        <f t="shared" si="0"/>
        <v>BEZ UBEZPIECZENIAPrivate BankingMOJE INGNIE120</v>
      </c>
      <c r="G12" s="1752">
        <f>OPROCENTOWANIE!$J$2</f>
        <v>0</v>
      </c>
      <c r="H12" s="1476">
        <f>OPROCENTOWANIE!$J$1</f>
        <v>8.4900000000000003E-2</v>
      </c>
      <c r="I12" s="1472">
        <v>1000</v>
      </c>
      <c r="J12" s="1473"/>
      <c r="K12" s="1296">
        <v>250000</v>
      </c>
      <c r="L12" s="1478">
        <v>250000</v>
      </c>
      <c r="M12" s="1471"/>
      <c r="N12" s="758">
        <f>IF(OR(KwNaReke&gt;160000,A12="BEZ UBEZPIECZENIA"),0,0.28%)</f>
        <v>0</v>
      </c>
      <c r="O12" s="1479">
        <v>5000000</v>
      </c>
      <c r="P12" s="1471"/>
      <c r="Q12" s="1471"/>
      <c r="R12" s="1471"/>
      <c r="S12" s="1295" t="str">
        <f t="shared" si="1"/>
        <v>ZMIENNE</v>
      </c>
      <c r="T12" s="1471"/>
      <c r="U12" s="1474">
        <f t="shared" si="2"/>
        <v>7.4999999999999997E-3</v>
      </c>
      <c r="V12" s="1475">
        <f t="shared" si="3"/>
        <v>48</v>
      </c>
      <c r="W12" s="1519">
        <f>IF(prowizja_kredytowana=FALSE,KwNaReke,KwNaReke+(KwNaReke*OPROCENTOWANIE!$J$2))</f>
        <v>31000</v>
      </c>
      <c r="X12" s="374"/>
    </row>
    <row r="13" spans="1:24" customFormat="1" ht="15" thickTop="1" thickBot="1" x14ac:dyDescent="0.35">
      <c r="A13" s="1467" t="str">
        <f>WERSJA2!$D$4</f>
        <v>BEZ UBEZPIECZENIA</v>
      </c>
      <c r="B13" s="1468" t="s">
        <v>2193</v>
      </c>
      <c r="C13" s="1469" t="str">
        <f>WERSJA2!$D$9</f>
        <v>MOJE ING</v>
      </c>
      <c r="D13" s="1470" t="str">
        <f>WERSJA2!$D$8</f>
        <v>NIE</v>
      </c>
      <c r="E13" s="406">
        <v>120</v>
      </c>
      <c r="F13" s="1471" t="str">
        <f t="shared" si="0"/>
        <v>BEZ UBEZPIECZENIAWealth ManagementMOJE INGNIE120</v>
      </c>
      <c r="G13" s="1752">
        <f>OPROCENTOWANIE!$J$2</f>
        <v>0</v>
      </c>
      <c r="H13" s="1476">
        <f>OPROCENTOWANIE!$J$1</f>
        <v>8.4900000000000003E-2</v>
      </c>
      <c r="I13" s="1472">
        <v>1000</v>
      </c>
      <c r="J13" s="1473"/>
      <c r="K13" s="1296">
        <f>(L13*(1+$E$8*WSP_TN_Ujednor*N13*WSP_TNkrU))*(1+G13*WSP_TNkrP)</f>
        <v>250000</v>
      </c>
      <c r="L13" s="1478">
        <v>250000</v>
      </c>
      <c r="M13" s="1471"/>
      <c r="N13" s="758">
        <f>IF(OR(KwNaReke&gt;160000,A13="BEZ UBEZPIECZENIA"),0,0.28%)</f>
        <v>0</v>
      </c>
      <c r="O13" s="1479">
        <v>5000000</v>
      </c>
      <c r="P13" s="1471"/>
      <c r="Q13" s="1471"/>
      <c r="R13" s="1471"/>
      <c r="S13" s="1295" t="str">
        <f t="shared" si="1"/>
        <v>ZMIENNE</v>
      </c>
      <c r="T13" s="1471"/>
      <c r="U13" s="1474">
        <f t="shared" si="2"/>
        <v>7.4999999999999997E-3</v>
      </c>
      <c r="V13" s="1475">
        <f t="shared" si="3"/>
        <v>48</v>
      </c>
      <c r="W13" s="1519">
        <f>IF(prowizja_kredytowana=FALSE,KwNaReke,KwNaReke+(KwNaReke*OPROCENTOWANIE!$J$2))</f>
        <v>31000</v>
      </c>
      <c r="X13" s="374"/>
    </row>
    <row r="14" spans="1:24" customFormat="1" ht="12.75" customHeight="1" thickTop="1" x14ac:dyDescent="0.25"/>
    <row r="15" spans="1:24" customFormat="1" ht="12.75" customHeight="1" x14ac:dyDescent="0.25"/>
    <row r="16" spans="1:24" customFormat="1" ht="12.75" customHeight="1" x14ac:dyDescent="0.25"/>
    <row r="17" customFormat="1" ht="12.75" customHeight="1" x14ac:dyDescent="0.25"/>
    <row r="18" customFormat="1" ht="12.75" customHeight="1" x14ac:dyDescent="0.25"/>
    <row r="19" customFormat="1" ht="12.75" customHeight="1" x14ac:dyDescent="0.25"/>
    <row r="20" customFormat="1" ht="12.75" customHeight="1" x14ac:dyDescent="0.25"/>
    <row r="21" customFormat="1" ht="12.75" customHeight="1" x14ac:dyDescent="0.25"/>
    <row r="22" customFormat="1" ht="12.75" customHeight="1" x14ac:dyDescent="0.25"/>
    <row r="23" customFormat="1" ht="12.75" customHeight="1" x14ac:dyDescent="0.25"/>
    <row r="24" customFormat="1" ht="12.75" customHeight="1" x14ac:dyDescent="0.25"/>
    <row r="25" customFormat="1" ht="12.75" customHeight="1" x14ac:dyDescent="0.25"/>
    <row r="26" customFormat="1" ht="12.75" customHeight="1" x14ac:dyDescent="0.25"/>
    <row r="27" customFormat="1" ht="12.75" customHeight="1" x14ac:dyDescent="0.25"/>
    <row r="28" customFormat="1" ht="12.75" customHeight="1" x14ac:dyDescent="0.25"/>
    <row r="29" customFormat="1" ht="12.75" customHeight="1" x14ac:dyDescent="0.25"/>
    <row r="30" customFormat="1" ht="12.75" customHeight="1" x14ac:dyDescent="0.25"/>
    <row r="31" customFormat="1" ht="12.75" customHeight="1" x14ac:dyDescent="0.25"/>
    <row r="32" customFormat="1" ht="12.75" customHeight="1" x14ac:dyDescent="0.25"/>
    <row r="33" customFormat="1" ht="12.75" customHeight="1" x14ac:dyDescent="0.25"/>
    <row r="34" customFormat="1" ht="12.75" customHeight="1" x14ac:dyDescent="0.25"/>
    <row r="35" customFormat="1" ht="12.75" customHeight="1" x14ac:dyDescent="0.25"/>
    <row r="36" customFormat="1" ht="12.75" customHeight="1" x14ac:dyDescent="0.25"/>
    <row r="37" customFormat="1" ht="12.75" customHeight="1" x14ac:dyDescent="0.25"/>
    <row r="38" customFormat="1" ht="12.75" customHeight="1" x14ac:dyDescent="0.25"/>
    <row r="39" customFormat="1" ht="12.75" customHeight="1" x14ac:dyDescent="0.25"/>
    <row r="40" customFormat="1" ht="12.75" customHeight="1" x14ac:dyDescent="0.25"/>
    <row r="41" customFormat="1" ht="12.75" customHeight="1" x14ac:dyDescent="0.25"/>
    <row r="42" customFormat="1" ht="12.75" customHeight="1" x14ac:dyDescent="0.25"/>
    <row r="43" customFormat="1" ht="12.75" customHeight="1" x14ac:dyDescent="0.25"/>
    <row r="44" customFormat="1" ht="12.75" customHeight="1" x14ac:dyDescent="0.25"/>
    <row r="45" customFormat="1" ht="12.75" customHeight="1" x14ac:dyDescent="0.25"/>
    <row r="46" customFormat="1" ht="12.75" customHeight="1" x14ac:dyDescent="0.25"/>
    <row r="47" customFormat="1" ht="12.75" customHeight="1" x14ac:dyDescent="0.25"/>
    <row r="48" customFormat="1" ht="12.75" customHeight="1" x14ac:dyDescent="0.25"/>
    <row r="49" customFormat="1" ht="12.75" customHeight="1" x14ac:dyDescent="0.25"/>
    <row r="50" customFormat="1" ht="12.75" customHeight="1" x14ac:dyDescent="0.25"/>
    <row r="51" customFormat="1" ht="12.75" customHeight="1" x14ac:dyDescent="0.25"/>
    <row r="52" customFormat="1" ht="12.75" customHeight="1" x14ac:dyDescent="0.25"/>
    <row r="53" customFormat="1" ht="12.75" customHeight="1" x14ac:dyDescent="0.25"/>
    <row r="54" customFormat="1" ht="12.75" customHeight="1" x14ac:dyDescent="0.25"/>
    <row r="55" customFormat="1" ht="12.75" customHeight="1" x14ac:dyDescent="0.25"/>
    <row r="56" customFormat="1" ht="12.75" customHeight="1" x14ac:dyDescent="0.25"/>
    <row r="57" customFormat="1" ht="12.75" customHeight="1" x14ac:dyDescent="0.25"/>
    <row r="58" customFormat="1" ht="12.75" customHeight="1" x14ac:dyDescent="0.25"/>
    <row r="59" customFormat="1" ht="12.75" customHeight="1" x14ac:dyDescent="0.25"/>
    <row r="60" customFormat="1" ht="12.75" customHeight="1" x14ac:dyDescent="0.25"/>
    <row r="61" customFormat="1" ht="12.75" customHeight="1" x14ac:dyDescent="0.25"/>
    <row r="62" customFormat="1" ht="12.5" x14ac:dyDescent="0.25"/>
    <row r="63" customFormat="1" ht="12.5" x14ac:dyDescent="0.25"/>
    <row r="64" customFormat="1" ht="12.5" x14ac:dyDescent="0.25"/>
    <row r="65" spans="1:10" customFormat="1" ht="12.5" x14ac:dyDescent="0.25"/>
    <row r="66" spans="1:10" customFormat="1" ht="12.5" x14ac:dyDescent="0.25"/>
    <row r="67" spans="1:10" customFormat="1" ht="12.5" x14ac:dyDescent="0.25"/>
    <row r="68" spans="1:10" customFormat="1" ht="12.5" x14ac:dyDescent="0.25"/>
    <row r="69" spans="1:10" x14ac:dyDescent="0.3">
      <c r="F69" s="1493"/>
      <c r="G69" s="1494"/>
      <c r="H69" s="1494"/>
      <c r="I69" s="1494"/>
      <c r="J69" s="1494"/>
    </row>
    <row r="70" spans="1:10" x14ac:dyDescent="0.3">
      <c r="F70" s="1493"/>
      <c r="G70" s="1494"/>
      <c r="H70" s="1494"/>
      <c r="I70" s="1494"/>
      <c r="J70" s="1494"/>
    </row>
    <row r="71" spans="1:10" x14ac:dyDescent="0.3">
      <c r="F71" s="1493"/>
      <c r="G71" s="1494"/>
      <c r="H71" s="1494"/>
      <c r="I71" s="1494"/>
      <c r="J71" s="1494"/>
    </row>
    <row r="73" spans="1:10" x14ac:dyDescent="0.3">
      <c r="A73" s="719"/>
    </row>
  </sheetData>
  <phoneticPr fontId="6" type="noConversion"/>
  <conditionalFormatting sqref="V9">
    <cfRule type="expression" dxfId="311" priority="802" stopIfTrue="1">
      <formula>ROW(V9)=_DOD1</formula>
    </cfRule>
  </conditionalFormatting>
  <conditionalFormatting sqref="W9">
    <cfRule type="expression" dxfId="310" priority="801" stopIfTrue="1">
      <formula>ROW(W9)=_DOD1</formula>
    </cfRule>
  </conditionalFormatting>
  <conditionalFormatting sqref="X9">
    <cfRule type="expression" dxfId="309" priority="800" stopIfTrue="1">
      <formula>ROW(X9)=_DOD1</formula>
    </cfRule>
  </conditionalFormatting>
  <conditionalFormatting sqref="A9:X9">
    <cfRule type="expression" dxfId="308" priority="744" stopIfTrue="1">
      <formula>ROW(A9)=DODZ</formula>
    </cfRule>
  </conditionalFormatting>
  <conditionalFormatting sqref="N10:N13">
    <cfRule type="expression" dxfId="307" priority="209" stopIfTrue="1">
      <formula>ROW(N10)=_DOD1</formula>
    </cfRule>
  </conditionalFormatting>
  <conditionalFormatting sqref="A10:A13">
    <cfRule type="expression" dxfId="306" priority="207" stopIfTrue="1">
      <formula>ROW(A10)=_DOD1</formula>
    </cfRule>
  </conditionalFormatting>
  <conditionalFormatting sqref="S10 S13">
    <cfRule type="expression" dxfId="305" priority="206" stopIfTrue="1">
      <formula>ROW(S10)=_DOD1</formula>
    </cfRule>
  </conditionalFormatting>
  <conditionalFormatting sqref="K10">
    <cfRule type="expression" dxfId="304" priority="205" stopIfTrue="1">
      <formula>ROW(K10)=_DOD1</formula>
    </cfRule>
  </conditionalFormatting>
  <conditionalFormatting sqref="K10">
    <cfRule type="expression" dxfId="303" priority="204" stopIfTrue="1">
      <formula>ROW(K10)=_DOD1</formula>
    </cfRule>
  </conditionalFormatting>
  <conditionalFormatting sqref="K10">
    <cfRule type="expression" dxfId="302" priority="203" stopIfTrue="1">
      <formula>ROW(K10)=_DOD1</formula>
    </cfRule>
  </conditionalFormatting>
  <conditionalFormatting sqref="K10">
    <cfRule type="expression" dxfId="301" priority="202" stopIfTrue="1">
      <formula>ROW(K10)=_DOD1</formula>
    </cfRule>
  </conditionalFormatting>
  <conditionalFormatting sqref="K10">
    <cfRule type="expression" dxfId="300" priority="201" stopIfTrue="1">
      <formula>ROW(K10)=_DOD1</formula>
    </cfRule>
  </conditionalFormatting>
  <conditionalFormatting sqref="K10">
    <cfRule type="expression" dxfId="299" priority="200" stopIfTrue="1">
      <formula>ROW(K10)=_DOD1</formula>
    </cfRule>
  </conditionalFormatting>
  <conditionalFormatting sqref="K10">
    <cfRule type="expression" dxfId="298" priority="199" stopIfTrue="1">
      <formula>ROW(K10)=_DOD1</formula>
    </cfRule>
  </conditionalFormatting>
  <conditionalFormatting sqref="K10">
    <cfRule type="expression" dxfId="297" priority="198" stopIfTrue="1">
      <formula>ROW(K10)=_DOD1</formula>
    </cfRule>
  </conditionalFormatting>
  <conditionalFormatting sqref="K10">
    <cfRule type="expression" dxfId="296" priority="197" stopIfTrue="1">
      <formula>ROW(K10)=_DOD1</formula>
    </cfRule>
  </conditionalFormatting>
  <conditionalFormatting sqref="K10">
    <cfRule type="expression" dxfId="295" priority="196" stopIfTrue="1">
      <formula>ROW(K10)=_DOD1</formula>
    </cfRule>
  </conditionalFormatting>
  <conditionalFormatting sqref="K10">
    <cfRule type="expression" dxfId="294" priority="195" stopIfTrue="1">
      <formula>ROW(K10)=_DOD1</formula>
    </cfRule>
  </conditionalFormatting>
  <conditionalFormatting sqref="K10">
    <cfRule type="expression" dxfId="293" priority="194" stopIfTrue="1">
      <formula>ROW(K10)=_DOD1</formula>
    </cfRule>
  </conditionalFormatting>
  <conditionalFormatting sqref="K10">
    <cfRule type="expression" dxfId="292" priority="193" stopIfTrue="1">
      <formula>ROW(K10)=_DOD1</formula>
    </cfRule>
  </conditionalFormatting>
  <conditionalFormatting sqref="K10">
    <cfRule type="expression" dxfId="291" priority="192" stopIfTrue="1">
      <formula>ROW(K10)=_DOD1</formula>
    </cfRule>
  </conditionalFormatting>
  <conditionalFormatting sqref="K10">
    <cfRule type="expression" dxfId="290" priority="191" stopIfTrue="1">
      <formula>ROW(K10)=_DOD1</formula>
    </cfRule>
  </conditionalFormatting>
  <conditionalFormatting sqref="K10">
    <cfRule type="expression" dxfId="289" priority="190" stopIfTrue="1">
      <formula>ROW(K10)=_DOD1</formula>
    </cfRule>
  </conditionalFormatting>
  <conditionalFormatting sqref="K10">
    <cfRule type="expression" dxfId="288" priority="189" stopIfTrue="1">
      <formula>ROW(K10)=_DOD1</formula>
    </cfRule>
  </conditionalFormatting>
  <conditionalFormatting sqref="K10">
    <cfRule type="expression" dxfId="287" priority="188" stopIfTrue="1">
      <formula>ROW(K10)=_DOD1</formula>
    </cfRule>
  </conditionalFormatting>
  <conditionalFormatting sqref="K10">
    <cfRule type="expression" dxfId="286" priority="187" stopIfTrue="1">
      <formula>ROW(K10)=_DOD1</formula>
    </cfRule>
  </conditionalFormatting>
  <conditionalFormatting sqref="K10">
    <cfRule type="expression" dxfId="285" priority="186" stopIfTrue="1">
      <formula>ROW(K10)=_DOD1</formula>
    </cfRule>
  </conditionalFormatting>
  <conditionalFormatting sqref="K10">
    <cfRule type="expression" dxfId="284" priority="185" stopIfTrue="1">
      <formula>ROW(K10)=_DOD1</formula>
    </cfRule>
  </conditionalFormatting>
  <conditionalFormatting sqref="K10">
    <cfRule type="expression" dxfId="283" priority="184" stopIfTrue="1">
      <formula>ROW(K10)=_DOD1</formula>
    </cfRule>
  </conditionalFormatting>
  <conditionalFormatting sqref="K10">
    <cfRule type="expression" dxfId="282" priority="183" stopIfTrue="1">
      <formula>ROW(K10)=_DOD1</formula>
    </cfRule>
  </conditionalFormatting>
  <conditionalFormatting sqref="K10">
    <cfRule type="expression" dxfId="281" priority="182" stopIfTrue="1">
      <formula>ROW(K10)=_DOD1</formula>
    </cfRule>
  </conditionalFormatting>
  <conditionalFormatting sqref="K10">
    <cfRule type="expression" dxfId="280" priority="181" stopIfTrue="1">
      <formula>ROW(K10)=_DOD1</formula>
    </cfRule>
  </conditionalFormatting>
  <conditionalFormatting sqref="K10">
    <cfRule type="expression" dxfId="279" priority="180" stopIfTrue="1">
      <formula>ROW(K10)=_DOD1</formula>
    </cfRule>
  </conditionalFormatting>
  <conditionalFormatting sqref="K10">
    <cfRule type="expression" dxfId="278" priority="179" stopIfTrue="1">
      <formula>ROW(K10)=_DOD1</formula>
    </cfRule>
  </conditionalFormatting>
  <conditionalFormatting sqref="K10">
    <cfRule type="expression" dxfId="277" priority="178" stopIfTrue="1">
      <formula>ROW(K10)=_DOD1</formula>
    </cfRule>
  </conditionalFormatting>
  <conditionalFormatting sqref="K10">
    <cfRule type="expression" dxfId="276" priority="177" stopIfTrue="1">
      <formula>ROW(K10)=_DOD1</formula>
    </cfRule>
  </conditionalFormatting>
  <conditionalFormatting sqref="K10">
    <cfRule type="expression" dxfId="275" priority="176" stopIfTrue="1">
      <formula>ROW(K10)=_DOD1</formula>
    </cfRule>
  </conditionalFormatting>
  <conditionalFormatting sqref="K10">
    <cfRule type="expression" dxfId="274" priority="175" stopIfTrue="1">
      <formula>ROW(K10)=_DOD1</formula>
    </cfRule>
  </conditionalFormatting>
  <conditionalFormatting sqref="K10">
    <cfRule type="expression" dxfId="273" priority="174" stopIfTrue="1">
      <formula>ROW(K10)=_DOD1</formula>
    </cfRule>
  </conditionalFormatting>
  <conditionalFormatting sqref="K10">
    <cfRule type="expression" dxfId="272" priority="173" stopIfTrue="1">
      <formula>ROW(K10)=_DOD1</formula>
    </cfRule>
  </conditionalFormatting>
  <conditionalFormatting sqref="K10">
    <cfRule type="expression" dxfId="271" priority="172" stopIfTrue="1">
      <formula>ROW(K10)=_DOD1</formula>
    </cfRule>
  </conditionalFormatting>
  <conditionalFormatting sqref="K10">
    <cfRule type="expression" dxfId="270" priority="171" stopIfTrue="1">
      <formula>ROW(K10)=_DOD1</formula>
    </cfRule>
  </conditionalFormatting>
  <conditionalFormatting sqref="K10">
    <cfRule type="expression" dxfId="269" priority="170" stopIfTrue="1">
      <formula>ROW(K10)=_DOD1</formula>
    </cfRule>
  </conditionalFormatting>
  <conditionalFormatting sqref="K13">
    <cfRule type="expression" dxfId="268" priority="169" stopIfTrue="1">
      <formula>ROW(K13)=_DOD1</formula>
    </cfRule>
  </conditionalFormatting>
  <conditionalFormatting sqref="K13">
    <cfRule type="expression" dxfId="267" priority="168" stopIfTrue="1">
      <formula>ROW(K13)=_DOD1</formula>
    </cfRule>
  </conditionalFormatting>
  <conditionalFormatting sqref="K13">
    <cfRule type="expression" dxfId="266" priority="167" stopIfTrue="1">
      <formula>ROW(K13)=_DOD1</formula>
    </cfRule>
  </conditionalFormatting>
  <conditionalFormatting sqref="K13">
    <cfRule type="expression" dxfId="265" priority="166" stopIfTrue="1">
      <formula>ROW(K13)=_DOD1</formula>
    </cfRule>
  </conditionalFormatting>
  <conditionalFormatting sqref="K13">
    <cfRule type="expression" dxfId="264" priority="165" stopIfTrue="1">
      <formula>ROW(K13)=_DOD1</formula>
    </cfRule>
  </conditionalFormatting>
  <conditionalFormatting sqref="K13">
    <cfRule type="expression" dxfId="263" priority="164" stopIfTrue="1">
      <formula>ROW(K13)=_DOD1</formula>
    </cfRule>
  </conditionalFormatting>
  <conditionalFormatting sqref="K13">
    <cfRule type="expression" dxfId="262" priority="163" stopIfTrue="1">
      <formula>ROW(K13)=_DOD1</formula>
    </cfRule>
  </conditionalFormatting>
  <conditionalFormatting sqref="K13">
    <cfRule type="expression" dxfId="261" priority="162" stopIfTrue="1">
      <formula>ROW(K13)=_DOD1</formula>
    </cfRule>
  </conditionalFormatting>
  <conditionalFormatting sqref="K13">
    <cfRule type="expression" dxfId="260" priority="161" stopIfTrue="1">
      <formula>ROW(K13)=_DOD1</formula>
    </cfRule>
  </conditionalFormatting>
  <conditionalFormatting sqref="K13">
    <cfRule type="expression" dxfId="259" priority="160" stopIfTrue="1">
      <formula>ROW(K13)=_DOD1</formula>
    </cfRule>
  </conditionalFormatting>
  <conditionalFormatting sqref="K13">
    <cfRule type="expression" dxfId="258" priority="159" stopIfTrue="1">
      <formula>ROW(K13)=_DOD1</formula>
    </cfRule>
  </conditionalFormatting>
  <conditionalFormatting sqref="K13">
    <cfRule type="expression" dxfId="257" priority="158" stopIfTrue="1">
      <formula>ROW(K13)=_DOD1</formula>
    </cfRule>
  </conditionalFormatting>
  <conditionalFormatting sqref="K13">
    <cfRule type="expression" dxfId="256" priority="157" stopIfTrue="1">
      <formula>ROW(K13)=_DOD1</formula>
    </cfRule>
  </conditionalFormatting>
  <conditionalFormatting sqref="K13">
    <cfRule type="expression" dxfId="255" priority="156" stopIfTrue="1">
      <formula>ROW(K13)=_DOD1</formula>
    </cfRule>
  </conditionalFormatting>
  <conditionalFormatting sqref="K13">
    <cfRule type="expression" dxfId="254" priority="155" stopIfTrue="1">
      <formula>ROW(K13)=_DOD1</formula>
    </cfRule>
  </conditionalFormatting>
  <conditionalFormatting sqref="K13">
    <cfRule type="expression" dxfId="253" priority="154" stopIfTrue="1">
      <formula>ROW(K13)=_DOD1</formula>
    </cfRule>
  </conditionalFormatting>
  <conditionalFormatting sqref="K13">
    <cfRule type="expression" dxfId="252" priority="153" stopIfTrue="1">
      <formula>ROW(K13)=_DOD1</formula>
    </cfRule>
  </conditionalFormatting>
  <conditionalFormatting sqref="K13">
    <cfRule type="expression" dxfId="251" priority="152" stopIfTrue="1">
      <formula>ROW(K13)=_DOD1</formula>
    </cfRule>
  </conditionalFormatting>
  <conditionalFormatting sqref="K13">
    <cfRule type="expression" dxfId="250" priority="151" stopIfTrue="1">
      <formula>ROW(K13)=_DOD1</formula>
    </cfRule>
  </conditionalFormatting>
  <conditionalFormatting sqref="K13">
    <cfRule type="expression" dxfId="249" priority="150" stopIfTrue="1">
      <formula>ROW(K13)=_DOD1</formula>
    </cfRule>
  </conditionalFormatting>
  <conditionalFormatting sqref="K13">
    <cfRule type="expression" dxfId="248" priority="149" stopIfTrue="1">
      <formula>ROW(K13)=_DOD1</formula>
    </cfRule>
  </conditionalFormatting>
  <conditionalFormatting sqref="K13">
    <cfRule type="expression" dxfId="247" priority="148" stopIfTrue="1">
      <formula>ROW(K13)=_DOD1</formula>
    </cfRule>
  </conditionalFormatting>
  <conditionalFormatting sqref="K13">
    <cfRule type="expression" dxfId="246" priority="147" stopIfTrue="1">
      <formula>ROW(K13)=_DOD1</formula>
    </cfRule>
  </conditionalFormatting>
  <conditionalFormatting sqref="K13">
    <cfRule type="expression" dxfId="245" priority="146" stopIfTrue="1">
      <formula>ROW(K13)=_DOD1</formula>
    </cfRule>
  </conditionalFormatting>
  <conditionalFormatting sqref="K13">
    <cfRule type="expression" dxfId="244" priority="145" stopIfTrue="1">
      <formula>ROW(K13)=_DOD1</formula>
    </cfRule>
  </conditionalFormatting>
  <conditionalFormatting sqref="K13">
    <cfRule type="expression" dxfId="243" priority="144" stopIfTrue="1">
      <formula>ROW(K13)=_DOD1</formula>
    </cfRule>
  </conditionalFormatting>
  <conditionalFormatting sqref="K13">
    <cfRule type="expression" dxfId="242" priority="143" stopIfTrue="1">
      <formula>ROW(K13)=_DOD1</formula>
    </cfRule>
  </conditionalFormatting>
  <conditionalFormatting sqref="K13">
    <cfRule type="expression" dxfId="241" priority="142" stopIfTrue="1">
      <formula>ROW(K13)=_DOD1</formula>
    </cfRule>
  </conditionalFormatting>
  <conditionalFormatting sqref="K13">
    <cfRule type="expression" dxfId="240" priority="141" stopIfTrue="1">
      <formula>ROW(K13)=_DOD1</formula>
    </cfRule>
  </conditionalFormatting>
  <conditionalFormatting sqref="K13">
    <cfRule type="expression" dxfId="239" priority="139" stopIfTrue="1">
      <formula>ROW(K13)=_DOD1</formula>
    </cfRule>
  </conditionalFormatting>
  <conditionalFormatting sqref="K13">
    <cfRule type="expression" dxfId="238" priority="137" stopIfTrue="1">
      <formula>ROW(K13)=_DOD1</formula>
    </cfRule>
  </conditionalFormatting>
  <conditionalFormatting sqref="K13">
    <cfRule type="expression" dxfId="237" priority="136" stopIfTrue="1">
      <formula>ROW(K13)=_DOD1</formula>
    </cfRule>
  </conditionalFormatting>
  <conditionalFormatting sqref="K13">
    <cfRule type="expression" dxfId="236" priority="135" stopIfTrue="1">
      <formula>ROW(K13)=_DOD1</formula>
    </cfRule>
  </conditionalFormatting>
  <conditionalFormatting sqref="K13">
    <cfRule type="expression" dxfId="235" priority="134" stopIfTrue="1">
      <formula>ROW(K13)=_DOD1</formula>
    </cfRule>
  </conditionalFormatting>
  <conditionalFormatting sqref="S11">
    <cfRule type="expression" dxfId="234" priority="131" stopIfTrue="1">
      <formula>ROW(S11)=_DOD1</formula>
    </cfRule>
  </conditionalFormatting>
  <conditionalFormatting sqref="E12">
    <cfRule type="expression" dxfId="233" priority="88" stopIfTrue="1">
      <formula>ROW(E12)=DODZ</formula>
    </cfRule>
  </conditionalFormatting>
  <conditionalFormatting sqref="O12">
    <cfRule type="expression" dxfId="232" priority="85" stopIfTrue="1">
      <formula>ROW(O12)=DODZ</formula>
    </cfRule>
  </conditionalFormatting>
  <conditionalFormatting sqref="S12">
    <cfRule type="expression" dxfId="231" priority="84" stopIfTrue="1">
      <formula>ROW(S12)=DODZ</formula>
    </cfRule>
  </conditionalFormatting>
  <conditionalFormatting sqref="U12">
    <cfRule type="expression" dxfId="230" priority="82" stopIfTrue="1">
      <formula>ROW(U12)=DODZ</formula>
    </cfRule>
  </conditionalFormatting>
  <conditionalFormatting sqref="V12">
    <cfRule type="expression" dxfId="229" priority="81" stopIfTrue="1">
      <formula>ROW(V12)=DODZ</formula>
    </cfRule>
  </conditionalFormatting>
  <conditionalFormatting sqref="B13 E13:F13 O10:X10 O13:V13 N10:N13 I13:M13 A11:A13 C11:D13 A10:M10 X13 W11:W13 G11:H13">
    <cfRule type="expression" dxfId="228" priority="208" stopIfTrue="1">
      <formula>ROW(A10)=DODZ</formula>
    </cfRule>
  </conditionalFormatting>
  <conditionalFormatting sqref="K13">
    <cfRule type="expression" dxfId="227" priority="140" stopIfTrue="1">
      <formula>ROW(K13)=_DOD1</formula>
    </cfRule>
  </conditionalFormatting>
  <conditionalFormatting sqref="K13">
    <cfRule type="expression" dxfId="226" priority="138" stopIfTrue="1">
      <formula>ROW(K13)=_DOD1</formula>
    </cfRule>
  </conditionalFormatting>
  <conditionalFormatting sqref="B11 J12 P12:R12 T12 O11:V11 E11:F11 I11:J11 X11:X12 M11:M12">
    <cfRule type="expression" dxfId="225" priority="133" stopIfTrue="1">
      <formula>ROW(B11)=DODZ</formula>
    </cfRule>
  </conditionalFormatting>
  <conditionalFormatting sqref="B12">
    <cfRule type="expression" dxfId="224" priority="91" stopIfTrue="1">
      <formula>ROW(B12)=DODZ</formula>
    </cfRule>
  </conditionalFormatting>
  <conditionalFormatting sqref="I12">
    <cfRule type="expression" dxfId="223" priority="87" stopIfTrue="1">
      <formula>ROW(I12)=DODZ</formula>
    </cfRule>
  </conditionalFormatting>
  <conditionalFormatting sqref="S12">
    <cfRule type="expression" dxfId="222" priority="83" stopIfTrue="1">
      <formula>ROW(S12)=_DOD1</formula>
    </cfRule>
  </conditionalFormatting>
  <conditionalFormatting sqref="F12">
    <cfRule type="expression" dxfId="221" priority="79" stopIfTrue="1">
      <formula>ROW(F12)=DODZ</formula>
    </cfRule>
  </conditionalFormatting>
  <conditionalFormatting sqref="K11">
    <cfRule type="expression" dxfId="220" priority="75" stopIfTrue="1">
      <formula>ROW(K11)=_DOD1</formula>
    </cfRule>
  </conditionalFormatting>
  <conditionalFormatting sqref="K11">
    <cfRule type="expression" dxfId="219" priority="74" stopIfTrue="1">
      <formula>ROW(K11)=_DOD1</formula>
    </cfRule>
  </conditionalFormatting>
  <conditionalFormatting sqref="K11">
    <cfRule type="expression" dxfId="218" priority="73" stopIfTrue="1">
      <formula>ROW(K11)=_DOD1</formula>
    </cfRule>
  </conditionalFormatting>
  <conditionalFormatting sqref="K11">
    <cfRule type="expression" dxfId="217" priority="72" stopIfTrue="1">
      <formula>ROW(K11)=_DOD1</formula>
    </cfRule>
  </conditionalFormatting>
  <conditionalFormatting sqref="K11">
    <cfRule type="expression" dxfId="216" priority="71" stopIfTrue="1">
      <formula>ROW(K11)=_DOD1</formula>
    </cfRule>
  </conditionalFormatting>
  <conditionalFormatting sqref="K11">
    <cfRule type="expression" dxfId="215" priority="70" stopIfTrue="1">
      <formula>ROW(K11)=_DOD1</formula>
    </cfRule>
  </conditionalFormatting>
  <conditionalFormatting sqref="K11">
    <cfRule type="expression" dxfId="214" priority="69" stopIfTrue="1">
      <formula>ROW(K11)=_DOD1</formula>
    </cfRule>
  </conditionalFormatting>
  <conditionalFormatting sqref="K11">
    <cfRule type="expression" dxfId="213" priority="68" stopIfTrue="1">
      <formula>ROW(K11)=_DOD1</formula>
    </cfRule>
  </conditionalFormatting>
  <conditionalFormatting sqref="K11">
    <cfRule type="expression" dxfId="212" priority="67" stopIfTrue="1">
      <formula>ROW(K11)=_DOD1</formula>
    </cfRule>
  </conditionalFormatting>
  <conditionalFormatting sqref="K11">
    <cfRule type="expression" dxfId="211" priority="66" stopIfTrue="1">
      <formula>ROW(K11)=_DOD1</formula>
    </cfRule>
  </conditionalFormatting>
  <conditionalFormatting sqref="K11">
    <cfRule type="expression" dxfId="210" priority="65" stopIfTrue="1">
      <formula>ROW(K11)=_DOD1</formula>
    </cfRule>
  </conditionalFormatting>
  <conditionalFormatting sqref="K11">
    <cfRule type="expression" dxfId="209" priority="64" stopIfTrue="1">
      <formula>ROW(K11)=_DOD1</formula>
    </cfRule>
  </conditionalFormatting>
  <conditionalFormatting sqref="K11">
    <cfRule type="expression" dxfId="208" priority="63" stopIfTrue="1">
      <formula>ROW(K11)=_DOD1</formula>
    </cfRule>
  </conditionalFormatting>
  <conditionalFormatting sqref="K11">
    <cfRule type="expression" dxfId="207" priority="62" stopIfTrue="1">
      <formula>ROW(K11)=_DOD1</formula>
    </cfRule>
  </conditionalFormatting>
  <conditionalFormatting sqref="K11">
    <cfRule type="expression" dxfId="206" priority="61" stopIfTrue="1">
      <formula>ROW(K11)=_DOD1</formula>
    </cfRule>
  </conditionalFormatting>
  <conditionalFormatting sqref="K11">
    <cfRule type="expression" dxfId="205" priority="60" stopIfTrue="1">
      <formula>ROW(K11)=_DOD1</formula>
    </cfRule>
  </conditionalFormatting>
  <conditionalFormatting sqref="K11">
    <cfRule type="expression" dxfId="204" priority="59" stopIfTrue="1">
      <formula>ROW(K11)=_DOD1</formula>
    </cfRule>
  </conditionalFormatting>
  <conditionalFormatting sqref="K11">
    <cfRule type="expression" dxfId="203" priority="58" stopIfTrue="1">
      <formula>ROW(K11)=_DOD1</formula>
    </cfRule>
  </conditionalFormatting>
  <conditionalFormatting sqref="K11">
    <cfRule type="expression" dxfId="202" priority="57" stopIfTrue="1">
      <formula>ROW(K11)=_DOD1</formula>
    </cfRule>
  </conditionalFormatting>
  <conditionalFormatting sqref="K11">
    <cfRule type="expression" dxfId="201" priority="56" stopIfTrue="1">
      <formula>ROW(K11)=_DOD1</formula>
    </cfRule>
  </conditionalFormatting>
  <conditionalFormatting sqref="K11">
    <cfRule type="expression" dxfId="200" priority="55" stopIfTrue="1">
      <formula>ROW(K11)=_DOD1</formula>
    </cfRule>
  </conditionalFormatting>
  <conditionalFormatting sqref="K11">
    <cfRule type="expression" dxfId="199" priority="54" stopIfTrue="1">
      <formula>ROW(K11)=_DOD1</formula>
    </cfRule>
  </conditionalFormatting>
  <conditionalFormatting sqref="K11">
    <cfRule type="expression" dxfId="198" priority="53" stopIfTrue="1">
      <formula>ROW(K11)=_DOD1</formula>
    </cfRule>
  </conditionalFormatting>
  <conditionalFormatting sqref="K11">
    <cfRule type="expression" dxfId="197" priority="52" stopIfTrue="1">
      <formula>ROW(K11)=_DOD1</formula>
    </cfRule>
  </conditionalFormatting>
  <conditionalFormatting sqref="K11">
    <cfRule type="expression" dxfId="196" priority="51" stopIfTrue="1">
      <formula>ROW(K11)=_DOD1</formula>
    </cfRule>
  </conditionalFormatting>
  <conditionalFormatting sqref="K11">
    <cfRule type="expression" dxfId="195" priority="50" stopIfTrue="1">
      <formula>ROW(K11)=_DOD1</formula>
    </cfRule>
  </conditionalFormatting>
  <conditionalFormatting sqref="K11">
    <cfRule type="expression" dxfId="194" priority="49" stopIfTrue="1">
      <formula>ROW(K11)=_DOD1</formula>
    </cfRule>
  </conditionalFormatting>
  <conditionalFormatting sqref="K11">
    <cfRule type="expression" dxfId="193" priority="48" stopIfTrue="1">
      <formula>ROW(K11)=_DOD1</formula>
    </cfRule>
  </conditionalFormatting>
  <conditionalFormatting sqref="K11">
    <cfRule type="expression" dxfId="192" priority="47" stopIfTrue="1">
      <formula>ROW(K11)=_DOD1</formula>
    </cfRule>
  </conditionalFormatting>
  <conditionalFormatting sqref="K11">
    <cfRule type="expression" dxfId="191" priority="46" stopIfTrue="1">
      <formula>ROW(K11)=_DOD1</formula>
    </cfRule>
  </conditionalFormatting>
  <conditionalFormatting sqref="K11">
    <cfRule type="expression" dxfId="190" priority="45" stopIfTrue="1">
      <formula>ROW(K11)=_DOD1</formula>
    </cfRule>
  </conditionalFormatting>
  <conditionalFormatting sqref="K11">
    <cfRule type="expression" dxfId="189" priority="44" stopIfTrue="1">
      <formula>ROW(K11)=_DOD1</formula>
    </cfRule>
  </conditionalFormatting>
  <conditionalFormatting sqref="K11">
    <cfRule type="expression" dxfId="188" priority="43" stopIfTrue="1">
      <formula>ROW(K11)=_DOD1</formula>
    </cfRule>
  </conditionalFormatting>
  <conditionalFormatting sqref="K11">
    <cfRule type="expression" dxfId="187" priority="42" stopIfTrue="1">
      <formula>ROW(K11)=_DOD1</formula>
    </cfRule>
  </conditionalFormatting>
  <conditionalFormatting sqref="K11">
    <cfRule type="expression" dxfId="186" priority="41" stopIfTrue="1">
      <formula>ROW(K11)=_DOD1</formula>
    </cfRule>
  </conditionalFormatting>
  <conditionalFormatting sqref="K11">
    <cfRule type="expression" dxfId="185" priority="40" stopIfTrue="1">
      <formula>ROW(K11)=_DOD1</formula>
    </cfRule>
  </conditionalFormatting>
  <conditionalFormatting sqref="K11">
    <cfRule type="expression" dxfId="184" priority="76" stopIfTrue="1">
      <formula>ROW(K11)=DODZ</formula>
    </cfRule>
  </conditionalFormatting>
  <conditionalFormatting sqref="K12">
    <cfRule type="expression" dxfId="183" priority="38" stopIfTrue="1">
      <formula>ROW(K12)=_DOD1</formula>
    </cfRule>
  </conditionalFormatting>
  <conditionalFormatting sqref="K12">
    <cfRule type="expression" dxfId="182" priority="37" stopIfTrue="1">
      <formula>ROW(K12)=_DOD1</formula>
    </cfRule>
  </conditionalFormatting>
  <conditionalFormatting sqref="K12">
    <cfRule type="expression" dxfId="181" priority="36" stopIfTrue="1">
      <formula>ROW(K12)=_DOD1</formula>
    </cfRule>
  </conditionalFormatting>
  <conditionalFormatting sqref="K12">
    <cfRule type="expression" dxfId="180" priority="35" stopIfTrue="1">
      <formula>ROW(K12)=_DOD1</formula>
    </cfRule>
  </conditionalFormatting>
  <conditionalFormatting sqref="K12">
    <cfRule type="expression" dxfId="179" priority="34" stopIfTrue="1">
      <formula>ROW(K12)=_DOD1</formula>
    </cfRule>
  </conditionalFormatting>
  <conditionalFormatting sqref="K12">
    <cfRule type="expression" dxfId="178" priority="33" stopIfTrue="1">
      <formula>ROW(K12)=_DOD1</formula>
    </cfRule>
  </conditionalFormatting>
  <conditionalFormatting sqref="K12">
    <cfRule type="expression" dxfId="177" priority="32" stopIfTrue="1">
      <formula>ROW(K12)=_DOD1</formula>
    </cfRule>
  </conditionalFormatting>
  <conditionalFormatting sqref="K12">
    <cfRule type="expression" dxfId="176" priority="31" stopIfTrue="1">
      <formula>ROW(K12)=_DOD1</formula>
    </cfRule>
  </conditionalFormatting>
  <conditionalFormatting sqref="K12">
    <cfRule type="expression" dxfId="175" priority="30" stopIfTrue="1">
      <formula>ROW(K12)=_DOD1</formula>
    </cfRule>
  </conditionalFormatting>
  <conditionalFormatting sqref="K12">
    <cfRule type="expression" dxfId="174" priority="29" stopIfTrue="1">
      <formula>ROW(K12)=_DOD1</formula>
    </cfRule>
  </conditionalFormatting>
  <conditionalFormatting sqref="K12">
    <cfRule type="expression" dxfId="173" priority="28" stopIfTrue="1">
      <formula>ROW(K12)=_DOD1</formula>
    </cfRule>
  </conditionalFormatting>
  <conditionalFormatting sqref="K12">
    <cfRule type="expression" dxfId="172" priority="27" stopIfTrue="1">
      <formula>ROW(K12)=_DOD1</formula>
    </cfRule>
  </conditionalFormatting>
  <conditionalFormatting sqref="K12">
    <cfRule type="expression" dxfId="171" priority="26" stopIfTrue="1">
      <formula>ROW(K12)=_DOD1</formula>
    </cfRule>
  </conditionalFormatting>
  <conditionalFormatting sqref="K12">
    <cfRule type="expression" dxfId="170" priority="25" stopIfTrue="1">
      <formula>ROW(K12)=_DOD1</formula>
    </cfRule>
  </conditionalFormatting>
  <conditionalFormatting sqref="K12">
    <cfRule type="expression" dxfId="169" priority="24" stopIfTrue="1">
      <formula>ROW(K12)=_DOD1</formula>
    </cfRule>
  </conditionalFormatting>
  <conditionalFormatting sqref="K12">
    <cfRule type="expression" dxfId="168" priority="23" stopIfTrue="1">
      <formula>ROW(K12)=_DOD1</formula>
    </cfRule>
  </conditionalFormatting>
  <conditionalFormatting sqref="K12">
    <cfRule type="expression" dxfId="167" priority="22" stopIfTrue="1">
      <formula>ROW(K12)=_DOD1</formula>
    </cfRule>
  </conditionalFormatting>
  <conditionalFormatting sqref="K12">
    <cfRule type="expression" dxfId="166" priority="21" stopIfTrue="1">
      <formula>ROW(K12)=_DOD1</formula>
    </cfRule>
  </conditionalFormatting>
  <conditionalFormatting sqref="K12">
    <cfRule type="expression" dxfId="165" priority="20" stopIfTrue="1">
      <formula>ROW(K12)=_DOD1</formula>
    </cfRule>
  </conditionalFormatting>
  <conditionalFormatting sqref="K12">
    <cfRule type="expression" dxfId="164" priority="19" stopIfTrue="1">
      <formula>ROW(K12)=_DOD1</formula>
    </cfRule>
  </conditionalFormatting>
  <conditionalFormatting sqref="K12">
    <cfRule type="expression" dxfId="163" priority="18" stopIfTrue="1">
      <formula>ROW(K12)=_DOD1</formula>
    </cfRule>
  </conditionalFormatting>
  <conditionalFormatting sqref="K12">
    <cfRule type="expression" dxfId="162" priority="17" stopIfTrue="1">
      <formula>ROW(K12)=_DOD1</formula>
    </cfRule>
  </conditionalFormatting>
  <conditionalFormatting sqref="K12">
    <cfRule type="expression" dxfId="161" priority="16" stopIfTrue="1">
      <formula>ROW(K12)=_DOD1</formula>
    </cfRule>
  </conditionalFormatting>
  <conditionalFormatting sqref="K12">
    <cfRule type="expression" dxfId="160" priority="15" stopIfTrue="1">
      <formula>ROW(K12)=_DOD1</formula>
    </cfRule>
  </conditionalFormatting>
  <conditionalFormatting sqref="K12">
    <cfRule type="expression" dxfId="159" priority="14" stopIfTrue="1">
      <formula>ROW(K12)=_DOD1</formula>
    </cfRule>
  </conditionalFormatting>
  <conditionalFormatting sqref="K12">
    <cfRule type="expression" dxfId="158" priority="13" stopIfTrue="1">
      <formula>ROW(K12)=_DOD1</formula>
    </cfRule>
  </conditionalFormatting>
  <conditionalFormatting sqref="K12">
    <cfRule type="expression" dxfId="157" priority="12" stopIfTrue="1">
      <formula>ROW(K12)=_DOD1</formula>
    </cfRule>
  </conditionalFormatting>
  <conditionalFormatting sqref="K12">
    <cfRule type="expression" dxfId="156" priority="11" stopIfTrue="1">
      <formula>ROW(K12)=_DOD1</formula>
    </cfRule>
  </conditionalFormatting>
  <conditionalFormatting sqref="K12">
    <cfRule type="expression" dxfId="155" priority="10" stopIfTrue="1">
      <formula>ROW(K12)=_DOD1</formula>
    </cfRule>
  </conditionalFormatting>
  <conditionalFormatting sqref="K12">
    <cfRule type="expression" dxfId="154" priority="9" stopIfTrue="1">
      <formula>ROW(K12)=_DOD1</formula>
    </cfRule>
  </conditionalFormatting>
  <conditionalFormatting sqref="K12">
    <cfRule type="expression" dxfId="153" priority="8" stopIfTrue="1">
      <formula>ROW(K12)=_DOD1</formula>
    </cfRule>
  </conditionalFormatting>
  <conditionalFormatting sqref="K12">
    <cfRule type="expression" dxfId="152" priority="7" stopIfTrue="1">
      <formula>ROW(K12)=_DOD1</formula>
    </cfRule>
  </conditionalFormatting>
  <conditionalFormatting sqref="K12">
    <cfRule type="expression" dxfId="151" priority="6" stopIfTrue="1">
      <formula>ROW(K12)=_DOD1</formula>
    </cfRule>
  </conditionalFormatting>
  <conditionalFormatting sqref="K12">
    <cfRule type="expression" dxfId="150" priority="5" stopIfTrue="1">
      <formula>ROW(K12)=_DOD1</formula>
    </cfRule>
  </conditionalFormatting>
  <conditionalFormatting sqref="K12">
    <cfRule type="expression" dxfId="149" priority="4" stopIfTrue="1">
      <formula>ROW(K12)=_DOD1</formula>
    </cfRule>
  </conditionalFormatting>
  <conditionalFormatting sqref="K12">
    <cfRule type="expression" dxfId="148" priority="3" stopIfTrue="1">
      <formula>ROW(K12)=_DOD1</formula>
    </cfRule>
  </conditionalFormatting>
  <conditionalFormatting sqref="K12">
    <cfRule type="expression" dxfId="147" priority="39" stopIfTrue="1">
      <formula>ROW(K12)=DODZ</formula>
    </cfRule>
  </conditionalFormatting>
  <conditionalFormatting sqref="L11">
    <cfRule type="expression" dxfId="146" priority="2" stopIfTrue="1">
      <formula>ROW(L11)=DODZ</formula>
    </cfRule>
  </conditionalFormatting>
  <conditionalFormatting sqref="L12">
    <cfRule type="expression" dxfId="145" priority="1" stopIfTrue="1">
      <formula>ROW(L12)=DODZ</formula>
    </cfRule>
  </conditionalFormatting>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3" filterMode="1"/>
  <dimension ref="A1:V105"/>
  <sheetViews>
    <sheetView zoomScale="70" zoomScaleNormal="70" workbookViewId="0">
      <pane xSplit="5" ySplit="14" topLeftCell="K15" activePane="bottomRight" state="frozen"/>
      <selection activeCell="B31" sqref="B31"/>
      <selection pane="topRight" activeCell="B31" sqref="B31"/>
      <selection pane="bottomLeft" activeCell="B31" sqref="B31"/>
      <selection pane="bottomRight" activeCell="W4" sqref="W4"/>
    </sheetView>
  </sheetViews>
  <sheetFormatPr defaultColWidth="9.1796875" defaultRowHeight="12.5" x14ac:dyDescent="0.25"/>
  <cols>
    <col min="1" max="1" width="27.453125" customWidth="1"/>
    <col min="2" max="2" width="24" customWidth="1"/>
    <col min="3" max="3" width="19" customWidth="1"/>
    <col min="4" max="4" width="20.81640625" bestFit="1" customWidth="1"/>
    <col min="5" max="5" width="7.1796875" customWidth="1"/>
    <col min="6" max="6" width="66.26953125" style="64" bestFit="1" customWidth="1"/>
    <col min="7" max="7" width="14.7265625" bestFit="1" customWidth="1"/>
    <col min="8" max="8" width="18.54296875" customWidth="1"/>
    <col min="9" max="9" width="14.26953125" bestFit="1" customWidth="1"/>
    <col min="10" max="10" width="9.7265625" customWidth="1"/>
    <col min="11" max="11" width="13.81640625" customWidth="1"/>
    <col min="12" max="12" width="10.54296875" customWidth="1"/>
    <col min="13" max="13" width="21.1796875" style="56" customWidth="1"/>
    <col min="14" max="14" width="22.54296875" customWidth="1"/>
    <col min="15" max="15" width="15.453125" customWidth="1"/>
    <col min="16" max="16" width="26.54296875" customWidth="1"/>
    <col min="17" max="17" width="16.26953125" customWidth="1"/>
    <col min="18" max="18" width="24" bestFit="1" customWidth="1"/>
    <col min="19" max="19" width="24.1796875" customWidth="1"/>
    <col min="20" max="20" width="11.81640625" customWidth="1"/>
    <col min="21" max="21" width="9.7265625" bestFit="1" customWidth="1"/>
    <col min="22" max="22" width="8.81640625" customWidth="1"/>
  </cols>
  <sheetData>
    <row r="1" spans="1:22" ht="13" x14ac:dyDescent="0.3">
      <c r="A1" s="27"/>
      <c r="B1" s="27"/>
      <c r="C1" s="27"/>
      <c r="D1" s="27"/>
      <c r="E1" s="27"/>
      <c r="F1" s="175"/>
      <c r="G1" s="30"/>
      <c r="H1" s="27"/>
      <c r="I1" s="27"/>
      <c r="J1" s="30"/>
      <c r="K1" s="30"/>
      <c r="L1" s="9"/>
      <c r="M1" s="133"/>
      <c r="N1" s="9"/>
      <c r="O1" s="9"/>
      <c r="P1" s="9"/>
      <c r="Q1" s="9"/>
      <c r="R1" s="9"/>
      <c r="S1" s="151">
        <f>IF('DOD1'!G1&lt;&gt;1,IF(AND(M8&lt;N13,M8&lt;M12,D13=D10),S2,0),0)</f>
        <v>0</v>
      </c>
      <c r="T1" s="140" t="str">
        <f ca="1">IF('DOD1'!G1&lt;&gt;1,IF(T7&lt;&gt;1,IF(AND(T3=0,T5=0),T2,0),0),0)</f>
        <v>Klient może otrzymać wybrany produkt</v>
      </c>
      <c r="U1" s="9"/>
      <c r="V1" s="9"/>
    </row>
    <row r="2" spans="1:22" ht="13" x14ac:dyDescent="0.3">
      <c r="A2" s="27"/>
      <c r="B2" s="27"/>
      <c r="C2" s="27"/>
      <c r="D2" s="27"/>
      <c r="E2" s="27"/>
      <c r="F2" s="175"/>
      <c r="G2" s="27"/>
      <c r="H2" s="27"/>
      <c r="I2" s="27"/>
      <c r="J2" s="27"/>
      <c r="K2" s="27"/>
      <c r="L2" s="9"/>
      <c r="M2" s="167"/>
      <c r="N2" s="1516" t="s">
        <v>2219</v>
      </c>
      <c r="O2" s="9"/>
      <c r="P2" s="9"/>
      <c r="Q2" s="375"/>
      <c r="R2" s="9"/>
      <c r="S2" s="152" t="str">
        <f>"Suma zaangaż. niezabezp. ograniczona "&amp;L10&amp;"- krotnością dochodu"</f>
        <v>Suma zaangaż. niezabezp. ograniczona 2000- krotnością dochodu</v>
      </c>
      <c r="T2" s="786" t="s">
        <v>1877</v>
      </c>
      <c r="U2" s="9"/>
      <c r="V2" s="9"/>
    </row>
    <row r="3" spans="1:22" ht="13" x14ac:dyDescent="0.3">
      <c r="A3" s="27"/>
      <c r="B3" s="27"/>
      <c r="C3" s="27"/>
      <c r="D3" s="27"/>
      <c r="E3" s="27"/>
      <c r="F3" s="175"/>
      <c r="G3" s="27"/>
      <c r="H3" s="27"/>
      <c r="I3" s="27"/>
      <c r="J3" s="27"/>
      <c r="K3" s="27"/>
      <c r="L3" s="9"/>
      <c r="M3" s="133"/>
      <c r="N3" s="9"/>
      <c r="O3" s="9"/>
      <c r="P3" s="9"/>
      <c r="Q3" s="376"/>
      <c r="R3" s="170" t="str">
        <f>IF(T7&lt;&gt;1,IF(AND(H8&lt;&gt;H13,'DOD1'!G1&lt;&gt;1),IF('DOD1'!I3&lt;&gt;1,IF(R7&lt;&gt;E8,IF(D13=D10,S4,R4),0),
FIXED('DOD1'!I8,-1)&amp; " zł "),0),0)</f>
        <v>250 000 zł  netto !</v>
      </c>
      <c r="S3" s="170" t="str">
        <f>IF(T7&lt;&gt;1,IF(AND(H8&lt;&gt;H13,'DOD1'!G1&lt;&gt;1),IF(AND('DOD1'!I3&lt;&gt;1,R6&lt;=S6),IF(S7&lt;&gt;E8,IF(D13=D10,S5,R5),0),"Kwota możliwa do zaoferowania klientowi jest niższa od minimalnej kwoty wybranego produktu: "),0),0)</f>
        <v>250 000 zł  brutto !</v>
      </c>
      <c r="T3" s="140">
        <f>IF(T7&lt;&gt;1,IF(OR(N7=E8,T13=1,G10=E8,'DOD1'!I3=1,'DOD1'!I1='DOD1'!I2),T4,0),0)</f>
        <v>0</v>
      </c>
      <c r="U3" s="9"/>
      <c r="V3" s="9"/>
    </row>
    <row r="4" spans="1:22" ht="13" x14ac:dyDescent="0.3">
      <c r="A4" s="27"/>
      <c r="B4" s="27"/>
      <c r="C4" s="27"/>
      <c r="D4" s="27"/>
      <c r="E4" s="27"/>
      <c r="F4" s="175"/>
      <c r="G4" s="27"/>
      <c r="H4" s="27"/>
      <c r="I4" s="27"/>
      <c r="J4" s="27"/>
      <c r="K4" s="27"/>
      <c r="L4" s="9"/>
      <c r="M4" s="133"/>
      <c r="N4" s="9"/>
      <c r="O4" s="9"/>
      <c r="P4" s="9"/>
      <c r="Q4" s="376"/>
      <c r="R4" s="5" t="str">
        <f>CONCATENATE( R8/1000," ",(R9-R8)/100,(R10-R9)/10,"0 zł ", " netto !")</f>
        <v>250 000 zł  netto !</v>
      </c>
      <c r="S4" s="5" t="str">
        <f>CONCATENATE( S8/1000," ",(S9-S8)/100,"00 zł ", " netto !")</f>
        <v>250 000 zł  netto !</v>
      </c>
      <c r="T4" s="4" t="s">
        <v>101</v>
      </c>
      <c r="U4" s="9"/>
      <c r="V4" s="9"/>
    </row>
    <row r="5" spans="1:22" ht="13" x14ac:dyDescent="0.3">
      <c r="A5" s="27"/>
      <c r="B5" s="27"/>
      <c r="C5" s="27"/>
      <c r="D5" s="27"/>
      <c r="E5" s="27"/>
      <c r="F5" s="175"/>
      <c r="G5" s="27"/>
      <c r="H5" s="27"/>
      <c r="I5" s="27"/>
      <c r="J5" s="27"/>
      <c r="K5" s="27"/>
      <c r="L5" s="9"/>
      <c r="M5" s="133"/>
      <c r="N5" s="9">
        <f>IF(AND(N7=E8,O7=E8,R7=E8,S7=E8,wskaz!J2=E8),1,0)</f>
        <v>0</v>
      </c>
      <c r="O5" s="9"/>
      <c r="P5" s="9"/>
      <c r="Q5" s="376"/>
      <c r="R5" s="5" t="str">
        <f>CONCATENATE( R11/1000," ",(R12-R11)/100,(R13-R12)/10,"0 zł ", " brutto !")</f>
        <v>250 000 zł  brutto !</v>
      </c>
      <c r="S5" s="5" t="str">
        <f>CONCATENATE( S11/1000," ",(S12-S11)/100,"00 zł ", " brutto !")</f>
        <v>250 000 zł  brutto !</v>
      </c>
      <c r="T5" s="140">
        <f ca="1">IF('DOD1'!G1&lt;&gt;1,IF(T7&lt;&gt;1,IF(T3&lt;&gt;T4,IF(OR(K8&lt;&gt;0,T9=1,T8=1),DODZ!T10,0),0),0),0)</f>
        <v>0</v>
      </c>
      <c r="U5" s="9"/>
      <c r="V5" s="9"/>
    </row>
    <row r="6" spans="1:22" ht="13" x14ac:dyDescent="0.3">
      <c r="A6" s="27"/>
      <c r="B6" s="27"/>
      <c r="C6" s="27"/>
      <c r="D6" s="27"/>
      <c r="E6" s="27"/>
      <c r="F6" s="175"/>
      <c r="G6" s="27"/>
      <c r="H6" s="27"/>
      <c r="I6" s="27"/>
      <c r="J6" s="27"/>
      <c r="K6" s="27"/>
      <c r="L6" s="9"/>
      <c r="M6" s="133"/>
      <c r="N6" s="9"/>
      <c r="O6" s="9"/>
      <c r="P6" s="9"/>
      <c r="Q6" s="377"/>
      <c r="R6" s="151">
        <f>IF(AND(T7&lt;&gt;1,'DOD1'!G1&lt;&gt;1),IF(R7&lt;=0,E8,R7),0)</f>
        <v>250000</v>
      </c>
      <c r="S6" s="151">
        <f>IF(AND(T7&lt;&gt;1,'DOD1'!G1&lt;&gt;1),IF(S7&lt;=0,E8,S7),0)</f>
        <v>250000</v>
      </c>
      <c r="T6" s="140"/>
      <c r="U6" s="9"/>
      <c r="V6" s="9"/>
    </row>
    <row r="7" spans="1:22" ht="15.75" customHeight="1" x14ac:dyDescent="0.3">
      <c r="A7" s="27" t="s">
        <v>21</v>
      </c>
      <c r="B7" s="27"/>
      <c r="C7" s="27"/>
      <c r="D7" s="27"/>
      <c r="E7" s="28"/>
      <c r="F7" s="175"/>
      <c r="G7" s="29"/>
      <c r="H7" s="29"/>
      <c r="I7" s="29"/>
      <c r="J7" s="29"/>
      <c r="K7" s="29"/>
      <c r="L7" s="10"/>
      <c r="M7" s="122"/>
      <c r="N7" s="138">
        <f>IF('DOD1'!G1&lt;&gt;1,IF($T$11&lt;&gt;1,IF(N13&lt;=0,E8,ROUNDDOWN(N13,-1)),0),0)</f>
        <v>24164500</v>
      </c>
      <c r="O7" s="138">
        <f>IF('DOD1'!G1&lt;&gt;1,IF($T$11&lt;&gt;1,IF(O13&lt;=0,E8,ROUNDDOWN(O13,-1)),0),0)</f>
        <v>24164500</v>
      </c>
      <c r="P7" s="378">
        <f>IF(N7&lt;&gt;$E$8,IF($T$11&lt;&gt;1,IF(P12&lt;=0,$E$8,ROUNDDOWN(P12,-1)),0),$E$8)</f>
        <v>250000</v>
      </c>
      <c r="Q7" s="9"/>
      <c r="R7" s="137">
        <f>IF('DOD1'!G1&lt;&gt;1,IF(O7&lt;&gt;E8,IF(D13=D10,S10,R10),E8),0)</f>
        <v>250000</v>
      </c>
      <c r="S7" s="137">
        <f>IF('DOD1'!G1&lt;&gt;1,IF(N7&lt;&gt;E8,IF(D13=D10,S13,R13),E8),0)</f>
        <v>250000</v>
      </c>
      <c r="T7" s="9">
        <f>IF(B13=B10,1,0)</f>
        <v>0</v>
      </c>
      <c r="U7" s="9" t="s">
        <v>153</v>
      </c>
      <c r="V7" s="9"/>
    </row>
    <row r="8" spans="1:22" ht="13" x14ac:dyDescent="0.3">
      <c r="A8" s="5" t="s">
        <v>17</v>
      </c>
      <c r="B8" s="4"/>
      <c r="C8" s="11" t="s">
        <v>18</v>
      </c>
      <c r="D8" s="4"/>
      <c r="E8" s="13" t="s">
        <v>15</v>
      </c>
      <c r="F8" s="57"/>
      <c r="G8" s="33"/>
      <c r="H8" s="33">
        <f>IF(G10=0,0,H13)</f>
        <v>0</v>
      </c>
      <c r="I8" s="176">
        <f>IF(I12&gt;0,IF(AND(I10&lt;&gt;1,'DOD1'!G1&lt;&gt;1),IF(AND(M8&lt;N13,M8&lt;M12,D13=D10),I9,0),0),0)</f>
        <v>0</v>
      </c>
      <c r="J8" s="33"/>
      <c r="K8" s="12">
        <f>IF(K9=K11,'DOD1'!G2,0)</f>
        <v>0</v>
      </c>
      <c r="L8" s="12"/>
      <c r="M8" s="168">
        <f>IF(M9-'Miesieczne Obciazenia'!D55&lt;0,0,M9-'Miesieczne Obciazenia'!D55)</f>
        <v>5000000</v>
      </c>
      <c r="N8" s="135" t="s">
        <v>105</v>
      </c>
      <c r="O8" s="4"/>
      <c r="P8" s="174">
        <f>IF(N7&lt;&gt;$E$8,IF($T$11&lt;&gt;1,IF(P13&lt;=0,$E$8,ROUNDDOWN(P13,-1)),0),$E$8)</f>
        <v>250000</v>
      </c>
      <c r="Q8" s="172" t="s">
        <v>109</v>
      </c>
      <c r="R8" s="131">
        <f>ROUNDDOWN($P$12,-3)</f>
        <v>250000</v>
      </c>
      <c r="S8" s="131">
        <f>ROUNDDOWN($P$9,-3)</f>
        <v>250000</v>
      </c>
      <c r="T8" s="4">
        <f>IF(WERSJA2!D16&gt;R7,1,0)</f>
        <v>0</v>
      </c>
      <c r="U8" s="4" t="s">
        <v>115</v>
      </c>
      <c r="V8" s="4"/>
    </row>
    <row r="9" spans="1:22" ht="13" x14ac:dyDescent="0.3">
      <c r="A9" s="5"/>
      <c r="B9" s="4"/>
      <c r="C9" s="4" t="s">
        <v>20</v>
      </c>
      <c r="D9" s="4"/>
      <c r="E9" s="4"/>
      <c r="F9" s="57"/>
      <c r="G9" s="7"/>
      <c r="H9" s="7"/>
      <c r="I9" s="177" t="s">
        <v>113</v>
      </c>
      <c r="J9" s="7"/>
      <c r="K9" s="34">
        <f>IF(K13=0,K11,1)</f>
        <v>1</v>
      </c>
      <c r="L9" s="6"/>
      <c r="M9" s="134">
        <f>MIN(M10,M11)</f>
        <v>5000000</v>
      </c>
      <c r="N9" s="135" t="s">
        <v>99</v>
      </c>
      <c r="O9" s="4"/>
      <c r="P9" s="127">
        <f>P10*(wskaz!L5/wskaz!M4)</f>
        <v>250000</v>
      </c>
      <c r="Q9" s="173" t="s">
        <v>107</v>
      </c>
      <c r="R9" s="379">
        <f>ROUNDDOWN($P$12,-2)</f>
        <v>250000</v>
      </c>
      <c r="S9" s="132">
        <f>ROUNDDOWN($P$9,-2)</f>
        <v>250000</v>
      </c>
      <c r="T9" s="4">
        <f ca="1">IF(U13&gt;wskaz!J7,1,0)</f>
        <v>0</v>
      </c>
      <c r="U9" s="4" t="s">
        <v>116</v>
      </c>
      <c r="V9" s="4"/>
    </row>
    <row r="10" spans="1:22" ht="13" x14ac:dyDescent="0.3">
      <c r="A10" s="3" t="s">
        <v>19</v>
      </c>
      <c r="B10" s="21" t="s">
        <v>25</v>
      </c>
      <c r="C10" s="2"/>
      <c r="D10" s="2" t="s">
        <v>2</v>
      </c>
      <c r="E10" s="2"/>
      <c r="F10" s="58"/>
      <c r="G10" s="149">
        <f>IF(G13&lt;G11,E8,0)</f>
        <v>0</v>
      </c>
      <c r="H10" s="22"/>
      <c r="I10" s="136">
        <f>IF(D13&lt;&gt;D10,1,0)</f>
        <v>1</v>
      </c>
      <c r="J10" s="36">
        <f>MAX(J13,J11)</f>
        <v>1</v>
      </c>
      <c r="K10" s="23"/>
      <c r="L10" s="36">
        <f>VLOOKUP(A12,F15:L97,7,FALSE)</f>
        <v>2000</v>
      </c>
      <c r="M10" s="117">
        <f>L10*G13</f>
        <v>2000000000</v>
      </c>
      <c r="N10" s="119" t="s">
        <v>98</v>
      </c>
      <c r="O10" s="2"/>
      <c r="P10" s="128">
        <f>MIN(N7,M12,M8)</f>
        <v>250000</v>
      </c>
      <c r="Q10" s="173" t="s">
        <v>106</v>
      </c>
      <c r="R10" s="906">
        <f>IF(MID(B13,1,2)="Po",$P$13,ROUNDDOWN($P$12,-1))</f>
        <v>250000</v>
      </c>
      <c r="S10" s="906">
        <f>IF(MID(B13,1,2)="Po",$P$9,ROUNDDOWN($P$9,-1))</f>
        <v>250000</v>
      </c>
      <c r="T10" s="4" t="s">
        <v>100</v>
      </c>
      <c r="U10" s="2"/>
      <c r="V10" s="180">
        <f>IF(T7=1,V12,0)</f>
        <v>0</v>
      </c>
    </row>
    <row r="11" spans="1:22" ht="13" x14ac:dyDescent="0.3">
      <c r="A11" s="16" t="s">
        <v>16</v>
      </c>
      <c r="B11" s="18"/>
      <c r="C11" s="18"/>
      <c r="D11" s="18"/>
      <c r="E11" s="17"/>
      <c r="F11" s="59"/>
      <c r="G11" s="35">
        <f>VLOOKUP(A12,F15:G97,2,FALSE)</f>
        <v>800</v>
      </c>
      <c r="H11" s="17"/>
      <c r="I11" s="17"/>
      <c r="J11" s="17">
        <v>1</v>
      </c>
      <c r="K11" s="179" t="s">
        <v>89</v>
      </c>
      <c r="L11" s="17"/>
      <c r="M11" s="100">
        <f>'DOD1'!O8</f>
        <v>5000000</v>
      </c>
      <c r="N11" s="120" t="s">
        <v>95</v>
      </c>
      <c r="O11" s="17"/>
      <c r="P11" s="129" t="s">
        <v>108</v>
      </c>
      <c r="Q11" s="4"/>
      <c r="R11" s="131">
        <f>ROUNDDOWN($P$13,-3)</f>
        <v>250000</v>
      </c>
      <c r="S11" s="131">
        <f>ROUNDDOWN($P$10,-3)</f>
        <v>250000</v>
      </c>
      <c r="T11" s="4">
        <f>IF(OR(K8=E8,'DOD1'!G3=E8),1,0)</f>
        <v>0</v>
      </c>
      <c r="U11" s="17"/>
      <c r="V11" s="3">
        <f>IF(T7=1,V13,0)</f>
        <v>0</v>
      </c>
    </row>
    <row r="12" spans="1:22" ht="13" x14ac:dyDescent="0.3">
      <c r="A12" s="37" t="str">
        <f>'DOD1'!A6</f>
        <v>BEZ UBEZPIECZENIAMASSMOJE INGNIE120</v>
      </c>
      <c r="B12" s="18"/>
      <c r="C12" s="18"/>
      <c r="D12" s="18"/>
      <c r="E12" s="18"/>
      <c r="F12" s="60"/>
      <c r="G12" s="38"/>
      <c r="H12" s="19"/>
      <c r="I12" s="39">
        <f>'Miesieczne Obciazenia'!D55</f>
        <v>0</v>
      </c>
      <c r="J12" s="20"/>
      <c r="K12" s="17"/>
      <c r="L12" s="17"/>
      <c r="M12" s="100">
        <f>'DOD1'!K4</f>
        <v>250000</v>
      </c>
      <c r="N12" s="135" t="s">
        <v>94</v>
      </c>
      <c r="O12" s="17"/>
      <c r="P12" s="127">
        <f>P13*(wskaz!L5/wskaz!M4)</f>
        <v>250000</v>
      </c>
      <c r="Q12" s="130" t="s">
        <v>107</v>
      </c>
      <c r="R12" s="379">
        <f>ROUNDDOWN($P$13,-2)</f>
        <v>250000</v>
      </c>
      <c r="S12" s="132">
        <f>ROUNDDOWN($P$10,-2)</f>
        <v>250000</v>
      </c>
      <c r="T12" s="4">
        <f>IF(I8=I9,1,0)</f>
        <v>0</v>
      </c>
      <c r="U12" s="17"/>
      <c r="V12" s="2" t="s">
        <v>154</v>
      </c>
    </row>
    <row r="13" spans="1:22" ht="13.5" thickBot="1" x14ac:dyDescent="0.35">
      <c r="A13" s="21" t="str">
        <f>'DOD1'!A8</f>
        <v>BEZ UBEZPIECZENIA</v>
      </c>
      <c r="B13" s="21" t="str">
        <f>'DOD1'!B8</f>
        <v>MASS</v>
      </c>
      <c r="C13" s="21" t="str">
        <f>'DOD1'!C8</f>
        <v>MOJE ING</v>
      </c>
      <c r="D13" s="21" t="str">
        <f>'DOD1'!D8</f>
        <v>NIE</v>
      </c>
      <c r="E13" s="21">
        <f>'DOD1'!E8</f>
        <v>48</v>
      </c>
      <c r="F13" s="61"/>
      <c r="G13" s="26">
        <f>WERSJA2!D24</f>
        <v>1000000</v>
      </c>
      <c r="H13" s="66" t="str">
        <f>CONCATENATE("Wymagany minimalny dochód wnioskodawcy: ",FIXED(G11,-1)," zł!")</f>
        <v>Wymagany minimalny dochód wnioskodawcy: 800 zł!</v>
      </c>
      <c r="I13" s="39">
        <f>'Miesieczne Obciazenia'!E11</f>
        <v>0</v>
      </c>
      <c r="J13" s="40">
        <f>WERSJA2!D28</f>
        <v>1</v>
      </c>
      <c r="K13" s="87">
        <f>VLOOKUP(A12,F15:Q65,6,FALSE)</f>
        <v>1</v>
      </c>
      <c r="L13" s="116"/>
      <c r="M13" s="116"/>
      <c r="N13" s="124">
        <f>wskaz!K7</f>
        <v>24164506.191559058</v>
      </c>
      <c r="O13" s="126">
        <f>wskaz!K11</f>
        <v>24164506.191559058</v>
      </c>
      <c r="P13" s="127">
        <f>MIN(N7,M12,M9)</f>
        <v>250000</v>
      </c>
      <c r="Q13" s="130" t="s">
        <v>106</v>
      </c>
      <c r="R13" s="891">
        <f>IF(MID(B13,1,2)="Po",$P$13,ROUNDDOWN($P$13,-1))</f>
        <v>250000</v>
      </c>
      <c r="S13" s="891">
        <f>IF(MID(B13,1,2)="Po",$P$10,ROUNDDOWN($P$10,-1))</f>
        <v>250000</v>
      </c>
      <c r="T13" s="130">
        <f>IF(OR(N13=0,O13=0,P13=0,P12=0,G10=E8,wskaz!J7=0,K8=E8,'DOD1'!G3=E8,T7=1),1,0)</f>
        <v>0</v>
      </c>
      <c r="U13" s="139">
        <f ca="1">Raty_RRSO!A27</f>
        <v>764.1</v>
      </c>
      <c r="V13" s="14" t="s">
        <v>155</v>
      </c>
    </row>
    <row r="14" spans="1:22" s="49" customFormat="1" ht="52.5" thickBot="1" x14ac:dyDescent="0.3">
      <c r="A14" s="41" t="s">
        <v>8</v>
      </c>
      <c r="B14" s="42" t="s">
        <v>4</v>
      </c>
      <c r="C14" s="42" t="s">
        <v>9</v>
      </c>
      <c r="D14" s="43" t="s">
        <v>10</v>
      </c>
      <c r="E14" s="44" t="s">
        <v>12</v>
      </c>
      <c r="F14" s="62" t="s">
        <v>13</v>
      </c>
      <c r="G14" s="45" t="s">
        <v>48</v>
      </c>
      <c r="H14" s="65" t="s">
        <v>49</v>
      </c>
      <c r="I14" s="46" t="s">
        <v>50</v>
      </c>
      <c r="J14" s="47" t="s">
        <v>51</v>
      </c>
      <c r="K14" s="86" t="s">
        <v>81</v>
      </c>
      <c r="L14" s="121" t="s">
        <v>97</v>
      </c>
      <c r="M14" s="118" t="s">
        <v>96</v>
      </c>
      <c r="N14" s="125" t="s">
        <v>102</v>
      </c>
      <c r="O14" s="125" t="s">
        <v>103</v>
      </c>
      <c r="P14" s="48" t="s">
        <v>104</v>
      </c>
      <c r="R14" s="48" t="s">
        <v>111</v>
      </c>
      <c r="S14" s="48" t="s">
        <v>112</v>
      </c>
      <c r="T14" s="48" t="s">
        <v>110</v>
      </c>
      <c r="U14" s="48" t="s">
        <v>114</v>
      </c>
      <c r="V14" s="48" t="s">
        <v>129</v>
      </c>
    </row>
    <row r="15" spans="1:22" s="178" customFormat="1" ht="13.5" customHeight="1" x14ac:dyDescent="0.3">
      <c r="A15" s="153" t="str">
        <f>'DOD1'!A10</f>
        <v>BEZ UBEZPIECZENIA</v>
      </c>
      <c r="B15" s="153" t="str">
        <f>'DOD1'!B10</f>
        <v>MASS</v>
      </c>
      <c r="C15" s="380" t="str">
        <f>'DOD1'!C10</f>
        <v>MOJE ING</v>
      </c>
      <c r="D15" s="153" t="str">
        <f>'DOD1'!D10</f>
        <v>NIE</v>
      </c>
      <c r="E15" s="153">
        <f>'DOD1'!E10</f>
        <v>120</v>
      </c>
      <c r="F15" s="156" t="str">
        <f>'DOD1'!F10</f>
        <v>BEZ UBEZPIECZENIAMASSMOJE INGNIE120</v>
      </c>
      <c r="G15" s="5">
        <v>800</v>
      </c>
      <c r="H15" s="157"/>
      <c r="I15" s="154" t="s">
        <v>52</v>
      </c>
      <c r="J15" s="158"/>
      <c r="K15" s="159">
        <v>1</v>
      </c>
      <c r="L15" s="160">
        <v>2000</v>
      </c>
      <c r="M15" s="159"/>
      <c r="N15" s="161"/>
      <c r="O15" s="161"/>
      <c r="P15" s="162"/>
      <c r="Q15" s="162"/>
      <c r="R15" s="162"/>
      <c r="S15" s="162"/>
      <c r="T15" s="162"/>
      <c r="U15" s="162"/>
      <c r="V15" s="162"/>
    </row>
    <row r="16" spans="1:22" s="398" customFormat="1" ht="13.5" customHeight="1" x14ac:dyDescent="0.3">
      <c r="A16" s="388" t="str">
        <f>'DOD1'!A11</f>
        <v>BEZ UBEZPIECZENIA</v>
      </c>
      <c r="B16" s="388" t="str">
        <f>'DOD1'!B11</f>
        <v>Premium PB</v>
      </c>
      <c r="C16" s="389" t="str">
        <f>'DOD1'!C11</f>
        <v>MOJE ING</v>
      </c>
      <c r="D16" s="388" t="str">
        <f>'DOD1'!D11</f>
        <v>NIE</v>
      </c>
      <c r="E16" s="388">
        <f>'DOD1'!E11</f>
        <v>120</v>
      </c>
      <c r="F16" s="390" t="str">
        <f>'DOD1'!F11</f>
        <v>BEZ UBEZPIECZENIAPremium PBMOJE INGNIE120</v>
      </c>
      <c r="G16" s="391">
        <v>800</v>
      </c>
      <c r="H16" s="392"/>
      <c r="I16" s="393"/>
      <c r="J16" s="394"/>
      <c r="K16" s="395">
        <v>1</v>
      </c>
      <c r="L16" s="396">
        <v>2000</v>
      </c>
      <c r="M16" s="395"/>
      <c r="N16" s="397"/>
      <c r="O16" s="397"/>
    </row>
    <row r="17" spans="1:22" s="178" customFormat="1" ht="13.5" customHeight="1" x14ac:dyDescent="0.25">
      <c r="A17" s="153" t="str">
        <f>'DOD1'!A12</f>
        <v>BEZ UBEZPIECZENIA</v>
      </c>
      <c r="B17" s="153" t="str">
        <f>'DOD1'!B12</f>
        <v>Private Banking</v>
      </c>
      <c r="C17" s="380" t="str">
        <f>'DOD1'!C12</f>
        <v>MOJE ING</v>
      </c>
      <c r="D17" s="153" t="str">
        <f>'DOD1'!D12</f>
        <v>NIE</v>
      </c>
      <c r="E17" s="153">
        <f>'DOD1'!E12</f>
        <v>120</v>
      </c>
      <c r="F17" s="156" t="str">
        <f>'DOD1'!F12</f>
        <v>BEZ UBEZPIECZENIAPrivate BankingMOJE INGNIE120</v>
      </c>
      <c r="G17" s="162">
        <f t="shared" ref="G17:G22" si="0">G15</f>
        <v>800</v>
      </c>
      <c r="H17" s="163"/>
      <c r="I17" s="154" t="s">
        <v>50</v>
      </c>
      <c r="J17" s="162"/>
      <c r="K17" s="159">
        <v>1</v>
      </c>
      <c r="L17" s="160">
        <v>2000</v>
      </c>
      <c r="M17" s="159"/>
      <c r="N17" s="161"/>
      <c r="O17" s="161"/>
      <c r="P17" s="162"/>
      <c r="Q17" s="162"/>
      <c r="R17" s="162"/>
      <c r="S17" s="162"/>
      <c r="T17" s="162"/>
      <c r="U17" s="162"/>
      <c r="V17" s="162"/>
    </row>
    <row r="18" spans="1:22" s="398" customFormat="1" ht="13.5" customHeight="1" thickBot="1" x14ac:dyDescent="0.3">
      <c r="A18" s="388" t="str">
        <f>'DOD1'!A13</f>
        <v>BEZ UBEZPIECZENIA</v>
      </c>
      <c r="B18" s="388" t="str">
        <f>'DOD1'!B13</f>
        <v>Wealth Management</v>
      </c>
      <c r="C18" s="399" t="str">
        <f>'DOD1'!C13</f>
        <v>MOJE ING</v>
      </c>
      <c r="D18" s="388" t="str">
        <f>'DOD1'!D13</f>
        <v>NIE</v>
      </c>
      <c r="E18" s="388">
        <f>'DOD1'!E13</f>
        <v>120</v>
      </c>
      <c r="F18" s="390" t="str">
        <f>'DOD1'!F13</f>
        <v>BEZ UBEZPIECZENIAWealth ManagementMOJE INGNIE120</v>
      </c>
      <c r="G18" s="398">
        <f t="shared" si="0"/>
        <v>800</v>
      </c>
      <c r="H18" s="392"/>
      <c r="I18" s="393"/>
      <c r="K18" s="395">
        <v>1</v>
      </c>
      <c r="L18" s="396">
        <v>2000</v>
      </c>
      <c r="M18" s="395"/>
      <c r="N18" s="397"/>
      <c r="O18" s="397"/>
    </row>
    <row r="19" spans="1:22" s="178" customFormat="1" ht="12.75" customHeight="1" thickBot="1" x14ac:dyDescent="0.35">
      <c r="A19" s="153">
        <f>'DOD1'!A14</f>
        <v>0</v>
      </c>
      <c r="B19" s="153">
        <f>'DOD1'!B14</f>
        <v>0</v>
      </c>
      <c r="C19" s="380">
        <f>'DOD1'!C14</f>
        <v>0</v>
      </c>
      <c r="D19" s="153">
        <f>'DOD1'!D14</f>
        <v>0</v>
      </c>
      <c r="E19" s="153">
        <f>'DOD1'!E14</f>
        <v>0</v>
      </c>
      <c r="F19" s="156">
        <f>'DOD1'!F14</f>
        <v>0</v>
      </c>
      <c r="G19" s="162">
        <f t="shared" si="0"/>
        <v>800</v>
      </c>
      <c r="H19" s="157"/>
      <c r="I19" s="154" t="s">
        <v>53</v>
      </c>
      <c r="J19" s="158"/>
      <c r="K19" s="159">
        <v>1</v>
      </c>
      <c r="L19" s="1127">
        <f>IFERROR(FIND("POZOSTAŁY",C19,1)*12,20)-IFERROR(FIND("POZOSTAŁY_PD&gt;10",C19,1)*6,0)</f>
        <v>20</v>
      </c>
      <c r="M19" s="164"/>
      <c r="N19" s="161"/>
      <c r="O19" s="161"/>
      <c r="P19" s="162"/>
      <c r="Q19" s="162"/>
      <c r="R19" s="162"/>
      <c r="S19" s="162" t="s">
        <v>124</v>
      </c>
      <c r="T19" s="162"/>
      <c r="U19" s="162"/>
      <c r="V19" s="162"/>
    </row>
    <row r="20" spans="1:22" s="398" customFormat="1" ht="12.75" customHeight="1" thickBot="1" x14ac:dyDescent="0.35">
      <c r="A20" s="388">
        <f>'DOD1'!A15</f>
        <v>0</v>
      </c>
      <c r="B20" s="388">
        <f>'DOD1'!B15</f>
        <v>0</v>
      </c>
      <c r="C20" s="399">
        <f>'DOD1'!C15</f>
        <v>0</v>
      </c>
      <c r="D20" s="388">
        <f>'DOD1'!D15</f>
        <v>0</v>
      </c>
      <c r="E20" s="388">
        <f>'DOD1'!E15</f>
        <v>0</v>
      </c>
      <c r="F20" s="390">
        <f>'DOD1'!F15</f>
        <v>0</v>
      </c>
      <c r="G20" s="398">
        <f t="shared" si="0"/>
        <v>800</v>
      </c>
      <c r="H20" s="392"/>
      <c r="I20" s="393"/>
      <c r="J20" s="394"/>
      <c r="K20" s="395">
        <v>1</v>
      </c>
      <c r="L20" s="1127">
        <f t="shared" ref="L20:L22" si="1">IFERROR(FIND("POZOSTAŁY",C20,1)*12,20)-IFERROR(FIND("POZOSTAŁY_PD&gt;10",C20,1)*6,0)</f>
        <v>20</v>
      </c>
      <c r="M20" s="400"/>
      <c r="N20" s="397"/>
      <c r="O20" s="397"/>
    </row>
    <row r="21" spans="1:22" s="178" customFormat="1" ht="13.5" customHeight="1" thickBot="1" x14ac:dyDescent="0.35">
      <c r="A21" s="153">
        <f>'DOD1'!A16</f>
        <v>0</v>
      </c>
      <c r="B21" s="153">
        <f>'DOD1'!B16</f>
        <v>0</v>
      </c>
      <c r="C21" s="380">
        <f>'DOD1'!C16</f>
        <v>0</v>
      </c>
      <c r="D21" s="153">
        <f>'DOD1'!D16</f>
        <v>0</v>
      </c>
      <c r="E21" s="153">
        <f>'DOD1'!E16</f>
        <v>0</v>
      </c>
      <c r="F21" s="156">
        <f>'DOD1'!F16</f>
        <v>0</v>
      </c>
      <c r="G21" s="162">
        <f t="shared" si="0"/>
        <v>800</v>
      </c>
      <c r="H21" s="157"/>
      <c r="I21" s="154" t="s">
        <v>54</v>
      </c>
      <c r="J21" s="158"/>
      <c r="K21" s="159">
        <v>1</v>
      </c>
      <c r="L21" s="1127">
        <f t="shared" si="1"/>
        <v>20</v>
      </c>
      <c r="M21" s="165"/>
      <c r="N21" s="161"/>
      <c r="O21" s="161"/>
      <c r="P21" s="162"/>
      <c r="Q21" s="162"/>
      <c r="R21" s="162"/>
      <c r="S21" s="162"/>
      <c r="T21" s="162"/>
      <c r="U21" s="162"/>
      <c r="V21" s="162"/>
    </row>
    <row r="22" spans="1:22" s="398" customFormat="1" ht="13.5" customHeight="1" thickBot="1" x14ac:dyDescent="0.35">
      <c r="A22" s="388">
        <f>'DOD1'!A17</f>
        <v>0</v>
      </c>
      <c r="B22" s="388">
        <f>'DOD1'!B17</f>
        <v>0</v>
      </c>
      <c r="C22" s="399">
        <f>'DOD1'!C17</f>
        <v>0</v>
      </c>
      <c r="D22" s="388">
        <f>'DOD1'!D17</f>
        <v>0</v>
      </c>
      <c r="E22" s="388">
        <f>'DOD1'!E17</f>
        <v>0</v>
      </c>
      <c r="F22" s="390">
        <f>'DOD1'!F17</f>
        <v>0</v>
      </c>
      <c r="G22" s="398">
        <f t="shared" si="0"/>
        <v>800</v>
      </c>
      <c r="H22" s="392"/>
      <c r="I22" s="393"/>
      <c r="J22" s="394"/>
      <c r="K22" s="395">
        <v>1</v>
      </c>
      <c r="L22" s="1127">
        <f t="shared" si="1"/>
        <v>20</v>
      </c>
      <c r="M22" s="401"/>
      <c r="N22" s="397"/>
      <c r="O22" s="397"/>
    </row>
    <row r="23" spans="1:22" s="178" customFormat="1" ht="13.5" customHeight="1" x14ac:dyDescent="0.25">
      <c r="A23" s="153">
        <f>'DOD1'!A18</f>
        <v>0</v>
      </c>
      <c r="B23" s="153">
        <f>'DOD1'!B18</f>
        <v>0</v>
      </c>
      <c r="C23" s="380">
        <f>'DOD1'!C18</f>
        <v>0</v>
      </c>
      <c r="D23" s="153">
        <f>'DOD1'!D18</f>
        <v>0</v>
      </c>
      <c r="E23" s="153">
        <f>'DOD1'!E18</f>
        <v>0</v>
      </c>
      <c r="F23" s="156">
        <f>'DOD1'!F18</f>
        <v>0</v>
      </c>
      <c r="G23" s="162">
        <v>800</v>
      </c>
      <c r="H23" s="157"/>
      <c r="I23" s="154" t="s">
        <v>55</v>
      </c>
      <c r="J23" s="158"/>
      <c r="K23" s="159">
        <v>1</v>
      </c>
      <c r="L23" s="160">
        <v>2000</v>
      </c>
      <c r="M23" s="159"/>
      <c r="N23" s="161"/>
      <c r="O23" s="161"/>
      <c r="P23" s="162"/>
      <c r="Q23" s="162"/>
      <c r="R23" s="162" t="s">
        <v>125</v>
      </c>
      <c r="S23" s="162" t="str">
        <f>IF(AND(H8&lt;&gt;H13,'DOD1'!G1&lt;&gt;1),IF('DOD1'!I3&lt;&gt;1,IF(S7&lt;&gt;E8,IF(D13=D10,S5,R5),0),"Kwota możliwa do zaoferowania klientowi jest niższa od minimalnej kwoty wybranego produktu: "),0)</f>
        <v>250 000 zł  brutto !</v>
      </c>
      <c r="T23" s="162"/>
      <c r="U23" s="162"/>
      <c r="V23" s="162"/>
    </row>
    <row r="24" spans="1:22" s="398" customFormat="1" ht="13.5" customHeight="1" x14ac:dyDescent="0.25">
      <c r="A24" s="388">
        <f>'DOD1'!A19</f>
        <v>0</v>
      </c>
      <c r="B24" s="388">
        <f>'DOD1'!B19</f>
        <v>0</v>
      </c>
      <c r="C24" s="399">
        <f>'DOD1'!C19</f>
        <v>0</v>
      </c>
      <c r="D24" s="388">
        <f>'DOD1'!D19</f>
        <v>0</v>
      </c>
      <c r="E24" s="388">
        <f>'DOD1'!E19</f>
        <v>0</v>
      </c>
      <c r="F24" s="390">
        <f>'DOD1'!F19</f>
        <v>0</v>
      </c>
      <c r="G24" s="398">
        <f t="shared" ref="G24:G30" si="2">G22</f>
        <v>800</v>
      </c>
      <c r="H24" s="392"/>
      <c r="I24" s="393"/>
      <c r="J24" s="394"/>
      <c r="K24" s="395">
        <v>1</v>
      </c>
      <c r="L24" s="396">
        <v>2000</v>
      </c>
      <c r="M24" s="395"/>
      <c r="N24" s="397"/>
      <c r="O24" s="397"/>
    </row>
    <row r="25" spans="1:22" s="178" customFormat="1" ht="13.5" customHeight="1" x14ac:dyDescent="0.25">
      <c r="A25" s="153">
        <f>'DOD1'!A20</f>
        <v>0</v>
      </c>
      <c r="B25" s="153">
        <f>'DOD1'!B20</f>
        <v>0</v>
      </c>
      <c r="C25" s="380">
        <f>'DOD1'!C20</f>
        <v>0</v>
      </c>
      <c r="D25" s="153">
        <f>'DOD1'!D20</f>
        <v>0</v>
      </c>
      <c r="E25" s="153">
        <f>'DOD1'!E20</f>
        <v>0</v>
      </c>
      <c r="F25" s="156">
        <f>'DOD1'!F20</f>
        <v>0</v>
      </c>
      <c r="G25" s="162">
        <f t="shared" si="2"/>
        <v>800</v>
      </c>
      <c r="H25" s="157"/>
      <c r="I25" s="154" t="s">
        <v>56</v>
      </c>
      <c r="J25" s="158"/>
      <c r="K25" s="159">
        <v>1</v>
      </c>
      <c r="L25" s="160">
        <v>2000</v>
      </c>
      <c r="M25" s="159"/>
      <c r="N25" s="161"/>
      <c r="O25" s="161"/>
      <c r="P25" s="162"/>
      <c r="Q25" s="162"/>
      <c r="R25" s="162"/>
      <c r="S25" s="171" t="str">
        <f>IF(AND(H8&lt;&gt;H13,'DOD1'!G1&lt;&gt;1),IF(AND('DOD1'!I3&lt;&gt;1,R6&lt;=S6),IF(S7&lt;&gt;E8,IF(D13=D10,S5,R5),0),"Kwota możliwa do zaoferowania klientowi jest niższa od minimalnej kwoty wybranego produktu: "),0)</f>
        <v>250 000 zł  brutto !</v>
      </c>
      <c r="T25" s="162"/>
      <c r="U25" s="162"/>
      <c r="V25" s="162"/>
    </row>
    <row r="26" spans="1:22" s="398" customFormat="1" ht="13.5" customHeight="1" thickBot="1" x14ac:dyDescent="0.3">
      <c r="A26" s="388">
        <f>'DOD1'!A21</f>
        <v>0</v>
      </c>
      <c r="B26" s="388">
        <f>'DOD1'!B21</f>
        <v>0</v>
      </c>
      <c r="C26" s="399">
        <f>'DOD1'!C21</f>
        <v>0</v>
      </c>
      <c r="D26" s="388">
        <f>'DOD1'!D21</f>
        <v>0</v>
      </c>
      <c r="E26" s="388">
        <f>'DOD1'!E21</f>
        <v>0</v>
      </c>
      <c r="F26" s="390">
        <f>'DOD1'!F21</f>
        <v>0</v>
      </c>
      <c r="G26" s="398">
        <f t="shared" si="2"/>
        <v>800</v>
      </c>
      <c r="H26" s="392"/>
      <c r="I26" s="393"/>
      <c r="J26" s="394"/>
      <c r="K26" s="395">
        <v>1</v>
      </c>
      <c r="L26" s="396">
        <v>2000</v>
      </c>
      <c r="M26" s="395"/>
      <c r="N26" s="397"/>
      <c r="O26" s="397"/>
      <c r="S26" s="402"/>
    </row>
    <row r="27" spans="1:22" s="178" customFormat="1" ht="13.5" customHeight="1" thickBot="1" x14ac:dyDescent="0.35">
      <c r="A27" s="166">
        <f>'DOD1'!A22</f>
        <v>0</v>
      </c>
      <c r="B27" s="166">
        <f>'DOD1'!B22</f>
        <v>0</v>
      </c>
      <c r="C27" s="381">
        <f>'DOD1'!C22</f>
        <v>0</v>
      </c>
      <c r="D27" s="166">
        <f>'DOD1'!D22</f>
        <v>0</v>
      </c>
      <c r="E27" s="153">
        <f>'DOD1'!E22</f>
        <v>0</v>
      </c>
      <c r="F27" s="156">
        <f>'DOD1'!F22</f>
        <v>0</v>
      </c>
      <c r="G27" s="162">
        <f t="shared" si="2"/>
        <v>800</v>
      </c>
      <c r="H27" s="157"/>
      <c r="I27" s="154" t="s">
        <v>57</v>
      </c>
      <c r="J27" s="158"/>
      <c r="K27" s="159">
        <v>1</v>
      </c>
      <c r="L27" s="1127">
        <f>IFERROR(FIND("POZOSTAŁY",C27,1)*12,20)-IFERROR(FIND("POZOSTAŁY_PD&gt;10",C27,1)*6,0)</f>
        <v>20</v>
      </c>
      <c r="M27" s="165"/>
      <c r="N27" s="161"/>
      <c r="O27" s="161"/>
      <c r="P27" s="162"/>
      <c r="Q27" s="162"/>
      <c r="R27" s="162"/>
      <c r="S27" s="162"/>
      <c r="T27" s="162"/>
      <c r="U27" s="162"/>
      <c r="V27" s="162"/>
    </row>
    <row r="28" spans="1:22" s="398" customFormat="1" ht="13.5" customHeight="1" thickBot="1" x14ac:dyDescent="0.35">
      <c r="A28" s="403">
        <f>'DOD1'!A23</f>
        <v>0</v>
      </c>
      <c r="B28" s="403">
        <f>'DOD1'!B23</f>
        <v>0</v>
      </c>
      <c r="C28" s="404">
        <f>'DOD1'!C23</f>
        <v>0</v>
      </c>
      <c r="D28" s="403">
        <f>'DOD1'!D23</f>
        <v>0</v>
      </c>
      <c r="E28" s="388">
        <f>'DOD1'!E23</f>
        <v>0</v>
      </c>
      <c r="F28" s="390">
        <f>'DOD1'!F23</f>
        <v>0</v>
      </c>
      <c r="G28" s="398">
        <f t="shared" si="2"/>
        <v>800</v>
      </c>
      <c r="H28" s="392"/>
      <c r="I28" s="393"/>
      <c r="J28" s="394"/>
      <c r="K28" s="395">
        <v>1</v>
      </c>
      <c r="L28" s="1127">
        <f t="shared" ref="L28:L34" si="3">IFERROR(FIND("POZOSTAŁY",C28,1)*12,20)-IFERROR(FIND("POZOSTAŁY_PD&gt;10",C28,1)*6,0)</f>
        <v>20</v>
      </c>
      <c r="M28" s="401"/>
      <c r="N28" s="397"/>
      <c r="O28" s="397"/>
    </row>
    <row r="29" spans="1:22" s="178" customFormat="1" ht="13.5" customHeight="1" thickBot="1" x14ac:dyDescent="0.35">
      <c r="A29" s="153">
        <f>'DOD1'!A24</f>
        <v>0</v>
      </c>
      <c r="B29" s="153">
        <f>'DOD1'!B24</f>
        <v>0</v>
      </c>
      <c r="C29" s="380">
        <f>'DOD1'!C24</f>
        <v>0</v>
      </c>
      <c r="D29" s="153">
        <f>'DOD1'!D24</f>
        <v>0</v>
      </c>
      <c r="E29" s="153">
        <f>'DOD1'!E24</f>
        <v>0</v>
      </c>
      <c r="F29" s="156">
        <f>'DOD1'!F24</f>
        <v>0</v>
      </c>
      <c r="G29" s="162">
        <f t="shared" si="2"/>
        <v>800</v>
      </c>
      <c r="H29" s="157"/>
      <c r="I29" s="155">
        <v>0</v>
      </c>
      <c r="J29" s="162"/>
      <c r="K29" s="159">
        <v>1</v>
      </c>
      <c r="L29" s="1127">
        <f t="shared" si="3"/>
        <v>20</v>
      </c>
      <c r="M29" s="165"/>
      <c r="N29" s="161"/>
      <c r="O29" s="161"/>
      <c r="P29" s="162"/>
      <c r="Q29" s="162"/>
      <c r="R29" s="162"/>
      <c r="S29" s="162"/>
      <c r="T29" s="162"/>
      <c r="U29" s="162"/>
      <c r="V29" s="162"/>
    </row>
    <row r="30" spans="1:22" s="398" customFormat="1" ht="13.5" customHeight="1" thickBot="1" x14ac:dyDescent="0.35">
      <c r="A30" s="388">
        <f>'DOD1'!A25</f>
        <v>0</v>
      </c>
      <c r="B30" s="388">
        <f>'DOD1'!B25</f>
        <v>0</v>
      </c>
      <c r="C30" s="399">
        <f>'DOD1'!C25</f>
        <v>0</v>
      </c>
      <c r="D30" s="388">
        <f>'DOD1'!D25</f>
        <v>0</v>
      </c>
      <c r="E30" s="388">
        <f>'DOD1'!E25</f>
        <v>0</v>
      </c>
      <c r="F30" s="390">
        <f>'DOD1'!F25</f>
        <v>0</v>
      </c>
      <c r="G30" s="398">
        <f t="shared" si="2"/>
        <v>800</v>
      </c>
      <c r="H30" s="392"/>
      <c r="I30" s="405"/>
      <c r="K30" s="395">
        <v>1</v>
      </c>
      <c r="L30" s="1127">
        <f t="shared" si="3"/>
        <v>20</v>
      </c>
      <c r="M30" s="401"/>
      <c r="N30" s="397"/>
      <c r="O30" s="397"/>
    </row>
    <row r="31" spans="1:22" s="370" customFormat="1" ht="13.5" hidden="1" customHeight="1" thickBot="1" x14ac:dyDescent="0.35">
      <c r="A31" s="363">
        <f>'DOD1'!A26</f>
        <v>0</v>
      </c>
      <c r="B31" s="363">
        <f>'DOD1'!B26</f>
        <v>0</v>
      </c>
      <c r="C31" s="382">
        <f>'DOD1'!C26</f>
        <v>0</v>
      </c>
      <c r="D31" s="363">
        <f>'DOD1'!D26</f>
        <v>0</v>
      </c>
      <c r="E31" s="408">
        <f>'DOD1'!E26</f>
        <v>0</v>
      </c>
      <c r="F31" s="364">
        <f>'DOD1'!F26</f>
        <v>0</v>
      </c>
      <c r="G31" s="365">
        <v>2000</v>
      </c>
      <c r="H31" s="366"/>
      <c r="I31" s="367">
        <v>0</v>
      </c>
      <c r="J31" s="171"/>
      <c r="K31" s="368">
        <v>1</v>
      </c>
      <c r="L31" s="1127">
        <f t="shared" si="3"/>
        <v>20</v>
      </c>
      <c r="M31" s="368"/>
      <c r="N31" s="369"/>
      <c r="O31" s="369"/>
      <c r="P31" s="171"/>
      <c r="Q31" s="171"/>
      <c r="R31" s="171"/>
      <c r="S31" s="171"/>
      <c r="T31" s="171"/>
      <c r="U31" s="171"/>
      <c r="V31" s="171"/>
    </row>
    <row r="32" spans="1:22" s="370" customFormat="1" ht="13.15" hidden="1" customHeight="1" thickBot="1" x14ac:dyDescent="0.35">
      <c r="A32" s="371">
        <f>'DOD1'!A27</f>
        <v>0</v>
      </c>
      <c r="B32" s="371">
        <f>'DOD1'!B27</f>
        <v>0</v>
      </c>
      <c r="C32" s="382">
        <f>'DOD1'!C27</f>
        <v>0</v>
      </c>
      <c r="D32" s="371">
        <f>'DOD1'!D27</f>
        <v>0</v>
      </c>
      <c r="E32" s="408">
        <f>'DOD1'!E27</f>
        <v>0</v>
      </c>
      <c r="F32" s="364">
        <f>'DOD1'!F27</f>
        <v>0</v>
      </c>
      <c r="G32" s="171">
        <v>2000</v>
      </c>
      <c r="H32" s="366"/>
      <c r="I32" s="367">
        <v>0</v>
      </c>
      <c r="J32" s="171"/>
      <c r="K32" s="368">
        <v>1</v>
      </c>
      <c r="L32" s="1127">
        <f t="shared" si="3"/>
        <v>20</v>
      </c>
      <c r="M32" s="372"/>
      <c r="N32" s="369"/>
      <c r="O32" s="369"/>
      <c r="P32" s="171"/>
      <c r="Q32" s="171"/>
      <c r="R32" s="171"/>
      <c r="S32" s="171"/>
      <c r="T32" s="171"/>
      <c r="U32" s="171"/>
      <c r="V32" s="171"/>
    </row>
    <row r="33" spans="1:22" s="370" customFormat="1" ht="13.15" hidden="1" customHeight="1" thickBot="1" x14ac:dyDescent="0.35">
      <c r="A33" s="692">
        <f>'DOD1'!A28</f>
        <v>0</v>
      </c>
      <c r="B33" s="692">
        <f>'DOD1'!B28</f>
        <v>0</v>
      </c>
      <c r="C33" s="693">
        <f>'DOD1'!C28</f>
        <v>0</v>
      </c>
      <c r="D33" s="692">
        <f>'DOD1'!D28</f>
        <v>0</v>
      </c>
      <c r="E33" s="694">
        <f>'DOD1'!E28</f>
        <v>0</v>
      </c>
      <c r="F33" s="695">
        <f>'DOD1'!F28</f>
        <v>0</v>
      </c>
      <c r="G33" s="696">
        <v>800</v>
      </c>
      <c r="H33" s="366"/>
      <c r="I33" s="367"/>
      <c r="J33" s="171"/>
      <c r="K33" s="699">
        <v>1</v>
      </c>
      <c r="L33" s="701">
        <v>1</v>
      </c>
      <c r="M33" s="372"/>
      <c r="N33" s="369"/>
      <c r="O33" s="369"/>
      <c r="P33" s="171"/>
      <c r="Q33" s="171"/>
      <c r="R33" s="171"/>
      <c r="S33" s="171"/>
      <c r="T33" s="171"/>
      <c r="U33" s="171"/>
      <c r="V33" s="171"/>
    </row>
    <row r="34" spans="1:22" s="696" customFormat="1" ht="13.5" hidden="1" customHeight="1" thickBot="1" x14ac:dyDescent="0.35">
      <c r="A34" s="692">
        <f>'DOD1'!A29</f>
        <v>0</v>
      </c>
      <c r="B34" s="692">
        <f>'DOD1'!B29</f>
        <v>0</v>
      </c>
      <c r="C34" s="693">
        <f>'DOD1'!C29</f>
        <v>0</v>
      </c>
      <c r="D34" s="692">
        <f>'DOD1'!D29</f>
        <v>0</v>
      </c>
      <c r="E34" s="694">
        <f>'DOD1'!E29</f>
        <v>0</v>
      </c>
      <c r="F34" s="695">
        <f>'DOD1'!F29</f>
        <v>0</v>
      </c>
      <c r="G34" s="696">
        <v>800</v>
      </c>
      <c r="H34" s="697"/>
      <c r="I34" s="698">
        <v>0</v>
      </c>
      <c r="K34" s="699">
        <v>1</v>
      </c>
      <c r="L34" s="1127">
        <f t="shared" si="3"/>
        <v>20</v>
      </c>
      <c r="M34" s="699"/>
      <c r="N34" s="700"/>
      <c r="O34" s="700"/>
    </row>
    <row r="35" spans="1:22" s="696" customFormat="1" ht="13.5" hidden="1" customHeight="1" x14ac:dyDescent="0.25">
      <c r="A35" s="692">
        <f>'DOD1'!A30</f>
        <v>0</v>
      </c>
      <c r="B35" s="692">
        <f>'DOD1'!B30</f>
        <v>0</v>
      </c>
      <c r="C35" s="693">
        <f>'DOD1'!C30</f>
        <v>0</v>
      </c>
      <c r="D35" s="692">
        <f>'DOD1'!D30</f>
        <v>0</v>
      </c>
      <c r="E35" s="694">
        <f>'DOD1'!E30</f>
        <v>0</v>
      </c>
      <c r="F35" s="695">
        <f>'DOD1'!F30</f>
        <v>0</v>
      </c>
      <c r="G35" s="696">
        <v>800</v>
      </c>
      <c r="H35" s="697"/>
      <c r="I35" s="698">
        <v>0</v>
      </c>
      <c r="K35" s="699">
        <v>1</v>
      </c>
      <c r="L35" s="701">
        <v>1</v>
      </c>
      <c r="M35" s="702"/>
      <c r="N35" s="700"/>
      <c r="O35" s="700"/>
    </row>
    <row r="36" spans="1:22" s="178" customFormat="1" ht="13.5" customHeight="1" x14ac:dyDescent="0.25">
      <c r="A36" s="153">
        <f>'DOD1'!A31</f>
        <v>0</v>
      </c>
      <c r="B36" s="153">
        <f>'DOD1'!B31</f>
        <v>0</v>
      </c>
      <c r="C36" s="380">
        <f>'DOD1'!C31</f>
        <v>0</v>
      </c>
      <c r="D36" s="153">
        <f>'DOD1'!D31</f>
        <v>0</v>
      </c>
      <c r="E36" s="153">
        <f>'DOD1'!E31</f>
        <v>0</v>
      </c>
      <c r="F36" s="156">
        <f>'DOD1'!F31</f>
        <v>0</v>
      </c>
      <c r="G36" s="162">
        <f>G29</f>
        <v>800</v>
      </c>
      <c r="H36" s="157"/>
      <c r="I36" s="155">
        <v>0</v>
      </c>
      <c r="J36" s="162"/>
      <c r="K36" s="159">
        <v>1</v>
      </c>
      <c r="L36" s="160">
        <v>2000</v>
      </c>
      <c r="M36" s="159"/>
      <c r="N36" s="161"/>
      <c r="O36" s="161"/>
      <c r="P36" s="162"/>
      <c r="Q36" s="162"/>
      <c r="R36" s="162"/>
      <c r="S36" s="162"/>
      <c r="T36" s="162"/>
      <c r="U36" s="162"/>
      <c r="V36" s="162"/>
    </row>
    <row r="37" spans="1:22" s="178" customFormat="1" ht="13.5" customHeight="1" thickBot="1" x14ac:dyDescent="0.3">
      <c r="A37" s="153">
        <f>'DOD1'!A32</f>
        <v>0</v>
      </c>
      <c r="B37" s="153">
        <f>'DOD1'!B32</f>
        <v>0</v>
      </c>
      <c r="C37" s="380">
        <f>'DOD1'!C32</f>
        <v>0</v>
      </c>
      <c r="D37" s="153">
        <f>'DOD1'!D32</f>
        <v>0</v>
      </c>
      <c r="E37" s="153">
        <f>'DOD1'!E32</f>
        <v>0</v>
      </c>
      <c r="F37" s="156">
        <f>'DOD1'!F32</f>
        <v>0</v>
      </c>
      <c r="G37" s="162">
        <f t="shared" ref="G37:G44" si="4">G36</f>
        <v>800</v>
      </c>
      <c r="H37" s="157"/>
      <c r="I37" s="155">
        <v>0</v>
      </c>
      <c r="J37" s="162"/>
      <c r="K37" s="159">
        <v>1</v>
      </c>
      <c r="L37" s="160">
        <v>2000</v>
      </c>
      <c r="M37" s="159"/>
      <c r="N37" s="161"/>
      <c r="O37" s="161"/>
      <c r="P37" s="162"/>
      <c r="Q37" s="162"/>
      <c r="R37" s="162"/>
      <c r="S37" s="162"/>
      <c r="T37" s="162"/>
      <c r="U37" s="162"/>
      <c r="V37" s="162"/>
    </row>
    <row r="38" spans="1:22" s="178" customFormat="1" ht="13.5" customHeight="1" thickBot="1" x14ac:dyDescent="0.35">
      <c r="A38" s="153">
        <f>'DOD1'!A33</f>
        <v>0</v>
      </c>
      <c r="B38" s="153">
        <f>'DOD1'!B33</f>
        <v>0</v>
      </c>
      <c r="C38" s="380">
        <f>'DOD1'!C33</f>
        <v>0</v>
      </c>
      <c r="D38" s="153">
        <f>'DOD1'!D33</f>
        <v>0</v>
      </c>
      <c r="E38" s="153">
        <f>'DOD1'!E33</f>
        <v>0</v>
      </c>
      <c r="F38" s="156">
        <f>'DOD1'!F33</f>
        <v>0</v>
      </c>
      <c r="G38" s="162">
        <f t="shared" si="4"/>
        <v>800</v>
      </c>
      <c r="H38" s="157"/>
      <c r="I38" s="155">
        <v>0</v>
      </c>
      <c r="J38" s="162"/>
      <c r="K38" s="159">
        <v>1</v>
      </c>
      <c r="L38" s="1127">
        <f t="shared" ref="L38:L39" si="5">IFERROR(FIND("POZOSTAŁY",C38,1)*12,20)-IFERROR(FIND("POZOSTAŁY_PD&gt;10",C38,1)*6,0)</f>
        <v>20</v>
      </c>
      <c r="M38" s="165"/>
      <c r="N38" s="161"/>
      <c r="O38" s="161"/>
      <c r="P38" s="162"/>
      <c r="Q38" s="162"/>
      <c r="R38" s="162"/>
      <c r="S38" s="162"/>
      <c r="T38" s="162"/>
      <c r="U38" s="162"/>
      <c r="V38" s="162"/>
    </row>
    <row r="39" spans="1:22" s="178" customFormat="1" ht="13.5" customHeight="1" thickBot="1" x14ac:dyDescent="0.35">
      <c r="A39" s="153">
        <f>'DOD1'!A34</f>
        <v>0</v>
      </c>
      <c r="B39" s="153">
        <f>'DOD1'!B34</f>
        <v>0</v>
      </c>
      <c r="C39" s="380">
        <f>'DOD1'!C34</f>
        <v>0</v>
      </c>
      <c r="D39" s="153">
        <f>'DOD1'!D34</f>
        <v>0</v>
      </c>
      <c r="E39" s="153">
        <f>'DOD1'!E34</f>
        <v>0</v>
      </c>
      <c r="F39" s="156">
        <f>'DOD1'!F34</f>
        <v>0</v>
      </c>
      <c r="G39" s="162">
        <f t="shared" si="4"/>
        <v>800</v>
      </c>
      <c r="H39" s="157"/>
      <c r="I39" s="155">
        <v>0</v>
      </c>
      <c r="J39" s="162"/>
      <c r="K39" s="159">
        <v>1</v>
      </c>
      <c r="L39" s="1127">
        <f t="shared" si="5"/>
        <v>20</v>
      </c>
      <c r="M39" s="165"/>
      <c r="N39" s="161"/>
      <c r="O39" s="161"/>
      <c r="P39" s="162"/>
      <c r="Q39" s="162"/>
      <c r="R39" s="162"/>
      <c r="S39" s="162"/>
      <c r="T39" s="162"/>
      <c r="U39" s="162"/>
      <c r="V39" s="162"/>
    </row>
    <row r="40" spans="1:22" s="178" customFormat="1" ht="13.5" customHeight="1" x14ac:dyDescent="0.25">
      <c r="A40" s="153">
        <f>'DOD1'!A35</f>
        <v>0</v>
      </c>
      <c r="B40" s="153">
        <f>'DOD1'!B35</f>
        <v>0</v>
      </c>
      <c r="C40" s="380">
        <f>'DOD1'!C35</f>
        <v>0</v>
      </c>
      <c r="D40" s="153">
        <f>'DOD1'!D35</f>
        <v>0</v>
      </c>
      <c r="E40" s="153">
        <f>'DOD1'!E35</f>
        <v>0</v>
      </c>
      <c r="F40" s="156">
        <f>'DOD1'!F35</f>
        <v>0</v>
      </c>
      <c r="G40" s="162">
        <f t="shared" si="4"/>
        <v>800</v>
      </c>
      <c r="H40" s="157"/>
      <c r="I40" s="155">
        <v>0</v>
      </c>
      <c r="J40" s="162"/>
      <c r="K40" s="159">
        <v>1</v>
      </c>
      <c r="L40" s="160">
        <v>2000</v>
      </c>
      <c r="M40" s="159"/>
      <c r="N40" s="161"/>
      <c r="O40" s="161"/>
      <c r="P40" s="162"/>
      <c r="Q40" s="162"/>
      <c r="R40" s="162"/>
      <c r="S40" s="162"/>
      <c r="T40" s="162"/>
      <c r="U40" s="162"/>
      <c r="V40" s="162"/>
    </row>
    <row r="41" spans="1:22" s="178" customFormat="1" ht="13.5" customHeight="1" thickBot="1" x14ac:dyDescent="0.3">
      <c r="A41" s="153">
        <f>'DOD1'!A36</f>
        <v>0</v>
      </c>
      <c r="B41" s="153">
        <f>'DOD1'!B36</f>
        <v>0</v>
      </c>
      <c r="C41" s="380">
        <f>'DOD1'!C36</f>
        <v>0</v>
      </c>
      <c r="D41" s="153">
        <f>'DOD1'!D36</f>
        <v>0</v>
      </c>
      <c r="E41" s="153">
        <f>'DOD1'!E36</f>
        <v>0</v>
      </c>
      <c r="F41" s="156">
        <f>'DOD1'!F36</f>
        <v>0</v>
      </c>
      <c r="G41" s="162">
        <f t="shared" si="4"/>
        <v>800</v>
      </c>
      <c r="H41" s="157"/>
      <c r="I41" s="155">
        <v>0</v>
      </c>
      <c r="J41" s="162"/>
      <c r="K41" s="159">
        <v>1</v>
      </c>
      <c r="L41" s="160">
        <v>2000</v>
      </c>
      <c r="M41" s="159"/>
      <c r="N41" s="161"/>
      <c r="O41" s="161"/>
      <c r="P41" s="162"/>
      <c r="Q41" s="162"/>
      <c r="R41" s="162"/>
      <c r="S41" s="162"/>
      <c r="T41" s="162"/>
      <c r="U41" s="162"/>
      <c r="V41" s="162"/>
    </row>
    <row r="42" spans="1:22" s="178" customFormat="1" ht="13.5" customHeight="1" thickBot="1" x14ac:dyDescent="0.35">
      <c r="A42" s="153">
        <f>'DOD1'!A37</f>
        <v>0</v>
      </c>
      <c r="B42" s="153">
        <f>'DOD1'!B37</f>
        <v>0</v>
      </c>
      <c r="C42" s="380">
        <f>'DOD1'!C37</f>
        <v>0</v>
      </c>
      <c r="D42" s="153">
        <f>'DOD1'!D37</f>
        <v>0</v>
      </c>
      <c r="E42" s="153">
        <f>'DOD1'!E37</f>
        <v>0</v>
      </c>
      <c r="F42" s="156">
        <f>'DOD1'!F37</f>
        <v>0</v>
      </c>
      <c r="G42" s="162">
        <f t="shared" si="4"/>
        <v>800</v>
      </c>
      <c r="H42" s="157"/>
      <c r="I42" s="155">
        <v>0</v>
      </c>
      <c r="J42" s="162"/>
      <c r="K42" s="159">
        <v>1</v>
      </c>
      <c r="L42" s="1127">
        <f t="shared" ref="L42:L48" si="6">IFERROR(FIND("POZOSTAŁY",C42,1)*12,20)-IFERROR(FIND("POZOSTAŁY_PD&gt;10",C42,1)*6,0)</f>
        <v>20</v>
      </c>
      <c r="M42" s="165"/>
      <c r="N42" s="161"/>
      <c r="O42" s="161"/>
      <c r="P42" s="162"/>
      <c r="Q42" s="162"/>
      <c r="R42" s="162"/>
      <c r="S42" s="162"/>
      <c r="T42" s="162"/>
      <c r="U42" s="162"/>
      <c r="V42" s="162"/>
    </row>
    <row r="43" spans="1:22" s="178" customFormat="1" ht="13.5" customHeight="1" thickBot="1" x14ac:dyDescent="0.35">
      <c r="A43" s="153">
        <f>'DOD1'!A38</f>
        <v>0</v>
      </c>
      <c r="B43" s="153">
        <f>'DOD1'!B38</f>
        <v>0</v>
      </c>
      <c r="C43" s="380">
        <f>'DOD1'!C38</f>
        <v>0</v>
      </c>
      <c r="D43" s="153">
        <f>'DOD1'!D38</f>
        <v>0</v>
      </c>
      <c r="E43" s="153">
        <f>'DOD1'!E38</f>
        <v>0</v>
      </c>
      <c r="F43" s="156">
        <f>'DOD1'!F38</f>
        <v>0</v>
      </c>
      <c r="G43" s="162">
        <f t="shared" si="4"/>
        <v>800</v>
      </c>
      <c r="H43" s="157"/>
      <c r="I43" s="155">
        <v>0</v>
      </c>
      <c r="J43" s="162"/>
      <c r="K43" s="159">
        <v>1</v>
      </c>
      <c r="L43" s="1127">
        <f t="shared" si="6"/>
        <v>20</v>
      </c>
      <c r="M43" s="165"/>
      <c r="N43" s="161"/>
      <c r="O43" s="161"/>
      <c r="P43" s="162"/>
      <c r="Q43" s="162"/>
      <c r="R43" s="162"/>
      <c r="S43" s="162"/>
      <c r="T43" s="162"/>
      <c r="U43" s="162"/>
      <c r="V43" s="162"/>
    </row>
    <row r="44" spans="1:22" s="178" customFormat="1" ht="13.5" hidden="1" customHeight="1" thickBot="1" x14ac:dyDescent="0.3">
      <c r="A44" s="879">
        <f>'DOD1'!A39</f>
        <v>0</v>
      </c>
      <c r="B44" s="879">
        <f>'DOD1'!B39</f>
        <v>0</v>
      </c>
      <c r="C44" s="880">
        <f>'DOD1'!C39</f>
        <v>0</v>
      </c>
      <c r="D44" s="879">
        <f>'DOD1'!D39</f>
        <v>0</v>
      </c>
      <c r="E44" s="879">
        <f>'DOD1'!E39</f>
        <v>0</v>
      </c>
      <c r="F44" s="881">
        <f>'DOD1'!F39</f>
        <v>0</v>
      </c>
      <c r="G44" s="882">
        <f t="shared" si="4"/>
        <v>800</v>
      </c>
      <c r="H44" s="883"/>
      <c r="I44" s="884">
        <v>0</v>
      </c>
      <c r="J44" s="882"/>
      <c r="K44" s="885">
        <v>1</v>
      </c>
      <c r="L44" s="886">
        <v>1</v>
      </c>
      <c r="M44" s="885"/>
      <c r="N44" s="887"/>
      <c r="O44" s="887"/>
      <c r="P44" s="882"/>
      <c r="Q44" s="882"/>
      <c r="R44" s="882"/>
      <c r="S44" s="882"/>
      <c r="T44" s="882"/>
      <c r="U44" s="882"/>
      <c r="V44" s="882"/>
    </row>
    <row r="45" spans="1:22" s="178" customFormat="1" ht="13.5" hidden="1" customHeight="1" thickBot="1" x14ac:dyDescent="0.35">
      <c r="A45" s="879">
        <f>'DOD1'!A40</f>
        <v>0</v>
      </c>
      <c r="B45" s="879">
        <f>'DOD1'!B40</f>
        <v>0</v>
      </c>
      <c r="C45" s="880">
        <f>'DOD1'!C40</f>
        <v>0</v>
      </c>
      <c r="D45" s="889">
        <f>'DOD1'!D40</f>
        <v>0</v>
      </c>
      <c r="E45" s="879">
        <f>'DOD1'!E40</f>
        <v>0</v>
      </c>
      <c r="F45" s="881">
        <f>'DOD1'!F40</f>
        <v>0</v>
      </c>
      <c r="G45" s="882">
        <v>900</v>
      </c>
      <c r="H45" s="883"/>
      <c r="I45" s="884">
        <v>0</v>
      </c>
      <c r="J45" s="882"/>
      <c r="K45" s="885">
        <v>1</v>
      </c>
      <c r="L45" s="1127">
        <f t="shared" si="6"/>
        <v>20</v>
      </c>
      <c r="M45" s="888"/>
      <c r="N45" s="887"/>
      <c r="O45" s="887"/>
      <c r="P45" s="882"/>
      <c r="Q45" s="882"/>
      <c r="R45" s="882"/>
      <c r="S45" s="882"/>
      <c r="T45" s="882"/>
      <c r="U45" s="882"/>
      <c r="V45" s="882"/>
    </row>
    <row r="46" spans="1:22" s="178" customFormat="1" ht="13.5" hidden="1" customHeight="1" thickBot="1" x14ac:dyDescent="0.35">
      <c r="A46" s="153">
        <f>'DOD1'!A41</f>
        <v>0</v>
      </c>
      <c r="B46" s="153">
        <f>'DOD1'!B41</f>
        <v>0</v>
      </c>
      <c r="C46" s="380">
        <f>'DOD1'!C41</f>
        <v>0</v>
      </c>
      <c r="D46" s="153">
        <f>'DOD1'!D41</f>
        <v>0</v>
      </c>
      <c r="E46" s="153">
        <f>'DOD1'!E41</f>
        <v>0</v>
      </c>
      <c r="F46" s="156">
        <f>'DOD1'!F41</f>
        <v>0</v>
      </c>
      <c r="G46" s="162">
        <v>800</v>
      </c>
      <c r="H46" s="157"/>
      <c r="I46" s="155">
        <v>0</v>
      </c>
      <c r="J46" s="162"/>
      <c r="K46" s="159">
        <v>1</v>
      </c>
      <c r="L46" s="1127">
        <f t="shared" si="6"/>
        <v>20</v>
      </c>
      <c r="M46" s="159"/>
      <c r="N46" s="161"/>
      <c r="O46" s="161"/>
      <c r="P46" s="162"/>
      <c r="Q46" s="162"/>
      <c r="R46" s="162"/>
      <c r="S46" s="162"/>
      <c r="T46" s="162"/>
      <c r="U46" s="162"/>
      <c r="V46" s="162"/>
    </row>
    <row r="47" spans="1:22" s="178" customFormat="1" ht="13.5" hidden="1" customHeight="1" thickBot="1" x14ac:dyDescent="0.35">
      <c r="A47" s="153">
        <f>'DOD1'!A42</f>
        <v>0</v>
      </c>
      <c r="B47" s="153">
        <f>'DOD1'!B42</f>
        <v>0</v>
      </c>
      <c r="C47" s="380">
        <f>'DOD1'!C42</f>
        <v>0</v>
      </c>
      <c r="D47" s="153">
        <f>'DOD1'!D42</f>
        <v>0</v>
      </c>
      <c r="E47" s="153">
        <f>'DOD1'!E42</f>
        <v>0</v>
      </c>
      <c r="F47" s="156">
        <f>'DOD1'!F42</f>
        <v>0</v>
      </c>
      <c r="G47" s="162">
        <f>G46</f>
        <v>800</v>
      </c>
      <c r="H47" s="157"/>
      <c r="I47" s="155">
        <v>0</v>
      </c>
      <c r="J47" s="162"/>
      <c r="K47" s="159">
        <v>1</v>
      </c>
      <c r="L47" s="1127">
        <f t="shared" si="6"/>
        <v>20</v>
      </c>
      <c r="M47" s="165"/>
      <c r="N47" s="161"/>
      <c r="O47" s="161"/>
      <c r="P47" s="162"/>
      <c r="Q47" s="162"/>
      <c r="R47" s="162"/>
      <c r="S47" s="162"/>
      <c r="T47" s="162"/>
      <c r="U47" s="162"/>
      <c r="V47" s="162"/>
    </row>
    <row r="48" spans="1:22" s="358" customFormat="1" ht="13.5" hidden="1" customHeight="1" thickBot="1" x14ac:dyDescent="0.35">
      <c r="A48" s="354">
        <f>'DOD1'!A43</f>
        <v>0</v>
      </c>
      <c r="B48" s="153">
        <f>'DOD1'!B43</f>
        <v>0</v>
      </c>
      <c r="C48" s="383">
        <f>'DOD1'!C43</f>
        <v>0</v>
      </c>
      <c r="D48" s="354">
        <f>'DOD1'!D43</f>
        <v>0</v>
      </c>
      <c r="E48" s="354">
        <f>'DOD1'!E43</f>
        <v>0</v>
      </c>
      <c r="F48" s="355">
        <f>'DOD1'!F43</f>
        <v>0</v>
      </c>
      <c r="G48" s="151">
        <v>800</v>
      </c>
      <c r="H48" s="356"/>
      <c r="I48" s="357">
        <v>0</v>
      </c>
      <c r="K48" s="359">
        <v>1</v>
      </c>
      <c r="L48" s="1127">
        <f t="shared" si="6"/>
        <v>20</v>
      </c>
      <c r="M48" s="359"/>
      <c r="N48" s="360"/>
      <c r="O48" s="360"/>
    </row>
    <row r="49" spans="1:15" s="185" customFormat="1" ht="13.5" hidden="1" customHeight="1" thickBot="1" x14ac:dyDescent="0.35">
      <c r="A49" s="181">
        <f>'DOD1'!A44</f>
        <v>0</v>
      </c>
      <c r="B49" s="181">
        <f>'DOD1'!B44</f>
        <v>0</v>
      </c>
      <c r="C49" s="384">
        <f>'DOD1'!C44</f>
        <v>0</v>
      </c>
      <c r="D49" s="181">
        <f>'DOD1'!D44</f>
        <v>0</v>
      </c>
      <c r="E49" s="181">
        <f>'DOD1'!E44</f>
        <v>0</v>
      </c>
      <c r="F49" s="182">
        <f>'DOD1'!F44</f>
        <v>0</v>
      </c>
      <c r="G49" s="185">
        <f t="shared" ref="G49:G66" si="7">G48</f>
        <v>800</v>
      </c>
      <c r="H49" s="183"/>
      <c r="I49" s="184">
        <v>0</v>
      </c>
      <c r="K49" s="359">
        <v>1</v>
      </c>
      <c r="L49" s="1127">
        <f t="shared" ref="L49:L55" si="8">IFERROR(FIND("POZOSTAŁY",C49,1)*12,20)-IFERROR(FIND("POZOSTAŁY_PD&gt;10",C49,1)*6,0)</f>
        <v>20</v>
      </c>
      <c r="M49" s="189" t="s">
        <v>130</v>
      </c>
      <c r="N49" s="188"/>
      <c r="O49" s="188"/>
    </row>
    <row r="50" spans="1:15" s="185" customFormat="1" ht="13.5" hidden="1" customHeight="1" thickBot="1" x14ac:dyDescent="0.35">
      <c r="A50" s="181">
        <f>'DOD1'!A45</f>
        <v>0</v>
      </c>
      <c r="B50" s="181">
        <f>'DOD1'!B45</f>
        <v>0</v>
      </c>
      <c r="C50" s="385">
        <f>'DOD1'!C45</f>
        <v>0</v>
      </c>
      <c r="D50" s="181">
        <f>'DOD1'!D45</f>
        <v>0</v>
      </c>
      <c r="E50" s="181">
        <f>'DOD1'!E45</f>
        <v>0</v>
      </c>
      <c r="F50" s="182">
        <f>'DOD1'!F45</f>
        <v>0</v>
      </c>
      <c r="G50" s="185">
        <f t="shared" si="7"/>
        <v>800</v>
      </c>
      <c r="H50" s="183"/>
      <c r="I50" s="184">
        <v>0</v>
      </c>
      <c r="K50" s="359">
        <v>1</v>
      </c>
      <c r="L50" s="1127">
        <f t="shared" si="8"/>
        <v>20</v>
      </c>
      <c r="M50" s="186"/>
      <c r="N50" s="188"/>
      <c r="O50" s="188"/>
    </row>
    <row r="51" spans="1:15" s="185" customFormat="1" ht="13.5" hidden="1" customHeight="1" thickBot="1" x14ac:dyDescent="0.35">
      <c r="A51" s="181">
        <f>'DOD1'!A46</f>
        <v>0</v>
      </c>
      <c r="B51" s="181">
        <f>'DOD1'!B46</f>
        <v>0</v>
      </c>
      <c r="C51" s="385">
        <f>'DOD1'!C46</f>
        <v>0</v>
      </c>
      <c r="D51" s="181">
        <f>'DOD1'!D46</f>
        <v>0</v>
      </c>
      <c r="E51" s="181">
        <f>'DOD1'!E46</f>
        <v>0</v>
      </c>
      <c r="F51" s="182">
        <f>'DOD1'!F46</f>
        <v>0</v>
      </c>
      <c r="G51" s="185">
        <f t="shared" si="7"/>
        <v>800</v>
      </c>
      <c r="H51" s="183"/>
      <c r="I51" s="184">
        <v>0</v>
      </c>
      <c r="K51" s="359">
        <v>1</v>
      </c>
      <c r="L51" s="1127">
        <f t="shared" si="8"/>
        <v>20</v>
      </c>
      <c r="M51" s="190" t="s">
        <v>130</v>
      </c>
      <c r="N51" s="188"/>
      <c r="O51" s="188"/>
    </row>
    <row r="52" spans="1:15" s="178" customFormat="1" ht="13.5" customHeight="1" thickBot="1" x14ac:dyDescent="0.35">
      <c r="A52" s="1480">
        <f>'DOD1'!A47</f>
        <v>0</v>
      </c>
      <c r="B52" s="1480">
        <f>'DOD1'!B47</f>
        <v>0</v>
      </c>
      <c r="C52" s="1481">
        <f>'DOD1'!C47</f>
        <v>0</v>
      </c>
      <c r="D52" s="1480">
        <f>'DOD1'!D47</f>
        <v>0</v>
      </c>
      <c r="E52" s="1480">
        <f>'DOD1'!E47</f>
        <v>0</v>
      </c>
      <c r="F52" s="1482">
        <f>'DOD1'!F47</f>
        <v>0</v>
      </c>
      <c r="G52" s="178">
        <v>5000</v>
      </c>
      <c r="H52" s="1483"/>
      <c r="I52" s="55">
        <v>0</v>
      </c>
      <c r="K52" s="1484">
        <v>1</v>
      </c>
      <c r="L52" s="1127">
        <f t="shared" si="8"/>
        <v>20</v>
      </c>
      <c r="M52" s="1484"/>
      <c r="N52" s="1485"/>
      <c r="O52" s="1485"/>
    </row>
    <row r="53" spans="1:15" s="178" customFormat="1" ht="13.5" customHeight="1" thickBot="1" x14ac:dyDescent="0.35">
      <c r="A53" s="1480">
        <f>'DOD1'!A48</f>
        <v>0</v>
      </c>
      <c r="B53" s="1480">
        <f>'DOD1'!B48</f>
        <v>0</v>
      </c>
      <c r="C53" s="1481">
        <f>'DOD1'!C48</f>
        <v>0</v>
      </c>
      <c r="D53" s="1480">
        <f>'DOD1'!D48</f>
        <v>0</v>
      </c>
      <c r="E53" s="1480">
        <f>'DOD1'!E48</f>
        <v>0</v>
      </c>
      <c r="F53" s="1482">
        <f>'DOD1'!F48</f>
        <v>0</v>
      </c>
      <c r="G53" s="178">
        <v>5000</v>
      </c>
      <c r="H53" s="1483"/>
      <c r="I53" s="55">
        <v>0</v>
      </c>
      <c r="K53" s="1484">
        <v>1</v>
      </c>
      <c r="L53" s="1127">
        <f t="shared" ref="L53" si="9">IFERROR(FIND("POZOSTAŁY",C53,1)*12,20)-IFERROR(FIND("POZOSTAŁY_PD&gt;10",C53,1)*6,0)</f>
        <v>20</v>
      </c>
      <c r="M53" s="1486"/>
      <c r="N53" s="1485"/>
      <c r="O53" s="1485"/>
    </row>
    <row r="54" spans="1:15" s="178" customFormat="1" ht="13.5" customHeight="1" thickBot="1" x14ac:dyDescent="0.35">
      <c r="A54" s="1480">
        <f>'DOD1'!A49</f>
        <v>0</v>
      </c>
      <c r="B54" s="1480">
        <f>'DOD1'!B49</f>
        <v>0</v>
      </c>
      <c r="C54" s="1481">
        <f>'DOD1'!C49</f>
        <v>0</v>
      </c>
      <c r="D54" s="1480">
        <f>'DOD1'!D49</f>
        <v>0</v>
      </c>
      <c r="E54" s="1480">
        <f>'DOD1'!E49</f>
        <v>0</v>
      </c>
      <c r="F54" s="1482">
        <f>'DOD1'!F49</f>
        <v>0</v>
      </c>
      <c r="G54" s="178">
        <v>5000</v>
      </c>
      <c r="H54" s="1483"/>
      <c r="I54" s="55">
        <v>0</v>
      </c>
      <c r="K54" s="1484">
        <v>1</v>
      </c>
      <c r="L54" s="1127">
        <f t="shared" si="8"/>
        <v>20</v>
      </c>
      <c r="M54" s="1486"/>
      <c r="N54" s="1485"/>
      <c r="O54" s="1485"/>
    </row>
    <row r="55" spans="1:15" s="178" customFormat="1" ht="13.5" customHeight="1" thickBot="1" x14ac:dyDescent="0.35">
      <c r="A55" s="1480">
        <f>'DOD1'!A50</f>
        <v>0</v>
      </c>
      <c r="B55" s="1480">
        <f>'DOD1'!B50</f>
        <v>0</v>
      </c>
      <c r="C55" s="1481">
        <f>'DOD1'!C50</f>
        <v>0</v>
      </c>
      <c r="D55" s="1480">
        <f>'DOD1'!D50</f>
        <v>0</v>
      </c>
      <c r="E55" s="1480">
        <f>'DOD1'!E50</f>
        <v>0</v>
      </c>
      <c r="F55" s="1482">
        <f>'DOD1'!F50</f>
        <v>0</v>
      </c>
      <c r="G55" s="178">
        <v>5000</v>
      </c>
      <c r="H55" s="1483"/>
      <c r="I55" s="55">
        <v>0</v>
      </c>
      <c r="K55" s="1484">
        <v>1</v>
      </c>
      <c r="L55" s="1127">
        <f t="shared" si="8"/>
        <v>20</v>
      </c>
      <c r="M55" s="1486"/>
      <c r="N55" s="1485"/>
      <c r="O55" s="1485"/>
    </row>
    <row r="56" spans="1:15" s="419" customFormat="1" ht="13.5" hidden="1" customHeight="1" thickBot="1" x14ac:dyDescent="0.35">
      <c r="A56" s="416">
        <f>'DOD1'!A51</f>
        <v>0</v>
      </c>
      <c r="B56" s="416">
        <f>'DOD1'!B51</f>
        <v>0</v>
      </c>
      <c r="C56" s="417">
        <f>'DOD1'!C51</f>
        <v>0</v>
      </c>
      <c r="D56" s="416">
        <f>'DOD1'!D51</f>
        <v>0</v>
      </c>
      <c r="E56" s="416">
        <f>'DOD1'!E51</f>
        <v>0</v>
      </c>
      <c r="F56" s="418">
        <f>'DOD1'!F51</f>
        <v>0</v>
      </c>
      <c r="G56" s="419">
        <v>800</v>
      </c>
      <c r="H56" s="420"/>
      <c r="I56" s="421">
        <v>0</v>
      </c>
      <c r="K56" s="186">
        <v>1</v>
      </c>
      <c r="L56" s="423">
        <v>2000</v>
      </c>
      <c r="M56" s="422"/>
      <c r="N56" s="424"/>
      <c r="O56" s="424"/>
    </row>
    <row r="57" spans="1:15" s="185" customFormat="1" ht="13.5" hidden="1" customHeight="1" thickBot="1" x14ac:dyDescent="0.35">
      <c r="A57" s="181">
        <f>'DOD1'!A52</f>
        <v>0</v>
      </c>
      <c r="B57" s="181">
        <f>'DOD1'!B52</f>
        <v>0</v>
      </c>
      <c r="C57" s="384">
        <f>'DOD1'!C52</f>
        <v>0</v>
      </c>
      <c r="D57" s="181">
        <f>'DOD1'!D52</f>
        <v>0</v>
      </c>
      <c r="E57" s="181">
        <f>'DOD1'!E52</f>
        <v>0</v>
      </c>
      <c r="F57" s="182">
        <f>'DOD1'!F52</f>
        <v>0</v>
      </c>
      <c r="G57" s="425">
        <v>800</v>
      </c>
      <c r="H57" s="183"/>
      <c r="I57" s="184">
        <v>0</v>
      </c>
      <c r="K57" s="186">
        <v>1</v>
      </c>
      <c r="L57" s="1127">
        <f t="shared" ref="L57:L58" si="10">IFERROR(FIND("POZOSTAŁY",C57,1)*12,20)-IFERROR(FIND("POZOSTAŁY_PD&gt;10",C57,1)*6,0)</f>
        <v>20</v>
      </c>
      <c r="M57" s="190" t="s">
        <v>130</v>
      </c>
      <c r="N57" s="188"/>
      <c r="O57" s="188"/>
    </row>
    <row r="58" spans="1:15" s="185" customFormat="1" ht="13.5" hidden="1" customHeight="1" thickBot="1" x14ac:dyDescent="0.35">
      <c r="A58" s="181">
        <f>'DOD1'!A53</f>
        <v>0</v>
      </c>
      <c r="B58" s="181">
        <f>'DOD1'!B53</f>
        <v>0</v>
      </c>
      <c r="C58" s="384">
        <f>'DOD1'!C53</f>
        <v>0</v>
      </c>
      <c r="D58" s="181">
        <f>'DOD1'!D53</f>
        <v>0</v>
      </c>
      <c r="E58" s="181">
        <f>'DOD1'!E53</f>
        <v>0</v>
      </c>
      <c r="F58" s="182">
        <f>'DOD1'!F53</f>
        <v>0</v>
      </c>
      <c r="G58" s="185">
        <v>800</v>
      </c>
      <c r="H58" s="183"/>
      <c r="I58" s="184">
        <v>0</v>
      </c>
      <c r="K58" s="186">
        <v>1</v>
      </c>
      <c r="L58" s="1127">
        <f t="shared" si="10"/>
        <v>20</v>
      </c>
      <c r="M58" s="190"/>
      <c r="N58" s="188"/>
      <c r="O58" s="188"/>
    </row>
    <row r="59" spans="1:15" s="185" customFormat="1" ht="13.5" hidden="1" customHeight="1" thickBot="1" x14ac:dyDescent="0.3">
      <c r="A59" s="181">
        <f>'DOD1'!A54</f>
        <v>0</v>
      </c>
      <c r="B59" s="181">
        <f>'DOD1'!B54</f>
        <v>0</v>
      </c>
      <c r="C59" s="384">
        <f>'DOD1'!C54</f>
        <v>0</v>
      </c>
      <c r="D59" s="181">
        <f>'DOD1'!D54</f>
        <v>0</v>
      </c>
      <c r="E59" s="181">
        <f>'DOD1'!E54</f>
        <v>0</v>
      </c>
      <c r="F59" s="182">
        <f>'DOD1'!F54</f>
        <v>0</v>
      </c>
      <c r="G59" s="185">
        <f t="shared" si="7"/>
        <v>800</v>
      </c>
      <c r="H59" s="183"/>
      <c r="I59" s="184">
        <v>0</v>
      </c>
      <c r="K59" s="186">
        <v>1</v>
      </c>
      <c r="L59" s="187">
        <v>2000</v>
      </c>
      <c r="M59" s="190"/>
      <c r="N59" s="188"/>
      <c r="O59" s="188"/>
    </row>
    <row r="60" spans="1:15" s="185" customFormat="1" ht="13.5" hidden="1" customHeight="1" thickBot="1" x14ac:dyDescent="0.35">
      <c r="A60" s="181">
        <f>'DOD1'!A55</f>
        <v>0</v>
      </c>
      <c r="B60" s="181">
        <f>'DOD1'!B55</f>
        <v>0</v>
      </c>
      <c r="C60" s="384">
        <f>'DOD1'!C55</f>
        <v>0</v>
      </c>
      <c r="D60" s="181">
        <f>'DOD1'!D55</f>
        <v>0</v>
      </c>
      <c r="E60" s="181">
        <f>'DOD1'!E55</f>
        <v>0</v>
      </c>
      <c r="F60" s="182">
        <f>'DOD1'!F55</f>
        <v>0</v>
      </c>
      <c r="G60" s="185">
        <f t="shared" si="7"/>
        <v>800</v>
      </c>
      <c r="H60" s="183"/>
      <c r="I60" s="184">
        <v>0</v>
      </c>
      <c r="K60" s="186">
        <v>1</v>
      </c>
      <c r="L60" s="1127">
        <f t="shared" ref="L60" si="11">IFERROR(FIND("POZOSTAŁY",C60,1)*12,20)-IFERROR(FIND("POZOSTAŁY_PD&gt;10",C60,1)*6,0)</f>
        <v>20</v>
      </c>
      <c r="M60" s="190"/>
      <c r="N60" s="188"/>
      <c r="O60" s="188"/>
    </row>
    <row r="61" spans="1:15" s="185" customFormat="1" ht="13.5" hidden="1" customHeight="1" thickBot="1" x14ac:dyDescent="0.3">
      <c r="A61" s="181">
        <f>'DOD1'!A56</f>
        <v>0</v>
      </c>
      <c r="B61" s="181">
        <f>'DOD1'!B56</f>
        <v>0</v>
      </c>
      <c r="C61" s="384">
        <f>'DOD1'!C56</f>
        <v>0</v>
      </c>
      <c r="D61" s="181">
        <f>'DOD1'!D56</f>
        <v>0</v>
      </c>
      <c r="E61" s="181">
        <f>'DOD1'!E56</f>
        <v>0</v>
      </c>
      <c r="F61" s="182">
        <f>'DOD1'!F56</f>
        <v>0</v>
      </c>
      <c r="G61" s="185">
        <f t="shared" si="7"/>
        <v>800</v>
      </c>
      <c r="H61" s="183"/>
      <c r="I61" s="184">
        <v>0</v>
      </c>
      <c r="K61" s="186">
        <v>1</v>
      </c>
      <c r="L61" s="187">
        <v>2000</v>
      </c>
      <c r="M61" s="190"/>
      <c r="N61" s="188"/>
      <c r="O61" s="188"/>
    </row>
    <row r="62" spans="1:15" s="185" customFormat="1" ht="13.5" hidden="1" customHeight="1" thickBot="1" x14ac:dyDescent="0.35">
      <c r="A62" s="181">
        <f>'DOD1'!A57</f>
        <v>0</v>
      </c>
      <c r="B62" s="181">
        <f>'DOD1'!B57</f>
        <v>0</v>
      </c>
      <c r="C62" s="384">
        <f>'DOD1'!C57</f>
        <v>0</v>
      </c>
      <c r="D62" s="181">
        <f>'DOD1'!D57</f>
        <v>0</v>
      </c>
      <c r="E62" s="181">
        <f>'DOD1'!E57</f>
        <v>0</v>
      </c>
      <c r="F62" s="182">
        <f>'DOD1'!F57</f>
        <v>0</v>
      </c>
      <c r="G62" s="185">
        <f t="shared" si="7"/>
        <v>800</v>
      </c>
      <c r="H62" s="183"/>
      <c r="I62" s="184">
        <v>0</v>
      </c>
      <c r="K62" s="186">
        <v>0</v>
      </c>
      <c r="L62" s="1127">
        <f t="shared" ref="L62" si="12">IFERROR(FIND("POZOSTAŁY",C62,1)*12,20)-IFERROR(FIND("POZOSTAŁY_PD&gt;10",C62,1)*6,0)</f>
        <v>20</v>
      </c>
      <c r="M62" s="190"/>
      <c r="N62" s="188"/>
      <c r="O62" s="188"/>
    </row>
    <row r="63" spans="1:15" s="185" customFormat="1" ht="13.5" hidden="1" customHeight="1" x14ac:dyDescent="0.25">
      <c r="A63" s="181">
        <f>'DOD1'!A58</f>
        <v>0</v>
      </c>
      <c r="B63" s="181">
        <f>'DOD1'!B58</f>
        <v>0</v>
      </c>
      <c r="C63" s="384">
        <f>'DOD1'!C58</f>
        <v>0</v>
      </c>
      <c r="D63" s="181">
        <f>'DOD1'!D58</f>
        <v>0</v>
      </c>
      <c r="E63" s="181">
        <f>'DOD1'!E58</f>
        <v>0</v>
      </c>
      <c r="F63" s="182">
        <f>'DOD1'!F58</f>
        <v>0</v>
      </c>
      <c r="G63" s="185">
        <f t="shared" si="7"/>
        <v>800</v>
      </c>
      <c r="H63" s="183"/>
      <c r="I63" s="184">
        <v>0</v>
      </c>
      <c r="K63" s="186">
        <v>0</v>
      </c>
      <c r="L63" s="187">
        <v>1</v>
      </c>
      <c r="M63" s="190"/>
      <c r="N63" s="188"/>
      <c r="O63" s="188"/>
    </row>
    <row r="64" spans="1:15" s="185" customFormat="1" ht="13.5" hidden="1" customHeight="1" x14ac:dyDescent="0.25">
      <c r="A64" s="181">
        <f>'DOD1'!A59</f>
        <v>0</v>
      </c>
      <c r="B64" s="181">
        <f>'DOD1'!B59</f>
        <v>0</v>
      </c>
      <c r="C64" s="384">
        <f>'DOD1'!C59</f>
        <v>0</v>
      </c>
      <c r="D64" s="181">
        <f>'DOD1'!D59</f>
        <v>0</v>
      </c>
      <c r="E64" s="181">
        <f>'DOD1'!E59</f>
        <v>0</v>
      </c>
      <c r="F64" s="182">
        <f>'DOD1'!F59</f>
        <v>0</v>
      </c>
      <c r="G64" s="185">
        <f t="shared" si="7"/>
        <v>800</v>
      </c>
      <c r="H64" s="183"/>
      <c r="I64" s="184">
        <v>0</v>
      </c>
      <c r="K64" s="186">
        <v>0</v>
      </c>
      <c r="L64" s="187">
        <v>1</v>
      </c>
      <c r="M64" s="190"/>
      <c r="N64" s="188"/>
      <c r="O64" s="188"/>
    </row>
    <row r="65" spans="1:22" s="185" customFormat="1" ht="13.5" hidden="1" customHeight="1" x14ac:dyDescent="0.25">
      <c r="A65" s="181">
        <f>'DOD1'!A60</f>
        <v>0</v>
      </c>
      <c r="B65" s="181">
        <f>'DOD1'!B60</f>
        <v>0</v>
      </c>
      <c r="C65" s="384">
        <f>'DOD1'!C60</f>
        <v>0</v>
      </c>
      <c r="D65" s="181">
        <f>'DOD1'!D60</f>
        <v>0</v>
      </c>
      <c r="E65" s="181">
        <f>'DOD1'!E60</f>
        <v>0</v>
      </c>
      <c r="F65" s="182">
        <f>'DOD1'!F60</f>
        <v>0</v>
      </c>
      <c r="G65" s="185">
        <f t="shared" si="7"/>
        <v>800</v>
      </c>
      <c r="H65" s="183"/>
      <c r="I65" s="184">
        <v>0</v>
      </c>
      <c r="K65" s="186">
        <v>0</v>
      </c>
      <c r="L65" s="187">
        <v>1</v>
      </c>
      <c r="M65" s="190"/>
      <c r="N65" s="188"/>
      <c r="O65" s="188"/>
    </row>
    <row r="66" spans="1:22" ht="13.5" hidden="1" customHeight="1" x14ac:dyDescent="0.3">
      <c r="A66" s="101">
        <f>'DOD1'!A62</f>
        <v>0</v>
      </c>
      <c r="B66" s="101">
        <f>'DOD1'!B62</f>
        <v>0</v>
      </c>
      <c r="C66" s="386">
        <f>'DOD1'!C62</f>
        <v>0</v>
      </c>
      <c r="D66" s="101">
        <f>'DOD1'!D62</f>
        <v>0</v>
      </c>
      <c r="E66" s="101">
        <f>'DOD1'!E62</f>
        <v>0</v>
      </c>
      <c r="F66" s="102">
        <f>'DOD1'!F62</f>
        <v>0</v>
      </c>
      <c r="G66" s="185">
        <f t="shared" si="7"/>
        <v>800</v>
      </c>
      <c r="H66" s="103"/>
      <c r="I66" s="104">
        <v>0</v>
      </c>
      <c r="J66" s="32"/>
      <c r="K66" s="105"/>
      <c r="L66" s="106"/>
      <c r="M66" s="107"/>
      <c r="N66" s="108"/>
      <c r="O66" s="108"/>
      <c r="P66" s="32"/>
      <c r="Q66" s="32"/>
      <c r="R66" s="32"/>
      <c r="S66" s="32"/>
      <c r="T66" s="32"/>
      <c r="U66" s="32"/>
      <c r="V66" s="32"/>
    </row>
    <row r="67" spans="1:22" ht="13.5" customHeight="1" x14ac:dyDescent="0.3">
      <c r="A67" s="50"/>
      <c r="B67" s="50"/>
      <c r="C67" s="387"/>
      <c r="D67" s="50"/>
      <c r="E67" s="50"/>
      <c r="F67" s="63"/>
      <c r="G67" s="31"/>
      <c r="H67" s="51"/>
      <c r="I67" s="55"/>
      <c r="K67" s="8"/>
      <c r="L67" s="52"/>
      <c r="M67" s="54"/>
      <c r="N67" s="53"/>
      <c r="O67" s="53"/>
    </row>
    <row r="68" spans="1:22" ht="13.5" customHeight="1" x14ac:dyDescent="0.3">
      <c r="A68" s="50"/>
      <c r="B68" s="50"/>
      <c r="C68" s="387"/>
      <c r="D68" s="50"/>
      <c r="E68" s="50"/>
      <c r="F68" s="63"/>
      <c r="G68" s="31"/>
      <c r="H68" s="51"/>
      <c r="I68" s="55"/>
      <c r="K68" s="8"/>
      <c r="L68" s="52"/>
      <c r="M68" s="54"/>
      <c r="N68" s="53"/>
      <c r="O68" s="53"/>
    </row>
    <row r="69" spans="1:22" ht="13.5" customHeight="1" x14ac:dyDescent="0.3">
      <c r="A69" s="50"/>
      <c r="B69" s="50"/>
      <c r="C69" s="387"/>
      <c r="D69" s="50"/>
      <c r="E69" s="50"/>
      <c r="F69" s="63"/>
      <c r="G69" s="31"/>
      <c r="H69" s="51"/>
      <c r="I69" s="55"/>
      <c r="K69" s="8"/>
      <c r="L69" s="52"/>
      <c r="M69" s="54"/>
      <c r="N69" s="53"/>
      <c r="O69" s="53"/>
    </row>
    <row r="70" spans="1:22" ht="13.5" customHeight="1" x14ac:dyDescent="0.3">
      <c r="A70" s="50"/>
      <c r="B70" s="50"/>
      <c r="C70" s="387"/>
      <c r="D70" s="50"/>
      <c r="E70" s="50"/>
      <c r="F70" s="63"/>
      <c r="G70" s="31"/>
      <c r="H70" s="51"/>
      <c r="I70" s="55"/>
      <c r="K70" s="8"/>
      <c r="L70" s="52"/>
      <c r="M70" s="54"/>
      <c r="N70" s="53"/>
      <c r="O70" s="53"/>
    </row>
    <row r="71" spans="1:22" ht="13.5" customHeight="1" x14ac:dyDescent="0.3">
      <c r="A71" s="50"/>
      <c r="B71" s="50"/>
      <c r="C71" s="387"/>
      <c r="D71" s="50"/>
      <c r="E71" s="50"/>
      <c r="F71" s="63"/>
      <c r="G71" s="31"/>
      <c r="H71" s="51"/>
      <c r="I71" s="55"/>
      <c r="K71" s="8"/>
      <c r="L71" s="52"/>
      <c r="M71" s="54"/>
      <c r="N71" s="53"/>
      <c r="O71" s="53"/>
    </row>
    <row r="72" spans="1:22" ht="13.5" customHeight="1" x14ac:dyDescent="0.3">
      <c r="A72" s="50"/>
      <c r="B72" s="50"/>
      <c r="C72" s="387"/>
      <c r="D72" s="50"/>
      <c r="E72" s="50"/>
      <c r="F72" s="63"/>
      <c r="G72" s="31"/>
      <c r="H72" s="51"/>
      <c r="I72" s="55"/>
      <c r="K72" s="8"/>
      <c r="L72" s="52"/>
      <c r="M72" s="54"/>
      <c r="N72" s="53"/>
      <c r="O72" s="53"/>
    </row>
    <row r="73" spans="1:22" ht="13.5" customHeight="1" x14ac:dyDescent="0.3">
      <c r="A73" s="50"/>
      <c r="B73" s="50"/>
      <c r="C73" s="387"/>
      <c r="D73" s="50"/>
      <c r="E73" s="50"/>
      <c r="F73" s="63"/>
      <c r="G73" s="31"/>
      <c r="H73" s="51"/>
      <c r="I73" s="55"/>
      <c r="K73" s="8"/>
      <c r="L73" s="52"/>
      <c r="M73" s="54"/>
      <c r="N73" s="53"/>
      <c r="O73" s="53"/>
    </row>
    <row r="74" spans="1:22" ht="13.5" customHeight="1" x14ac:dyDescent="0.3">
      <c r="A74" s="50"/>
      <c r="B74" s="50"/>
      <c r="C74" s="387"/>
      <c r="D74" s="50"/>
      <c r="E74" s="50"/>
      <c r="F74" s="63"/>
      <c r="G74" s="31"/>
      <c r="H74" s="51"/>
      <c r="I74" s="55"/>
      <c r="K74" s="8"/>
      <c r="L74" s="52"/>
      <c r="M74" s="54"/>
      <c r="N74" s="53"/>
      <c r="O74" s="53"/>
    </row>
    <row r="75" spans="1:22" ht="13.5" customHeight="1" x14ac:dyDescent="0.3">
      <c r="A75" s="50"/>
      <c r="B75" s="50"/>
      <c r="C75" s="387"/>
      <c r="D75" s="50"/>
      <c r="E75" s="50"/>
      <c r="F75" s="63"/>
      <c r="G75" s="31"/>
      <c r="H75" s="51"/>
      <c r="I75" s="55"/>
      <c r="K75" s="8"/>
      <c r="L75" s="52"/>
      <c r="M75" s="54"/>
      <c r="N75" s="53"/>
      <c r="O75" s="53"/>
    </row>
    <row r="76" spans="1:22" ht="13.5" customHeight="1" x14ac:dyDescent="0.3">
      <c r="A76" s="50"/>
      <c r="B76" s="50"/>
      <c r="C76" s="387"/>
      <c r="D76" s="50"/>
      <c r="E76" s="50"/>
      <c r="F76" s="63"/>
      <c r="G76" s="31"/>
      <c r="H76" s="51"/>
      <c r="I76" s="55"/>
      <c r="K76" s="8"/>
      <c r="L76" s="52"/>
      <c r="M76" s="54"/>
      <c r="N76" s="53"/>
      <c r="O76" s="53"/>
    </row>
    <row r="77" spans="1:22" ht="13.5" customHeight="1" x14ac:dyDescent="0.3">
      <c r="A77" s="50"/>
      <c r="B77" s="50"/>
      <c r="C77" s="387"/>
      <c r="D77" s="50"/>
      <c r="E77" s="50"/>
      <c r="F77" s="63"/>
      <c r="G77" s="31"/>
      <c r="H77" s="51"/>
      <c r="I77" s="55"/>
      <c r="K77" s="8"/>
      <c r="L77" s="52"/>
      <c r="M77" s="54"/>
      <c r="N77" s="53"/>
      <c r="O77" s="53"/>
    </row>
    <row r="78" spans="1:22" ht="13.5" customHeight="1" x14ac:dyDescent="0.3">
      <c r="A78" s="50"/>
      <c r="B78" s="50"/>
      <c r="C78" s="387"/>
      <c r="D78" s="50"/>
      <c r="E78" s="50"/>
      <c r="F78" s="63"/>
      <c r="G78" s="31"/>
      <c r="H78" s="51"/>
      <c r="I78" s="55"/>
      <c r="K78" s="8"/>
      <c r="L78" s="52"/>
      <c r="M78" s="54"/>
      <c r="N78" s="53"/>
      <c r="O78" s="53"/>
    </row>
    <row r="79" spans="1:22" ht="13.5" customHeight="1" x14ac:dyDescent="0.25">
      <c r="A79" s="50"/>
      <c r="B79" s="50"/>
      <c r="C79" s="387"/>
      <c r="D79" s="50"/>
      <c r="E79" s="50"/>
      <c r="F79" s="63"/>
      <c r="G79" s="31"/>
      <c r="H79" s="51"/>
      <c r="I79" s="55"/>
      <c r="K79" s="8"/>
      <c r="M79" s="54"/>
      <c r="N79" s="53"/>
      <c r="O79" s="53"/>
    </row>
    <row r="80" spans="1:22" ht="13.5" customHeight="1" x14ac:dyDescent="0.25">
      <c r="A80" s="50"/>
      <c r="B80" s="50"/>
      <c r="C80" s="387"/>
      <c r="D80" s="50"/>
      <c r="E80" s="50"/>
      <c r="F80" s="63"/>
      <c r="G80" s="31"/>
      <c r="H80" s="51"/>
      <c r="I80" s="55"/>
      <c r="K80" s="8"/>
      <c r="M80" s="54"/>
      <c r="N80" s="53"/>
      <c r="O80" s="53"/>
    </row>
    <row r="81" spans="1:15" ht="13.5" customHeight="1" x14ac:dyDescent="0.25">
      <c r="A81" s="50"/>
      <c r="B81" s="50"/>
      <c r="C81" s="387"/>
      <c r="D81" s="50"/>
      <c r="E81" s="50"/>
      <c r="F81" s="63"/>
      <c r="G81" s="31"/>
      <c r="H81" s="51"/>
      <c r="I81" s="55"/>
      <c r="K81" s="8"/>
      <c r="M81" s="54"/>
      <c r="N81" s="53"/>
      <c r="O81" s="53"/>
    </row>
    <row r="82" spans="1:15" ht="13.5" customHeight="1" x14ac:dyDescent="0.25">
      <c r="A82" s="50"/>
      <c r="B82" s="50"/>
      <c r="C82" s="387"/>
      <c r="D82" s="50"/>
      <c r="E82" s="50"/>
      <c r="F82" s="63"/>
      <c r="G82" s="31"/>
      <c r="H82" s="51"/>
      <c r="I82" s="55"/>
      <c r="K82" s="8"/>
      <c r="M82" s="54"/>
      <c r="N82" s="53"/>
      <c r="O82" s="53"/>
    </row>
    <row r="83" spans="1:15" ht="13.5" customHeight="1" x14ac:dyDescent="0.25">
      <c r="A83" s="50"/>
      <c r="B83" s="50"/>
      <c r="C83" s="387"/>
      <c r="D83" s="50"/>
      <c r="E83" s="50"/>
      <c r="F83" s="63"/>
      <c r="G83" s="31"/>
      <c r="H83" s="51"/>
      <c r="I83" s="55"/>
      <c r="K83" s="8"/>
      <c r="L83" s="15"/>
      <c r="M83" s="54"/>
      <c r="N83" s="53"/>
      <c r="O83" s="53"/>
    </row>
    <row r="84" spans="1:15" ht="13.5" customHeight="1" x14ac:dyDescent="0.25">
      <c r="A84" s="50"/>
      <c r="B84" s="50"/>
      <c r="C84" s="387"/>
      <c r="D84" s="50"/>
      <c r="E84" s="50"/>
      <c r="F84" s="63"/>
      <c r="G84" s="31"/>
      <c r="H84" s="51"/>
      <c r="I84" s="55"/>
      <c r="K84" s="8"/>
      <c r="L84" s="15"/>
      <c r="M84" s="54"/>
      <c r="N84" s="53"/>
      <c r="O84" s="53"/>
    </row>
    <row r="85" spans="1:15" ht="13.5" customHeight="1" x14ac:dyDescent="0.25">
      <c r="A85" s="50"/>
      <c r="B85" s="50"/>
      <c r="C85" s="387"/>
      <c r="D85" s="50"/>
      <c r="E85" s="50"/>
      <c r="F85" s="63"/>
      <c r="G85" s="31"/>
      <c r="H85" s="51"/>
      <c r="I85" s="55"/>
      <c r="K85" s="8"/>
      <c r="L85" s="15"/>
      <c r="M85" s="54"/>
      <c r="N85" s="53"/>
      <c r="O85" s="53"/>
    </row>
    <row r="86" spans="1:15" ht="13.5" customHeight="1" x14ac:dyDescent="0.25">
      <c r="A86" s="50"/>
      <c r="B86" s="50"/>
      <c r="C86" s="387"/>
      <c r="D86" s="50"/>
      <c r="E86" s="50"/>
      <c r="F86" s="63"/>
      <c r="G86" s="31"/>
      <c r="H86" s="51"/>
      <c r="I86" s="55"/>
      <c r="K86" s="8"/>
      <c r="L86" s="15"/>
      <c r="M86" s="54"/>
      <c r="N86" s="53"/>
      <c r="O86" s="53"/>
    </row>
    <row r="87" spans="1:15" ht="13.5" customHeight="1" x14ac:dyDescent="0.25">
      <c r="A87" s="50"/>
      <c r="B87" s="50"/>
      <c r="C87" s="387"/>
      <c r="D87" s="50"/>
      <c r="E87" s="50"/>
      <c r="F87" s="63"/>
      <c r="G87" s="31"/>
      <c r="H87" s="51"/>
      <c r="I87" s="55"/>
      <c r="K87" s="8"/>
      <c r="L87" s="15"/>
      <c r="M87" s="54"/>
      <c r="N87" s="53"/>
      <c r="O87" s="53"/>
    </row>
    <row r="88" spans="1:15" ht="13.5" customHeight="1" x14ac:dyDescent="0.25">
      <c r="A88" s="50"/>
      <c r="B88" s="50"/>
      <c r="C88" s="387"/>
      <c r="D88" s="50"/>
      <c r="E88" s="50"/>
      <c r="F88" s="63"/>
      <c r="G88" s="31"/>
      <c r="H88" s="51"/>
      <c r="I88" s="55"/>
      <c r="K88" s="8"/>
      <c r="M88" s="54"/>
      <c r="N88" s="53"/>
      <c r="O88" s="53"/>
    </row>
    <row r="89" spans="1:15" ht="13.5" customHeight="1" x14ac:dyDescent="0.25">
      <c r="A89" s="50"/>
      <c r="B89" s="50"/>
      <c r="C89" s="50"/>
      <c r="D89" s="50"/>
      <c r="E89" s="50"/>
      <c r="F89" s="63"/>
      <c r="G89" s="31"/>
      <c r="H89" s="51"/>
      <c r="I89" s="55"/>
      <c r="K89" s="8"/>
      <c r="M89" s="54"/>
      <c r="N89" s="53"/>
      <c r="O89" s="53"/>
    </row>
    <row r="90" spans="1:15" ht="13.5" customHeight="1" x14ac:dyDescent="0.25">
      <c r="A90" s="50"/>
      <c r="B90" s="50"/>
      <c r="C90" s="50"/>
      <c r="D90" s="50"/>
      <c r="E90" s="50"/>
      <c r="F90" s="63"/>
      <c r="G90" s="31"/>
      <c r="H90" s="51"/>
      <c r="I90" s="55"/>
      <c r="K90" s="8"/>
      <c r="M90" s="54"/>
      <c r="N90" s="53"/>
      <c r="O90" s="53"/>
    </row>
    <row r="91" spans="1:15" ht="13.5" customHeight="1" x14ac:dyDescent="0.25">
      <c r="A91" s="50"/>
      <c r="B91" s="50"/>
      <c r="C91" s="50"/>
      <c r="D91" s="50"/>
      <c r="E91" s="50"/>
      <c r="F91" s="63"/>
      <c r="G91" s="31"/>
      <c r="H91" s="51"/>
      <c r="I91" s="55"/>
      <c r="K91" s="8"/>
      <c r="M91" s="54"/>
      <c r="N91" s="53"/>
      <c r="O91" s="53"/>
    </row>
    <row r="92" spans="1:15" ht="13.5" customHeight="1" x14ac:dyDescent="0.25">
      <c r="A92" s="50"/>
      <c r="B92" s="50"/>
      <c r="C92" s="50"/>
      <c r="D92" s="50"/>
      <c r="E92" s="50"/>
      <c r="F92" s="63"/>
      <c r="G92" s="31"/>
      <c r="H92" s="51"/>
      <c r="I92" s="55"/>
      <c r="K92" s="8"/>
      <c r="M92" s="54"/>
      <c r="N92" s="53"/>
      <c r="O92" s="53"/>
    </row>
    <row r="93" spans="1:15" ht="13.5" customHeight="1" x14ac:dyDescent="0.25">
      <c r="A93" s="50"/>
      <c r="B93" s="50"/>
      <c r="C93" s="50"/>
      <c r="D93" s="50"/>
      <c r="E93" s="50"/>
      <c r="F93" s="63"/>
      <c r="G93" s="31"/>
      <c r="H93" s="51"/>
      <c r="I93" s="55"/>
      <c r="K93" s="8"/>
      <c r="L93" s="15"/>
      <c r="M93" s="54"/>
      <c r="N93" s="53"/>
      <c r="O93" s="53"/>
    </row>
    <row r="94" spans="1:15" ht="13.5" customHeight="1" x14ac:dyDescent="0.25">
      <c r="A94" s="50"/>
      <c r="B94" s="50"/>
      <c r="C94" s="50"/>
      <c r="D94" s="50"/>
      <c r="E94" s="50"/>
      <c r="F94" s="63"/>
      <c r="G94" s="31"/>
      <c r="H94" s="51"/>
      <c r="I94" s="55"/>
      <c r="K94" s="8"/>
      <c r="L94" s="15"/>
      <c r="M94" s="54"/>
      <c r="N94" s="53"/>
      <c r="O94" s="53"/>
    </row>
    <row r="95" spans="1:15" ht="13.5" customHeight="1" x14ac:dyDescent="0.25">
      <c r="A95" s="50"/>
      <c r="B95" s="50"/>
      <c r="C95" s="50"/>
      <c r="D95" s="50"/>
      <c r="E95" s="50"/>
      <c r="F95" s="63"/>
      <c r="G95" s="31"/>
      <c r="H95" s="51"/>
      <c r="I95" s="55"/>
      <c r="K95" s="8"/>
      <c r="L95" s="15"/>
      <c r="M95" s="54"/>
      <c r="N95" s="53"/>
      <c r="O95" s="53"/>
    </row>
    <row r="96" spans="1:15" ht="13.5" customHeight="1" x14ac:dyDescent="0.25">
      <c r="A96" s="50"/>
      <c r="B96" s="50"/>
      <c r="C96" s="50"/>
      <c r="D96" s="50"/>
      <c r="E96" s="50"/>
      <c r="F96" s="63"/>
      <c r="G96" s="31"/>
      <c r="H96" s="51"/>
      <c r="I96" s="55"/>
      <c r="K96" s="8"/>
      <c r="L96" s="15"/>
      <c r="M96" s="54"/>
      <c r="N96" s="53"/>
      <c r="O96" s="53"/>
    </row>
    <row r="97" spans="1:15" x14ac:dyDescent="0.25">
      <c r="A97" s="50"/>
      <c r="B97" s="50"/>
      <c r="C97" s="50"/>
      <c r="D97" s="50"/>
      <c r="E97" s="50"/>
      <c r="F97" s="63"/>
      <c r="G97" s="31"/>
      <c r="H97" s="51"/>
      <c r="I97" s="55"/>
      <c r="K97" s="8"/>
      <c r="L97" s="15"/>
      <c r="M97" s="54"/>
      <c r="N97" s="53"/>
      <c r="O97" s="53"/>
    </row>
    <row r="98" spans="1:15" x14ac:dyDescent="0.25">
      <c r="A98" s="50"/>
      <c r="C98" s="50"/>
      <c r="D98" s="50"/>
      <c r="E98" s="50"/>
      <c r="F98" s="63"/>
      <c r="N98" s="53"/>
      <c r="O98" s="53"/>
    </row>
    <row r="99" spans="1:15" x14ac:dyDescent="0.25">
      <c r="C99" s="50"/>
      <c r="O99" s="53"/>
    </row>
    <row r="105" spans="1:15" x14ac:dyDescent="0.25">
      <c r="A105" s="1"/>
      <c r="B105" s="1"/>
      <c r="C105" s="1"/>
    </row>
  </sheetData>
  <autoFilter ref="A14:V66" xr:uid="{00000000-0009-0000-0000-000003000000}">
    <filterColumn colId="1">
      <filters>
        <filter val="PREMIUM MASS"/>
        <filter val="PREMIUM PB"/>
        <filter val="PREMIUM PvB"/>
        <filter val="PREMIUM WM"/>
        <filter val="STANDARDOWA"/>
      </filters>
    </filterColumn>
  </autoFilter>
  <phoneticPr fontId="6" type="noConversion"/>
  <conditionalFormatting sqref="A15:V52 A55:V66">
    <cfRule type="expression" dxfId="144" priority="37" stopIfTrue="1">
      <formula>ROW(A15)=DODZ</formula>
    </cfRule>
  </conditionalFormatting>
  <conditionalFormatting sqref="L62">
    <cfRule type="expression" dxfId="143" priority="12" stopIfTrue="1">
      <formula>ROW(L62)=DODZ</formula>
    </cfRule>
  </conditionalFormatting>
  <conditionalFormatting sqref="A53:V53 H54 J54 M54:V54">
    <cfRule type="expression" dxfId="142" priority="11" stopIfTrue="1">
      <formula>ROW(A53)=DODZ</formula>
    </cfRule>
  </conditionalFormatting>
  <conditionalFormatting sqref="A54">
    <cfRule type="expression" dxfId="141" priority="10" stopIfTrue="1">
      <formula>ROW(A54)=DODZ</formula>
    </cfRule>
  </conditionalFormatting>
  <conditionalFormatting sqref="B54">
    <cfRule type="expression" dxfId="140" priority="9" stopIfTrue="1">
      <formula>ROW(B54)=DODZ</formula>
    </cfRule>
  </conditionalFormatting>
  <conditionalFormatting sqref="C54">
    <cfRule type="expression" dxfId="139" priority="8" stopIfTrue="1">
      <formula>ROW(C54)=DODZ</formula>
    </cfRule>
  </conditionalFormatting>
  <conditionalFormatting sqref="D54">
    <cfRule type="expression" dxfId="138" priority="7" stopIfTrue="1">
      <formula>ROW(D54)=DODZ</formula>
    </cfRule>
  </conditionalFormatting>
  <conditionalFormatting sqref="E54">
    <cfRule type="expression" dxfId="137" priority="6" stopIfTrue="1">
      <formula>ROW(E54)=DODZ</formula>
    </cfRule>
  </conditionalFormatting>
  <conditionalFormatting sqref="F54">
    <cfRule type="expression" dxfId="136" priority="5" stopIfTrue="1">
      <formula>ROW(F54)=DODZ</formula>
    </cfRule>
  </conditionalFormatting>
  <conditionalFormatting sqref="G54">
    <cfRule type="expression" dxfId="135" priority="4" stopIfTrue="1">
      <formula>ROW(G54)=DODZ</formula>
    </cfRule>
  </conditionalFormatting>
  <conditionalFormatting sqref="I54">
    <cfRule type="expression" dxfId="134" priority="3" stopIfTrue="1">
      <formula>ROW(I54)=DODZ</formula>
    </cfRule>
  </conditionalFormatting>
  <conditionalFormatting sqref="K54">
    <cfRule type="expression" dxfId="133" priority="2" stopIfTrue="1">
      <formula>ROW(K54)=DODZ</formula>
    </cfRule>
  </conditionalFormatting>
  <conditionalFormatting sqref="L54">
    <cfRule type="expression" dxfId="132" priority="1" stopIfTrue="1">
      <formula>ROW(L54)=DODZ</formula>
    </cfRule>
  </conditionalFormatting>
  <pageMargins left="0.75" right="0.75" top="1" bottom="1" header="0.5" footer="0.5"/>
  <pageSetup paperSize="9" orientation="portrait" r:id="rId1"/>
  <headerFooter alignWithMargins="0"/>
  <cellWatches>
    <cellWatch r="G10"/>
  </cellWatche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29"/>
  <dimension ref="A1:K19"/>
  <sheetViews>
    <sheetView workbookViewId="0">
      <selection activeCell="H19" sqref="H19"/>
    </sheetView>
  </sheetViews>
  <sheetFormatPr defaultRowHeight="12.5" x14ac:dyDescent="0.25"/>
  <cols>
    <col min="1" max="1" width="22.7265625" customWidth="1"/>
    <col min="2" max="3" width="24.26953125" customWidth="1"/>
    <col min="7" max="7" width="9.453125" customWidth="1"/>
    <col min="8" max="8" width="23" bestFit="1" customWidth="1"/>
    <col min="9" max="9" width="9.1796875" bestFit="1" customWidth="1"/>
    <col min="10" max="10" width="9.7265625" bestFit="1" customWidth="1"/>
    <col min="11" max="11" width="22.453125" bestFit="1" customWidth="1"/>
  </cols>
  <sheetData>
    <row r="1" spans="1:11" ht="17.25" customHeight="1" thickBot="1" x14ac:dyDescent="0.35">
      <c r="A1" s="1912" t="s">
        <v>2414</v>
      </c>
      <c r="B1" s="1913"/>
      <c r="C1" s="1739"/>
      <c r="D1" s="1914" t="s">
        <v>2285</v>
      </c>
      <c r="E1" s="1915"/>
      <c r="H1" s="1743" t="s">
        <v>2296</v>
      </c>
      <c r="I1" s="1747">
        <f>IF(I10=0,0.0444,0.0874)</f>
        <v>8.7400000000000005E-2</v>
      </c>
      <c r="J1">
        <f>IF(IF(I1-F5-F3-F6-F15-F18-F19+J3&gt;0,I1-F3-F5-F6-F15-F18-F19+J3,0)&gt;J4,J4,IF(I1-F5-F3-F6-F15-F18-F19+J3&gt;0,I1-F3-F5-F6-F15-F18-F19+J3,0))</f>
        <v>8.4900000000000003E-2</v>
      </c>
      <c r="K1" s="1745" t="s">
        <v>2298</v>
      </c>
    </row>
    <row r="2" spans="1:11" ht="17.25" customHeight="1" thickBot="1" x14ac:dyDescent="0.35">
      <c r="A2" s="1916" t="s">
        <v>2294</v>
      </c>
      <c r="B2" s="1917"/>
      <c r="C2" s="1740"/>
      <c r="D2" s="1741" t="s">
        <v>2286</v>
      </c>
      <c r="E2" s="1742" t="s">
        <v>6</v>
      </c>
      <c r="H2" s="1744" t="s">
        <v>2297</v>
      </c>
      <c r="I2" s="1748">
        <f>IF(I10=0,0,0.0899)</f>
        <v>8.9899999999999994E-2</v>
      </c>
      <c r="J2" s="1749">
        <f>IF(I2-G3-G5-G6-G15-G18-G19&gt;0,I2-G5-G3-G6-G15-G18-G19,0)</f>
        <v>0</v>
      </c>
      <c r="K2" s="1746" t="s">
        <v>2299</v>
      </c>
    </row>
    <row r="3" spans="1:11" ht="13.5" thickBot="1" x14ac:dyDescent="0.35">
      <c r="A3" s="1910" t="s">
        <v>2287</v>
      </c>
      <c r="B3" s="1911"/>
      <c r="C3" s="1738"/>
      <c r="D3" s="1848">
        <v>1E-3</v>
      </c>
      <c r="E3" s="1848">
        <v>0</v>
      </c>
      <c r="F3" s="1750">
        <f>IF(WERSJA2!D4="BEZ UBEZPIECZENIA",0,D3)</f>
        <v>0</v>
      </c>
      <c r="G3" s="1750">
        <f>IF(WERSJA2!D4="BEZ UBEZPIECZENIA",0,E3)</f>
        <v>0</v>
      </c>
      <c r="J3" s="1751">
        <v>3.7499999999999999E-2</v>
      </c>
      <c r="K3" s="1751" t="s">
        <v>2301</v>
      </c>
    </row>
    <row r="4" spans="1:11" ht="13.5" thickBot="1" x14ac:dyDescent="0.35">
      <c r="A4" s="1910" t="s">
        <v>2288</v>
      </c>
      <c r="B4" s="1911"/>
      <c r="C4" s="1736"/>
      <c r="D4" s="1757">
        <v>0</v>
      </c>
      <c r="E4" s="1757">
        <v>0</v>
      </c>
      <c r="F4" s="1750"/>
      <c r="G4" s="1750"/>
      <c r="H4" s="1751" t="s">
        <v>2295</v>
      </c>
      <c r="J4" s="1751">
        <v>0.17499999999999999</v>
      </c>
      <c r="K4" s="1751" t="s">
        <v>2302</v>
      </c>
    </row>
    <row r="5" spans="1:11" ht="25.5" customHeight="1" thickBot="1" x14ac:dyDescent="0.35">
      <c r="A5" s="1910" t="s">
        <v>2289</v>
      </c>
      <c r="B5" s="1918"/>
      <c r="C5" s="1737"/>
      <c r="D5" s="1757">
        <v>0</v>
      </c>
      <c r="E5" s="1757">
        <v>0.01</v>
      </c>
      <c r="F5" s="1750">
        <f>IF(WERSJA2!D9="STAŁY",OPROCENTOWANIE!D5,0)</f>
        <v>0</v>
      </c>
      <c r="G5" s="1847">
        <f>IF(WERSJA2!D9="STAŁY",OPROCENTOWANIE!E5,0)</f>
        <v>0</v>
      </c>
      <c r="H5" s="1751"/>
      <c r="I5" s="1751"/>
    </row>
    <row r="6" spans="1:11" ht="13.5" thickBot="1" x14ac:dyDescent="0.35">
      <c r="A6" s="1905" t="s">
        <v>2290</v>
      </c>
      <c r="B6" s="1878">
        <v>1000</v>
      </c>
      <c r="C6" s="1878">
        <v>3999.99</v>
      </c>
      <c r="D6" s="1757">
        <v>0</v>
      </c>
      <c r="E6" s="1849">
        <f>IF(WERSJA2!D9="INNY KANAŁ SPRZEDAŻY",0,0.0899)</f>
        <v>8.9899999999999994E-2</v>
      </c>
      <c r="F6" s="1750">
        <f>IF(AND(KwNaReke&gt;=OPROCENTOWANIE!B6,KwNaReke&lt;=OPROCENTOWANIE!C6),OPROCENTOWANIE!D6,IF(AND(KwNaReke&gt;=OPROCENTOWANIE!B7,KwNaReke&lt;=OPROCENTOWANIE!C7),OPROCENTOWANIE!D7,IF(AND(KwNaReke&gt;OPROCENTOWANIE!B8,KwNaReke&lt;=OPROCENTOWANIE!C8),OPROCENTOWANIE!D8,IF(AND(KwNaReke&gt;OPROCENTOWANIE!B9,KwNaReke&lt;=OPROCENTOWANIE!C9),OPROCENTOWANIE!D9,IF(AND(KwNaReke&gt;OPROCENTOWANIE!B10,KwNaReke&lt;=OPROCENTOWANIE!C10),OPROCENTOWANIE!D10,IF(AND(KwNaReke&gt;OPROCENTOWANIE!B11,KwNaReke&lt;=OPROCENTOWANIE!C11),OPROCENTOWANIE!D11,IF(AND(KwNaReke&gt;OPROCENTOWANIE!B12,KwNaReke&lt;=OPROCENTOWANIE!C12),OPROCENTOWANIE!D12,IF(AND(KwNaReke&gt;OPROCENTOWANIE!B13,KwNaReke&lt;=OPROCENTOWANIE!C13),OPROCENTOWANIE!D13,IF(AND(KwNaReke&gt;OPROCENTOWANIE!B14,KwNaReke&lt;=OPROCENTOWANIE!C14),OPROCENTOWANIE!D14,"Nieodpowiednia kwota")))))))))</f>
        <v>0.04</v>
      </c>
      <c r="G6" s="1847">
        <f>IF(AND(KwNaReke&gt;=OPROCENTOWANIE!B6,KwNaReke&lt;=OPROCENTOWANIE!C6),OPROCENTOWANIE!E6,IF(AND(KwNaReke&gt;=OPROCENTOWANIE!B7,KwNaReke&lt;=OPROCENTOWANIE!C7),OPROCENTOWANIE!E7,IF(AND(KwNaReke&gt;OPROCENTOWANIE!B8,KwNaReke&lt;=OPROCENTOWANIE!C8),OPROCENTOWANIE!E8,IF(AND(KwNaReke&gt;OPROCENTOWANIE!B9,KwNaReke&lt;=OPROCENTOWANIE!C9),OPROCENTOWANIE!E9,IF(AND(KwNaReke&gt;OPROCENTOWANIE!B10,KwNaReke&lt;=OPROCENTOWANIE!C10),OPROCENTOWANIE!E10,IF(AND(KwNaReke&gt;OPROCENTOWANIE!B11,KwNaReke&lt;=OPROCENTOWANIE!C11),OPROCENTOWANIE!E11,IF(AND(KwNaReke&gt;OPROCENTOWANIE!B12,KwNaReke&lt;=OPROCENTOWANIE!C12),OPROCENTOWANIE!E12,IF(AND(KwNaReke&gt;OPROCENTOWANIE!B13,KwNaReke&lt;=OPROCENTOWANIE!C13),OPROCENTOWANIE!E13,IF(AND(KwNaReke&gt;OPROCENTOWANIE!B14,KwNaReke&lt;=OPROCENTOWANIE!C14),OPROCENTOWANIE!E14,"Nieodpowiednia kwota")))))))))</f>
        <v>8.9899999999999994E-2</v>
      </c>
      <c r="H6" s="1751"/>
      <c r="I6">
        <f>IF(I10=0,0.0175,0.0674)</f>
        <v>6.7400000000000002E-2</v>
      </c>
      <c r="K6" t="b">
        <f>IF(WERSJA2!D9="POZOSTAŁY",8.99)</f>
        <v>0</v>
      </c>
    </row>
    <row r="7" spans="1:11" ht="13.5" thickBot="1" x14ac:dyDescent="0.35">
      <c r="A7" s="1906"/>
      <c r="B7" s="1878">
        <v>3999.99</v>
      </c>
      <c r="C7" s="1878">
        <v>5000</v>
      </c>
      <c r="D7" s="1757">
        <v>0</v>
      </c>
      <c r="E7" s="1849">
        <f>IF(WERSJA2!D9="INNY KANAŁ SPRZEDAŻY",0,0.0899)</f>
        <v>8.9899999999999994E-2</v>
      </c>
      <c r="F7" s="1750"/>
      <c r="G7" s="1847"/>
      <c r="H7" s="1751"/>
    </row>
    <row r="8" spans="1:11" ht="13.5" thickBot="1" x14ac:dyDescent="0.35">
      <c r="A8" s="1906"/>
      <c r="B8" s="1878">
        <v>5000</v>
      </c>
      <c r="C8" s="1878">
        <v>10000</v>
      </c>
      <c r="D8" s="1757">
        <v>0</v>
      </c>
      <c r="E8" s="1849">
        <f>IF(WERSJA2!D9="INNY KANAŁ SPRZEDAŻY",0,0.0899)</f>
        <v>8.9899999999999994E-2</v>
      </c>
      <c r="F8" s="1750"/>
      <c r="G8" s="1847"/>
      <c r="H8" s="1751"/>
    </row>
    <row r="9" spans="1:11" ht="13.5" thickBot="1" x14ac:dyDescent="0.35">
      <c r="A9" s="1906"/>
      <c r="B9" s="1878">
        <v>10000</v>
      </c>
      <c r="C9" s="1878">
        <v>15000</v>
      </c>
      <c r="D9" s="1757">
        <v>0</v>
      </c>
      <c r="E9" s="1850">
        <f>IF(WERSJA2!D9="INNY KANAŁ SPRZEDAŻY",0,0.0899)</f>
        <v>8.9899999999999994E-2</v>
      </c>
      <c r="F9" s="1750"/>
      <c r="G9" s="1847"/>
      <c r="H9" s="1751"/>
    </row>
    <row r="10" spans="1:11" ht="13.5" thickBot="1" x14ac:dyDescent="0.35">
      <c r="A10" s="1906"/>
      <c r="B10" s="1878">
        <v>15000</v>
      </c>
      <c r="C10" s="1878">
        <v>20000</v>
      </c>
      <c r="D10" s="1757">
        <v>0.02</v>
      </c>
      <c r="E10" s="1850">
        <f>IF(WERSJA2!D9="INNY KANAŁ SPRZEDAŻY",0,0.0899)</f>
        <v>8.9899999999999994E-2</v>
      </c>
      <c r="F10" s="1750"/>
      <c r="G10" s="1847"/>
      <c r="H10" s="1751"/>
      <c r="I10">
        <f>IF(AND(I11=0,I12=0),0,1)</f>
        <v>1</v>
      </c>
    </row>
    <row r="11" spans="1:11" ht="13.5" thickBot="1" x14ac:dyDescent="0.35">
      <c r="A11" s="1906"/>
      <c r="B11" s="1878">
        <v>20000</v>
      </c>
      <c r="C11" s="1878">
        <v>30000</v>
      </c>
      <c r="D11" s="1757">
        <v>0.02</v>
      </c>
      <c r="E11" s="1850">
        <f>IF(WERSJA2!D9="INNY KANAŁ SPRZEDAŻY",0,0.0899)</f>
        <v>8.9899999999999994E-2</v>
      </c>
      <c r="F11" s="1750"/>
      <c r="G11" s="1847"/>
      <c r="I11">
        <f>IF(AND(WERSJA2!D7="NIE",WERSJA2!D9="INNY KANAŁ SPRZEDAŻY"),1,IF(AND(WERSJA2!D7="TAK",WERSJA2!D9="INNY KANAŁ SPRZEDAŻY"),1,IF(AND(WERSJA2!D7="TAK",WERSJA2!D9="MOBILE"),1,IF(AND(WERSJA2!D7="TAK",WERSJA2!D9="MOJE ING"),1,0))))</f>
        <v>1</v>
      </c>
      <c r="J11" s="1877"/>
      <c r="K11" s="1877"/>
    </row>
    <row r="12" spans="1:11" ht="13.5" thickBot="1" x14ac:dyDescent="0.35">
      <c r="A12" s="1906"/>
      <c r="B12" s="1731">
        <v>30000</v>
      </c>
      <c r="C12" s="1731">
        <v>60000</v>
      </c>
      <c r="D12" s="1757">
        <f>IF(AND(WERSJA2!D7="NIE",WERSJA2!D9="MOJE ING"),0,IF(AND(WERSJA2!D7="NIE",WERSJA2!D9="MOBILE"),0,0.04))</f>
        <v>0.04</v>
      </c>
      <c r="E12" s="1850">
        <v>8.9899999999999994E-2</v>
      </c>
      <c r="F12" s="1750"/>
      <c r="G12" s="1847"/>
      <c r="I12">
        <f>IF(KwNaReke&gt;30000,0,1)</f>
        <v>0</v>
      </c>
      <c r="J12" s="1877"/>
    </row>
    <row r="13" spans="1:11" ht="15" thickBot="1" x14ac:dyDescent="0.35">
      <c r="A13" s="1906"/>
      <c r="B13" s="1731">
        <v>60000</v>
      </c>
      <c r="C13" s="1731">
        <v>100000</v>
      </c>
      <c r="D13" s="1757">
        <f>IF(AND(WERSJA2!D7="NIE",WERSJA2!D9="MOJE ING"),0,IF(AND(WERSJA2!D7="NIE",WERSJA2!D9="MOBILE"),0,0.04))</f>
        <v>0.04</v>
      </c>
      <c r="E13" s="1850">
        <v>8.9899999999999994E-2</v>
      </c>
      <c r="F13" s="1844"/>
      <c r="G13" s="1847"/>
      <c r="J13" s="1877"/>
      <c r="K13" s="1877"/>
    </row>
    <row r="14" spans="1:11" ht="13.5" thickBot="1" x14ac:dyDescent="0.35">
      <c r="A14" s="1907"/>
      <c r="B14" s="1731">
        <v>100000</v>
      </c>
      <c r="C14" s="1731">
        <v>250000</v>
      </c>
      <c r="D14" s="1757">
        <f>IF(AND(WERSJA2!D7="NIE",WERSJA2!D9="MOJE ING"),0,IF(AND(WERSJA2!D7="NIE",WERSJA2!D9="MOBILE"),0,0.04))</f>
        <v>0.04</v>
      </c>
      <c r="E14" s="1850">
        <v>8.9899999999999994E-2</v>
      </c>
      <c r="F14" s="1750"/>
      <c r="G14" s="1847"/>
      <c r="J14" s="1877"/>
      <c r="K14" s="1877"/>
    </row>
    <row r="15" spans="1:11" ht="24" customHeight="1" thickBot="1" x14ac:dyDescent="0.35">
      <c r="A15" s="1732" t="s">
        <v>2291</v>
      </c>
      <c r="B15" s="1731" t="s">
        <v>2194</v>
      </c>
      <c r="C15" s="1731"/>
      <c r="D15" s="1757">
        <v>0</v>
      </c>
      <c r="E15" s="1758">
        <v>0</v>
      </c>
      <c r="F15" s="1750">
        <f>IF(WERSJA2!D6="MASS",0,VLOOKUP(WERSJA2!D6,OPROCENTOWANIE!B15:E17,3,0))</f>
        <v>0</v>
      </c>
      <c r="G15" s="1847">
        <f>IF(WERSJA2!D6="MASS",0,VLOOKUP(WERSJA2!D6,OPROCENTOWANIE!B15:E17,4,0))</f>
        <v>0</v>
      </c>
      <c r="H15" s="1844"/>
      <c r="J15" s="1877"/>
      <c r="K15" s="1877"/>
    </row>
    <row r="16" spans="1:11" ht="13.5" thickBot="1" x14ac:dyDescent="0.35">
      <c r="A16" s="1733"/>
      <c r="B16" s="1731" t="s">
        <v>2192</v>
      </c>
      <c r="C16" s="1731"/>
      <c r="D16" s="1757">
        <v>0</v>
      </c>
      <c r="E16" s="1758">
        <v>0</v>
      </c>
      <c r="F16" s="1750"/>
      <c r="G16" s="1847"/>
      <c r="J16" s="1877"/>
      <c r="K16" s="1877"/>
    </row>
    <row r="17" spans="1:11" ht="13.5" thickBot="1" x14ac:dyDescent="0.35">
      <c r="A17" s="1734"/>
      <c r="B17" s="1731" t="s">
        <v>2193</v>
      </c>
      <c r="C17" s="1731"/>
      <c r="D17" s="1757">
        <v>0</v>
      </c>
      <c r="E17" s="1758">
        <v>0</v>
      </c>
      <c r="F17" s="1750"/>
      <c r="G17" s="1750"/>
      <c r="J17" s="1877"/>
      <c r="K17" s="1877"/>
    </row>
    <row r="18" spans="1:11" ht="38.25" customHeight="1" thickBot="1" x14ac:dyDescent="0.35">
      <c r="A18" s="1908" t="s">
        <v>2292</v>
      </c>
      <c r="B18" s="1909"/>
      <c r="C18" s="1735"/>
      <c r="D18" s="1756">
        <v>0</v>
      </c>
      <c r="E18" s="1851">
        <v>0</v>
      </c>
      <c r="F18" s="1750">
        <f>IF(WERSJA2!D10="TAK",OPROCENTOWANIE!D18,0)</f>
        <v>0</v>
      </c>
      <c r="G18" s="1750">
        <f>IF(WERSJA2!D10="TAK",OPROCENTOWANIE!E18,0)</f>
        <v>0</v>
      </c>
    </row>
    <row r="19" spans="1:11" ht="13.5" thickBot="1" x14ac:dyDescent="0.35">
      <c r="A19" s="1910" t="s">
        <v>2293</v>
      </c>
      <c r="B19" s="1911"/>
      <c r="C19" s="1735"/>
      <c r="D19" s="1759">
        <f>IF(KwNaReke&gt;30000,0.005,0)</f>
        <v>5.0000000000000001E-3</v>
      </c>
      <c r="E19" s="1758">
        <v>0</v>
      </c>
      <c r="F19" s="1750">
        <f>IF(WERSJA2!$D$8="TAK",OPROCENTOWANIE!D19,0)</f>
        <v>0</v>
      </c>
      <c r="G19" s="1750">
        <f>IF(WERSJA2!$D$8="TAK",OPROCENTOWANIE!E19,0)</f>
        <v>0</v>
      </c>
    </row>
  </sheetData>
  <mergeCells count="9">
    <mergeCell ref="A6:A14"/>
    <mergeCell ref="A18:B18"/>
    <mergeCell ref="A19:B19"/>
    <mergeCell ref="A1:B1"/>
    <mergeCell ref="D1:E1"/>
    <mergeCell ref="A2:B2"/>
    <mergeCell ref="A3:B3"/>
    <mergeCell ref="A4:B4"/>
    <mergeCell ref="A5:B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20">
    <tabColor theme="3"/>
  </sheetPr>
  <dimension ref="A1:M26"/>
  <sheetViews>
    <sheetView showGridLines="0" zoomScale="70" zoomScaleNormal="70" workbookViewId="0">
      <selection activeCell="E28" sqref="A1:XFD1048576"/>
    </sheetView>
  </sheetViews>
  <sheetFormatPr defaultColWidth="9.1796875" defaultRowHeight="21" x14ac:dyDescent="0.5"/>
  <cols>
    <col min="1" max="1" width="1.1796875" style="1403" customWidth="1"/>
    <col min="2" max="2" width="4.453125" style="1403" customWidth="1"/>
    <col min="3" max="3" width="58.7265625" style="1403" customWidth="1"/>
    <col min="4" max="4" width="20" style="1403" customWidth="1"/>
    <col min="5" max="5" width="24.453125" style="1403" customWidth="1"/>
    <col min="6" max="6" width="10.81640625" style="1403" customWidth="1"/>
    <col min="7" max="7" width="1" style="1403" customWidth="1"/>
    <col min="8" max="8" width="23.26953125" style="1403" customWidth="1"/>
    <col min="9" max="9" width="34.7265625" style="1403" customWidth="1"/>
    <col min="10" max="11" width="9.1796875" style="1403"/>
    <col min="12" max="12" width="48.1796875" style="1403" customWidth="1"/>
    <col min="13" max="16384" width="9.1796875" style="1403"/>
  </cols>
  <sheetData>
    <row r="1" spans="1:13" ht="6.75" customHeight="1" x14ac:dyDescent="0.5">
      <c r="A1" s="1402"/>
      <c r="B1" s="1402"/>
      <c r="C1" s="1402"/>
      <c r="D1" s="1402"/>
      <c r="E1" s="1402"/>
      <c r="F1" s="1402"/>
      <c r="G1" s="1402"/>
    </row>
    <row r="2" spans="1:13" x14ac:dyDescent="0.5">
      <c r="A2" s="1402"/>
      <c r="B2" s="1404"/>
      <c r="C2" s="1404"/>
      <c r="D2" s="1404"/>
      <c r="E2" s="1404"/>
      <c r="F2" s="1404"/>
      <c r="G2" s="1402"/>
      <c r="H2" s="1405"/>
    </row>
    <row r="3" spans="1:13" ht="22" x14ac:dyDescent="0.5">
      <c r="A3" s="1402"/>
      <c r="B3" s="1404"/>
      <c r="C3" s="1496" t="s">
        <v>2199</v>
      </c>
      <c r="D3" s="1406"/>
      <c r="E3" s="1406"/>
      <c r="F3" s="1407"/>
      <c r="G3" s="1402"/>
      <c r="H3" s="1405"/>
    </row>
    <row r="4" spans="1:13" ht="21" customHeight="1" thickBot="1" x14ac:dyDescent="0.55000000000000004">
      <c r="A4" s="1402"/>
      <c r="B4" s="1408"/>
      <c r="C4" s="1409"/>
      <c r="D4" s="1410"/>
      <c r="E4" s="1409"/>
      <c r="F4" s="1411"/>
      <c r="G4" s="1412"/>
      <c r="H4" s="1413"/>
      <c r="I4" s="1414" t="s">
        <v>2173</v>
      </c>
      <c r="J4" s="1414"/>
      <c r="K4" s="1415"/>
      <c r="L4" s="1416"/>
    </row>
    <row r="5" spans="1:13" ht="27" customHeight="1" thickTop="1" thickBot="1" x14ac:dyDescent="0.55000000000000004">
      <c r="A5" s="1402"/>
      <c r="B5" s="1408"/>
      <c r="C5" s="1417" t="s">
        <v>1836</v>
      </c>
      <c r="D5" s="1418">
        <f>WERSJA2!D16</f>
        <v>31000</v>
      </c>
      <c r="E5" s="1409"/>
      <c r="F5" s="1411"/>
      <c r="G5" s="1419"/>
      <c r="H5" s="1413"/>
      <c r="I5" s="1414" t="s">
        <v>2174</v>
      </c>
      <c r="J5" s="1414"/>
      <c r="K5" s="1415"/>
      <c r="L5" s="1416"/>
    </row>
    <row r="6" spans="1:13" ht="25.5" customHeight="1" thickTop="1" thickBot="1" x14ac:dyDescent="0.55000000000000004">
      <c r="A6" s="1402"/>
      <c r="B6" s="1408"/>
      <c r="C6" s="1417" t="s">
        <v>2165</v>
      </c>
      <c r="D6" s="1418">
        <f ca="1">WERSJA2!J17</f>
        <v>764.1</v>
      </c>
      <c r="E6" s="1409"/>
      <c r="F6" s="1411"/>
      <c r="G6" s="1419"/>
      <c r="H6" s="1413"/>
      <c r="I6" s="1420"/>
      <c r="J6" s="1420"/>
      <c r="K6" s="1416"/>
      <c r="L6" s="1416"/>
    </row>
    <row r="7" spans="1:13" ht="29.25" customHeight="1" thickTop="1" thickBot="1" x14ac:dyDescent="0.55000000000000004">
      <c r="A7" s="1402"/>
      <c r="B7" s="1408"/>
      <c r="C7" s="1421" t="s">
        <v>2166</v>
      </c>
      <c r="D7" s="1418">
        <f ca="1">WERSJA2!J18</f>
        <v>764.1</v>
      </c>
      <c r="E7" s="1409"/>
      <c r="F7" s="1411"/>
      <c r="G7" s="1419"/>
      <c r="H7" s="1422"/>
      <c r="I7" s="1420"/>
      <c r="J7" s="1420"/>
      <c r="K7" s="1416"/>
      <c r="L7" s="1416"/>
    </row>
    <row r="8" spans="1:13" ht="33" customHeight="1" thickTop="1" thickBot="1" x14ac:dyDescent="0.55000000000000004">
      <c r="A8" s="1402"/>
      <c r="B8" s="1408"/>
      <c r="C8" s="1421" t="s">
        <v>2200</v>
      </c>
      <c r="D8" s="1418">
        <f>WERSJA2!J8</f>
        <v>0</v>
      </c>
      <c r="E8" s="1409"/>
      <c r="F8" s="1411"/>
      <c r="G8" s="1419"/>
      <c r="H8" s="1413"/>
      <c r="I8" s="1369"/>
      <c r="J8" s="1420"/>
      <c r="K8" s="1416"/>
      <c r="L8" s="1416"/>
    </row>
    <row r="9" spans="1:13" ht="27" customHeight="1" thickTop="1" thickBot="1" x14ac:dyDescent="0.55000000000000004">
      <c r="A9" s="1402"/>
      <c r="B9" s="1408"/>
      <c r="C9" s="1417" t="s">
        <v>2167</v>
      </c>
      <c r="D9" s="1423">
        <f>WERSJA2!D13</f>
        <v>48</v>
      </c>
      <c r="E9" s="1424"/>
      <c r="F9" s="1411"/>
      <c r="G9" s="1419"/>
      <c r="H9" s="1413"/>
      <c r="I9" s="1420"/>
      <c r="J9" s="1420"/>
      <c r="K9" s="1416"/>
      <c r="L9" s="1416"/>
    </row>
    <row r="10" spans="1:13" ht="21.5" thickTop="1" x14ac:dyDescent="0.5">
      <c r="A10" s="1402"/>
      <c r="B10" s="1408"/>
      <c r="C10" s="1425"/>
      <c r="D10" s="1425"/>
      <c r="E10" s="1409"/>
      <c r="F10" s="1411"/>
      <c r="G10" s="1426"/>
      <c r="H10" s="1427"/>
      <c r="I10" s="1416"/>
      <c r="J10" s="1416"/>
      <c r="K10" s="1416"/>
      <c r="L10" s="1416"/>
    </row>
    <row r="11" spans="1:13" ht="3.75" customHeight="1" x14ac:dyDescent="0.5">
      <c r="A11" s="1402"/>
      <c r="B11" s="1426"/>
      <c r="C11" s="1428"/>
      <c r="D11" s="1428"/>
      <c r="E11" s="1429"/>
      <c r="F11" s="1430"/>
      <c r="G11" s="1426"/>
      <c r="H11" s="1427"/>
      <c r="I11" s="1416"/>
      <c r="J11" s="1416"/>
      <c r="K11" s="1416"/>
      <c r="L11" s="1416"/>
    </row>
    <row r="12" spans="1:13" ht="13.5" customHeight="1" thickBot="1" x14ac:dyDescent="0.55000000000000004">
      <c r="A12" s="1402"/>
      <c r="B12" s="1431"/>
      <c r="C12" s="1432"/>
      <c r="D12" s="1433"/>
      <c r="E12" s="1434"/>
      <c r="F12" s="1435"/>
      <c r="G12" s="1426"/>
      <c r="H12" s="1427"/>
      <c r="I12" s="1416"/>
      <c r="J12" s="1416"/>
      <c r="K12" s="1416"/>
      <c r="L12" s="1416"/>
    </row>
    <row r="13" spans="1:13" ht="21" customHeight="1" thickTop="1" thickBot="1" x14ac:dyDescent="0.55000000000000004">
      <c r="A13" s="1402"/>
      <c r="B13" s="1431"/>
      <c r="C13" s="1436" t="s">
        <v>2168</v>
      </c>
      <c r="D13" s="1437">
        <f>D8</f>
        <v>0</v>
      </c>
      <c r="E13" s="1438" t="s">
        <v>2169</v>
      </c>
      <c r="F13" s="1435"/>
      <c r="G13" s="1426"/>
      <c r="H13" s="1427"/>
      <c r="I13" s="1416"/>
      <c r="J13" s="1416"/>
      <c r="K13" s="1416"/>
      <c r="L13" s="1416"/>
    </row>
    <row r="14" spans="1:13" ht="21" customHeight="1" thickTop="1" thickBot="1" x14ac:dyDescent="0.55000000000000004">
      <c r="A14" s="1402"/>
      <c r="B14" s="1431"/>
      <c r="C14" s="1439"/>
      <c r="D14" s="1440"/>
      <c r="E14" s="1441"/>
      <c r="F14" s="1435"/>
      <c r="G14" s="1426"/>
      <c r="H14" s="1427"/>
      <c r="I14" s="1416"/>
      <c r="J14" s="1416"/>
      <c r="K14" s="1416"/>
      <c r="L14" s="1416"/>
    </row>
    <row r="15" spans="1:13" ht="32.25" customHeight="1" thickTop="1" thickBot="1" x14ac:dyDescent="0.55000000000000004">
      <c r="A15" s="1402"/>
      <c r="B15" s="1431"/>
      <c r="C15" s="1442" t="s">
        <v>2170</v>
      </c>
      <c r="D15" s="1443">
        <f ca="1">D5+D6</f>
        <v>31764.1</v>
      </c>
      <c r="E15" s="1434"/>
      <c r="F15" s="1435"/>
      <c r="G15" s="1426"/>
      <c r="H15" s="1427"/>
      <c r="I15" s="1416"/>
      <c r="J15" s="1416"/>
      <c r="K15" s="1416"/>
      <c r="L15" s="1416"/>
      <c r="M15" s="1416"/>
    </row>
    <row r="16" spans="1:13" ht="33.75" customHeight="1" thickTop="1" thickBot="1" x14ac:dyDescent="0.55000000000000004">
      <c r="A16" s="1402"/>
      <c r="B16" s="1431"/>
      <c r="C16" s="1444" t="s">
        <v>2175</v>
      </c>
      <c r="D16" s="1443">
        <v>30000</v>
      </c>
      <c r="E16" s="1434"/>
      <c r="F16" s="1435"/>
      <c r="G16" s="1426"/>
      <c r="H16" s="1427"/>
      <c r="I16" s="1416"/>
      <c r="J16" s="1416"/>
      <c r="K16" s="1416"/>
      <c r="L16" s="1445"/>
      <c r="M16" s="1446"/>
    </row>
    <row r="17" spans="1:13" ht="39" customHeight="1" thickTop="1" thickBot="1" x14ac:dyDescent="0.55000000000000004">
      <c r="A17" s="1402"/>
      <c r="B17" s="1431"/>
      <c r="C17" s="1444" t="s">
        <v>2176</v>
      </c>
      <c r="D17" s="1443">
        <v>3000</v>
      </c>
      <c r="E17" s="1434"/>
      <c r="F17" s="1435"/>
      <c r="G17" s="1426"/>
      <c r="H17" s="1427"/>
      <c r="I17" s="1416"/>
      <c r="J17" s="1416"/>
      <c r="K17" s="1416"/>
      <c r="L17" s="1447"/>
      <c r="M17" s="1416"/>
    </row>
    <row r="18" spans="1:13" ht="22" thickTop="1" thickBot="1" x14ac:dyDescent="0.55000000000000004">
      <c r="A18" s="1402"/>
      <c r="B18" s="1431"/>
      <c r="C18" s="1448"/>
      <c r="D18" s="1449"/>
      <c r="E18" s="1434"/>
      <c r="F18" s="1435"/>
      <c r="G18" s="1426"/>
      <c r="H18" s="1427"/>
      <c r="I18" s="1416"/>
      <c r="J18" s="1416"/>
      <c r="K18" s="1416"/>
      <c r="L18" s="1416"/>
    </row>
    <row r="19" spans="1:13" ht="31" thickTop="1" thickBot="1" x14ac:dyDescent="0.55000000000000004">
      <c r="A19" s="1402"/>
      <c r="B19" s="1431"/>
      <c r="C19" s="1450" t="s">
        <v>2201</v>
      </c>
      <c r="D19" s="1451">
        <f ca="1">D15+D16+D17</f>
        <v>64764.1</v>
      </c>
      <c r="E19" s="1434"/>
      <c r="F19" s="1435"/>
      <c r="G19" s="1426"/>
      <c r="H19" s="1427"/>
      <c r="I19" s="1416"/>
      <c r="J19" s="1416"/>
      <c r="K19" s="1416"/>
      <c r="L19" s="1416"/>
    </row>
    <row r="20" spans="1:13" ht="35.25" customHeight="1" thickTop="1" thickBot="1" x14ac:dyDescent="0.55000000000000004">
      <c r="A20" s="1402"/>
      <c r="B20" s="1431"/>
      <c r="C20" s="1452" t="s">
        <v>2202</v>
      </c>
      <c r="D20" s="1451">
        <f>D9*D8</f>
        <v>0</v>
      </c>
      <c r="E20" s="1434"/>
      <c r="F20" s="1435"/>
      <c r="G20" s="1426"/>
      <c r="H20" s="1427"/>
      <c r="I20" s="1416"/>
      <c r="J20" s="1416"/>
      <c r="K20" s="1416"/>
      <c r="L20" s="1416"/>
    </row>
    <row r="21" spans="1:13" ht="21.5" thickTop="1" x14ac:dyDescent="0.5">
      <c r="A21" s="1402"/>
      <c r="B21" s="1431"/>
      <c r="C21" s="1453"/>
      <c r="D21" s="1454"/>
      <c r="E21" s="1454"/>
      <c r="F21" s="1431"/>
      <c r="G21" s="1426"/>
      <c r="H21" s="1427"/>
      <c r="I21" s="1416"/>
      <c r="J21" s="1416"/>
      <c r="K21" s="1416"/>
      <c r="L21" s="1416"/>
    </row>
    <row r="22" spans="1:13" x14ac:dyDescent="0.5">
      <c r="A22" s="1402"/>
      <c r="B22" s="1431"/>
      <c r="C22" s="1454"/>
      <c r="D22" s="1454"/>
      <c r="E22" s="1454"/>
      <c r="F22" s="1431"/>
      <c r="G22" s="1426"/>
      <c r="H22" s="1427"/>
      <c r="I22" s="1416"/>
      <c r="J22" s="1416"/>
      <c r="K22" s="1416"/>
      <c r="L22" s="1416"/>
    </row>
    <row r="23" spans="1:13" ht="4.5" customHeight="1" x14ac:dyDescent="0.5">
      <c r="A23" s="1402"/>
      <c r="B23" s="1426"/>
      <c r="C23" s="1426"/>
      <c r="D23" s="1426"/>
      <c r="E23" s="1426"/>
      <c r="F23" s="1426"/>
      <c r="G23" s="1426"/>
      <c r="H23" s="1416"/>
      <c r="I23" s="1416"/>
      <c r="J23" s="1416"/>
      <c r="K23" s="1416"/>
      <c r="L23" s="1416"/>
    </row>
    <row r="24" spans="1:13" x14ac:dyDescent="0.5">
      <c r="B24" s="1416"/>
      <c r="C24" s="1416"/>
      <c r="D24" s="1416"/>
      <c r="E24" s="1416"/>
      <c r="F24" s="1416"/>
      <c r="G24" s="1416"/>
      <c r="H24" s="1416"/>
      <c r="I24" s="1416"/>
      <c r="J24" s="1416"/>
      <c r="K24" s="1416"/>
      <c r="L24" s="1416"/>
    </row>
    <row r="25" spans="1:13" x14ac:dyDescent="0.5">
      <c r="B25" s="1416"/>
      <c r="C25" s="1416"/>
      <c r="D25" s="1416"/>
      <c r="E25" s="1416"/>
      <c r="F25" s="1416"/>
      <c r="G25" s="1416"/>
      <c r="H25" s="1416"/>
      <c r="I25" s="1416"/>
      <c r="J25" s="1416"/>
      <c r="K25" s="1416"/>
      <c r="L25" s="1416"/>
    </row>
    <row r="26" spans="1:13" x14ac:dyDescent="0.5">
      <c r="B26" s="1416"/>
      <c r="C26" s="1416"/>
      <c r="D26" s="1416"/>
      <c r="E26" s="1416"/>
      <c r="F26" s="1416"/>
      <c r="G26" s="1416"/>
      <c r="H26" s="1416"/>
      <c r="I26" s="1416"/>
      <c r="J26" s="1416"/>
      <c r="K26" s="1416"/>
      <c r="L26" s="1416"/>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19">
    <tabColor rgb="FF000066"/>
  </sheetPr>
  <dimension ref="A1:M27"/>
  <sheetViews>
    <sheetView showGridLines="0" zoomScale="70" zoomScaleNormal="70" workbookViewId="0">
      <selection activeCell="C19" sqref="A1:XFD1048576"/>
    </sheetView>
  </sheetViews>
  <sheetFormatPr defaultColWidth="9.1796875" defaultRowHeight="21" x14ac:dyDescent="0.5"/>
  <cols>
    <col min="1" max="1" width="5.26953125" style="1351" customWidth="1"/>
    <col min="2" max="2" width="4.453125" style="1351" customWidth="1"/>
    <col min="3" max="3" width="58.7265625" style="1351" customWidth="1"/>
    <col min="4" max="4" width="20" style="1351" customWidth="1"/>
    <col min="5" max="5" width="24.453125" style="1351" customWidth="1"/>
    <col min="6" max="6" width="10.81640625" style="1351" customWidth="1"/>
    <col min="7" max="7" width="1" style="1351" customWidth="1"/>
    <col min="8" max="8" width="23.26953125" style="1351" customWidth="1"/>
    <col min="9" max="9" width="34.7265625" style="1351" customWidth="1"/>
    <col min="10" max="11" width="9.1796875" style="1351"/>
    <col min="12" max="12" width="48.1796875" style="1351" customWidth="1"/>
    <col min="13" max="16384" width="9.1796875" style="1351"/>
  </cols>
  <sheetData>
    <row r="1" spans="1:13" ht="6.75" customHeight="1" x14ac:dyDescent="0.5">
      <c r="A1" s="1350"/>
      <c r="B1" s="1350"/>
      <c r="C1" s="1350"/>
      <c r="D1" s="1350"/>
      <c r="E1" s="1350"/>
      <c r="F1" s="1350"/>
      <c r="G1" s="1350"/>
    </row>
    <row r="2" spans="1:13" x14ac:dyDescent="0.5">
      <c r="A2" s="1350"/>
      <c r="B2" s="1352"/>
      <c r="C2" s="1352"/>
      <c r="D2" s="1352"/>
      <c r="E2" s="1352"/>
      <c r="F2" s="1352"/>
      <c r="G2" s="1350"/>
      <c r="H2" s="1353"/>
    </row>
    <row r="3" spans="1:13" ht="22" x14ac:dyDescent="0.5">
      <c r="A3" s="1350"/>
      <c r="B3" s="1352"/>
      <c r="C3" s="1495" t="s">
        <v>2195</v>
      </c>
      <c r="D3" s="1354"/>
      <c r="E3" s="1354"/>
      <c r="F3" s="1355"/>
      <c r="G3" s="1350"/>
      <c r="H3" s="1353"/>
      <c r="I3" s="1455"/>
      <c r="J3" s="1455"/>
      <c r="K3" s="1455"/>
    </row>
    <row r="4" spans="1:13" ht="21" customHeight="1" thickBot="1" x14ac:dyDescent="0.55000000000000004">
      <c r="A4" s="1350"/>
      <c r="B4" s="1356"/>
      <c r="C4" s="1357"/>
      <c r="D4" s="1358"/>
      <c r="E4" s="1357"/>
      <c r="F4" s="1359"/>
      <c r="G4" s="1360"/>
      <c r="H4" s="1361"/>
      <c r="I4" s="1414" t="s">
        <v>2173</v>
      </c>
      <c r="J4" s="1456"/>
      <c r="K4" s="1457"/>
      <c r="L4" s="1362"/>
    </row>
    <row r="5" spans="1:13" ht="27" customHeight="1" thickTop="1" thickBot="1" x14ac:dyDescent="0.55000000000000004">
      <c r="A5" s="1350"/>
      <c r="B5" s="1356"/>
      <c r="C5" s="1363" t="s">
        <v>1836</v>
      </c>
      <c r="D5" s="1364">
        <f>WERSJA2!D16</f>
        <v>31000</v>
      </c>
      <c r="E5" s="1357"/>
      <c r="F5" s="1359"/>
      <c r="G5" s="1365"/>
      <c r="H5" s="1361"/>
      <c r="I5" s="1414" t="s">
        <v>2174</v>
      </c>
      <c r="J5" s="1456"/>
      <c r="K5" s="1457"/>
      <c r="L5" s="1362"/>
    </row>
    <row r="6" spans="1:13" ht="25.5" customHeight="1" thickTop="1" thickBot="1" x14ac:dyDescent="0.55000000000000004">
      <c r="A6" s="1350"/>
      <c r="B6" s="1356"/>
      <c r="C6" s="1363" t="s">
        <v>2165</v>
      </c>
      <c r="D6" s="1364">
        <f ca="1">WERSJA2!J17</f>
        <v>764.1</v>
      </c>
      <c r="E6" s="1357"/>
      <c r="F6" s="1359"/>
      <c r="G6" s="1365"/>
      <c r="H6" s="1361"/>
      <c r="I6" s="1366"/>
      <c r="J6" s="1366"/>
      <c r="K6" s="1362"/>
      <c r="L6" s="1362"/>
    </row>
    <row r="7" spans="1:13" ht="29.25" customHeight="1" thickTop="1" thickBot="1" x14ac:dyDescent="0.55000000000000004">
      <c r="A7" s="1350"/>
      <c r="B7" s="1356"/>
      <c r="C7" s="1367" t="s">
        <v>2166</v>
      </c>
      <c r="D7" s="1364">
        <f ca="1">WERSJA2!J18</f>
        <v>764.1</v>
      </c>
      <c r="E7" s="1357"/>
      <c r="F7" s="1359"/>
      <c r="G7" s="1365"/>
      <c r="H7" s="1368"/>
      <c r="I7" s="1366"/>
      <c r="J7" s="1366"/>
      <c r="K7" s="1362"/>
      <c r="L7" s="1362"/>
    </row>
    <row r="8" spans="1:13" ht="33" customHeight="1" thickTop="1" thickBot="1" x14ac:dyDescent="0.55000000000000004">
      <c r="A8" s="1350"/>
      <c r="B8" s="1356"/>
      <c r="C8" s="1367" t="s">
        <v>2197</v>
      </c>
      <c r="D8" s="1364">
        <f>WERSJA2!J8</f>
        <v>0</v>
      </c>
      <c r="E8" s="1357"/>
      <c r="F8" s="1359"/>
      <c r="G8" s="1365"/>
      <c r="H8" s="1361"/>
      <c r="I8" s="1369"/>
      <c r="J8" s="1366"/>
      <c r="K8" s="1362"/>
      <c r="L8" s="1362"/>
    </row>
    <row r="9" spans="1:13" ht="27" customHeight="1" thickTop="1" thickBot="1" x14ac:dyDescent="0.55000000000000004">
      <c r="A9" s="1350"/>
      <c r="B9" s="1356"/>
      <c r="C9" s="1363" t="s">
        <v>2167</v>
      </c>
      <c r="D9" s="1370">
        <f>WERSJA2!D13</f>
        <v>48</v>
      </c>
      <c r="E9" s="1371"/>
      <c r="F9" s="1359"/>
      <c r="G9" s="1365"/>
      <c r="H9" s="1361"/>
      <c r="I9" s="1366"/>
      <c r="J9" s="1366"/>
      <c r="K9" s="1362"/>
      <c r="L9" s="1362"/>
    </row>
    <row r="10" spans="1:13" ht="21.5" thickTop="1" x14ac:dyDescent="0.5">
      <c r="A10" s="1350"/>
      <c r="B10" s="1356"/>
      <c r="C10" s="1372"/>
      <c r="D10" s="1372"/>
      <c r="E10" s="1357"/>
      <c r="F10" s="1359"/>
      <c r="G10" s="1373"/>
      <c r="H10" s="1374"/>
      <c r="I10" s="1362"/>
      <c r="J10" s="1362"/>
      <c r="K10" s="1362"/>
      <c r="L10" s="1362"/>
    </row>
    <row r="11" spans="1:13" ht="3.75" customHeight="1" x14ac:dyDescent="0.5">
      <c r="A11" s="1350"/>
      <c r="B11" s="1373"/>
      <c r="C11" s="1375"/>
      <c r="D11" s="1375"/>
      <c r="E11" s="1376"/>
      <c r="F11" s="1377"/>
      <c r="G11" s="1373"/>
      <c r="H11" s="1374"/>
      <c r="I11" s="1362"/>
      <c r="J11" s="1362"/>
      <c r="K11" s="1362"/>
      <c r="L11" s="1362"/>
    </row>
    <row r="12" spans="1:13" ht="13.5" customHeight="1" thickBot="1" x14ac:dyDescent="0.55000000000000004">
      <c r="A12" s="1350"/>
      <c r="B12" s="1378"/>
      <c r="C12" s="1379"/>
      <c r="D12" s="1380"/>
      <c r="E12" s="1381"/>
      <c r="F12" s="1382"/>
      <c r="G12" s="1373"/>
      <c r="H12" s="1374"/>
      <c r="I12" s="1362"/>
      <c r="J12" s="1362"/>
      <c r="K12" s="1362"/>
      <c r="L12" s="1362"/>
    </row>
    <row r="13" spans="1:13" ht="21" customHeight="1" thickTop="1" thickBot="1" x14ac:dyDescent="0.55000000000000004">
      <c r="A13" s="1350"/>
      <c r="B13" s="1378"/>
      <c r="C13" s="1383" t="s">
        <v>2168</v>
      </c>
      <c r="D13" s="1384">
        <f>D8</f>
        <v>0</v>
      </c>
      <c r="E13" s="1385" t="s">
        <v>2169</v>
      </c>
      <c r="F13" s="1382"/>
      <c r="G13" s="1373"/>
      <c r="H13" s="1374"/>
      <c r="I13" s="1362"/>
      <c r="J13" s="1362"/>
      <c r="K13" s="1362"/>
      <c r="L13" s="1362"/>
    </row>
    <row r="14" spans="1:13" ht="21" customHeight="1" thickTop="1" thickBot="1" x14ac:dyDescent="0.55000000000000004">
      <c r="A14" s="1350"/>
      <c r="B14" s="1378"/>
      <c r="C14" s="1386"/>
      <c r="D14" s="1387"/>
      <c r="E14" s="1388"/>
      <c r="F14" s="1382"/>
      <c r="G14" s="1373"/>
      <c r="H14" s="1374"/>
      <c r="I14" s="1362"/>
      <c r="J14" s="1362"/>
      <c r="K14" s="1362"/>
      <c r="L14" s="1362"/>
    </row>
    <row r="15" spans="1:13" ht="32.25" customHeight="1" thickTop="1" thickBot="1" x14ac:dyDescent="0.55000000000000004">
      <c r="A15" s="1350"/>
      <c r="B15" s="1378"/>
      <c r="C15" s="1389" t="s">
        <v>2170</v>
      </c>
      <c r="D15" s="1390">
        <f>D5</f>
        <v>31000</v>
      </c>
      <c r="E15" s="1381"/>
      <c r="F15" s="1382"/>
      <c r="G15" s="1373"/>
      <c r="H15" s="1374"/>
      <c r="I15" s="1362"/>
      <c r="J15" s="1362"/>
      <c r="K15" s="1362"/>
      <c r="L15" s="1362"/>
      <c r="M15" s="1362"/>
    </row>
    <row r="16" spans="1:13" ht="33.75" customHeight="1" thickTop="1" thickBot="1" x14ac:dyDescent="0.55000000000000004">
      <c r="A16" s="1350"/>
      <c r="B16" s="1378"/>
      <c r="C16" s="1391" t="s">
        <v>2171</v>
      </c>
      <c r="D16" s="1390">
        <f>D5</f>
        <v>31000</v>
      </c>
      <c r="E16" s="1381"/>
      <c r="F16" s="1382"/>
      <c r="G16" s="1373"/>
      <c r="H16" s="1374"/>
      <c r="I16" s="1362"/>
      <c r="J16" s="1362"/>
      <c r="K16" s="1362"/>
      <c r="L16" s="1392"/>
      <c r="M16" s="1393"/>
    </row>
    <row r="17" spans="1:13" ht="39" customHeight="1" thickTop="1" thickBot="1" x14ac:dyDescent="0.55000000000000004">
      <c r="A17" s="1350"/>
      <c r="B17" s="1378"/>
      <c r="C17" s="1391" t="s">
        <v>2172</v>
      </c>
      <c r="D17" s="1390">
        <f ca="1">6*D6</f>
        <v>4584.6000000000004</v>
      </c>
      <c r="E17" s="1381"/>
      <c r="F17" s="1382"/>
      <c r="G17" s="1373"/>
      <c r="H17" s="1374"/>
      <c r="I17" s="1362"/>
      <c r="J17" s="1362"/>
      <c r="K17" s="1362"/>
      <c r="L17" s="1394"/>
      <c r="M17" s="1362"/>
    </row>
    <row r="18" spans="1:13" ht="36.75" customHeight="1" thickTop="1" thickBot="1" x14ac:dyDescent="0.55000000000000004">
      <c r="A18" s="1350"/>
      <c r="B18" s="1378"/>
      <c r="C18" s="1391" t="s">
        <v>2209</v>
      </c>
      <c r="D18" s="1390">
        <f>6*250</f>
        <v>1500</v>
      </c>
      <c r="E18" s="1381"/>
      <c r="F18" s="1382"/>
      <c r="G18" s="1373"/>
      <c r="H18" s="1374"/>
      <c r="I18" s="1362"/>
      <c r="J18" s="1362"/>
      <c r="K18" s="1362"/>
      <c r="L18" s="1362"/>
    </row>
    <row r="19" spans="1:13" ht="22" thickTop="1" thickBot="1" x14ac:dyDescent="0.55000000000000004">
      <c r="A19" s="1350"/>
      <c r="B19" s="1378"/>
      <c r="C19" s="1395"/>
      <c r="D19" s="1396"/>
      <c r="E19" s="1381"/>
      <c r="F19" s="1382"/>
      <c r="G19" s="1373"/>
      <c r="H19" s="1374"/>
      <c r="I19" s="1362"/>
      <c r="J19" s="1362"/>
      <c r="K19" s="1362"/>
      <c r="L19" s="1362"/>
    </row>
    <row r="20" spans="1:13" ht="31" thickTop="1" thickBot="1" x14ac:dyDescent="0.55000000000000004">
      <c r="A20" s="1350"/>
      <c r="B20" s="1378"/>
      <c r="C20" s="1397" t="s">
        <v>2196</v>
      </c>
      <c r="D20" s="1398">
        <f ca="1">D15+D16+D17+D18</f>
        <v>68084.600000000006</v>
      </c>
      <c r="E20" s="1381"/>
      <c r="F20" s="1382"/>
      <c r="G20" s="1373"/>
      <c r="H20" s="1374"/>
      <c r="I20" s="1362"/>
      <c r="J20" s="1362"/>
      <c r="K20" s="1362"/>
      <c r="L20" s="1362"/>
    </row>
    <row r="21" spans="1:13" ht="35.25" customHeight="1" thickTop="1" thickBot="1" x14ac:dyDescent="0.55000000000000004">
      <c r="A21" s="1350"/>
      <c r="B21" s="1378"/>
      <c r="C21" s="1399" t="s">
        <v>2198</v>
      </c>
      <c r="D21" s="1398">
        <f>D9*D8</f>
        <v>0</v>
      </c>
      <c r="E21" s="1381"/>
      <c r="F21" s="1382"/>
      <c r="G21" s="1373"/>
      <c r="H21" s="1374"/>
      <c r="I21" s="1362"/>
      <c r="J21" s="1362"/>
      <c r="K21" s="1362"/>
      <c r="L21" s="1362"/>
    </row>
    <row r="22" spans="1:13" ht="21.5" thickTop="1" x14ac:dyDescent="0.5">
      <c r="A22" s="1350"/>
      <c r="B22" s="1378"/>
      <c r="C22" s="1400"/>
      <c r="D22" s="1401"/>
      <c r="E22" s="1401"/>
      <c r="F22" s="1378"/>
      <c r="G22" s="1373"/>
      <c r="H22" s="1374"/>
      <c r="I22" s="1362"/>
      <c r="J22" s="1362"/>
      <c r="K22" s="1362"/>
      <c r="L22" s="1362"/>
    </row>
    <row r="23" spans="1:13" x14ac:dyDescent="0.5">
      <c r="A23" s="1350"/>
      <c r="B23" s="1378"/>
      <c r="C23" s="1401"/>
      <c r="D23" s="1401"/>
      <c r="E23" s="1401"/>
      <c r="F23" s="1378"/>
      <c r="G23" s="1373"/>
      <c r="H23" s="1374"/>
      <c r="I23" s="1362"/>
      <c r="J23" s="1362"/>
      <c r="K23" s="1362"/>
      <c r="L23" s="1362"/>
    </row>
    <row r="24" spans="1:13" ht="4.5" customHeight="1" x14ac:dyDescent="0.5">
      <c r="A24" s="1350"/>
      <c r="B24" s="1373"/>
      <c r="C24" s="1373"/>
      <c r="D24" s="1373"/>
      <c r="E24" s="1373"/>
      <c r="F24" s="1373"/>
      <c r="G24" s="1373"/>
      <c r="H24" s="1362"/>
      <c r="I24" s="1362"/>
      <c r="J24" s="1362"/>
      <c r="K24" s="1362"/>
      <c r="L24" s="1362"/>
    </row>
    <row r="25" spans="1:13" x14ac:dyDescent="0.5">
      <c r="B25" s="1362"/>
      <c r="C25" s="1362"/>
      <c r="D25" s="1362"/>
      <c r="E25" s="1362"/>
      <c r="F25" s="1362"/>
      <c r="G25" s="1362"/>
      <c r="H25" s="1362"/>
      <c r="I25" s="1362"/>
      <c r="J25" s="1362"/>
      <c r="K25" s="1362"/>
      <c r="L25" s="1362"/>
    </row>
    <row r="26" spans="1:13" x14ac:dyDescent="0.5">
      <c r="B26" s="1362"/>
      <c r="C26" s="1362"/>
      <c r="D26" s="1362"/>
      <c r="E26" s="1362"/>
      <c r="F26" s="1362"/>
      <c r="G26" s="1362"/>
      <c r="H26" s="1362"/>
      <c r="I26" s="1362"/>
      <c r="J26" s="1362"/>
      <c r="K26" s="1362"/>
      <c r="L26" s="1362"/>
    </row>
    <row r="27" spans="1:13" x14ac:dyDescent="0.5">
      <c r="B27" s="1362"/>
      <c r="C27" s="1362"/>
      <c r="D27" s="1362"/>
      <c r="E27" s="1362"/>
      <c r="F27" s="1362"/>
      <c r="G27" s="1362"/>
      <c r="H27" s="1362"/>
      <c r="I27" s="1362"/>
      <c r="J27" s="1362"/>
      <c r="K27" s="1362"/>
      <c r="L27" s="1362"/>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33">
    <tabColor theme="3" tint="0.59999389629810485"/>
  </sheetPr>
  <dimension ref="A1:M30"/>
  <sheetViews>
    <sheetView showGridLines="0" showRowColHeaders="0" zoomScale="70" zoomScaleNormal="70" workbookViewId="0">
      <selection activeCell="C17" sqref="C17"/>
    </sheetView>
  </sheetViews>
  <sheetFormatPr defaultColWidth="9.1796875" defaultRowHeight="21" x14ac:dyDescent="0.5"/>
  <cols>
    <col min="1" max="1" width="5.26953125" style="1351" customWidth="1"/>
    <col min="2" max="2" width="4.453125" style="1351" customWidth="1"/>
    <col min="3" max="3" width="65.1796875" style="1351" customWidth="1"/>
    <col min="4" max="4" width="40.26953125" style="1351" customWidth="1"/>
    <col min="5" max="5" width="30.453125" style="1351" customWidth="1"/>
    <col min="6" max="6" width="49" style="1351" customWidth="1"/>
    <col min="7" max="7" width="1" style="1351" customWidth="1"/>
    <col min="8" max="8" width="23.26953125" style="1351" customWidth="1"/>
    <col min="9" max="9" width="34.7265625" style="1351" customWidth="1"/>
    <col min="10" max="11" width="9.1796875" style="1351"/>
    <col min="12" max="12" width="48.1796875" style="1351" customWidth="1"/>
    <col min="13" max="16384" width="9.1796875" style="1351"/>
  </cols>
  <sheetData>
    <row r="1" spans="1:13" ht="6.75" customHeight="1" x14ac:dyDescent="0.5">
      <c r="A1" s="1350"/>
      <c r="B1" s="1350"/>
      <c r="C1" s="1350"/>
      <c r="D1" s="1350"/>
      <c r="E1" s="1350"/>
      <c r="F1" s="1350"/>
      <c r="G1" s="1350"/>
    </row>
    <row r="2" spans="1:13" x14ac:dyDescent="0.5">
      <c r="A2" s="1350"/>
      <c r="B2" s="1352"/>
      <c r="C2" s="1352"/>
      <c r="D2" s="1352"/>
      <c r="E2" s="1352"/>
      <c r="F2" s="1352"/>
      <c r="G2" s="1350"/>
      <c r="H2" s="1353"/>
    </row>
    <row r="3" spans="1:13" ht="22" x14ac:dyDescent="0.5">
      <c r="A3" s="1350"/>
      <c r="B3" s="1352"/>
      <c r="C3" s="1495" t="s">
        <v>2385</v>
      </c>
      <c r="D3" s="1354"/>
      <c r="E3" s="1354"/>
      <c r="F3" s="1355"/>
      <c r="G3" s="1350"/>
      <c r="H3" s="1353"/>
      <c r="I3" s="1455"/>
      <c r="J3" s="1455"/>
      <c r="K3" s="1455"/>
    </row>
    <row r="4" spans="1:13" ht="21" customHeight="1" thickBot="1" x14ac:dyDescent="0.55000000000000004">
      <c r="A4" s="1350"/>
      <c r="B4" s="1356"/>
      <c r="C4" s="1357"/>
      <c r="D4" s="1358"/>
      <c r="E4" s="1357"/>
      <c r="F4" s="1359"/>
      <c r="G4" s="1360"/>
      <c r="H4" s="1361"/>
      <c r="I4" s="1414" t="s">
        <v>2173</v>
      </c>
      <c r="J4" s="1456"/>
      <c r="K4" s="1457"/>
      <c r="L4" s="1362"/>
    </row>
    <row r="5" spans="1:13" ht="27" customHeight="1" thickTop="1" thickBot="1" x14ac:dyDescent="0.55000000000000004">
      <c r="A5" s="1350"/>
      <c r="B5" s="1356"/>
      <c r="C5" s="1363" t="s">
        <v>1836</v>
      </c>
      <c r="D5" s="1364">
        <f>WERSJA2!D16</f>
        <v>31000</v>
      </c>
      <c r="E5" s="1357"/>
      <c r="F5" s="1359"/>
      <c r="G5" s="1365"/>
      <c r="H5" s="1361"/>
      <c r="I5" s="1414" t="s">
        <v>2174</v>
      </c>
      <c r="J5" s="1456"/>
      <c r="K5" s="1457"/>
      <c r="L5" s="1362"/>
    </row>
    <row r="6" spans="1:13" ht="25.5" customHeight="1" thickTop="1" thickBot="1" x14ac:dyDescent="0.55000000000000004">
      <c r="A6" s="1350"/>
      <c r="B6" s="1356"/>
      <c r="C6" s="1363" t="s">
        <v>2165</v>
      </c>
      <c r="D6" s="1364">
        <f ca="1">WERSJA2!J17</f>
        <v>764.1</v>
      </c>
      <c r="E6" s="1357"/>
      <c r="F6" s="1359"/>
      <c r="G6" s="1365"/>
      <c r="H6" s="1361"/>
      <c r="I6" s="1366"/>
      <c r="J6" s="1366"/>
      <c r="K6" s="1362"/>
      <c r="L6" s="1362"/>
    </row>
    <row r="7" spans="1:13" ht="29.25" customHeight="1" thickTop="1" thickBot="1" x14ac:dyDescent="0.55000000000000004">
      <c r="A7" s="1350"/>
      <c r="B7" s="1356"/>
      <c r="C7" s="1367" t="s">
        <v>2166</v>
      </c>
      <c r="D7" s="1364">
        <f ca="1">WERSJA2!J18</f>
        <v>764.1</v>
      </c>
      <c r="E7" s="1357"/>
      <c r="F7" s="1359"/>
      <c r="G7" s="1365"/>
      <c r="H7" s="1368"/>
      <c r="I7" s="1366"/>
      <c r="J7" s="1366"/>
      <c r="K7" s="1362"/>
      <c r="L7" s="1362"/>
    </row>
    <row r="8" spans="1:13" ht="33" customHeight="1" thickTop="1" thickBot="1" x14ac:dyDescent="0.55000000000000004">
      <c r="A8" s="1350"/>
      <c r="B8" s="1356"/>
      <c r="C8" s="1367" t="s">
        <v>2197</v>
      </c>
      <c r="D8" s="1364">
        <f>WERSJA2!J8</f>
        <v>0</v>
      </c>
      <c r="E8" s="1357"/>
      <c r="F8" s="1359"/>
      <c r="G8" s="1365"/>
      <c r="H8" s="1361"/>
      <c r="I8" s="1369"/>
      <c r="J8" s="1366"/>
      <c r="K8" s="1362"/>
      <c r="L8" s="1362"/>
    </row>
    <row r="9" spans="1:13" ht="27" customHeight="1" thickTop="1" thickBot="1" x14ac:dyDescent="0.55000000000000004">
      <c r="A9" s="1350"/>
      <c r="B9" s="1356"/>
      <c r="C9" s="1363" t="s">
        <v>2167</v>
      </c>
      <c r="D9" s="1370">
        <f>WERSJA2!D13</f>
        <v>48</v>
      </c>
      <c r="E9" s="1371"/>
      <c r="F9" s="1359"/>
      <c r="G9" s="1365"/>
      <c r="H9" s="1361"/>
      <c r="I9" s="1366"/>
      <c r="J9" s="1366"/>
      <c r="K9" s="1362"/>
      <c r="L9" s="1362"/>
    </row>
    <row r="10" spans="1:13" ht="21.5" thickTop="1" x14ac:dyDescent="0.5">
      <c r="A10" s="1350"/>
      <c r="B10" s="1356"/>
      <c r="C10" s="1372"/>
      <c r="D10" s="1372"/>
      <c r="E10" s="1357"/>
      <c r="F10" s="1359"/>
      <c r="G10" s="1373"/>
      <c r="H10" s="1374"/>
      <c r="I10" s="1362"/>
      <c r="J10" s="1362"/>
      <c r="K10" s="1362"/>
      <c r="L10" s="1362"/>
    </row>
    <row r="11" spans="1:13" ht="3.75" customHeight="1" x14ac:dyDescent="0.5">
      <c r="A11" s="1350"/>
      <c r="B11" s="1373"/>
      <c r="C11" s="1375"/>
      <c r="D11" s="1375"/>
      <c r="E11" s="1376"/>
      <c r="F11" s="1377"/>
      <c r="G11" s="1373"/>
      <c r="H11" s="1374"/>
      <c r="I11" s="1362"/>
      <c r="J11" s="1362"/>
      <c r="K11" s="1362"/>
      <c r="L11" s="1362"/>
    </row>
    <row r="12" spans="1:13" ht="13.5" customHeight="1" thickBot="1" x14ac:dyDescent="0.55000000000000004">
      <c r="A12" s="1350"/>
      <c r="B12" s="1378"/>
      <c r="C12" s="1379"/>
      <c r="D12" s="1380"/>
      <c r="E12" s="1381"/>
      <c r="F12" s="1382"/>
      <c r="G12" s="1373"/>
      <c r="H12" s="1374"/>
      <c r="I12" s="1362"/>
      <c r="J12" s="1362"/>
      <c r="K12" s="1362"/>
      <c r="L12" s="1362"/>
    </row>
    <row r="13" spans="1:13" ht="21" customHeight="1" thickTop="1" thickBot="1" x14ac:dyDescent="0.55000000000000004">
      <c r="A13" s="1350"/>
      <c r="B13" s="1378"/>
      <c r="C13" s="1383" t="s">
        <v>2168</v>
      </c>
      <c r="D13" s="1384">
        <f>D8</f>
        <v>0</v>
      </c>
      <c r="E13" s="1385" t="s">
        <v>2169</v>
      </c>
      <c r="F13" s="1382"/>
      <c r="G13" s="1373"/>
      <c r="H13" s="1374"/>
      <c r="I13" s="1362"/>
      <c r="J13" s="1362"/>
      <c r="K13" s="1362"/>
      <c r="L13" s="1362"/>
    </row>
    <row r="14" spans="1:13" ht="21" customHeight="1" thickTop="1" thickBot="1" x14ac:dyDescent="0.55000000000000004">
      <c r="A14" s="1350"/>
      <c r="B14" s="1378"/>
      <c r="C14" s="1386"/>
      <c r="D14" s="1387"/>
      <c r="E14" s="1388"/>
      <c r="F14" s="1382"/>
      <c r="G14" s="1373"/>
      <c r="H14" s="1374"/>
      <c r="I14" s="1362"/>
      <c r="J14" s="1362"/>
      <c r="K14" s="1362"/>
      <c r="L14" s="1362"/>
    </row>
    <row r="15" spans="1:13" ht="32.25" customHeight="1" thickTop="1" thickBot="1" x14ac:dyDescent="0.55000000000000004">
      <c r="A15" s="1350"/>
      <c r="B15" s="1378"/>
      <c r="C15" s="1389" t="s">
        <v>2394</v>
      </c>
      <c r="D15" s="1834">
        <f>D5</f>
        <v>31000</v>
      </c>
      <c r="E15" s="1388"/>
      <c r="F15" s="1382"/>
      <c r="G15" s="1373"/>
      <c r="H15" s="1374"/>
      <c r="I15" s="1362"/>
      <c r="J15" s="1362"/>
      <c r="K15" s="1362"/>
      <c r="L15" s="1362"/>
    </row>
    <row r="16" spans="1:13" ht="84" customHeight="1" thickTop="1" thickBot="1" x14ac:dyDescent="0.55000000000000004">
      <c r="A16" s="1350"/>
      <c r="B16" s="1378"/>
      <c r="C16" s="1835" t="s">
        <v>2395</v>
      </c>
      <c r="D16" s="1390">
        <f ca="1">MIN(D6, 3000)*12</f>
        <v>9169.2000000000007</v>
      </c>
      <c r="E16" s="1391"/>
      <c r="F16" s="1382"/>
      <c r="G16" s="1373"/>
      <c r="H16" s="1374"/>
      <c r="I16" s="1362"/>
      <c r="J16" s="1362"/>
      <c r="K16" s="1362"/>
      <c r="L16" s="1362"/>
      <c r="M16" s="1362"/>
    </row>
    <row r="17" spans="1:13" ht="72.75" customHeight="1" thickTop="1" thickBot="1" x14ac:dyDescent="0.55000000000000004">
      <c r="A17" s="1350"/>
      <c r="B17" s="1378"/>
      <c r="C17" s="1835" t="s">
        <v>2396</v>
      </c>
      <c r="D17" s="1390">
        <f>200*12</f>
        <v>2400</v>
      </c>
      <c r="E17" s="1381"/>
      <c r="F17" s="1382"/>
      <c r="G17" s="1373"/>
      <c r="H17" s="1374"/>
      <c r="I17" s="1362"/>
      <c r="J17" s="1362"/>
      <c r="K17" s="1362"/>
      <c r="L17" s="1392"/>
      <c r="M17" s="1393"/>
    </row>
    <row r="18" spans="1:13" ht="36.75" customHeight="1" thickTop="1" thickBot="1" x14ac:dyDescent="0.55000000000000004">
      <c r="A18" s="1350"/>
      <c r="B18" s="1378"/>
      <c r="C18" s="1919" t="s">
        <v>2397</v>
      </c>
      <c r="D18" s="1919"/>
      <c r="E18" s="1919"/>
      <c r="F18" s="1382"/>
      <c r="G18" s="1373"/>
      <c r="H18" s="1374"/>
      <c r="I18" s="1362"/>
      <c r="J18" s="1362"/>
      <c r="K18" s="1362"/>
      <c r="L18" s="1392"/>
      <c r="M18" s="1393"/>
    </row>
    <row r="19" spans="1:13" ht="72.75" customHeight="1" thickTop="1" thickBot="1" x14ac:dyDescent="0.55000000000000004">
      <c r="A19" s="1350"/>
      <c r="B19" s="1378"/>
      <c r="C19" s="1835" t="s">
        <v>2398</v>
      </c>
      <c r="D19" s="1390">
        <f ca="1">MIN(D6, 3000)*12</f>
        <v>9169.2000000000007</v>
      </c>
      <c r="E19" s="1381"/>
      <c r="F19" s="1382"/>
      <c r="G19" s="1373"/>
      <c r="H19" s="1374"/>
      <c r="I19" s="1393"/>
      <c r="J19" s="1362"/>
      <c r="K19" s="1362"/>
      <c r="L19" s="1394"/>
      <c r="M19" s="1362"/>
    </row>
    <row r="20" spans="1:13" ht="22" thickTop="1" thickBot="1" x14ac:dyDescent="0.55000000000000004">
      <c r="A20" s="1350"/>
      <c r="B20" s="1378"/>
      <c r="C20" s="1919" t="s">
        <v>2399</v>
      </c>
      <c r="D20" s="1919"/>
      <c r="E20" s="1919"/>
      <c r="F20" s="1382"/>
      <c r="G20" s="1373"/>
      <c r="H20" s="1374"/>
      <c r="I20" s="1362"/>
      <c r="J20" s="1362"/>
      <c r="K20" s="1362"/>
      <c r="L20" s="1394"/>
      <c r="M20" s="1362"/>
    </row>
    <row r="21" spans="1:13" ht="48.75" customHeight="1" thickTop="1" thickBot="1" x14ac:dyDescent="0.55000000000000004">
      <c r="A21" s="1350"/>
      <c r="B21" s="1378"/>
      <c r="C21" s="1836" t="s">
        <v>2400</v>
      </c>
      <c r="D21" s="1390">
        <f ca="1">MIN(D6*6,18000)</f>
        <v>4584.6000000000004</v>
      </c>
      <c r="E21" s="1381"/>
      <c r="F21" s="1382"/>
      <c r="G21" s="1373"/>
      <c r="H21" s="1374"/>
      <c r="I21" s="1362"/>
      <c r="J21" s="1362"/>
      <c r="K21" s="1362"/>
      <c r="L21" s="1362"/>
    </row>
    <row r="22" spans="1:13" ht="22" thickTop="1" thickBot="1" x14ac:dyDescent="0.55000000000000004">
      <c r="A22" s="1350"/>
      <c r="B22" s="1378"/>
      <c r="C22" s="1395"/>
      <c r="D22" s="1396"/>
      <c r="E22" s="1381"/>
      <c r="F22" s="1382"/>
      <c r="G22" s="1373"/>
      <c r="H22" s="1374"/>
      <c r="I22" s="1362"/>
      <c r="J22" s="1362"/>
      <c r="K22" s="1362"/>
      <c r="L22" s="1362"/>
    </row>
    <row r="23" spans="1:13" ht="22" thickTop="1" thickBot="1" x14ac:dyDescent="0.55000000000000004">
      <c r="A23" s="1350"/>
      <c r="B23" s="1378"/>
      <c r="C23" s="1397" t="s">
        <v>2386</v>
      </c>
      <c r="D23" s="1398">
        <f ca="1">D21+D19+D17+D16+D15</f>
        <v>56323</v>
      </c>
      <c r="E23" s="1381"/>
      <c r="F23" s="1382"/>
      <c r="G23" s="1373"/>
      <c r="H23" s="1374"/>
      <c r="I23" s="1362"/>
      <c r="J23" s="1362"/>
      <c r="K23" s="1362"/>
      <c r="L23" s="1362"/>
    </row>
    <row r="24" spans="1:13" ht="44.25" customHeight="1" thickTop="1" thickBot="1" x14ac:dyDescent="0.55000000000000004">
      <c r="A24" s="1350"/>
      <c r="B24" s="1378"/>
      <c r="C24" s="1399" t="s">
        <v>2387</v>
      </c>
      <c r="D24" s="1398">
        <f>D9*D8</f>
        <v>0</v>
      </c>
      <c r="E24" s="1381"/>
      <c r="F24" s="1382"/>
      <c r="G24" s="1373"/>
      <c r="H24" s="1374"/>
      <c r="I24" s="1362"/>
      <c r="J24" s="1362"/>
      <c r="K24" s="1362"/>
      <c r="L24" s="1362"/>
    </row>
    <row r="25" spans="1:13" ht="21.5" thickTop="1" x14ac:dyDescent="0.5">
      <c r="A25" s="1350"/>
      <c r="B25" s="1378"/>
      <c r="C25" s="1400"/>
      <c r="D25" s="1401"/>
      <c r="E25" s="1401"/>
      <c r="F25" s="1378"/>
      <c r="G25" s="1373"/>
      <c r="H25" s="1374"/>
      <c r="I25" s="1362"/>
      <c r="J25" s="1362"/>
      <c r="K25" s="1362"/>
      <c r="L25" s="1362"/>
    </row>
    <row r="26" spans="1:13" x14ac:dyDescent="0.5">
      <c r="A26" s="1350"/>
      <c r="B26" s="1378"/>
      <c r="C26" s="1401"/>
      <c r="D26" s="1401"/>
      <c r="E26" s="1401"/>
      <c r="F26" s="1378"/>
      <c r="G26" s="1373"/>
      <c r="H26" s="1374"/>
      <c r="I26" s="1362"/>
      <c r="J26" s="1362"/>
      <c r="K26" s="1362"/>
      <c r="L26" s="1362"/>
    </row>
    <row r="27" spans="1:13" x14ac:dyDescent="0.5">
      <c r="A27" s="1350"/>
      <c r="B27" s="1373"/>
      <c r="C27" s="1373"/>
      <c r="D27" s="1373"/>
      <c r="E27" s="1373"/>
      <c r="F27" s="1373"/>
      <c r="G27" s="1373"/>
      <c r="H27" s="1362"/>
      <c r="I27" s="1362"/>
      <c r="J27" s="1362"/>
      <c r="K27" s="1362"/>
      <c r="L27" s="1362"/>
    </row>
    <row r="28" spans="1:13" x14ac:dyDescent="0.5">
      <c r="B28" s="1362"/>
      <c r="C28" s="1362"/>
      <c r="D28" s="1362"/>
      <c r="E28" s="1362"/>
      <c r="F28" s="1362"/>
      <c r="G28" s="1362"/>
      <c r="H28" s="1362"/>
      <c r="I28" s="1362"/>
      <c r="J28" s="1362"/>
      <c r="K28" s="1362"/>
      <c r="L28" s="1362"/>
    </row>
    <row r="29" spans="1:13" x14ac:dyDescent="0.5">
      <c r="B29" s="1362"/>
      <c r="C29" s="1362"/>
      <c r="D29" s="1362"/>
      <c r="E29" s="1362"/>
      <c r="F29" s="1362"/>
      <c r="G29" s="1362"/>
      <c r="H29" s="1362"/>
      <c r="I29" s="1362"/>
      <c r="J29" s="1362"/>
      <c r="K29" s="1362"/>
      <c r="L29" s="1362"/>
    </row>
    <row r="30" spans="1:13" x14ac:dyDescent="0.5">
      <c r="B30" s="1362"/>
      <c r="C30" s="1362"/>
      <c r="D30" s="1362"/>
      <c r="E30" s="1362"/>
      <c r="F30" s="1362"/>
      <c r="G30" s="1362"/>
      <c r="H30" s="1362"/>
      <c r="I30" s="1362"/>
      <c r="J30" s="1362"/>
      <c r="K30" s="1362"/>
      <c r="L30" s="1362"/>
    </row>
  </sheetData>
  <mergeCells count="2">
    <mergeCell ref="C18:E18"/>
    <mergeCell ref="C20:E20"/>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34">
    <tabColor theme="3" tint="-0.249977111117893"/>
  </sheetPr>
  <dimension ref="A1:M28"/>
  <sheetViews>
    <sheetView showGridLines="0" showRowColHeaders="0" zoomScale="70" zoomScaleNormal="70" workbookViewId="0">
      <selection activeCell="D24" sqref="D24"/>
    </sheetView>
  </sheetViews>
  <sheetFormatPr defaultColWidth="9.1796875" defaultRowHeight="21" x14ac:dyDescent="0.5"/>
  <cols>
    <col min="1" max="1" width="1.1796875" style="1403" customWidth="1"/>
    <col min="2" max="2" width="4.453125" style="1403" customWidth="1"/>
    <col min="3" max="3" width="58.7265625" style="1403" customWidth="1"/>
    <col min="4" max="4" width="35.26953125" style="1403" customWidth="1"/>
    <col min="5" max="5" width="41.26953125" style="1403" customWidth="1"/>
    <col min="6" max="6" width="10.81640625" style="1403" customWidth="1"/>
    <col min="7" max="7" width="1" style="1403" customWidth="1"/>
    <col min="8" max="8" width="23.26953125" style="1403" customWidth="1"/>
    <col min="9" max="9" width="34.7265625" style="1403" customWidth="1"/>
    <col min="10" max="11" width="9.1796875" style="1403"/>
    <col min="12" max="12" width="48.1796875" style="1403" customWidth="1"/>
    <col min="13" max="16384" width="9.1796875" style="1403"/>
  </cols>
  <sheetData>
    <row r="1" spans="1:13" ht="6.75" customHeight="1" x14ac:dyDescent="0.5">
      <c r="A1" s="1402"/>
      <c r="B1" s="1402"/>
      <c r="C1" s="1402"/>
      <c r="D1" s="1402"/>
      <c r="E1" s="1402"/>
      <c r="F1" s="1402"/>
      <c r="G1" s="1402"/>
    </row>
    <row r="2" spans="1:13" x14ac:dyDescent="0.5">
      <c r="A2" s="1402"/>
      <c r="B2" s="1404"/>
      <c r="C2" s="1404"/>
      <c r="D2" s="1404"/>
      <c r="E2" s="1404"/>
      <c r="F2" s="1404"/>
      <c r="G2" s="1402"/>
      <c r="H2" s="1405"/>
    </row>
    <row r="3" spans="1:13" ht="22" x14ac:dyDescent="0.5">
      <c r="A3" s="1402"/>
      <c r="B3" s="1404"/>
      <c r="C3" s="1496" t="s">
        <v>2388</v>
      </c>
      <c r="D3" s="1406"/>
      <c r="E3" s="1406"/>
      <c r="F3" s="1407"/>
      <c r="G3" s="1402"/>
      <c r="H3" s="1405"/>
    </row>
    <row r="4" spans="1:13" ht="21" customHeight="1" thickBot="1" x14ac:dyDescent="0.55000000000000004">
      <c r="A4" s="1402"/>
      <c r="B4" s="1408"/>
      <c r="C4" s="1409"/>
      <c r="D4" s="1410"/>
      <c r="E4" s="1409"/>
      <c r="F4" s="1411"/>
      <c r="G4" s="1412"/>
      <c r="H4" s="1413"/>
      <c r="I4" s="1414" t="s">
        <v>2173</v>
      </c>
      <c r="J4" s="1414"/>
      <c r="K4" s="1415"/>
      <c r="L4" s="1416"/>
    </row>
    <row r="5" spans="1:13" ht="27" customHeight="1" thickTop="1" thickBot="1" x14ac:dyDescent="0.55000000000000004">
      <c r="A5" s="1402"/>
      <c r="B5" s="1408"/>
      <c r="C5" s="1417" t="s">
        <v>1836</v>
      </c>
      <c r="D5" s="1418">
        <f>WERSJA2!D16</f>
        <v>31000</v>
      </c>
      <c r="E5" s="1409"/>
      <c r="F5" s="1411"/>
      <c r="G5" s="1419"/>
      <c r="H5" s="1413"/>
      <c r="I5" s="1414" t="s">
        <v>2174</v>
      </c>
      <c r="J5" s="1414"/>
      <c r="K5" s="1415"/>
      <c r="L5" s="1416"/>
    </row>
    <row r="6" spans="1:13" ht="25.5" customHeight="1" thickTop="1" thickBot="1" x14ac:dyDescent="0.55000000000000004">
      <c r="A6" s="1402"/>
      <c r="B6" s="1408"/>
      <c r="C6" s="1417" t="s">
        <v>2165</v>
      </c>
      <c r="D6" s="1418">
        <f ca="1">WERSJA2!J17</f>
        <v>764.1</v>
      </c>
      <c r="E6" s="1409"/>
      <c r="F6" s="1411"/>
      <c r="G6" s="1419"/>
      <c r="H6" s="1413"/>
      <c r="I6" s="1420"/>
      <c r="J6" s="1420"/>
      <c r="K6" s="1416"/>
      <c r="L6" s="1416"/>
    </row>
    <row r="7" spans="1:13" ht="29.25" customHeight="1" thickTop="1" thickBot="1" x14ac:dyDescent="0.55000000000000004">
      <c r="A7" s="1402"/>
      <c r="B7" s="1408"/>
      <c r="C7" s="1421" t="s">
        <v>2166</v>
      </c>
      <c r="D7" s="1418">
        <f ca="1">WERSJA2!J18</f>
        <v>764.1</v>
      </c>
      <c r="E7" s="1409"/>
      <c r="F7" s="1411"/>
      <c r="G7" s="1419"/>
      <c r="H7" s="1422"/>
      <c r="I7" s="1420"/>
      <c r="J7" s="1420"/>
      <c r="K7" s="1416"/>
      <c r="L7" s="1416"/>
    </row>
    <row r="8" spans="1:13" ht="33" customHeight="1" thickTop="1" thickBot="1" x14ac:dyDescent="0.55000000000000004">
      <c r="A8" s="1402"/>
      <c r="B8" s="1408"/>
      <c r="C8" s="1421" t="s">
        <v>2200</v>
      </c>
      <c r="D8" s="1418">
        <f>WERSJA2!J8</f>
        <v>0</v>
      </c>
      <c r="E8" s="1409"/>
      <c r="F8" s="1411"/>
      <c r="G8" s="1419"/>
      <c r="H8" s="1413"/>
      <c r="I8" s="1369"/>
      <c r="J8" s="1420"/>
      <c r="K8" s="1416"/>
      <c r="L8" s="1416"/>
    </row>
    <row r="9" spans="1:13" ht="27" customHeight="1" thickTop="1" thickBot="1" x14ac:dyDescent="0.55000000000000004">
      <c r="A9" s="1402"/>
      <c r="B9" s="1408"/>
      <c r="C9" s="1417" t="s">
        <v>2167</v>
      </c>
      <c r="D9" s="1423">
        <f>WERSJA2!D13</f>
        <v>48</v>
      </c>
      <c r="E9" s="1424"/>
      <c r="F9" s="1411"/>
      <c r="G9" s="1419"/>
      <c r="H9" s="1413"/>
      <c r="I9" s="1420"/>
      <c r="J9" s="1420"/>
      <c r="K9" s="1416"/>
      <c r="L9" s="1416"/>
    </row>
    <row r="10" spans="1:13" ht="21.5" thickTop="1" x14ac:dyDescent="0.5">
      <c r="A10" s="1402"/>
      <c r="B10" s="1408"/>
      <c r="C10" s="1425"/>
      <c r="D10" s="1425"/>
      <c r="E10" s="1409"/>
      <c r="F10" s="1411"/>
      <c r="G10" s="1426"/>
      <c r="H10" s="1427"/>
      <c r="I10" s="1416"/>
      <c r="J10" s="1416"/>
      <c r="K10" s="1416"/>
      <c r="L10" s="1416"/>
    </row>
    <row r="11" spans="1:13" ht="3.75" customHeight="1" x14ac:dyDescent="0.5">
      <c r="A11" s="1402"/>
      <c r="B11" s="1426"/>
      <c r="C11" s="1428"/>
      <c r="D11" s="1428"/>
      <c r="E11" s="1429"/>
      <c r="F11" s="1430"/>
      <c r="G11" s="1426"/>
      <c r="H11" s="1427"/>
      <c r="I11" s="1416"/>
      <c r="J11" s="1416"/>
      <c r="K11" s="1416"/>
      <c r="L11" s="1416"/>
    </row>
    <row r="12" spans="1:13" ht="13.5" customHeight="1" thickBot="1" x14ac:dyDescent="0.55000000000000004">
      <c r="A12" s="1402"/>
      <c r="B12" s="1431"/>
      <c r="C12" s="1432"/>
      <c r="D12" s="1433"/>
      <c r="E12" s="1434"/>
      <c r="F12" s="1435"/>
      <c r="G12" s="1426"/>
      <c r="H12" s="1427"/>
      <c r="I12" s="1416"/>
      <c r="J12" s="1416"/>
      <c r="K12" s="1416"/>
      <c r="L12" s="1416"/>
    </row>
    <row r="13" spans="1:13" ht="21" customHeight="1" thickTop="1" thickBot="1" x14ac:dyDescent="0.55000000000000004">
      <c r="A13" s="1402"/>
      <c r="B13" s="1431"/>
      <c r="C13" s="1436" t="s">
        <v>2168</v>
      </c>
      <c r="D13" s="1437">
        <f>D8</f>
        <v>0</v>
      </c>
      <c r="E13" s="1438" t="s">
        <v>2169</v>
      </c>
      <c r="F13" s="1435"/>
      <c r="G13" s="1426"/>
      <c r="H13" s="1427"/>
      <c r="I13" s="1416"/>
      <c r="J13" s="1416"/>
      <c r="K13" s="1416"/>
      <c r="L13" s="1416"/>
    </row>
    <row r="14" spans="1:13" ht="21" customHeight="1" thickTop="1" thickBot="1" x14ac:dyDescent="0.55000000000000004">
      <c r="A14" s="1402"/>
      <c r="B14" s="1431"/>
      <c r="C14" s="1837"/>
      <c r="D14" s="1838"/>
      <c r="E14" s="1839"/>
      <c r="F14" s="1435"/>
      <c r="G14" s="1426"/>
      <c r="H14" s="1427"/>
      <c r="I14" s="1416"/>
      <c r="J14" s="1416"/>
      <c r="K14" s="1416"/>
      <c r="L14" s="1416"/>
    </row>
    <row r="15" spans="1:13" ht="32.25" customHeight="1" thickTop="1" thickBot="1" x14ac:dyDescent="0.55000000000000004">
      <c r="A15" s="1402"/>
      <c r="B15" s="1431"/>
      <c r="C15" s="1442" t="s">
        <v>2394</v>
      </c>
      <c r="D15" s="1834">
        <f>D5</f>
        <v>31000</v>
      </c>
      <c r="E15" s="1840"/>
      <c r="F15" s="1435"/>
      <c r="G15" s="1426"/>
      <c r="H15" s="1427"/>
      <c r="I15" s="1416"/>
      <c r="J15" s="1416"/>
      <c r="K15" s="1416"/>
      <c r="L15" s="1416"/>
    </row>
    <row r="16" spans="1:13" ht="86.25" customHeight="1" thickTop="1" thickBot="1" x14ac:dyDescent="0.55000000000000004">
      <c r="A16" s="1402"/>
      <c r="B16" s="1431"/>
      <c r="C16" s="1841" t="s">
        <v>2401</v>
      </c>
      <c r="D16" s="1443">
        <v>30000</v>
      </c>
      <c r="E16" s="1840" t="s">
        <v>2402</v>
      </c>
      <c r="F16" s="1435"/>
      <c r="G16" s="1426"/>
      <c r="H16" s="1427"/>
      <c r="I16" s="1416"/>
      <c r="J16" s="1416"/>
      <c r="K16" s="1416"/>
      <c r="L16" s="1416"/>
      <c r="M16" s="1416"/>
    </row>
    <row r="17" spans="1:13" ht="39" customHeight="1" thickTop="1" thickBot="1" x14ac:dyDescent="0.55000000000000004">
      <c r="A17" s="1402"/>
      <c r="B17" s="1431"/>
      <c r="C17" s="1444" t="s">
        <v>2403</v>
      </c>
      <c r="D17" s="1443">
        <v>3000</v>
      </c>
      <c r="E17" s="1434"/>
      <c r="F17" s="1435"/>
      <c r="G17" s="1426"/>
      <c r="H17" s="1427"/>
      <c r="I17" s="1416"/>
      <c r="J17" s="1416"/>
      <c r="K17" s="1416"/>
      <c r="L17" s="1445"/>
      <c r="M17" s="1446"/>
    </row>
    <row r="18" spans="1:13" ht="22.5" customHeight="1" thickTop="1" thickBot="1" x14ac:dyDescent="0.55000000000000004">
      <c r="A18" s="1402"/>
      <c r="B18" s="1431"/>
      <c r="C18" s="1919" t="s">
        <v>2404</v>
      </c>
      <c r="D18" s="1919"/>
      <c r="E18" s="1919"/>
      <c r="F18" s="1435"/>
      <c r="G18" s="1426"/>
      <c r="H18" s="1427"/>
      <c r="I18" s="1416"/>
      <c r="J18" s="1416"/>
      <c r="K18" s="1416"/>
      <c r="L18" s="1445"/>
      <c r="M18" s="1446"/>
    </row>
    <row r="19" spans="1:13" ht="31" thickTop="1" thickBot="1" x14ac:dyDescent="0.55000000000000004">
      <c r="A19" s="1402"/>
      <c r="B19" s="1431"/>
      <c r="C19" s="1444" t="s">
        <v>2405</v>
      </c>
      <c r="D19" s="1443">
        <v>500</v>
      </c>
      <c r="E19" s="1434"/>
      <c r="F19" s="1435"/>
      <c r="G19" s="1426"/>
      <c r="H19" s="1427"/>
      <c r="I19" s="1416"/>
      <c r="J19" s="1416"/>
      <c r="K19" s="1416"/>
      <c r="L19" s="1447"/>
      <c r="M19" s="1416"/>
    </row>
    <row r="20" spans="1:13" ht="35.25" customHeight="1" thickTop="1" thickBot="1" x14ac:dyDescent="0.55000000000000004">
      <c r="A20" s="1402"/>
      <c r="B20" s="1431"/>
      <c r="C20" s="1448"/>
      <c r="D20" s="1449"/>
      <c r="E20" s="1434"/>
      <c r="F20" s="1435"/>
      <c r="G20" s="1426"/>
      <c r="H20" s="1427"/>
      <c r="I20" s="1416"/>
      <c r="J20" s="1416"/>
      <c r="K20" s="1416"/>
      <c r="L20" s="1416"/>
    </row>
    <row r="21" spans="1:13" ht="31" thickTop="1" thickBot="1" x14ac:dyDescent="0.55000000000000004">
      <c r="A21" s="1402"/>
      <c r="B21" s="1431"/>
      <c r="C21" s="1450" t="s">
        <v>2389</v>
      </c>
      <c r="D21" s="1451">
        <f>D16+D17+D19+D15</f>
        <v>64500</v>
      </c>
      <c r="E21" s="1434"/>
      <c r="F21" s="1435"/>
      <c r="G21" s="1426"/>
      <c r="H21" s="1427"/>
      <c r="I21" s="1416"/>
      <c r="J21" s="1416"/>
      <c r="K21" s="1416"/>
      <c r="L21" s="1416"/>
    </row>
    <row r="22" spans="1:13" ht="31" thickTop="1" thickBot="1" x14ac:dyDescent="0.55000000000000004">
      <c r="A22" s="1402"/>
      <c r="B22" s="1431"/>
      <c r="C22" s="1452" t="s">
        <v>2390</v>
      </c>
      <c r="D22" s="1451">
        <f>D9*D8</f>
        <v>0</v>
      </c>
      <c r="E22" s="1434"/>
      <c r="F22" s="1435"/>
      <c r="G22" s="1426"/>
      <c r="H22" s="1427"/>
      <c r="I22" s="1416"/>
      <c r="J22" s="1416"/>
      <c r="K22" s="1416"/>
      <c r="L22" s="1416"/>
    </row>
    <row r="23" spans="1:13" ht="4.5" customHeight="1" thickTop="1" x14ac:dyDescent="0.5">
      <c r="A23" s="1402"/>
      <c r="B23" s="1431"/>
      <c r="C23" s="1453"/>
      <c r="D23" s="1454"/>
      <c r="E23" s="1454"/>
      <c r="F23" s="1431"/>
      <c r="G23" s="1426"/>
      <c r="H23" s="1427"/>
      <c r="I23" s="1416"/>
      <c r="J23" s="1416"/>
      <c r="K23" s="1416"/>
      <c r="L23" s="1416"/>
    </row>
    <row r="24" spans="1:13" x14ac:dyDescent="0.5">
      <c r="A24" s="1402"/>
      <c r="B24" s="1431"/>
      <c r="C24" s="1454"/>
      <c r="D24" s="1454"/>
      <c r="E24" s="1454"/>
      <c r="F24" s="1431"/>
      <c r="G24" s="1426"/>
      <c r="H24" s="1427"/>
      <c r="I24" s="1416"/>
      <c r="J24" s="1416"/>
      <c r="K24" s="1416"/>
      <c r="L24" s="1416"/>
    </row>
    <row r="25" spans="1:13" x14ac:dyDescent="0.5">
      <c r="A25" s="1402"/>
      <c r="B25" s="1426"/>
      <c r="C25" s="1426"/>
      <c r="D25" s="1426"/>
      <c r="E25" s="1426"/>
      <c r="F25" s="1426"/>
      <c r="G25" s="1426"/>
      <c r="H25" s="1416"/>
      <c r="I25" s="1416"/>
      <c r="J25" s="1416"/>
      <c r="K25" s="1416"/>
      <c r="L25" s="1416"/>
    </row>
    <row r="26" spans="1:13" x14ac:dyDescent="0.5">
      <c r="B26" s="1416"/>
      <c r="C26" s="1416"/>
      <c r="D26" s="1416"/>
      <c r="E26" s="1416"/>
      <c r="F26" s="1416"/>
      <c r="G26" s="1416"/>
      <c r="H26" s="1416"/>
      <c r="I26" s="1416"/>
      <c r="J26" s="1416"/>
      <c r="K26" s="1416"/>
      <c r="L26" s="1416"/>
    </row>
    <row r="27" spans="1:13" x14ac:dyDescent="0.5">
      <c r="B27" s="1416"/>
      <c r="C27" s="1416"/>
      <c r="D27" s="1416"/>
      <c r="E27" s="1416"/>
      <c r="F27" s="1416"/>
      <c r="G27" s="1416"/>
      <c r="H27" s="1416"/>
      <c r="I27" s="1416"/>
      <c r="J27" s="1416"/>
      <c r="K27" s="1416"/>
      <c r="L27" s="1416"/>
    </row>
    <row r="28" spans="1:13" x14ac:dyDescent="0.5">
      <c r="B28" s="1416"/>
      <c r="C28" s="1416"/>
      <c r="D28" s="1416"/>
      <c r="E28" s="1416"/>
      <c r="F28" s="1416"/>
      <c r="G28" s="1416"/>
      <c r="H28" s="1416"/>
      <c r="I28" s="1416"/>
      <c r="J28" s="1416"/>
      <c r="K28" s="1416"/>
      <c r="L28" s="1416"/>
    </row>
  </sheetData>
  <mergeCells count="1">
    <mergeCell ref="C18:E1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4"/>
  <dimension ref="A1:O35"/>
  <sheetViews>
    <sheetView workbookViewId="0">
      <selection activeCell="J15" sqref="J15"/>
    </sheetView>
  </sheetViews>
  <sheetFormatPr defaultRowHeight="12.5" x14ac:dyDescent="0.25"/>
  <cols>
    <col min="1" max="1" width="6.54296875" customWidth="1"/>
    <col min="2" max="2" width="7.26953125" customWidth="1"/>
    <col min="3" max="3" width="8.1796875" customWidth="1"/>
    <col min="4" max="4" width="19.81640625" customWidth="1"/>
    <col min="5" max="5" width="13.453125" customWidth="1"/>
    <col min="6" max="6" width="8.26953125" customWidth="1"/>
    <col min="7" max="7" width="12.453125" customWidth="1"/>
    <col min="8" max="8" width="15.81640625" bestFit="1" customWidth="1"/>
    <col min="9" max="9" width="10.453125" customWidth="1"/>
    <col min="10" max="10" width="15.7265625" bestFit="1" customWidth="1"/>
    <col min="11" max="11" width="13.54296875" bestFit="1" customWidth="1"/>
    <col min="12" max="12" width="15.7265625" customWidth="1"/>
    <col min="13" max="13" width="16.54296875" customWidth="1"/>
  </cols>
  <sheetData>
    <row r="1" spans="1:15" s="85" customFormat="1" ht="13" x14ac:dyDescent="0.3">
      <c r="J1" s="150">
        <f>IF(DODZ!N5=1,"Brak zdolności kredytowej.",0)</f>
        <v>0</v>
      </c>
      <c r="L1" s="85" t="s">
        <v>11</v>
      </c>
    </row>
    <row r="2" spans="1:15" ht="13" x14ac:dyDescent="0.3">
      <c r="A2" s="9"/>
      <c r="B2" s="9"/>
      <c r="C2" s="9"/>
      <c r="D2" s="9"/>
      <c r="E2" s="9"/>
      <c r="F2" s="9"/>
      <c r="G2" s="9"/>
      <c r="H2" s="9"/>
      <c r="I2" s="9"/>
      <c r="J2" s="148">
        <f>IF(DODZ!T7&lt;&gt;1,IF('DOD1'!G1&lt;&gt;1,IF(J7&lt;=0,DODZ!E8,IF(DODZ!T7&lt;&gt;1,J7,0)),0),0)</f>
        <v>600000</v>
      </c>
      <c r="K2" s="10"/>
      <c r="L2" s="10"/>
      <c r="M2" s="10"/>
      <c r="N2" s="10"/>
      <c r="O2" s="10"/>
    </row>
    <row r="3" spans="1:15" ht="13" x14ac:dyDescent="0.3">
      <c r="A3" s="79" t="s">
        <v>58</v>
      </c>
      <c r="B3" s="10"/>
      <c r="C3" s="80">
        <f>SUM(D7:D12)</f>
        <v>0.4</v>
      </c>
      <c r="D3" s="10"/>
      <c r="E3" s="81"/>
      <c r="F3" s="10"/>
      <c r="G3" s="10"/>
      <c r="H3" s="10"/>
      <c r="I3" s="10"/>
      <c r="J3" s="10"/>
      <c r="K3" s="10"/>
      <c r="L3" s="10"/>
      <c r="M3" s="10"/>
      <c r="N3" s="10"/>
      <c r="O3" s="10"/>
    </row>
    <row r="4" spans="1:15" ht="13" x14ac:dyDescent="0.3">
      <c r="A4" s="12" t="s">
        <v>59</v>
      </c>
      <c r="B4" s="6"/>
      <c r="C4" s="67"/>
      <c r="D4" s="6"/>
      <c r="E4" s="25"/>
      <c r="F4" s="7"/>
      <c r="G4" s="6"/>
      <c r="H4" s="7">
        <f>'DOD1'!H3</f>
        <v>8.4900000000000003E-2</v>
      </c>
      <c r="I4" s="6"/>
      <c r="J4" s="68"/>
      <c r="K4" s="68"/>
      <c r="L4" s="68"/>
      <c r="M4" s="110">
        <f>'DOD1'!K3</f>
        <v>31000</v>
      </c>
    </row>
    <row r="5" spans="1:15" ht="13.5" thickBot="1" x14ac:dyDescent="0.35">
      <c r="A5" s="20" t="s">
        <v>60</v>
      </c>
      <c r="B5" s="17"/>
      <c r="C5" s="17"/>
      <c r="D5" s="69">
        <f>DODZ!G13</f>
        <v>1000000</v>
      </c>
      <c r="E5" s="17">
        <f>DODZ!I13</f>
        <v>0</v>
      </c>
      <c r="F5" s="17">
        <f>DODZ!J10</f>
        <v>1</v>
      </c>
      <c r="G5" s="17"/>
      <c r="H5" s="17"/>
      <c r="I5" s="77">
        <f>'DOD1'!E8</f>
        <v>48</v>
      </c>
      <c r="J5" s="4"/>
      <c r="K5" s="17"/>
      <c r="L5" s="141">
        <f>'DOD1'!K8</f>
        <v>31000</v>
      </c>
      <c r="M5" s="78"/>
    </row>
    <row r="6" spans="1:15" ht="13.5" thickBot="1" x14ac:dyDescent="0.35">
      <c r="A6" s="70" t="s">
        <v>61</v>
      </c>
      <c r="B6" s="70" t="s">
        <v>62</v>
      </c>
      <c r="C6" s="70" t="s">
        <v>63</v>
      </c>
      <c r="D6" s="70" t="s">
        <v>64</v>
      </c>
      <c r="E6" s="70" t="s">
        <v>65</v>
      </c>
      <c r="F6" s="70" t="s">
        <v>66</v>
      </c>
      <c r="G6" s="70" t="s">
        <v>67</v>
      </c>
      <c r="H6" s="71" t="s">
        <v>68</v>
      </c>
      <c r="I6" s="72" t="s">
        <v>69</v>
      </c>
      <c r="J6" s="144" t="s">
        <v>70</v>
      </c>
      <c r="K6" s="145" t="s">
        <v>71</v>
      </c>
      <c r="L6" s="143" t="s">
        <v>77</v>
      </c>
      <c r="M6" s="109" t="s">
        <v>78</v>
      </c>
      <c r="N6" s="737" t="s">
        <v>1866</v>
      </c>
    </row>
    <row r="7" spans="1:15" ht="13" x14ac:dyDescent="0.3">
      <c r="A7">
        <v>0</v>
      </c>
      <c r="B7">
        <v>1000</v>
      </c>
      <c r="C7" s="73">
        <v>0.75</v>
      </c>
      <c r="D7" s="74">
        <f>IF(AND(A7&lt;D$5,D$5&lt;=B7),C7,0)</f>
        <v>0</v>
      </c>
      <c r="G7" s="76">
        <v>380</v>
      </c>
      <c r="J7" s="114">
        <f>MAX(D5-MAX((F5*$G$7),Wgd,(D5*C3))-E5,0)</f>
        <v>600000</v>
      </c>
      <c r="K7" s="738">
        <f>IF(H4&lt;&gt;L1,N7*(J7*(((1+(H4/12))^I5)-1))/((1+(H4/12))^I5*(H4/12)),L1)</f>
        <v>24164506.191559058</v>
      </c>
      <c r="L7" s="82"/>
      <c r="N7">
        <f>1-'DOD1'!U8</f>
        <v>0.99250000000000005</v>
      </c>
    </row>
    <row r="8" spans="1:15" ht="13" x14ac:dyDescent="0.3">
      <c r="A8" s="75">
        <f>B7</f>
        <v>1000</v>
      </c>
      <c r="B8">
        <v>1500</v>
      </c>
      <c r="C8" s="73">
        <v>0.6</v>
      </c>
      <c r="D8" s="74">
        <f>IF(AND(A8&lt;D$5,D$5&lt;=B8),C8,0)</f>
        <v>0</v>
      </c>
      <c r="J8" s="113" t="s">
        <v>82</v>
      </c>
      <c r="K8" s="146"/>
      <c r="L8" s="83"/>
    </row>
    <row r="9" spans="1:15" x14ac:dyDescent="0.25">
      <c r="A9" s="75">
        <f>B8</f>
        <v>1500</v>
      </c>
      <c r="B9">
        <v>2000</v>
      </c>
      <c r="C9" s="73">
        <v>0.55000000000000004</v>
      </c>
      <c r="D9" s="74">
        <f>IF(AND(A9&lt;D$5,D$5&lt;=B9),C9,0)</f>
        <v>0</v>
      </c>
      <c r="J9" s="111" t="s">
        <v>92</v>
      </c>
      <c r="K9" s="146"/>
    </row>
    <row r="10" spans="1:15" x14ac:dyDescent="0.25">
      <c r="A10" s="75">
        <f>B9</f>
        <v>2000</v>
      </c>
      <c r="B10">
        <v>2700</v>
      </c>
      <c r="C10" s="73">
        <v>0.5</v>
      </c>
      <c r="D10" s="74">
        <f>IF(AND(A10&lt;D$5,D$5&lt;=B10),C10,0)</f>
        <v>0</v>
      </c>
      <c r="J10" s="111"/>
      <c r="K10" s="146"/>
    </row>
    <row r="11" spans="1:15" ht="13" x14ac:dyDescent="0.3">
      <c r="A11" s="75">
        <f>B10</f>
        <v>2700</v>
      </c>
      <c r="B11" s="608">
        <v>9999999</v>
      </c>
      <c r="C11" s="73">
        <v>0.4</v>
      </c>
      <c r="D11" s="74">
        <f>IF(AND(A11&lt;D$5,D$5&lt;=B11),C11,0)</f>
        <v>0.4</v>
      </c>
      <c r="J11" s="115" t="s">
        <v>83</v>
      </c>
      <c r="K11" s="169">
        <f>IF($H$4&lt;&gt;$L$1,K7*L5/M4,$L$1)</f>
        <v>24164506.191559058</v>
      </c>
      <c r="L11" s="123"/>
    </row>
    <row r="12" spans="1:15" x14ac:dyDescent="0.25">
      <c r="A12" s="75"/>
      <c r="C12" s="73"/>
      <c r="D12" s="74"/>
      <c r="J12" s="111"/>
      <c r="K12" s="146"/>
    </row>
    <row r="13" spans="1:15" x14ac:dyDescent="0.25">
      <c r="D13" s="373">
        <f>SUM(D7:D11)</f>
        <v>0.4</v>
      </c>
      <c r="J13" s="111"/>
      <c r="K13" s="146"/>
    </row>
    <row r="14" spans="1:15" x14ac:dyDescent="0.25">
      <c r="J14" s="112"/>
      <c r="K14" s="147"/>
    </row>
    <row r="15" spans="1:15" ht="14.5" x14ac:dyDescent="0.25">
      <c r="F15" s="607"/>
    </row>
    <row r="16" spans="1:15" ht="12.75" customHeight="1" x14ac:dyDescent="0.25">
      <c r="D16" s="789">
        <f>D5*D13</f>
        <v>400000</v>
      </c>
      <c r="F16" s="607"/>
      <c r="L16" s="142"/>
    </row>
    <row r="17" spans="1:13" ht="15" thickBot="1" x14ac:dyDescent="0.3">
      <c r="D17">
        <f>(D5*C3)-E5</f>
        <v>400000</v>
      </c>
      <c r="F17" s="607"/>
      <c r="L17" s="142"/>
    </row>
    <row r="18" spans="1:13" ht="14.5" x14ac:dyDescent="0.25">
      <c r="E18" s="703"/>
      <c r="F18" s="704"/>
      <c r="G18" s="705"/>
      <c r="H18" s="705"/>
      <c r="I18" s="705"/>
      <c r="J18" s="705"/>
      <c r="K18" s="706"/>
      <c r="L18" s="707"/>
      <c r="M18" s="708"/>
    </row>
    <row r="19" spans="1:13" ht="14.5" x14ac:dyDescent="0.25">
      <c r="E19" s="709"/>
      <c r="F19" s="607"/>
      <c r="G19" t="s">
        <v>1837</v>
      </c>
      <c r="H19" t="s">
        <v>1839</v>
      </c>
      <c r="K19" s="264">
        <f>(J7*(((1+(H4/12))^I5)-1))/((1+(H4/12))^I5*(H4/12))</f>
        <v>24347109.512905851</v>
      </c>
      <c r="M19" s="710"/>
    </row>
    <row r="20" spans="1:13" ht="14.5" x14ac:dyDescent="0.25">
      <c r="E20" s="709"/>
      <c r="F20" s="607"/>
      <c r="G20" t="s">
        <v>1840</v>
      </c>
      <c r="H20" t="s">
        <v>1838</v>
      </c>
      <c r="J20" s="609"/>
      <c r="L20" s="142"/>
      <c r="M20" s="710"/>
    </row>
    <row r="21" spans="1:13" ht="14.5" x14ac:dyDescent="0.25">
      <c r="E21" s="709"/>
      <c r="F21" s="607"/>
      <c r="G21" t="s">
        <v>1841</v>
      </c>
      <c r="H21" t="s">
        <v>1842</v>
      </c>
      <c r="L21" s="142"/>
      <c r="M21" s="710"/>
    </row>
    <row r="22" spans="1:13" x14ac:dyDescent="0.25">
      <c r="E22" s="709"/>
      <c r="L22" s="142"/>
      <c r="M22" s="710"/>
    </row>
    <row r="23" spans="1:13" x14ac:dyDescent="0.25">
      <c r="E23" s="709"/>
      <c r="M23" s="710"/>
    </row>
    <row r="24" spans="1:13" x14ac:dyDescent="0.25">
      <c r="E24" s="709"/>
      <c r="M24" s="710"/>
    </row>
    <row r="25" spans="1:13" x14ac:dyDescent="0.25">
      <c r="E25" s="709"/>
      <c r="M25" s="710"/>
    </row>
    <row r="26" spans="1:13" ht="13" thickBot="1" x14ac:dyDescent="0.3">
      <c r="E26" s="711"/>
      <c r="F26" s="712"/>
      <c r="G26" s="712"/>
      <c r="H26" s="712"/>
      <c r="I26" s="712"/>
      <c r="J26" s="712"/>
      <c r="K26" s="712"/>
      <c r="L26" s="712"/>
      <c r="M26" s="713"/>
    </row>
    <row r="27" spans="1:13" x14ac:dyDescent="0.25">
      <c r="A27" s="606" t="s">
        <v>1798</v>
      </c>
      <c r="B27" s="605"/>
      <c r="C27" s="605"/>
      <c r="D27" s="605"/>
      <c r="E27" s="605"/>
    </row>
    <row r="28" spans="1:13" x14ac:dyDescent="0.25">
      <c r="A28">
        <v>0</v>
      </c>
      <c r="B28">
        <v>1000</v>
      </c>
      <c r="C28" s="73">
        <v>0.75</v>
      </c>
      <c r="D28" s="74">
        <f t="shared" ref="D28:D33" si="0">IF(AND(A28&lt;D$5,D$5&lt;=B28),C28,0)</f>
        <v>0</v>
      </c>
      <c r="E28" s="605"/>
    </row>
    <row r="29" spans="1:13" x14ac:dyDescent="0.25">
      <c r="A29" s="75">
        <f>B28</f>
        <v>1000</v>
      </c>
      <c r="B29">
        <v>1500</v>
      </c>
      <c r="C29" s="73">
        <v>0.65</v>
      </c>
      <c r="D29" s="74">
        <f t="shared" si="0"/>
        <v>0</v>
      </c>
      <c r="E29" s="605"/>
    </row>
    <row r="30" spans="1:13" x14ac:dyDescent="0.25">
      <c r="A30" s="75">
        <f>B29</f>
        <v>1500</v>
      </c>
      <c r="B30">
        <v>2000</v>
      </c>
      <c r="C30" s="73">
        <v>0.6</v>
      </c>
      <c r="D30" s="74">
        <f t="shared" si="0"/>
        <v>0</v>
      </c>
      <c r="E30" s="605"/>
    </row>
    <row r="31" spans="1:13" x14ac:dyDescent="0.25">
      <c r="A31" s="75">
        <f>B30</f>
        <v>2000</v>
      </c>
      <c r="B31">
        <v>5000</v>
      </c>
      <c r="C31" s="73">
        <v>0.5</v>
      </c>
      <c r="D31" s="74">
        <f t="shared" si="0"/>
        <v>0</v>
      </c>
      <c r="E31" s="605"/>
    </row>
    <row r="32" spans="1:13" x14ac:dyDescent="0.25">
      <c r="A32" s="75">
        <f>B31</f>
        <v>5000</v>
      </c>
      <c r="B32">
        <v>7500</v>
      </c>
      <c r="C32" s="73">
        <v>0.4</v>
      </c>
      <c r="D32" s="74">
        <f t="shared" si="0"/>
        <v>0</v>
      </c>
      <c r="E32" s="605"/>
    </row>
    <row r="33" spans="1:5" x14ac:dyDescent="0.25">
      <c r="A33" s="75">
        <f>B32</f>
        <v>7500</v>
      </c>
      <c r="B33">
        <v>999999</v>
      </c>
      <c r="C33" s="73">
        <v>0.35</v>
      </c>
      <c r="D33" s="74">
        <f t="shared" si="0"/>
        <v>0</v>
      </c>
      <c r="E33" s="605"/>
    </row>
    <row r="34" spans="1:5" x14ac:dyDescent="0.25">
      <c r="D34" s="373">
        <f>SUM(D28:D33)</f>
        <v>0</v>
      </c>
      <c r="E34" s="605"/>
    </row>
    <row r="35" spans="1:5" x14ac:dyDescent="0.25">
      <c r="A35" s="605"/>
      <c r="B35" s="605"/>
      <c r="C35" s="605"/>
      <c r="D35" s="605"/>
      <c r="E35" s="605"/>
    </row>
  </sheetData>
  <phoneticPr fontId="6" type="noConversion"/>
  <pageMargins left="0.75" right="0.75" top="1" bottom="1" header="0.5" footer="0.5"/>
  <pageSetup paperSize="9" orientation="portrait"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6">
    <tabColor indexed="53"/>
  </sheetPr>
  <dimension ref="A1:XFD65546"/>
  <sheetViews>
    <sheetView topLeftCell="A41" workbookViewId="0">
      <selection activeCell="E11" sqref="E11"/>
    </sheetView>
  </sheetViews>
  <sheetFormatPr defaultColWidth="9.1796875" defaultRowHeight="12.5" zeroHeight="1" x14ac:dyDescent="0.25"/>
  <cols>
    <col min="1" max="1" width="3.453125" style="95" customWidth="1"/>
    <col min="2" max="2" width="14.54296875" style="95" customWidth="1"/>
    <col min="3" max="3" width="23.1796875" style="95" customWidth="1"/>
    <col min="4" max="4" width="14.1796875" style="95" customWidth="1"/>
    <col min="5" max="5" width="23.1796875" style="95" bestFit="1" customWidth="1"/>
    <col min="6" max="6" width="2.1796875" style="95" customWidth="1"/>
    <col min="7" max="7" width="11.26953125" style="1617" customWidth="1"/>
    <col min="8" max="8" width="21.54296875" style="1617" customWidth="1"/>
    <col min="9" max="9" width="11.1796875" style="1617" customWidth="1"/>
    <col min="10" max="10" width="11.54296875" style="1617" bestFit="1" customWidth="1"/>
    <col min="11" max="11" width="23.1796875" style="95" hidden="1" customWidth="1"/>
    <col min="12" max="38" width="0" style="95" hidden="1" customWidth="1"/>
    <col min="39" max="16383" width="9.1796875" style="95"/>
    <col min="16384" max="16384" width="2.26953125" style="95" customWidth="1"/>
  </cols>
  <sheetData>
    <row r="1" spans="1:11" s="88" customFormat="1" ht="15.65" hidden="1" customHeight="1" x14ac:dyDescent="0.25">
      <c r="A1" s="88" t="s">
        <v>58</v>
      </c>
      <c r="B1" s="1596"/>
      <c r="K1" s="89"/>
    </row>
    <row r="2" spans="1:11" s="93" customFormat="1" ht="15.65" hidden="1" customHeight="1" thickBot="1" x14ac:dyDescent="0.3">
      <c r="A2" s="90" t="s">
        <v>19</v>
      </c>
      <c r="B2" s="1597"/>
      <c r="C2" s="90"/>
      <c r="D2" s="90"/>
      <c r="E2" s="91">
        <v>0.03</v>
      </c>
      <c r="F2" s="90"/>
      <c r="G2" s="92">
        <f>SUM(E15:E24)</f>
        <v>0</v>
      </c>
      <c r="H2" s="92">
        <f>SUM(E29:E38,E43:E52)</f>
        <v>0</v>
      </c>
      <c r="I2" s="92"/>
      <c r="J2" s="88"/>
      <c r="K2" s="89"/>
    </row>
    <row r="3" spans="1:11" ht="15.65" hidden="1" customHeight="1" thickBot="1" x14ac:dyDescent="0.3">
      <c r="A3" s="94"/>
      <c r="B3" s="1598"/>
      <c r="E3" s="96" t="s">
        <v>87</v>
      </c>
      <c r="G3" s="97" t="s">
        <v>80</v>
      </c>
      <c r="H3" s="97" t="s">
        <v>86</v>
      </c>
      <c r="I3" s="96"/>
      <c r="J3" s="98"/>
      <c r="K3" s="89"/>
    </row>
    <row r="4" spans="1:11" ht="15.65" customHeight="1" thickBot="1" x14ac:dyDescent="0.3">
      <c r="A4" s="1617"/>
      <c r="B4" s="1624"/>
      <c r="C4" s="1624"/>
      <c r="D4" s="1624"/>
      <c r="E4" s="1624"/>
      <c r="F4" s="1617"/>
      <c r="K4" s="89"/>
    </row>
    <row r="5" spans="1:11" ht="15.65" customHeight="1" thickTop="1" x14ac:dyDescent="0.25">
      <c r="A5" s="1628"/>
      <c r="B5" s="1626" t="s">
        <v>2241</v>
      </c>
      <c r="C5" s="1625"/>
      <c r="D5" s="1631"/>
      <c r="E5" s="1633">
        <v>0</v>
      </c>
      <c r="F5" s="1617"/>
      <c r="K5" s="89"/>
    </row>
    <row r="6" spans="1:11" ht="15.65" customHeight="1" x14ac:dyDescent="0.25">
      <c r="A6" s="1628"/>
      <c r="B6" s="1627" t="s">
        <v>2211</v>
      </c>
      <c r="C6" s="1623"/>
      <c r="D6" s="1632"/>
      <c r="E6" s="1629">
        <v>1</v>
      </c>
      <c r="F6" s="1617"/>
      <c r="K6" s="89"/>
    </row>
    <row r="7" spans="1:11" ht="15.65" customHeight="1" x14ac:dyDescent="0.25">
      <c r="A7" s="1628"/>
      <c r="B7" s="1627" t="s">
        <v>2212</v>
      </c>
      <c r="C7" s="1623"/>
      <c r="D7" s="1712" t="s">
        <v>171</v>
      </c>
      <c r="E7" s="1630">
        <v>0</v>
      </c>
      <c r="F7" s="1617"/>
      <c r="K7" s="89"/>
    </row>
    <row r="8" spans="1:11" ht="15.65" customHeight="1" x14ac:dyDescent="0.25">
      <c r="A8" s="1628"/>
      <c r="B8" s="1627" t="s">
        <v>2213</v>
      </c>
      <c r="C8" s="1623"/>
      <c r="D8" s="1632"/>
      <c r="E8" s="1723" t="str">
        <f>ZK</f>
        <v>Brak zdolności</v>
      </c>
      <c r="F8" s="1617"/>
      <c r="K8" s="89"/>
    </row>
    <row r="9" spans="1:11" ht="15.65" customHeight="1" thickBot="1" x14ac:dyDescent="0.3">
      <c r="A9" s="1628"/>
      <c r="B9" s="1627" t="s">
        <v>2240</v>
      </c>
      <c r="C9" s="1623"/>
      <c r="D9" s="1632"/>
      <c r="E9" s="1724">
        <f>max_kwota_oferty</f>
        <v>0</v>
      </c>
      <c r="F9" s="1617"/>
      <c r="K9" s="89"/>
    </row>
    <row r="10" spans="1:11" ht="15.65" customHeight="1" thickTop="1" thickBot="1" x14ac:dyDescent="0.3">
      <c r="A10" s="1617"/>
      <c r="B10" s="1617"/>
      <c r="C10" s="1617"/>
      <c r="D10" s="1617"/>
      <c r="E10" s="1617"/>
      <c r="F10" s="1617"/>
      <c r="K10" s="89"/>
    </row>
    <row r="11" spans="1:11" ht="15.65" customHeight="1" thickTop="1" thickBot="1" x14ac:dyDescent="0.3">
      <c r="A11" s="1639"/>
      <c r="B11" s="1640"/>
      <c r="C11" s="1639"/>
      <c r="D11" s="1671" t="s">
        <v>2269</v>
      </c>
      <c r="E11" s="1695">
        <f>suma_kredyty_krajowe+suma_kredyty_obce+suma_limity</f>
        <v>0</v>
      </c>
      <c r="F11" s="1620"/>
    </row>
    <row r="12" spans="1:11" ht="14" thickTop="1" thickBot="1" x14ac:dyDescent="0.3">
      <c r="A12" s="1641" t="s">
        <v>2268</v>
      </c>
      <c r="B12" s="1642"/>
      <c r="C12" s="1642"/>
      <c r="D12" s="1642"/>
      <c r="E12" s="1689"/>
      <c r="F12" s="1672"/>
    </row>
    <row r="13" spans="1:11" ht="14.25" customHeight="1" thickTop="1" thickBot="1" x14ac:dyDescent="0.4">
      <c r="A13" s="1641" t="s">
        <v>2244</v>
      </c>
      <c r="B13" s="1643"/>
      <c r="C13" s="1643"/>
      <c r="D13" s="1644" t="s">
        <v>84</v>
      </c>
      <c r="E13" s="1690">
        <v>0</v>
      </c>
      <c r="F13" s="1675"/>
      <c r="H13" s="1618"/>
      <c r="I13" s="1621"/>
    </row>
    <row r="14" spans="1:11" ht="18" customHeight="1" thickTop="1" thickBot="1" x14ac:dyDescent="0.3">
      <c r="A14" s="1645"/>
      <c r="B14" s="1645"/>
      <c r="C14" s="1645"/>
      <c r="D14" s="1673" t="s">
        <v>1804</v>
      </c>
      <c r="E14" s="1687" t="s">
        <v>2243</v>
      </c>
      <c r="F14" s="1674"/>
      <c r="H14" s="1618"/>
    </row>
    <row r="15" spans="1:11" ht="13" hidden="1" customHeight="1" thickTop="1" x14ac:dyDescent="0.25">
      <c r="A15" s="1645"/>
      <c r="B15" s="1645"/>
      <c r="C15" s="1645"/>
      <c r="D15" s="1646">
        <v>1</v>
      </c>
      <c r="E15" s="1647">
        <v>0</v>
      </c>
      <c r="F15" s="1620"/>
    </row>
    <row r="16" spans="1:11" ht="13" hidden="1" customHeight="1" x14ac:dyDescent="0.25">
      <c r="A16" s="1645"/>
      <c r="B16" s="1645"/>
      <c r="C16" s="1645"/>
      <c r="D16" s="1648">
        <v>2</v>
      </c>
      <c r="E16" s="1649">
        <v>0</v>
      </c>
      <c r="F16" s="1620"/>
    </row>
    <row r="17" spans="1:9 16384:16384" ht="13" hidden="1" customHeight="1" x14ac:dyDescent="0.25">
      <c r="A17" s="1645"/>
      <c r="B17" s="1645"/>
      <c r="C17" s="1645"/>
      <c r="D17" s="1648">
        <v>3</v>
      </c>
      <c r="E17" s="1649">
        <v>0</v>
      </c>
      <c r="F17" s="1620"/>
    </row>
    <row r="18" spans="1:9 16384:16384" ht="13" hidden="1" customHeight="1" x14ac:dyDescent="0.25">
      <c r="A18" s="1645"/>
      <c r="B18" s="1645"/>
      <c r="C18" s="1645"/>
      <c r="D18" s="1648">
        <v>4</v>
      </c>
      <c r="E18" s="1649">
        <v>0</v>
      </c>
      <c r="F18" s="1620"/>
    </row>
    <row r="19" spans="1:9 16384:16384" ht="13" hidden="1" customHeight="1" x14ac:dyDescent="0.25">
      <c r="A19" s="1645"/>
      <c r="B19" s="1645"/>
      <c r="C19" s="1645"/>
      <c r="D19" s="1648">
        <v>5</v>
      </c>
      <c r="E19" s="1649">
        <v>0</v>
      </c>
      <c r="F19" s="1620"/>
    </row>
    <row r="20" spans="1:9 16384:16384" ht="13" hidden="1" customHeight="1" x14ac:dyDescent="0.25">
      <c r="A20" s="1645"/>
      <c r="B20" s="1645"/>
      <c r="C20" s="1645"/>
      <c r="D20" s="1648">
        <v>6</v>
      </c>
      <c r="E20" s="1649">
        <v>0</v>
      </c>
      <c r="F20" s="1620"/>
    </row>
    <row r="21" spans="1:9 16384:16384" ht="14.25" hidden="1" customHeight="1" x14ac:dyDescent="0.25">
      <c r="A21" s="1645"/>
      <c r="B21" s="1645"/>
      <c r="C21" s="1645"/>
      <c r="D21" s="1648">
        <v>7</v>
      </c>
      <c r="E21" s="1649">
        <v>0</v>
      </c>
      <c r="F21" s="1620"/>
    </row>
    <row r="22" spans="1:9 16384:16384" ht="13" hidden="1" customHeight="1" x14ac:dyDescent="0.25">
      <c r="A22" s="1645"/>
      <c r="B22" s="1645"/>
      <c r="C22" s="1645"/>
      <c r="D22" s="1648">
        <v>8</v>
      </c>
      <c r="E22" s="1649">
        <v>0</v>
      </c>
      <c r="F22" s="1620"/>
    </row>
    <row r="23" spans="1:9 16384:16384" ht="13" hidden="1" customHeight="1" x14ac:dyDescent="0.25">
      <c r="A23" s="1645"/>
      <c r="B23" s="1645"/>
      <c r="C23" s="1645"/>
      <c r="D23" s="1648">
        <v>9</v>
      </c>
      <c r="E23" s="1649">
        <v>0</v>
      </c>
      <c r="F23" s="1620"/>
    </row>
    <row r="24" spans="1:9 16384:16384" ht="13" hidden="1" customHeight="1" x14ac:dyDescent="0.25">
      <c r="A24" s="1645"/>
      <c r="B24" s="1645"/>
      <c r="C24" s="1645"/>
      <c r="D24" s="1648">
        <v>10</v>
      </c>
      <c r="E24" s="1649">
        <v>0</v>
      </c>
      <c r="F24" s="1620"/>
    </row>
    <row r="25" spans="1:9 16384:16384" ht="13.5" customHeight="1" thickTop="1" thickBot="1" x14ac:dyDescent="0.3">
      <c r="A25" s="1650"/>
      <c r="B25" s="1651"/>
      <c r="C25" s="1645"/>
      <c r="D25" s="1679" t="s">
        <v>88</v>
      </c>
      <c r="E25" s="1681">
        <f>SUM(E15:E24)</f>
        <v>0</v>
      </c>
      <c r="F25" s="1620"/>
      <c r="G25" s="1618"/>
      <c r="I25" s="1618"/>
    </row>
    <row r="26" spans="1:9 16384:16384" ht="11.25" customHeight="1" thickTop="1" thickBot="1" x14ac:dyDescent="0.3">
      <c r="A26" s="1640"/>
      <c r="B26" s="1640"/>
      <c r="C26" s="1640"/>
      <c r="D26" s="1680"/>
      <c r="E26" s="1682"/>
      <c r="F26" s="1620"/>
      <c r="G26" s="1618"/>
      <c r="I26" s="1618"/>
    </row>
    <row r="27" spans="1:9 16384:16384" ht="12.75" customHeight="1" thickTop="1" thickBot="1" x14ac:dyDescent="0.4">
      <c r="A27" s="1652" t="s">
        <v>2245</v>
      </c>
      <c r="B27" s="1652"/>
      <c r="C27" s="1652"/>
      <c r="D27" s="1644" t="s">
        <v>84</v>
      </c>
      <c r="E27" s="1693">
        <v>0</v>
      </c>
      <c r="F27" s="1675"/>
      <c r="G27" s="1618"/>
      <c r="I27" s="1618"/>
    </row>
    <row r="28" spans="1:9 16384:16384" ht="18.5" thickTop="1" thickBot="1" x14ac:dyDescent="0.4">
      <c r="A28" s="1653"/>
      <c r="B28" s="1653"/>
      <c r="C28" s="1653"/>
      <c r="D28" s="1673" t="s">
        <v>1804</v>
      </c>
      <c r="E28" s="1688" t="s">
        <v>2243</v>
      </c>
      <c r="F28" s="1634"/>
      <c r="G28" s="1618"/>
      <c r="I28" s="1618"/>
      <c r="XFD28" s="1617"/>
    </row>
    <row r="29" spans="1:9 16384:16384" ht="13" hidden="1" customHeight="1" thickTop="1" x14ac:dyDescent="0.25">
      <c r="A29" s="1654"/>
      <c r="B29" s="1645"/>
      <c r="C29" s="1645"/>
      <c r="D29" s="1655">
        <v>1</v>
      </c>
      <c r="E29" s="1656">
        <v>0</v>
      </c>
      <c r="F29" s="1620"/>
    </row>
    <row r="30" spans="1:9 16384:16384" ht="13" hidden="1" customHeight="1" thickBot="1" x14ac:dyDescent="0.3">
      <c r="A30" s="1650"/>
      <c r="B30" s="1645"/>
      <c r="C30" s="1645"/>
      <c r="D30" s="1655">
        <v>2</v>
      </c>
      <c r="E30" s="1656">
        <v>0</v>
      </c>
      <c r="F30" s="1620"/>
    </row>
    <row r="31" spans="1:9 16384:16384" ht="13" hidden="1" customHeight="1" x14ac:dyDescent="0.25">
      <c r="A31" s="1650"/>
      <c r="B31" s="1645"/>
      <c r="C31" s="1645"/>
      <c r="D31" s="1655">
        <v>3</v>
      </c>
      <c r="E31" s="1656">
        <v>0</v>
      </c>
      <c r="F31" s="1620"/>
    </row>
    <row r="32" spans="1:9 16384:16384" ht="13" hidden="1" customHeight="1" x14ac:dyDescent="0.25">
      <c r="A32" s="1650"/>
      <c r="B32" s="1645"/>
      <c r="C32" s="1645"/>
      <c r="D32" s="1655">
        <v>4</v>
      </c>
      <c r="E32" s="1656">
        <v>0</v>
      </c>
      <c r="F32" s="1620"/>
    </row>
    <row r="33" spans="1:9" ht="13" hidden="1" customHeight="1" thickBot="1" x14ac:dyDescent="0.3">
      <c r="A33" s="1650"/>
      <c r="B33" s="1645"/>
      <c r="C33" s="1645"/>
      <c r="D33" s="1655">
        <v>5</v>
      </c>
      <c r="E33" s="1656">
        <v>0</v>
      </c>
      <c r="F33" s="1620"/>
    </row>
    <row r="34" spans="1:9" ht="13" hidden="1" customHeight="1" x14ac:dyDescent="0.25">
      <c r="A34" s="1650"/>
      <c r="B34" s="1645"/>
      <c r="C34" s="1645"/>
      <c r="D34" s="1655">
        <v>6</v>
      </c>
      <c r="E34" s="1656">
        <v>0</v>
      </c>
      <c r="F34" s="1620"/>
    </row>
    <row r="35" spans="1:9" ht="13" hidden="1" customHeight="1" thickBot="1" x14ac:dyDescent="0.3">
      <c r="A35" s="1650"/>
      <c r="B35" s="1645"/>
      <c r="C35" s="1645"/>
      <c r="D35" s="1655">
        <v>7</v>
      </c>
      <c r="E35" s="1656">
        <v>0</v>
      </c>
      <c r="F35" s="1620"/>
    </row>
    <row r="36" spans="1:9" ht="13" hidden="1" customHeight="1" x14ac:dyDescent="0.25">
      <c r="A36" s="1650"/>
      <c r="B36" s="1645"/>
      <c r="C36" s="1645"/>
      <c r="D36" s="1655">
        <v>8</v>
      </c>
      <c r="E36" s="1656">
        <v>0</v>
      </c>
      <c r="F36" s="1620"/>
    </row>
    <row r="37" spans="1:9" ht="13" hidden="1" customHeight="1" x14ac:dyDescent="0.25">
      <c r="A37" s="1650"/>
      <c r="B37" s="1645"/>
      <c r="C37" s="1645"/>
      <c r="D37" s="1655">
        <v>9</v>
      </c>
      <c r="E37" s="1656">
        <v>0</v>
      </c>
      <c r="F37" s="1620"/>
    </row>
    <row r="38" spans="1:9" ht="13" hidden="1" customHeight="1" x14ac:dyDescent="0.25">
      <c r="A38" s="1650"/>
      <c r="B38" s="1645"/>
      <c r="C38" s="1645"/>
      <c r="D38" s="1657">
        <v>10</v>
      </c>
      <c r="E38" s="1676">
        <v>0</v>
      </c>
      <c r="F38" s="1620"/>
    </row>
    <row r="39" spans="1:9" ht="14" thickTop="1" thickBot="1" x14ac:dyDescent="0.3">
      <c r="A39" s="1650"/>
      <c r="B39" s="1658"/>
      <c r="C39" s="1659"/>
      <c r="D39" s="1683" t="s">
        <v>88</v>
      </c>
      <c r="E39" s="1684">
        <f>SUM(E29:E38)</f>
        <v>0</v>
      </c>
      <c r="F39" s="1620"/>
    </row>
    <row r="40" spans="1:9" ht="10.5" customHeight="1" thickTop="1" thickBot="1" x14ac:dyDescent="0.3">
      <c r="A40" s="1660"/>
      <c r="B40" s="1640"/>
      <c r="C40" s="1660"/>
      <c r="D40" s="1640"/>
      <c r="E40" s="1682"/>
      <c r="F40" s="1620"/>
    </row>
    <row r="41" spans="1:9" ht="14.25" customHeight="1" thickTop="1" thickBot="1" x14ac:dyDescent="0.4">
      <c r="A41" s="1661" t="s">
        <v>2246</v>
      </c>
      <c r="B41" s="1662"/>
      <c r="C41" s="1642"/>
      <c r="D41" s="1644" t="s">
        <v>2218</v>
      </c>
      <c r="E41" s="1693">
        <v>0</v>
      </c>
      <c r="F41" s="1675">
        <v>4</v>
      </c>
      <c r="G41" s="1618"/>
      <c r="I41" s="1618"/>
    </row>
    <row r="42" spans="1:9" ht="42.75" customHeight="1" thickTop="1" thickBot="1" x14ac:dyDescent="0.3">
      <c r="A42" s="1663"/>
      <c r="B42" s="1677"/>
      <c r="C42" s="1673" t="s">
        <v>1804</v>
      </c>
      <c r="D42" s="1673" t="s">
        <v>2242</v>
      </c>
      <c r="E42" s="1687" t="s">
        <v>2243</v>
      </c>
      <c r="F42" s="1678"/>
      <c r="G42" s="1618"/>
      <c r="I42" s="1618"/>
    </row>
    <row r="43" spans="1:9" ht="13.5" hidden="1" customHeight="1" thickTop="1" x14ac:dyDescent="0.25">
      <c r="A43" s="1664"/>
      <c r="B43" s="1665"/>
      <c r="C43" s="1646">
        <v>1</v>
      </c>
      <c r="D43" s="1647">
        <v>0</v>
      </c>
      <c r="E43" s="1666">
        <f t="shared" ref="E43:E52" si="0">D43*0.05</f>
        <v>0</v>
      </c>
      <c r="F43" s="1620"/>
      <c r="G43" s="1618"/>
      <c r="I43" s="1618"/>
    </row>
    <row r="44" spans="1:9" ht="14.25" hidden="1" customHeight="1" x14ac:dyDescent="0.25">
      <c r="A44" s="1664"/>
      <c r="B44" s="1665"/>
      <c r="C44" s="1648">
        <v>2</v>
      </c>
      <c r="D44" s="1647">
        <v>0</v>
      </c>
      <c r="E44" s="1666">
        <f t="shared" si="0"/>
        <v>0</v>
      </c>
      <c r="F44" s="1853"/>
      <c r="G44" s="1618"/>
      <c r="I44" s="1618"/>
    </row>
    <row r="45" spans="1:9" ht="14.25" hidden="1" customHeight="1" x14ac:dyDescent="0.25">
      <c r="A45" s="1664"/>
      <c r="B45" s="1665"/>
      <c r="C45" s="1648">
        <v>3</v>
      </c>
      <c r="D45" s="1647">
        <v>0</v>
      </c>
      <c r="E45" s="1666">
        <f t="shared" si="0"/>
        <v>0</v>
      </c>
      <c r="F45" s="1619"/>
    </row>
    <row r="46" spans="1:9" ht="13" hidden="1" x14ac:dyDescent="0.25">
      <c r="A46" s="1664"/>
      <c r="B46" s="1665"/>
      <c r="C46" s="1648">
        <v>4</v>
      </c>
      <c r="D46" s="1647">
        <v>0</v>
      </c>
      <c r="E46" s="1666">
        <f t="shared" si="0"/>
        <v>0</v>
      </c>
      <c r="F46" s="1619"/>
    </row>
    <row r="47" spans="1:9" ht="13" hidden="1" x14ac:dyDescent="0.25">
      <c r="A47" s="1664"/>
      <c r="B47" s="1665"/>
      <c r="C47" s="1648">
        <v>5</v>
      </c>
      <c r="D47" s="1647">
        <v>0</v>
      </c>
      <c r="E47" s="1666">
        <f t="shared" si="0"/>
        <v>0</v>
      </c>
      <c r="F47" s="1619"/>
    </row>
    <row r="48" spans="1:9" ht="13" hidden="1" x14ac:dyDescent="0.25">
      <c r="A48" s="1664"/>
      <c r="B48" s="1665"/>
      <c r="C48" s="1648">
        <v>6</v>
      </c>
      <c r="D48" s="1647">
        <v>0</v>
      </c>
      <c r="E48" s="1666">
        <f t="shared" si="0"/>
        <v>0</v>
      </c>
      <c r="F48" s="1619"/>
    </row>
    <row r="49" spans="1:7" ht="13" hidden="1" x14ac:dyDescent="0.25">
      <c r="A49" s="1664"/>
      <c r="B49" s="1665"/>
      <c r="C49" s="1648">
        <v>7</v>
      </c>
      <c r="D49" s="1647">
        <v>0</v>
      </c>
      <c r="E49" s="1666">
        <f t="shared" si="0"/>
        <v>0</v>
      </c>
      <c r="F49" s="1619"/>
    </row>
    <row r="50" spans="1:7" ht="13" hidden="1" x14ac:dyDescent="0.25">
      <c r="A50" s="1664"/>
      <c r="B50" s="1665"/>
      <c r="C50" s="1648">
        <v>8</v>
      </c>
      <c r="D50" s="1647">
        <v>0</v>
      </c>
      <c r="E50" s="1666">
        <f t="shared" si="0"/>
        <v>0</v>
      </c>
      <c r="F50" s="1619"/>
    </row>
    <row r="51" spans="1:7" ht="13" hidden="1" x14ac:dyDescent="0.25">
      <c r="A51" s="1664"/>
      <c r="B51" s="1665"/>
      <c r="C51" s="1648">
        <v>9</v>
      </c>
      <c r="D51" s="1647">
        <v>0</v>
      </c>
      <c r="E51" s="1666">
        <f t="shared" si="0"/>
        <v>0</v>
      </c>
      <c r="F51" s="1619"/>
    </row>
    <row r="52" spans="1:7" ht="21" hidden="1" customHeight="1" x14ac:dyDescent="0.25">
      <c r="A52" s="1664"/>
      <c r="B52" s="1665"/>
      <c r="C52" s="1648">
        <v>10</v>
      </c>
      <c r="D52" s="1647">
        <v>0</v>
      </c>
      <c r="E52" s="1666">
        <f t="shared" si="0"/>
        <v>0</v>
      </c>
      <c r="F52" s="1619"/>
    </row>
    <row r="53" spans="1:7" ht="31.5" customHeight="1" thickTop="1" thickBot="1" x14ac:dyDescent="0.3">
      <c r="A53" s="1667"/>
      <c r="B53" s="1645"/>
      <c r="C53" s="1686" t="s">
        <v>88</v>
      </c>
      <c r="D53" s="1685">
        <f>SUM(D43:D52)</f>
        <v>0</v>
      </c>
      <c r="E53" s="1685">
        <f>SUM(E43:E52)</f>
        <v>0</v>
      </c>
      <c r="F53" s="1635"/>
      <c r="G53" s="1622"/>
    </row>
    <row r="54" spans="1:7" ht="12.75" customHeight="1" thickTop="1" thickBot="1" x14ac:dyDescent="0.3">
      <c r="A54" s="1668"/>
      <c r="B54" s="1645"/>
      <c r="C54" s="1640"/>
      <c r="D54" s="1640"/>
      <c r="E54" s="1682"/>
      <c r="F54" s="1620"/>
    </row>
    <row r="55" spans="1:7" ht="0.75" hidden="1" customHeight="1" thickTop="1" thickBot="1" x14ac:dyDescent="0.3">
      <c r="A55" s="1669"/>
      <c r="B55" s="1669"/>
      <c r="C55" s="1670"/>
      <c r="D55" s="1645"/>
      <c r="E55" s="1691"/>
      <c r="F55" s="1619"/>
    </row>
    <row r="56" spans="1:7" ht="15.75" customHeight="1" thickTop="1" thickBot="1" x14ac:dyDescent="0.3">
      <c r="A56" s="1661" t="s">
        <v>85</v>
      </c>
      <c r="B56" s="1642"/>
      <c r="C56" s="1920" t="s">
        <v>2270</v>
      </c>
      <c r="D56" s="1921"/>
      <c r="E56" s="1694">
        <v>0</v>
      </c>
      <c r="F56" s="1692"/>
    </row>
    <row r="57" spans="1:7" ht="13.5" thickTop="1" x14ac:dyDescent="0.25">
      <c r="A57" s="1638"/>
      <c r="B57" s="1637"/>
      <c r="C57" s="1621"/>
      <c r="D57" s="1636"/>
      <c r="E57" s="1636"/>
      <c r="F57" s="1620"/>
    </row>
    <row r="58" spans="1:7" x14ac:dyDescent="0.25">
      <c r="A58" s="1617"/>
      <c r="B58" s="1617"/>
      <c r="C58" s="1617"/>
      <c r="D58" s="1617"/>
      <c r="E58" s="1617"/>
      <c r="F58" s="1617"/>
    </row>
    <row r="59" spans="1:7" hidden="1" x14ac:dyDescent="0.25">
      <c r="A59" s="790"/>
      <c r="B59" s="790"/>
      <c r="C59" s="790"/>
      <c r="D59" s="790"/>
      <c r="E59" s="790"/>
      <c r="F59" s="790"/>
    </row>
    <row r="60" spans="1:7" hidden="1" x14ac:dyDescent="0.25">
      <c r="A60" s="790"/>
      <c r="B60" s="790"/>
      <c r="C60" s="790"/>
      <c r="D60" s="790"/>
      <c r="E60" s="790"/>
      <c r="F60" s="790"/>
    </row>
    <row r="61" spans="1:7" hidden="1" x14ac:dyDescent="0.25">
      <c r="A61" s="790"/>
      <c r="B61" s="790"/>
      <c r="C61" s="790"/>
      <c r="D61" s="790"/>
      <c r="E61" s="790"/>
      <c r="F61" s="790"/>
    </row>
    <row r="62" spans="1:7" hidden="1" x14ac:dyDescent="0.25">
      <c r="A62" s="790"/>
      <c r="B62" s="790"/>
      <c r="C62" s="790"/>
      <c r="D62" s="790"/>
      <c r="E62" s="790"/>
      <c r="F62" s="790"/>
    </row>
    <row r="63" spans="1:7" hidden="1" x14ac:dyDescent="0.25">
      <c r="A63" s="790"/>
      <c r="B63" s="790"/>
      <c r="C63" s="790"/>
      <c r="D63" s="790"/>
      <c r="E63" s="790"/>
      <c r="F63" s="790"/>
    </row>
    <row r="64" spans="1:7" hidden="1" x14ac:dyDescent="0.25">
      <c r="A64" s="790"/>
      <c r="B64" s="790"/>
      <c r="C64" s="790"/>
      <c r="D64" s="790"/>
      <c r="E64" s="790"/>
      <c r="F64" s="790"/>
    </row>
    <row r="65545" spans="5:5" ht="13" hidden="1" thickBot="1" x14ac:dyDescent="0.3"/>
    <row r="65546" spans="5:5" ht="13" hidden="1" thickBot="1" x14ac:dyDescent="0.3">
      <c r="E65546" s="362"/>
    </row>
  </sheetData>
  <sheetProtection sheet="1" objects="1" scenarios="1"/>
  <dataConsolidate/>
  <mergeCells count="1">
    <mergeCell ref="C56:D56"/>
  </mergeCells>
  <phoneticPr fontId="6" type="noConversion"/>
  <conditionalFormatting sqref="B39 B25 D25 C43:C52">
    <cfRule type="cellIs" dxfId="131" priority="7" stopIfTrue="1" operator="equal">
      <formula>""</formula>
    </cfRule>
  </conditionalFormatting>
  <conditionalFormatting sqref="D15:D24">
    <cfRule type="cellIs" dxfId="130" priority="6" stopIfTrue="1" operator="equal">
      <formula>""</formula>
    </cfRule>
  </conditionalFormatting>
  <conditionalFormatting sqref="D29:D38">
    <cfRule type="cellIs" dxfId="129" priority="4" stopIfTrue="1" operator="equal">
      <formula>""</formula>
    </cfRule>
  </conditionalFormatting>
  <conditionalFormatting sqref="D39">
    <cfRule type="cellIs" dxfId="128" priority="2" stopIfTrue="1" operator="equal">
      <formula>""</formula>
    </cfRule>
  </conditionalFormatting>
  <conditionalFormatting sqref="C53">
    <cfRule type="cellIs" dxfId="127" priority="1" stopIfTrue="1" operator="equal">
      <formula>""</formula>
    </cfRule>
  </conditionalFormatting>
  <dataValidations count="12">
    <dataValidation type="decimal" allowBlank="1" showInputMessage="1" showErrorMessage="1" errorTitle="Nieprawidłowa Wartość !!!" error="Wpisz poprawnie wysokość miesięcznych rat kredytów zabezpieczonych." sqref="C39:C40 C15:C26" xr:uid="{00000000-0002-0000-0A00-000000000000}">
      <formula1>1</formula1>
      <formula2>1000000</formula2>
    </dataValidation>
    <dataValidation type="whole" allowBlank="1" showInputMessage="1" showErrorMessage="1" errorTitle="Nieprawidłowa Wartość !" error="Wpisz poprawnie liczbę limitów, posiadanych kart kredytowych itp._x000a_Minimum:0, maksimum:10." sqref="E41" xr:uid="{00000000-0002-0000-0A00-000001000000}">
      <formula1>0</formula1>
      <formula2>10</formula2>
    </dataValidation>
    <dataValidation type="whole" allowBlank="1" showInputMessage="1" showErrorMessage="1" errorTitle="Nieprawidłowa Wartość !" error="Wpisz poprawnie liczbę kredytów zabezpieczonych. _x000a_Minimum:0, maksimum:10." sqref="E13" xr:uid="{00000000-0002-0000-0A00-000002000000}">
      <formula1>0</formula1>
      <formula2>10</formula2>
    </dataValidation>
    <dataValidation type="whole" allowBlank="1" showInputMessage="1" showErrorMessage="1" errorTitle="Nieprawidłowa Wartość !" error="Wpisz poprawnie liczbę kredytów niezabezpieczonych. _x000a_Minimum:0, maksimum:10." sqref="E27" xr:uid="{00000000-0002-0000-0A00-000003000000}">
      <formula1>0</formula1>
      <formula2>10</formula2>
    </dataValidation>
    <dataValidation type="decimal" allowBlank="1" showInputMessage="1" showErrorMessage="1" errorTitle="Nieprawidłowa Wartość !" error="Wpisz poprawnie kwoty miesięcznie spłacanych rat kredytów zabezpieczonych." sqref="E15:E24" xr:uid="{00000000-0002-0000-0A00-000004000000}">
      <formula1>0</formula1>
      <formula2>100000000</formula2>
    </dataValidation>
    <dataValidation type="decimal" allowBlank="1" showInputMessage="1" showErrorMessage="1" errorTitle="Nieprawidłowa wartość !" error="Wpisz poprawnie kwoty kredytów niezabezpieczonych." sqref="E29:E38" xr:uid="{00000000-0002-0000-0A00-000005000000}">
      <formula1>0</formula1>
      <formula2>100000000</formula2>
    </dataValidation>
    <dataValidation type="decimal" allowBlank="1" showInputMessage="1" showErrorMessage="1" errorTitle="Nieprawidłowa wartość !" error="Wpisz poprawnie kwoty limitów itp." sqref="D43:D52" xr:uid="{00000000-0002-0000-0A00-000006000000}">
      <formula1>0</formula1>
      <formula2>100000000</formula2>
    </dataValidation>
    <dataValidation type="decimal" allowBlank="1" showInputMessage="1" showErrorMessage="1" errorTitle="Nieprawidłowa Wartość !" error="Wpisz poprawnie kwotę innych obciążeń klienta." sqref="E56" xr:uid="{00000000-0002-0000-0A00-000007000000}">
      <formula1>0</formula1>
      <formula2>100000000</formula2>
    </dataValidation>
    <dataValidation type="list" allowBlank="1" showInputMessage="1" showErrorMessage="1" sqref="E6" xr:uid="{00000000-0002-0000-0A00-000008000000}">
      <formula1>"1,2,3,4,5,6,7,8,9,10,11,12,13,14,15,16,17,18,19,20"</formula1>
    </dataValidation>
    <dataValidation type="decimal" operator="greaterThanOrEqual" allowBlank="1" showInputMessage="1" showErrorMessage="1" errorTitle="ING Kalkulator" error="Błędna (ujemna) kwota dochodu" sqref="E5" xr:uid="{00000000-0002-0000-0A00-000009000000}">
      <formula1>0</formula1>
    </dataValidation>
    <dataValidation type="decimal" operator="greaterThanOrEqual" allowBlank="1" showInputMessage="1" showErrorMessage="1" sqref="E7" xr:uid="{00000000-0002-0000-0A00-00000A000000}">
      <formula1>0</formula1>
    </dataValidation>
    <dataValidation type="whole" allowBlank="1" showInputMessage="1" showErrorMessage="1" errorTitle="Nieprawidłowa wartość!!!" error="Wpisz poprawnie liczbę miesięcy! _x000a_Uwaga! Sprawdź maksymalny okres kredytowania dla wybranego produktu." sqref="E10" xr:uid="{00000000-0002-0000-0A00-00000B000000}">
      <formula1>3</formula1>
      <formula2>96</formula2>
    </dataValidation>
  </dataValidations>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PRZYCISKPowrotDoGlownegoARK">
                <anchor moveWithCells="1" sizeWithCells="1">
                  <from>
                    <xdr:col>6</xdr:col>
                    <xdr:colOff>88900</xdr:colOff>
                    <xdr:row>53</xdr:row>
                    <xdr:rowOff>127000</xdr:rowOff>
                  </from>
                  <to>
                    <xdr:col>7</xdr:col>
                    <xdr:colOff>946150</xdr:colOff>
                    <xdr:row>56</xdr:row>
                    <xdr:rowOff>0</xdr:rowOff>
                  </to>
                </anchor>
              </controlPr>
            </control>
          </mc:Choice>
        </mc:AlternateContent>
        <mc:AlternateContent xmlns:mc="http://schemas.openxmlformats.org/markup-compatibility/2006">
          <mc:Choice Requires="x14">
            <control shapeId="6154" r:id="rId5" name="Button 10">
              <controlPr defaultSize="0" print="0" autoFill="0" autoPict="0" macro="[0]!Zerowanie">
                <anchor moveWithCells="1" sizeWithCells="1">
                  <from>
                    <xdr:col>6</xdr:col>
                    <xdr:colOff>228600</xdr:colOff>
                    <xdr:row>10</xdr:row>
                    <xdr:rowOff>69850</xdr:rowOff>
                  </from>
                  <to>
                    <xdr:col>7</xdr:col>
                    <xdr:colOff>431800</xdr:colOff>
                    <xdr:row>12</xdr:row>
                    <xdr:rowOff>76200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26"/>
  <dimension ref="A1:T20"/>
  <sheetViews>
    <sheetView zoomScale="55" zoomScaleNormal="55" workbookViewId="0">
      <selection activeCell="J40" sqref="J40"/>
    </sheetView>
  </sheetViews>
  <sheetFormatPr defaultRowHeight="12.5" x14ac:dyDescent="0.25"/>
  <cols>
    <col min="1" max="1" width="20.81640625" bestFit="1" customWidth="1"/>
    <col min="2" max="2" width="17.453125" customWidth="1"/>
    <col min="3" max="3" width="18.26953125" customWidth="1"/>
    <col min="4" max="4" width="13" customWidth="1"/>
    <col min="5" max="5" width="11.453125" customWidth="1"/>
    <col min="7" max="7" width="12" bestFit="1" customWidth="1"/>
    <col min="10" max="10" width="13.7265625" bestFit="1" customWidth="1"/>
    <col min="11" max="11" width="15.81640625" customWidth="1"/>
  </cols>
  <sheetData>
    <row r="1" spans="1:20" ht="62.5" x14ac:dyDescent="0.25">
      <c r="A1" s="1614" t="s">
        <v>2217</v>
      </c>
      <c r="B1" s="1614" t="s">
        <v>2216</v>
      </c>
      <c r="D1" s="1615" t="s">
        <v>2239</v>
      </c>
      <c r="E1" s="1857" t="s">
        <v>2415</v>
      </c>
      <c r="F1" s="609" t="s">
        <v>2457</v>
      </c>
      <c r="G1" s="1607" t="s">
        <v>2210</v>
      </c>
      <c r="Q1" s="1615" t="s">
        <v>2239</v>
      </c>
      <c r="R1" s="609" t="s">
        <v>2456</v>
      </c>
    </row>
    <row r="2" spans="1:20" x14ac:dyDescent="0.25">
      <c r="A2" s="1599">
        <f>'Miesieczne Obciazenia'!E5-zdolnosc_dane!B5-'Miesieczne Obciazenia'!E11-'Miesieczne Obciazenia'!E56</f>
        <v>-2086</v>
      </c>
      <c r="B2" s="1599">
        <f>'Miesieczne Obciazenia'!E7</f>
        <v>0</v>
      </c>
      <c r="D2" s="1605">
        <v>1</v>
      </c>
      <c r="E2" s="1606">
        <v>2086</v>
      </c>
      <c r="G2" s="1608">
        <v>0</v>
      </c>
      <c r="H2" s="1606">
        <v>0.75</v>
      </c>
      <c r="Q2" s="1845">
        <v>1</v>
      </c>
      <c r="R2" s="1846">
        <v>1130</v>
      </c>
      <c r="T2" s="609" t="s">
        <v>2454</v>
      </c>
    </row>
    <row r="3" spans="1:20" x14ac:dyDescent="0.25">
      <c r="A3" s="1599">
        <f>(0.75*'Miesieczne Obciazenia'!E5) - 'Miesieczne Obciazenia'!E11-'Miesieczne Obciazenia'!E56</f>
        <v>0</v>
      </c>
      <c r="B3" s="1599">
        <f>IF(WERSJA2!D13&gt;60,zdolnosc_dane!C4,C3)</f>
        <v>2086</v>
      </c>
      <c r="C3">
        <f>IFERROR(AND(WERSJA2!D13&lt;=60)*VLOOKUP('Miesieczne Obciazenia'!E6,zdolnosc_dane!D2:E7,2),E7)</f>
        <v>2086</v>
      </c>
      <c r="D3" s="1605">
        <v>2</v>
      </c>
      <c r="E3" s="1606">
        <v>3508</v>
      </c>
      <c r="G3" s="1608">
        <v>1001</v>
      </c>
      <c r="H3" s="1606">
        <v>0.53</v>
      </c>
      <c r="Q3" s="1845">
        <v>2</v>
      </c>
      <c r="R3">
        <v>1904</v>
      </c>
      <c r="T3" s="609" t="s">
        <v>2413</v>
      </c>
    </row>
    <row r="4" spans="1:20" x14ac:dyDescent="0.25">
      <c r="A4" s="1599"/>
      <c r="B4" s="1599">
        <f>VLOOKUP('Miesieczne Obciazenia'!E5,zdolnosc_dane!$G$2:$H$7,2,1)*'Miesieczne Obciazenia'!E5</f>
        <v>0</v>
      </c>
      <c r="C4">
        <f>IFERROR(AND(WERSJA2!D13&gt;60)*VLOOKUP('Miesieczne Obciazenia'!E6,zdolnosc_dane!Q2:R7,2),R7)</f>
        <v>0</v>
      </c>
      <c r="D4" s="1605">
        <v>3</v>
      </c>
      <c r="E4" s="1606">
        <v>5320</v>
      </c>
      <c r="G4" s="1608">
        <v>2001</v>
      </c>
      <c r="H4" s="1606">
        <v>0.39</v>
      </c>
      <c r="Q4" s="1845">
        <v>3</v>
      </c>
      <c r="R4">
        <v>2854</v>
      </c>
      <c r="T4" s="609" t="s">
        <v>2455</v>
      </c>
    </row>
    <row r="5" spans="1:20" ht="13" thickBot="1" x14ac:dyDescent="0.3">
      <c r="A5" s="1600" t="str">
        <f>IF(MIN(A2:A3)&lt;=0,"Brak zdolności",MIN(A2:A3))</f>
        <v>Brak zdolności</v>
      </c>
      <c r="B5" s="1600">
        <f>MAX(B2:B4)</f>
        <v>2086</v>
      </c>
      <c r="D5" s="1605">
        <v>4</v>
      </c>
      <c r="E5" s="1606">
        <v>6682</v>
      </c>
      <c r="G5" s="1608">
        <v>3001</v>
      </c>
      <c r="H5" s="1606">
        <v>0.3</v>
      </c>
      <c r="Q5" s="1845">
        <v>4</v>
      </c>
      <c r="R5">
        <v>3812</v>
      </c>
    </row>
    <row r="6" spans="1:20" ht="13.5" thickTop="1" x14ac:dyDescent="0.3">
      <c r="A6" s="1604" t="s">
        <v>2237</v>
      </c>
      <c r="B6" s="1604" t="s">
        <v>2238</v>
      </c>
      <c r="D6" s="1605">
        <v>5</v>
      </c>
      <c r="E6" s="1606">
        <v>8263</v>
      </c>
      <c r="G6" s="1608">
        <v>4001</v>
      </c>
      <c r="H6" s="1606">
        <v>0.27</v>
      </c>
      <c r="Q6" s="1845">
        <v>5</v>
      </c>
      <c r="R6">
        <v>4894</v>
      </c>
    </row>
    <row r="7" spans="1:20" x14ac:dyDescent="0.25">
      <c r="D7" s="1605" t="s">
        <v>2215</v>
      </c>
      <c r="E7" s="1606">
        <f>8263/5*'Miesieczne Obciazenia'!E6</f>
        <v>1652.6</v>
      </c>
      <c r="F7" s="609"/>
      <c r="G7" s="1608">
        <v>5001</v>
      </c>
      <c r="H7" s="1606">
        <v>0.19</v>
      </c>
      <c r="Q7" s="1845" t="s">
        <v>2215</v>
      </c>
      <c r="R7" s="1846">
        <f>4894/5*'Miesieczne Obciazenia'!E6</f>
        <v>978.8</v>
      </c>
    </row>
    <row r="8" spans="1:20" x14ac:dyDescent="0.25">
      <c r="A8" s="1601" t="s">
        <v>2231</v>
      </c>
      <c r="B8" s="1602">
        <v>2.5000000000000001E-2</v>
      </c>
      <c r="G8" s="1608" t="s">
        <v>2214</v>
      </c>
      <c r="H8" s="1606"/>
    </row>
    <row r="9" spans="1:20" ht="25.5" thickBot="1" x14ac:dyDescent="0.3">
      <c r="A9" s="1601" t="s">
        <v>2232</v>
      </c>
      <c r="B9" s="1603">
        <f>WERSJA2!J10+bufor</f>
        <v>0.1099</v>
      </c>
    </row>
    <row r="10" spans="1:20" x14ac:dyDescent="0.25">
      <c r="A10" s="1610" t="s">
        <v>2233</v>
      </c>
      <c r="B10" s="1611">
        <f>IFERROR(IF(ZK="Brak Zdolności",0,ZK*(((1+(Op/12))^Lr)-1)/((1+(Op/12))^Lr*(Op/12))),0)</f>
        <v>0</v>
      </c>
    </row>
    <row r="11" spans="1:20" ht="13" thickBot="1" x14ac:dyDescent="0.3">
      <c r="A11" s="1610" t="s">
        <v>2235</v>
      </c>
      <c r="B11" s="1612">
        <v>200000</v>
      </c>
    </row>
    <row r="12" spans="1:20" ht="13" thickBot="1" x14ac:dyDescent="0.3">
      <c r="A12" s="1609" t="s">
        <v>2234</v>
      </c>
      <c r="B12" s="1612">
        <v>200000</v>
      </c>
    </row>
    <row r="13" spans="1:20" ht="13" thickBot="1" x14ac:dyDescent="0.3">
      <c r="B13" s="1613">
        <f>MIN(B10:B12)</f>
        <v>0</v>
      </c>
    </row>
    <row r="14" spans="1:20" ht="13" x14ac:dyDescent="0.25">
      <c r="B14" s="1616" t="s">
        <v>2236</v>
      </c>
    </row>
    <row r="19" spans="10:11" ht="14.5" x14ac:dyDescent="0.25">
      <c r="J19" s="1856"/>
      <c r="K19" s="1856"/>
    </row>
    <row r="20" spans="10:11" ht="14.5" x14ac:dyDescent="0.25">
      <c r="J20" s="1856"/>
      <c r="K20" s="1856"/>
    </row>
  </sheetData>
  <pageMargins left="0.7" right="0.7" top="0.75" bottom="0.75" header="0.3" footer="0.3"/>
  <pageSetup paperSize="9" orientation="portrait" horizontalDpi="90" verticalDpi="9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1">
    <tabColor theme="9" tint="-0.249977111117893"/>
  </sheetPr>
  <dimension ref="A2:BG33"/>
  <sheetViews>
    <sheetView workbookViewId="0">
      <pane xSplit="4" ySplit="1" topLeftCell="E2" activePane="bottomRight" state="frozen"/>
      <selection activeCell="H7" sqref="H7"/>
      <selection pane="topRight" activeCell="H7" sqref="H7"/>
      <selection pane="bottomLeft" activeCell="H7" sqref="H7"/>
      <selection pane="bottomRight" activeCell="E24" sqref="E24:F24"/>
    </sheetView>
  </sheetViews>
  <sheetFormatPr defaultColWidth="8.81640625" defaultRowHeight="12.5" x14ac:dyDescent="0.25"/>
  <cols>
    <col min="1" max="1" width="12.26953125" style="407" customWidth="1"/>
    <col min="2" max="2" width="19.453125" style="407" customWidth="1"/>
    <col min="3" max="3" width="2.7265625" style="622" customWidth="1"/>
    <col min="4" max="4" width="33" style="407" customWidth="1"/>
    <col min="5" max="22" width="15.54296875" style="407" customWidth="1"/>
    <col min="23" max="16384" width="8.81640625" style="407"/>
  </cols>
  <sheetData>
    <row r="2" spans="1:22" x14ac:dyDescent="0.25">
      <c r="A2" s="407" t="str">
        <f>WERSJA2!C4</f>
        <v>RODZAJ POŻYCZKI</v>
      </c>
      <c r="B2" s="623" t="str">
        <f>WERSJA2!D4</f>
        <v>BEZ UBEZPIECZENIA</v>
      </c>
      <c r="D2" s="407" t="s">
        <v>31</v>
      </c>
      <c r="E2" s="662" t="s">
        <v>7</v>
      </c>
      <c r="F2" s="662" t="s">
        <v>3</v>
      </c>
      <c r="G2" s="662"/>
      <c r="H2" s="662"/>
      <c r="I2" s="662"/>
      <c r="J2" s="662"/>
      <c r="K2" s="662"/>
      <c r="L2" s="662"/>
      <c r="M2" s="662"/>
      <c r="N2" s="662"/>
      <c r="O2" s="662"/>
      <c r="P2" s="662"/>
      <c r="Q2" s="662"/>
      <c r="R2" s="662"/>
      <c r="S2" s="662"/>
      <c r="T2" s="662"/>
      <c r="U2" s="662"/>
      <c r="V2" s="662"/>
    </row>
    <row r="3" spans="1:22" x14ac:dyDescent="0.25">
      <c r="A3" s="407" t="str">
        <f>WERSJA2!C6</f>
        <v>SEGMENT KLIENTA</v>
      </c>
      <c r="B3" s="623" t="str">
        <f>WERSJA2!D6</f>
        <v>MASS</v>
      </c>
      <c r="D3" s="407" t="s">
        <v>32</v>
      </c>
      <c r="E3" s="662" t="s">
        <v>0</v>
      </c>
      <c r="F3" s="662" t="s">
        <v>0</v>
      </c>
      <c r="G3" s="662"/>
      <c r="H3" s="662"/>
      <c r="I3" s="662"/>
      <c r="J3" s="662"/>
      <c r="K3" s="662"/>
      <c r="L3" s="662"/>
      <c r="M3" s="662"/>
      <c r="N3" s="662"/>
      <c r="O3" s="662"/>
      <c r="P3" s="662"/>
      <c r="Q3" s="662"/>
      <c r="R3" s="662"/>
      <c r="S3" s="662"/>
      <c r="T3" s="662"/>
      <c r="U3" s="662"/>
      <c r="V3" s="662"/>
    </row>
    <row r="4" spans="1:22" x14ac:dyDescent="0.25">
      <c r="A4" s="407" t="str">
        <f>WERSJA2!C8</f>
        <v>KONSOLIDACJA</v>
      </c>
      <c r="B4" s="623" t="str">
        <f>WERSJA2!D8</f>
        <v>NIE</v>
      </c>
      <c r="D4" s="407" t="s">
        <v>33</v>
      </c>
      <c r="E4" s="662" t="s">
        <v>2</v>
      </c>
      <c r="F4" s="662" t="s">
        <v>2</v>
      </c>
      <c r="G4" s="662"/>
      <c r="H4" s="662"/>
      <c r="I4" s="662"/>
      <c r="J4" s="662"/>
      <c r="K4" s="662"/>
      <c r="L4" s="662"/>
      <c r="M4" s="662"/>
      <c r="N4" s="662"/>
      <c r="O4" s="662"/>
      <c r="P4" s="662"/>
      <c r="Q4" s="662"/>
      <c r="R4" s="662"/>
      <c r="S4" s="662"/>
      <c r="T4" s="662"/>
      <c r="U4" s="662"/>
      <c r="V4" s="662"/>
    </row>
    <row r="5" spans="1:22" x14ac:dyDescent="0.25">
      <c r="A5" s="407" t="str">
        <f>WERSJA2!C9</f>
        <v>MIEJSCE ZŁOŻENIA WNIOSKU</v>
      </c>
      <c r="B5" s="623" t="str">
        <f>WERSJA2!D9</f>
        <v>MOJE ING</v>
      </c>
      <c r="D5" s="407" t="s">
        <v>34</v>
      </c>
      <c r="E5" s="662" t="s">
        <v>1</v>
      </c>
      <c r="F5" s="662" t="s">
        <v>1</v>
      </c>
      <c r="G5" s="662"/>
      <c r="H5" s="662"/>
      <c r="I5" s="662"/>
      <c r="J5" s="662"/>
      <c r="K5" s="662"/>
      <c r="L5" s="662"/>
      <c r="M5" s="662"/>
      <c r="N5" s="662"/>
      <c r="O5" s="662"/>
      <c r="P5" s="662"/>
      <c r="Q5" s="662"/>
      <c r="R5" s="662"/>
      <c r="S5" s="662"/>
      <c r="T5" s="662"/>
      <c r="U5" s="662"/>
      <c r="V5" s="662">
        <v>-7.6953832516469808E+82</v>
      </c>
    </row>
    <row r="6" spans="1:22" s="715" customFormat="1" ht="13" x14ac:dyDescent="0.3">
      <c r="A6" s="715">
        <f>WERSJA2!C10</f>
        <v>0</v>
      </c>
      <c r="B6" s="716">
        <f>WERSJA2!D10</f>
        <v>0</v>
      </c>
      <c r="C6" s="717"/>
      <c r="D6" s="715" t="s">
        <v>177</v>
      </c>
      <c r="E6" s="718" t="s">
        <v>181</v>
      </c>
      <c r="F6" s="718" t="s">
        <v>181</v>
      </c>
      <c r="G6" s="718"/>
      <c r="H6" s="718"/>
      <c r="I6" s="718"/>
      <c r="J6" s="718"/>
      <c r="K6" s="718"/>
      <c r="L6" s="718"/>
      <c r="M6" s="718"/>
      <c r="N6" s="718"/>
      <c r="O6" s="718"/>
      <c r="P6" s="718"/>
      <c r="Q6" s="718"/>
      <c r="R6" s="718"/>
      <c r="S6" s="718"/>
      <c r="T6" s="718"/>
      <c r="U6" s="718"/>
      <c r="V6" s="718"/>
    </row>
    <row r="7" spans="1:22" s="669" customFormat="1" ht="13" x14ac:dyDescent="0.3">
      <c r="A7" s="669" t="str">
        <f>WERSJA2!C12</f>
        <v>KREDYTOWANE UBEZPIECZENIE</v>
      </c>
      <c r="B7" s="670" t="str">
        <f>WERSJA2!D12</f>
        <v>NIE</v>
      </c>
      <c r="C7" s="671"/>
      <c r="D7" s="669" t="s">
        <v>178</v>
      </c>
      <c r="E7" s="672" t="s">
        <v>181</v>
      </c>
      <c r="F7" s="672" t="s">
        <v>181</v>
      </c>
      <c r="G7" s="672"/>
      <c r="H7" s="672"/>
      <c r="I7" s="672"/>
      <c r="J7" s="672"/>
      <c r="K7" s="672"/>
      <c r="L7" s="672"/>
      <c r="M7" s="672"/>
      <c r="N7" s="672"/>
      <c r="O7" s="672"/>
      <c r="P7" s="672"/>
      <c r="Q7" s="672"/>
      <c r="R7" s="672"/>
      <c r="S7" s="672"/>
      <c r="T7" s="672"/>
      <c r="U7" s="672"/>
      <c r="V7" s="672"/>
    </row>
    <row r="8" spans="1:22" x14ac:dyDescent="0.25">
      <c r="A8" s="407" t="str">
        <f>WERSJA2!C13</f>
        <v>LICZBA RAT W MIESIĄCACH</v>
      </c>
      <c r="B8" s="407">
        <f>WERSJA2!D13</f>
        <v>48</v>
      </c>
      <c r="D8" s="407" t="s">
        <v>75</v>
      </c>
      <c r="E8" s="663">
        <v>29</v>
      </c>
      <c r="F8" s="663">
        <v>29</v>
      </c>
      <c r="G8" s="663"/>
      <c r="H8" s="663"/>
      <c r="I8" s="663"/>
      <c r="J8" s="663"/>
      <c r="K8" s="663"/>
      <c r="L8" s="663"/>
      <c r="M8" s="663"/>
      <c r="N8" s="663"/>
      <c r="O8" s="663"/>
      <c r="P8" s="663"/>
      <c r="Q8" s="663"/>
      <c r="R8" s="663"/>
      <c r="S8" s="663"/>
      <c r="T8" s="663"/>
      <c r="U8" s="663"/>
      <c r="V8" s="663"/>
    </row>
    <row r="9" spans="1:22" x14ac:dyDescent="0.25">
      <c r="A9" s="407" t="str">
        <f>WERSJA2!C16</f>
        <v>KWOTA POŻYCZKI</v>
      </c>
      <c r="B9" s="621">
        <f>WERSJA2!D16</f>
        <v>31000</v>
      </c>
      <c r="D9" s="407" t="s">
        <v>35</v>
      </c>
      <c r="E9" s="664">
        <v>7052</v>
      </c>
      <c r="F9" s="664">
        <v>7052</v>
      </c>
      <c r="G9" s="664"/>
      <c r="H9" s="664"/>
      <c r="I9" s="664"/>
      <c r="J9" s="664"/>
      <c r="K9" s="664"/>
      <c r="L9" s="664"/>
      <c r="M9" s="664"/>
      <c r="N9" s="664"/>
      <c r="O9" s="664"/>
      <c r="P9" s="664"/>
      <c r="Q9" s="664"/>
      <c r="R9" s="664"/>
      <c r="S9" s="664"/>
      <c r="T9" s="664"/>
      <c r="U9" s="664"/>
      <c r="V9" s="664"/>
    </row>
    <row r="10" spans="1:22" s="623" customFormat="1" ht="10" x14ac:dyDescent="0.2">
      <c r="A10" s="623" t="str">
        <f>WERSJA2!C18</f>
        <v>DATA URUCHOMIENIA</v>
      </c>
      <c r="B10" s="624">
        <f ca="1">WERSJA2!D18</f>
        <v>46199</v>
      </c>
      <c r="C10" s="625"/>
      <c r="D10" s="623" t="s">
        <v>44</v>
      </c>
      <c r="E10" s="665">
        <v>41225</v>
      </c>
      <c r="F10" s="665">
        <v>41225</v>
      </c>
      <c r="G10" s="665"/>
      <c r="H10" s="665"/>
      <c r="I10" s="665"/>
      <c r="J10" s="665"/>
      <c r="K10" s="665"/>
      <c r="L10" s="665"/>
      <c r="M10" s="665"/>
      <c r="N10" s="665"/>
      <c r="O10" s="665"/>
      <c r="P10" s="665"/>
      <c r="Q10" s="665"/>
      <c r="R10" s="665"/>
      <c r="S10" s="665"/>
      <c r="T10" s="665"/>
      <c r="U10" s="665"/>
      <c r="V10" s="665"/>
    </row>
    <row r="11" spans="1:22" s="623" customFormat="1" ht="10" x14ac:dyDescent="0.2">
      <c r="A11" s="623" t="str">
        <f>WERSJA2!C19</f>
        <v>DZIEŃ NIETYPOWY SPŁATY</v>
      </c>
      <c r="B11" s="623">
        <f ca="1">WERSJA2!D19</f>
        <v>26</v>
      </c>
      <c r="C11" s="625"/>
      <c r="D11" s="623" t="s">
        <v>72</v>
      </c>
      <c r="E11" s="662">
        <v>12</v>
      </c>
      <c r="F11" s="662">
        <v>12</v>
      </c>
      <c r="G11" s="662"/>
      <c r="H11" s="662"/>
      <c r="I11" s="662"/>
      <c r="J11" s="662"/>
      <c r="K11" s="662"/>
      <c r="L11" s="662"/>
      <c r="M11" s="662"/>
      <c r="N11" s="662"/>
      <c r="O11" s="662"/>
      <c r="P11" s="662"/>
      <c r="Q11" s="662"/>
      <c r="R11" s="662"/>
      <c r="S11" s="662"/>
      <c r="T11" s="662"/>
      <c r="U11" s="662"/>
      <c r="V11" s="662"/>
    </row>
    <row r="12" spans="1:22" s="623" customFormat="1" ht="10" x14ac:dyDescent="0.2">
      <c r="A12" s="623" t="str">
        <f>WERSJA2!C20</f>
        <v>DATA PIERWSZEJ RATY</v>
      </c>
      <c r="B12" s="624">
        <f ca="1">WERSJA2!D20</f>
        <v>46229</v>
      </c>
      <c r="C12" s="625"/>
      <c r="D12" s="623" t="s">
        <v>73</v>
      </c>
      <c r="E12" s="665">
        <v>41255</v>
      </c>
      <c r="F12" s="665">
        <v>41255</v>
      </c>
      <c r="G12" s="665"/>
      <c r="H12" s="665"/>
      <c r="I12" s="665"/>
      <c r="J12" s="665"/>
      <c r="K12" s="665"/>
      <c r="L12" s="665"/>
      <c r="M12" s="665"/>
      <c r="N12" s="665"/>
      <c r="O12" s="665"/>
      <c r="P12" s="665"/>
      <c r="Q12" s="665"/>
      <c r="R12" s="665"/>
      <c r="S12" s="665"/>
      <c r="T12" s="665"/>
      <c r="U12" s="665"/>
      <c r="V12" s="665"/>
    </row>
    <row r="13" spans="1:22" s="623" customFormat="1" ht="10" x14ac:dyDescent="0.2">
      <c r="A13" s="624" t="s">
        <v>1991</v>
      </c>
      <c r="B13" s="624">
        <f ca="1">RATY_OE!BN3</f>
        <v>47660</v>
      </c>
      <c r="C13" s="625"/>
      <c r="D13" s="623" t="s">
        <v>1991</v>
      </c>
      <c r="E13" s="665">
        <v>42106</v>
      </c>
      <c r="F13" s="665">
        <v>42106</v>
      </c>
      <c r="G13" s="665"/>
      <c r="H13" s="665"/>
      <c r="I13" s="665"/>
      <c r="J13" s="665"/>
      <c r="K13" s="665"/>
      <c r="L13" s="665"/>
      <c r="M13" s="665"/>
      <c r="N13" s="665"/>
      <c r="O13" s="665"/>
      <c r="P13" s="665"/>
      <c r="Q13" s="665"/>
      <c r="R13" s="665"/>
      <c r="S13" s="665"/>
      <c r="T13" s="665"/>
      <c r="U13" s="665"/>
      <c r="V13" s="665"/>
    </row>
    <row r="14" spans="1:22" x14ac:dyDescent="0.25">
      <c r="A14" s="407" t="str">
        <f>WERSJA2!I17</f>
        <v>WYSOKOŚĆ RATY kredytu</v>
      </c>
      <c r="B14" s="621">
        <f ca="1">WERSJA2!J17</f>
        <v>764.1</v>
      </c>
      <c r="D14" s="407" t="s">
        <v>41</v>
      </c>
      <c r="E14" s="675">
        <v>293.02999999999997</v>
      </c>
      <c r="F14" s="675">
        <v>301.58999999999997</v>
      </c>
      <c r="G14" s="666"/>
      <c r="H14" s="666"/>
      <c r="I14" s="666"/>
      <c r="J14" s="666"/>
      <c r="K14" s="666"/>
      <c r="L14" s="666"/>
      <c r="M14" s="666"/>
      <c r="N14" s="666"/>
      <c r="O14" s="666"/>
      <c r="P14" s="666"/>
      <c r="Q14" s="666"/>
      <c r="R14" s="666"/>
      <c r="S14" s="666"/>
      <c r="T14" s="666"/>
      <c r="U14" s="666"/>
      <c r="V14" s="666"/>
    </row>
    <row r="15" spans="1:22" x14ac:dyDescent="0.25">
      <c r="A15" s="407" t="str">
        <f>WERSJA2!I4</f>
        <v>PROWIZJA (%)</v>
      </c>
      <c r="B15" s="620">
        <f>WERSJA2!J4</f>
        <v>0</v>
      </c>
      <c r="D15" s="407" t="s">
        <v>36</v>
      </c>
      <c r="E15" s="667">
        <v>0.05</v>
      </c>
      <c r="F15" s="667">
        <v>0.05</v>
      </c>
      <c r="G15" s="667"/>
      <c r="H15" s="667"/>
      <c r="I15" s="667"/>
      <c r="J15" s="667"/>
      <c r="K15" s="667"/>
      <c r="L15" s="667"/>
      <c r="M15" s="667"/>
      <c r="N15" s="667"/>
      <c r="O15" s="667"/>
      <c r="P15" s="667"/>
      <c r="Q15" s="667"/>
      <c r="R15" s="667"/>
      <c r="S15" s="667"/>
      <c r="T15" s="667"/>
      <c r="U15" s="667"/>
      <c r="V15" s="667"/>
    </row>
    <row r="16" spans="1:22" x14ac:dyDescent="0.25">
      <c r="A16" s="407" t="s">
        <v>1845</v>
      </c>
      <c r="B16" s="621">
        <f>WERSJA2!J5</f>
        <v>0</v>
      </c>
      <c r="D16" s="407" t="s">
        <v>1845</v>
      </c>
      <c r="E16" s="664">
        <v>352.6</v>
      </c>
      <c r="F16" s="664">
        <v>352.6</v>
      </c>
      <c r="G16" s="664"/>
      <c r="H16" s="664"/>
      <c r="I16" s="664"/>
      <c r="J16" s="664"/>
      <c r="K16" s="664"/>
      <c r="L16" s="664"/>
      <c r="M16" s="664"/>
      <c r="N16" s="664"/>
      <c r="O16" s="664"/>
      <c r="P16" s="664"/>
      <c r="Q16" s="664"/>
      <c r="R16" s="664"/>
      <c r="S16" s="664"/>
      <c r="T16" s="664"/>
      <c r="U16" s="664"/>
      <c r="V16" s="664"/>
    </row>
    <row r="17" spans="1:59" x14ac:dyDescent="0.25">
      <c r="A17" s="407" t="str">
        <f>WERSJA2!I6</f>
        <v>KWOTA UBEZPIECZENIA jednorazowego</v>
      </c>
      <c r="B17" s="621">
        <f>WERSJA2!J6</f>
        <v>0</v>
      </c>
      <c r="D17" s="407" t="s">
        <v>39</v>
      </c>
      <c r="E17" s="664">
        <v>552.16999999999996</v>
      </c>
      <c r="F17" s="664">
        <v>0</v>
      </c>
      <c r="G17" s="664"/>
      <c r="H17" s="664"/>
      <c r="I17" s="664"/>
      <c r="J17" s="664"/>
      <c r="K17" s="664"/>
      <c r="L17" s="664"/>
      <c r="M17" s="664"/>
      <c r="N17" s="664"/>
      <c r="O17" s="664"/>
      <c r="P17" s="664"/>
      <c r="Q17" s="664"/>
      <c r="R17" s="664"/>
      <c r="S17" s="664"/>
      <c r="T17" s="664"/>
      <c r="U17" s="664"/>
      <c r="V17" s="664"/>
    </row>
    <row r="18" spans="1:59" s="688" customFormat="1" x14ac:dyDescent="0.25">
      <c r="A18" s="1084" t="s">
        <v>1846</v>
      </c>
      <c r="B18" s="1085">
        <f ca="1">RATY_OE!BO27</f>
        <v>5676.7000000000016</v>
      </c>
      <c r="C18" s="689"/>
      <c r="D18" s="688" t="s">
        <v>1846</v>
      </c>
      <c r="E18" s="666">
        <v>1445.8699999999994</v>
      </c>
      <c r="F18" s="666">
        <v>1694.1100000000006</v>
      </c>
      <c r="G18" s="666"/>
      <c r="H18" s="666"/>
      <c r="I18" s="666"/>
      <c r="J18" s="666"/>
      <c r="K18" s="666"/>
      <c r="L18" s="666"/>
      <c r="M18" s="666"/>
      <c r="N18" s="666"/>
      <c r="O18" s="666"/>
      <c r="P18" s="666"/>
      <c r="Q18" s="666"/>
      <c r="R18" s="666"/>
      <c r="S18" s="666"/>
      <c r="T18" s="666"/>
      <c r="U18" s="666"/>
      <c r="V18" s="666"/>
    </row>
    <row r="19" spans="1:59" x14ac:dyDescent="0.25">
      <c r="A19" s="407" t="s">
        <v>1847</v>
      </c>
      <c r="B19" s="621">
        <f ca="1">B16+B17+B18</f>
        <v>5676.7000000000016</v>
      </c>
      <c r="D19" s="714" t="s">
        <v>1847</v>
      </c>
      <c r="E19" s="664">
        <v>2350.6399999999994</v>
      </c>
      <c r="F19" s="664">
        <v>2046.7100000000005</v>
      </c>
      <c r="G19" s="664"/>
      <c r="H19" s="664"/>
      <c r="I19" s="664"/>
      <c r="J19" s="664"/>
      <c r="K19" s="664"/>
      <c r="L19" s="664"/>
      <c r="M19" s="664"/>
      <c r="N19" s="664"/>
      <c r="O19" s="664"/>
      <c r="P19" s="664"/>
      <c r="Q19" s="664"/>
      <c r="R19" s="664"/>
      <c r="S19" s="664"/>
      <c r="T19" s="664"/>
      <c r="U19" s="664"/>
      <c r="V19" s="664"/>
    </row>
    <row r="20" spans="1:59" s="669" customFormat="1" ht="13" x14ac:dyDescent="0.3">
      <c r="A20" s="670" t="s">
        <v>1822</v>
      </c>
      <c r="B20" s="621">
        <f>B16*WSP_TNkrP</f>
        <v>0</v>
      </c>
      <c r="C20" s="671"/>
      <c r="D20" s="670" t="s">
        <v>1822</v>
      </c>
      <c r="E20" s="676">
        <v>0</v>
      </c>
      <c r="F20" s="676">
        <v>0</v>
      </c>
      <c r="G20" s="676"/>
      <c r="H20" s="674"/>
      <c r="I20" s="674"/>
      <c r="J20" s="674"/>
      <c r="K20" s="674"/>
      <c r="L20" s="674"/>
      <c r="M20" s="674"/>
      <c r="N20" s="674"/>
      <c r="O20" s="674"/>
      <c r="P20" s="674"/>
      <c r="Q20" s="674"/>
      <c r="R20" s="674"/>
      <c r="S20" s="674"/>
      <c r="T20" s="674"/>
      <c r="U20" s="674"/>
      <c r="V20" s="674"/>
    </row>
    <row r="21" spans="1:59" s="669" customFormat="1" ht="13" x14ac:dyDescent="0.3">
      <c r="A21" s="670" t="s">
        <v>1823</v>
      </c>
      <c r="B21" s="673">
        <f>B17*WSP_TNkrU</f>
        <v>0</v>
      </c>
      <c r="C21" s="671"/>
      <c r="D21" s="670" t="s">
        <v>1823</v>
      </c>
      <c r="E21" s="676">
        <v>0</v>
      </c>
      <c r="F21" s="676">
        <v>0</v>
      </c>
      <c r="G21" s="676"/>
      <c r="H21" s="674"/>
      <c r="I21" s="674"/>
      <c r="J21" s="674"/>
      <c r="K21" s="674"/>
      <c r="L21" s="674"/>
      <c r="M21" s="674"/>
      <c r="N21" s="674"/>
      <c r="O21" s="674"/>
      <c r="P21" s="674"/>
      <c r="Q21" s="674"/>
      <c r="R21" s="674"/>
      <c r="S21" s="674"/>
      <c r="T21" s="674"/>
      <c r="U21" s="674"/>
      <c r="V21" s="674"/>
    </row>
    <row r="22" spans="1:59" x14ac:dyDescent="0.25">
      <c r="A22" s="407" t="str">
        <f>WERSJA2!I9</f>
        <v xml:space="preserve">RODZAJ OPROCENTOWANIA </v>
      </c>
      <c r="B22" s="621" t="str">
        <f>WERSJA2!J9</f>
        <v>ZMIENNE</v>
      </c>
      <c r="D22" s="407" t="s">
        <v>170</v>
      </c>
      <c r="E22" s="663" t="s">
        <v>163</v>
      </c>
      <c r="F22" s="663" t="s">
        <v>163</v>
      </c>
      <c r="G22" s="663"/>
      <c r="H22" s="663"/>
      <c r="I22" s="663"/>
      <c r="J22" s="663"/>
      <c r="K22" s="663"/>
      <c r="L22" s="663"/>
      <c r="M22" s="663"/>
      <c r="N22" s="663"/>
      <c r="O22" s="663"/>
      <c r="P22" s="663"/>
      <c r="Q22" s="663"/>
      <c r="R22" s="663"/>
      <c r="S22" s="663"/>
      <c r="T22" s="663"/>
      <c r="U22" s="663"/>
      <c r="V22" s="663"/>
    </row>
    <row r="23" spans="1:59" x14ac:dyDescent="0.25">
      <c r="A23" s="407" t="str">
        <f>WERSJA2!I10</f>
        <v xml:space="preserve">OPROCENTOWANIE POŻYCZKI </v>
      </c>
      <c r="B23" s="620">
        <f>WERSJA2!J10</f>
        <v>8.4900000000000003E-2</v>
      </c>
      <c r="D23" s="407" t="s">
        <v>38</v>
      </c>
      <c r="E23" s="668">
        <v>0.155</v>
      </c>
      <c r="F23" s="668">
        <v>0.18</v>
      </c>
      <c r="G23" s="668"/>
      <c r="H23" s="668"/>
      <c r="I23" s="668"/>
      <c r="J23" s="668"/>
      <c r="K23" s="668"/>
      <c r="L23" s="668"/>
      <c r="M23" s="668"/>
      <c r="N23" s="668"/>
      <c r="O23" s="668"/>
      <c r="P23" s="668"/>
      <c r="Q23" s="668"/>
      <c r="R23" s="668"/>
      <c r="S23" s="668"/>
      <c r="T23" s="668"/>
      <c r="U23" s="668"/>
      <c r="V23" s="668"/>
    </row>
    <row r="24" spans="1:59" x14ac:dyDescent="0.25">
      <c r="A24" s="683" t="s">
        <v>14</v>
      </c>
      <c r="B24" s="1086">
        <f>RATY_OE!BN6</f>
        <v>8.2407822681154569E-2</v>
      </c>
      <c r="D24" s="407" t="s">
        <v>14</v>
      </c>
      <c r="E24" s="668">
        <v>0.31526125520528087</v>
      </c>
      <c r="F24" s="668">
        <v>0.25019238708932939</v>
      </c>
      <c r="G24" s="668"/>
      <c r="H24" s="668"/>
      <c r="I24" s="668"/>
      <c r="J24" s="668"/>
      <c r="K24" s="668"/>
      <c r="L24" s="668"/>
      <c r="M24" s="668"/>
      <c r="N24" s="668"/>
      <c r="O24" s="668"/>
      <c r="P24" s="668"/>
      <c r="Q24" s="668"/>
      <c r="R24" s="668"/>
      <c r="S24" s="668"/>
      <c r="T24" s="668"/>
      <c r="U24" s="668"/>
      <c r="V24" s="668"/>
    </row>
    <row r="25" spans="1:59" s="678" customFormat="1" ht="13" x14ac:dyDescent="0.3">
      <c r="A25" s="677" t="s">
        <v>1819</v>
      </c>
      <c r="C25" s="679"/>
      <c r="D25" s="677" t="s">
        <v>1819</v>
      </c>
      <c r="E25" s="680"/>
      <c r="F25" s="680"/>
      <c r="G25" s="680"/>
      <c r="H25" s="680"/>
      <c r="I25" s="680"/>
      <c r="J25" s="680"/>
      <c r="K25" s="680"/>
      <c r="L25" s="680"/>
      <c r="M25" s="680"/>
      <c r="N25" s="680"/>
      <c r="O25" s="680"/>
      <c r="P25" s="680"/>
      <c r="Q25" s="680"/>
      <c r="R25" s="680"/>
      <c r="S25" s="680"/>
      <c r="T25" s="680"/>
      <c r="U25" s="680"/>
      <c r="V25" s="680"/>
    </row>
    <row r="26" spans="1:59" s="678" customFormat="1" x14ac:dyDescent="0.25">
      <c r="A26" s="678" t="str">
        <f>WERSJA2!C24</f>
        <v>DOCHÓD NETTO</v>
      </c>
      <c r="B26" s="681">
        <f>WERSJA2!D24</f>
        <v>1000000</v>
      </c>
      <c r="C26" s="679"/>
      <c r="D26" s="678" t="s">
        <v>42</v>
      </c>
      <c r="E26" s="682">
        <v>8000</v>
      </c>
      <c r="F26" s="682">
        <v>8000</v>
      </c>
      <c r="G26" s="682"/>
      <c r="H26" s="682"/>
      <c r="I26" s="682"/>
      <c r="J26" s="682"/>
      <c r="K26" s="682"/>
      <c r="L26" s="682"/>
      <c r="M26" s="682"/>
      <c r="N26" s="682"/>
      <c r="O26" s="682"/>
      <c r="P26" s="682"/>
      <c r="Q26" s="682"/>
      <c r="R26" s="682"/>
      <c r="S26" s="682"/>
      <c r="T26" s="682"/>
      <c r="U26" s="682"/>
      <c r="V26" s="682"/>
      <c r="AI26" s="678">
        <v>0</v>
      </c>
      <c r="BG26" s="678">
        <v>0</v>
      </c>
    </row>
    <row r="27" spans="1:59" s="678" customFormat="1" x14ac:dyDescent="0.25">
      <c r="A27" s="678" t="str">
        <f>WERSJA2!C26</f>
        <v>MIESIĘCZNE OBCIĄŻENIA</v>
      </c>
      <c r="B27" s="681">
        <f>WERSJA2!D26</f>
        <v>0</v>
      </c>
      <c r="C27" s="679"/>
      <c r="D27" s="678" t="s">
        <v>1821</v>
      </c>
      <c r="E27" s="682">
        <v>0</v>
      </c>
      <c r="F27" s="682">
        <v>0</v>
      </c>
      <c r="G27" s="682"/>
      <c r="H27" s="682"/>
      <c r="I27" s="682"/>
      <c r="J27" s="682"/>
      <c r="K27" s="682"/>
      <c r="L27" s="682"/>
      <c r="M27" s="682"/>
      <c r="N27" s="682"/>
      <c r="O27" s="682"/>
      <c r="P27" s="682"/>
      <c r="Q27" s="682"/>
      <c r="R27" s="682"/>
      <c r="S27" s="682"/>
      <c r="T27" s="682"/>
      <c r="U27" s="682"/>
      <c r="V27" s="682"/>
    </row>
    <row r="28" spans="1:59" s="678" customFormat="1" x14ac:dyDescent="0.25">
      <c r="A28" s="678" t="str">
        <f>WERSJA2!C28</f>
        <v>ILOŚĆ OSÓB W RODZINIE</v>
      </c>
      <c r="B28" s="678">
        <f>WERSJA2!D28</f>
        <v>1</v>
      </c>
      <c r="C28" s="679"/>
      <c r="D28" s="678" t="s">
        <v>43</v>
      </c>
      <c r="E28" s="680">
        <v>1</v>
      </c>
      <c r="F28" s="680">
        <v>1</v>
      </c>
      <c r="G28" s="680"/>
      <c r="H28" s="680"/>
      <c r="I28" s="680"/>
      <c r="J28" s="680"/>
      <c r="K28" s="680"/>
      <c r="L28" s="680"/>
      <c r="M28" s="680"/>
      <c r="N28" s="680"/>
      <c r="O28" s="680"/>
      <c r="P28" s="680"/>
      <c r="Q28" s="680"/>
      <c r="R28" s="680"/>
      <c r="S28" s="680"/>
      <c r="T28" s="680"/>
      <c r="U28" s="680"/>
      <c r="V28" s="680"/>
    </row>
    <row r="29" spans="1:59" s="678" customFormat="1" x14ac:dyDescent="0.25">
      <c r="A29" s="678" t="str">
        <f>WERSJA2!B29</f>
        <v>WYDATKI GOSP. DOMOWEGO</v>
      </c>
      <c r="B29" s="681">
        <f>WERSJA2!D29</f>
        <v>200</v>
      </c>
      <c r="C29" s="679"/>
      <c r="D29" s="678" t="s">
        <v>172</v>
      </c>
      <c r="E29" s="682">
        <v>200</v>
      </c>
      <c r="F29" s="682">
        <v>200</v>
      </c>
      <c r="G29" s="682"/>
      <c r="H29" s="682"/>
      <c r="I29" s="682"/>
      <c r="J29" s="682"/>
      <c r="K29" s="682"/>
      <c r="L29" s="682"/>
      <c r="M29" s="682"/>
      <c r="N29" s="682"/>
      <c r="O29" s="682"/>
      <c r="P29" s="682"/>
      <c r="Q29" s="682"/>
      <c r="R29" s="682"/>
      <c r="S29" s="682"/>
      <c r="T29" s="682"/>
      <c r="U29" s="682"/>
      <c r="V29" s="682"/>
    </row>
    <row r="30" spans="1:59" s="678" customFormat="1" x14ac:dyDescent="0.25">
      <c r="A30" s="678">
        <f>WERSJA2!C31</f>
        <v>0</v>
      </c>
      <c r="B30" s="681" t="str">
        <f>WERSJA2!D31</f>
        <v>DANE POŚREDNIKA</v>
      </c>
      <c r="C30" s="679"/>
      <c r="D30" s="678" t="s">
        <v>45</v>
      </c>
      <c r="E30" s="682">
        <v>4800</v>
      </c>
      <c r="F30" s="682">
        <v>4800</v>
      </c>
      <c r="G30" s="682"/>
      <c r="H30" s="682"/>
      <c r="I30" s="682"/>
      <c r="J30" s="682"/>
      <c r="K30" s="682"/>
      <c r="L30" s="682"/>
      <c r="M30" s="682"/>
      <c r="N30" s="682"/>
      <c r="O30" s="682"/>
      <c r="P30" s="682"/>
      <c r="Q30" s="682"/>
      <c r="R30" s="682"/>
      <c r="S30" s="682"/>
      <c r="T30" s="682"/>
      <c r="U30" s="682"/>
      <c r="V30" s="682"/>
    </row>
    <row r="31" spans="1:59" s="678" customFormat="1" x14ac:dyDescent="0.25">
      <c r="A31" s="678" t="str">
        <f>WERSJA2!G29</f>
        <v>MAKSYMALNA KWOTA POŻYCZKI</v>
      </c>
      <c r="B31" s="681">
        <f>WERSJA2!J29</f>
        <v>250000</v>
      </c>
      <c r="C31" s="679"/>
      <c r="D31" s="678" t="s">
        <v>46</v>
      </c>
      <c r="E31" s="682">
        <v>50000</v>
      </c>
      <c r="F31" s="682">
        <v>50000</v>
      </c>
      <c r="G31" s="682"/>
      <c r="H31" s="682"/>
      <c r="I31" s="682"/>
      <c r="J31" s="682"/>
      <c r="K31" s="682"/>
      <c r="L31" s="682"/>
      <c r="M31" s="682"/>
      <c r="N31" s="682"/>
      <c r="O31" s="682"/>
      <c r="P31" s="682"/>
      <c r="Q31" s="682"/>
      <c r="R31" s="682"/>
      <c r="S31" s="682"/>
      <c r="T31" s="682"/>
      <c r="U31" s="682"/>
      <c r="V31" s="682"/>
    </row>
    <row r="33" spans="4:4" x14ac:dyDescent="0.25">
      <c r="D33" s="613"/>
    </row>
  </sheetData>
  <dataConsolidate/>
  <dataValidations disablePrompts="1" count="1">
    <dataValidation allowBlank="1" showInputMessage="1" showErrorMessage="1" promptTitle="pobierane z" prompt="Raty_RRSO!H8" sqref="A24" xr:uid="{00000000-0002-0000-0C00-000000000000}"/>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4">
    <tabColor theme="9"/>
  </sheetPr>
  <dimension ref="A1:CC188"/>
  <sheetViews>
    <sheetView zoomScaleNormal="100" workbookViewId="0">
      <selection activeCell="I5" sqref="I5"/>
    </sheetView>
  </sheetViews>
  <sheetFormatPr defaultColWidth="8.81640625" defaultRowHeight="12.5" outlineLevelRow="1" outlineLevelCol="1" x14ac:dyDescent="0.25"/>
  <cols>
    <col min="1" max="1" width="29.54296875" style="613" customWidth="1" outlineLevel="1"/>
    <col min="2" max="2" width="25" style="613" customWidth="1" outlineLevel="1"/>
    <col min="3" max="3" width="6.7265625" style="613" customWidth="1"/>
    <col min="4" max="4" width="11.453125" style="613" bestFit="1" customWidth="1"/>
    <col min="5" max="5" width="15" style="613" customWidth="1"/>
    <col min="6" max="6" width="14.54296875" style="613" customWidth="1"/>
    <col min="7" max="7" width="14.453125" style="613" customWidth="1"/>
    <col min="8" max="8" width="14.26953125" style="613" customWidth="1"/>
    <col min="9" max="9" width="13.1796875" style="613" customWidth="1"/>
    <col min="10" max="10" width="9.7265625" style="613" customWidth="1"/>
    <col min="11" max="11" width="9.26953125" style="688" customWidth="1"/>
    <col min="12" max="12" width="13.1796875" style="613" customWidth="1"/>
    <col min="13" max="13" width="11.7265625" style="613" customWidth="1"/>
    <col min="14" max="14" width="13.1796875" style="613" customWidth="1"/>
    <col min="15" max="16" width="8.81640625" style="613"/>
    <col min="17" max="17" width="9.81640625" style="613" customWidth="1"/>
    <col min="18" max="20" width="8.26953125" style="613" customWidth="1"/>
    <col min="21" max="22" width="8.81640625" style="613"/>
    <col min="23" max="23" width="11" style="613" customWidth="1"/>
    <col min="24" max="24" width="3.26953125" style="613" customWidth="1"/>
    <col min="25" max="25" width="10.26953125" style="613" customWidth="1"/>
    <col min="26" max="26" width="9.7265625" style="613" customWidth="1"/>
    <col min="27" max="27" width="8.81640625" style="613"/>
    <col min="28" max="29" width="7.26953125" style="613" customWidth="1"/>
    <col min="30" max="30" width="8.81640625" style="613"/>
    <col min="31" max="31" width="11.81640625" style="613" customWidth="1"/>
    <col min="32" max="32" width="11.54296875" style="613" bestFit="1" customWidth="1"/>
    <col min="33" max="34" width="12.1796875" style="964" bestFit="1" customWidth="1"/>
    <col min="35" max="35" width="19" style="964" customWidth="1"/>
    <col min="36" max="38" width="8.81640625" style="633"/>
    <col min="39" max="39" width="29.54296875" style="613" customWidth="1"/>
    <col min="40" max="40" width="25" style="613" customWidth="1"/>
    <col min="41" max="41" width="8.81640625" style="613"/>
    <col min="42" max="42" width="10.26953125" style="613" bestFit="1" customWidth="1"/>
    <col min="43" max="43" width="10.26953125" style="613" customWidth="1"/>
    <col min="44" max="44" width="12.1796875" style="613" customWidth="1"/>
    <col min="45" max="45" width="11.453125" style="613" customWidth="1"/>
    <col min="46" max="48" width="10.26953125" style="613" customWidth="1"/>
    <col min="49" max="52" width="8.81640625" style="613"/>
    <col min="53" max="53" width="10.54296875" style="613" bestFit="1" customWidth="1"/>
    <col min="54" max="54" width="10" style="613" customWidth="1"/>
    <col min="55" max="56" width="11.54296875" style="613" bestFit="1" customWidth="1"/>
    <col min="57" max="57" width="12.7265625" style="613" customWidth="1"/>
    <col min="58" max="58" width="12.1796875" style="613" bestFit="1" customWidth="1"/>
    <col min="59" max="59" width="17" style="613" bestFit="1" customWidth="1"/>
    <col min="60" max="62" width="8.81640625" style="633"/>
    <col min="63" max="63" width="19.26953125" style="613" customWidth="1"/>
    <col min="64" max="64" width="34.54296875" style="613" bestFit="1" customWidth="1"/>
    <col min="65" max="65" width="11.26953125" style="613" customWidth="1"/>
    <col min="66" max="66" width="12.26953125" style="613" customWidth="1"/>
    <col min="67" max="67" width="17.453125" style="613" customWidth="1"/>
    <col min="68" max="69" width="8.81640625" style="613"/>
    <col min="70" max="70" width="10.453125" style="613" customWidth="1"/>
    <col min="71" max="72" width="8.81640625" style="1107"/>
    <col min="73" max="73" width="9.453125" style="613" customWidth="1"/>
    <col min="74" max="75" width="8.81640625" style="613"/>
    <col min="76" max="76" width="12.26953125" style="613" customWidth="1"/>
    <col min="77" max="77" width="15.54296875" style="613" customWidth="1"/>
    <col min="78" max="78" width="19.453125" style="613" customWidth="1"/>
    <col min="79" max="16384" width="8.81640625" style="613"/>
  </cols>
  <sheetData>
    <row r="1" spans="1:81" ht="15.5" outlineLevel="1" x14ac:dyDescent="0.35">
      <c r="A1" s="925" t="s">
        <v>1805</v>
      </c>
      <c r="B1" s="633"/>
      <c r="E1" s="926"/>
      <c r="H1" s="632" t="s">
        <v>1813</v>
      </c>
      <c r="AL1" s="988" t="s">
        <v>1978</v>
      </c>
      <c r="AM1" s="975" t="s">
        <v>1971</v>
      </c>
      <c r="AN1" s="976"/>
      <c r="BK1" s="1022" t="s">
        <v>1990</v>
      </c>
      <c r="BL1" s="1076"/>
      <c r="BM1" s="1089"/>
      <c r="BN1" s="1026" t="s">
        <v>1993</v>
      </c>
      <c r="BO1" s="1033" t="s">
        <v>1995</v>
      </c>
    </row>
    <row r="2" spans="1:81" ht="13" outlineLevel="1" x14ac:dyDescent="0.3">
      <c r="A2" s="640" t="str">
        <f>WERSJA2!C4</f>
        <v>RODZAJ POŻYCZKI</v>
      </c>
      <c r="B2" s="641" t="str">
        <f>WERSJA2!D4</f>
        <v>BEZ UBEZPIECZENIA</v>
      </c>
      <c r="E2" s="926"/>
      <c r="H2" s="626" t="s">
        <v>1814</v>
      </c>
      <c r="I2" s="637">
        <v>15</v>
      </c>
      <c r="L2" s="669"/>
      <c r="AM2" s="983" t="str">
        <f>A2</f>
        <v>RODZAJ POŻYCZKI</v>
      </c>
      <c r="AN2" s="988" t="str">
        <f t="shared" ref="AN2:AN26" si="0">B2</f>
        <v>BEZ UBEZPIECZENIA</v>
      </c>
      <c r="BK2" s="1023"/>
      <c r="BL2" s="1077" t="s">
        <v>1943</v>
      </c>
      <c r="BM2" s="1090" t="s">
        <v>1969</v>
      </c>
      <c r="BN2" s="1030" t="str">
        <f>IF(APLIKACJA="",BM2,BL2)</f>
        <v>OE</v>
      </c>
      <c r="BO2" s="688"/>
    </row>
    <row r="3" spans="1:81" ht="13" outlineLevel="1" x14ac:dyDescent="0.3">
      <c r="A3" s="640" t="str">
        <f>WERSJA2!C6</f>
        <v>SEGMENT KLIENTA</v>
      </c>
      <c r="B3" s="641" t="str">
        <f>WERSJA2!D6</f>
        <v>MASS</v>
      </c>
      <c r="E3" s="926"/>
      <c r="H3" s="626" t="s">
        <v>1815</v>
      </c>
      <c r="I3" s="637">
        <f ca="1">IF(I4&lt;31,45,46)</f>
        <v>45</v>
      </c>
      <c r="J3" s="669" t="s">
        <v>1874</v>
      </c>
      <c r="L3" s="669"/>
      <c r="AM3" s="983" t="str">
        <f t="shared" ref="AM3:AM26" si="1">A3</f>
        <v>SEGMENT KLIENTA</v>
      </c>
      <c r="AN3" s="988" t="str">
        <f t="shared" si="0"/>
        <v>MASS</v>
      </c>
      <c r="BK3" s="1023" t="s">
        <v>1991</v>
      </c>
      <c r="BL3" s="1078">
        <f ca="1">D25</f>
        <v>47660</v>
      </c>
      <c r="BM3" s="1091">
        <f ca="1">AP25</f>
        <v>47660</v>
      </c>
      <c r="BN3" s="1024">
        <f ca="1">IF(APLIKACJA="",BM3,BL3)</f>
        <v>47660</v>
      </c>
      <c r="BO3" s="688"/>
    </row>
    <row r="4" spans="1:81" outlineLevel="1" x14ac:dyDescent="0.25">
      <c r="A4" s="640" t="str">
        <f>WERSJA2!C8</f>
        <v>KONSOLIDACJA</v>
      </c>
      <c r="B4" s="641" t="str">
        <f>WERSJA2!D8</f>
        <v>NIE</v>
      </c>
      <c r="E4" s="649"/>
      <c r="H4" s="651" t="s">
        <v>1816</v>
      </c>
      <c r="I4" s="638">
        <f ca="1">DAY(DATE(YEAR(B10),MONTH(B10)+1,1)-1)</f>
        <v>30</v>
      </c>
      <c r="AM4" s="983" t="str">
        <f t="shared" si="1"/>
        <v>KONSOLIDACJA</v>
      </c>
      <c r="AN4" s="988" t="str">
        <f t="shared" si="0"/>
        <v>NIE</v>
      </c>
      <c r="BK4" s="1023" t="s">
        <v>206</v>
      </c>
      <c r="BL4" s="1079"/>
      <c r="BM4" s="1092"/>
      <c r="BN4" s="1023"/>
      <c r="BO4" s="688"/>
    </row>
    <row r="5" spans="1:81" outlineLevel="1" x14ac:dyDescent="0.25">
      <c r="A5" s="640" t="str">
        <f>WERSJA2!C9</f>
        <v>MIEJSCE ZŁOŻENIA WNIOSKU</v>
      </c>
      <c r="B5" s="641" t="str">
        <f>WERSJA2!D9</f>
        <v>MOJE ING</v>
      </c>
      <c r="E5" s="635"/>
      <c r="H5" s="626" t="s">
        <v>1818</v>
      </c>
      <c r="I5" s="639" t="s">
        <v>1943</v>
      </c>
      <c r="AM5" s="983" t="str">
        <f t="shared" si="1"/>
        <v>MIEJSCE ZŁOŻENIA WNIOSKU</v>
      </c>
      <c r="AN5" s="988" t="str">
        <f t="shared" si="0"/>
        <v>MOJE ING</v>
      </c>
      <c r="BK5" s="1023" t="s">
        <v>214</v>
      </c>
      <c r="BL5" s="1080">
        <f ca="1">SUM(G31:G150)</f>
        <v>5676.7000000000016</v>
      </c>
      <c r="BM5" s="1093">
        <f ca="1">SUM(AR31:AR150)</f>
        <v>5676.799999999992</v>
      </c>
      <c r="BN5" s="1025">
        <f ca="1">IF(APLIKACJA="",BM5,BL5)</f>
        <v>5676.7000000000016</v>
      </c>
      <c r="BO5" s="1031">
        <f ca="1">BL5-BM5</f>
        <v>-9.9999999990359356E-2</v>
      </c>
    </row>
    <row r="6" spans="1:81" ht="13" outlineLevel="1" x14ac:dyDescent="0.3">
      <c r="A6" s="640">
        <f>WERSJA2!C10</f>
        <v>0</v>
      </c>
      <c r="B6" s="641">
        <f>WERSJA2!D10</f>
        <v>0</v>
      </c>
      <c r="E6" s="635"/>
      <c r="H6" s="617" t="s">
        <v>1947</v>
      </c>
      <c r="I6" s="654">
        <v>365</v>
      </c>
      <c r="J6" s="669" t="s">
        <v>1945</v>
      </c>
      <c r="AM6" s="983">
        <f t="shared" si="1"/>
        <v>0</v>
      </c>
      <c r="AN6" s="988">
        <f t="shared" si="0"/>
        <v>0</v>
      </c>
      <c r="BK6" s="1023" t="s">
        <v>14</v>
      </c>
      <c r="BL6" s="1081">
        <f>OE_wynikRRSO</f>
        <v>8.2407822681154569E-2</v>
      </c>
      <c r="BM6" s="1094">
        <f>SOWK_wynikRRSO</f>
        <v>8.2410577811416197E-2</v>
      </c>
      <c r="BN6" s="1029">
        <f>IF(APLIKACJA="",BM6,BL6)</f>
        <v>8.2407822681154569E-2</v>
      </c>
      <c r="BO6" s="1032">
        <f>BL6-BM6</f>
        <v>-2.7551302616279916E-6</v>
      </c>
    </row>
    <row r="7" spans="1:81" outlineLevel="1" x14ac:dyDescent="0.25">
      <c r="A7" s="640" t="str">
        <f>WERSJA2!C12</f>
        <v>KREDYTOWANE UBEZPIECZENIE</v>
      </c>
      <c r="B7" s="641" t="str">
        <f>WERSJA2!D12</f>
        <v>NIE</v>
      </c>
      <c r="H7" s="617" t="s">
        <v>1830</v>
      </c>
      <c r="I7" s="687">
        <v>366</v>
      </c>
      <c r="J7" s="688"/>
      <c r="AM7" s="983" t="str">
        <f t="shared" si="1"/>
        <v>KREDYTOWANE UBEZPIECZENIE</v>
      </c>
      <c r="AN7" s="988" t="str">
        <f t="shared" si="0"/>
        <v>NIE</v>
      </c>
      <c r="BK7" s="1023" t="s">
        <v>212</v>
      </c>
      <c r="BL7" s="1079"/>
      <c r="BM7" s="1092"/>
      <c r="BN7" s="1023">
        <f ca="1">PMT_</f>
        <v>764.1</v>
      </c>
      <c r="BO7" s="688" t="s">
        <v>1999</v>
      </c>
    </row>
    <row r="8" spans="1:81" ht="25.5" outlineLevel="1" x14ac:dyDescent="0.3">
      <c r="A8" s="636" t="str">
        <f>WERSJA2!C13</f>
        <v>LICZBA RAT W MIESIĄCACH</v>
      </c>
      <c r="B8" s="1241">
        <f>'DOD1'!E8</f>
        <v>48</v>
      </c>
      <c r="F8" s="627" t="s">
        <v>1807</v>
      </c>
      <c r="G8" s="613" t="s">
        <v>1808</v>
      </c>
      <c r="H8" s="619" t="s">
        <v>1811</v>
      </c>
      <c r="I8" s="619" t="s">
        <v>1812</v>
      </c>
      <c r="AM8" s="989" t="str">
        <f t="shared" si="1"/>
        <v>LICZBA RAT W MIESIĄCACH</v>
      </c>
      <c r="AN8" s="990">
        <f t="shared" si="0"/>
        <v>48</v>
      </c>
      <c r="BK8" s="1088" t="s">
        <v>2002</v>
      </c>
      <c r="BL8" s="1080">
        <f ca="1">D24</f>
        <v>764</v>
      </c>
      <c r="BM8" s="1092"/>
      <c r="BN8" s="1023">
        <f ca="1">IF(APLIKACJA="",BM8,BL8)</f>
        <v>764</v>
      </c>
      <c r="BO8" s="688"/>
    </row>
    <row r="9" spans="1:81" outlineLevel="1" x14ac:dyDescent="0.25">
      <c r="A9" s="640" t="str">
        <f>WERSJA2!C16</f>
        <v>KWOTA POŻYCZKI</v>
      </c>
      <c r="B9" s="643">
        <f>WERSJA2!J15</f>
        <v>31000</v>
      </c>
      <c r="E9" s="617" t="s">
        <v>1806</v>
      </c>
      <c r="F9" s="628">
        <f ca="1">DATE(YEAR(B10),MONTH(B10),$B$11)</f>
        <v>46199</v>
      </c>
      <c r="G9" s="629">
        <f ca="1">IF(MONTH(F9)=MONTH(B10),F9,
DATE(YEAR(B10),MONTH(B10)+1,1)-1)</f>
        <v>46199</v>
      </c>
      <c r="H9" s="630">
        <f ca="1">G9-$B$10</f>
        <v>0</v>
      </c>
      <c r="I9" s="629" t="str">
        <f ca="1">IF(AND(H9&gt;LiczDniDo1RatyMIN,H9&lt;=LiczDniDo1RatyMAX),G9,"")</f>
        <v/>
      </c>
      <c r="AM9" s="983" t="str">
        <f t="shared" si="1"/>
        <v>KWOTA POŻYCZKI</v>
      </c>
      <c r="AN9" s="991">
        <f t="shared" si="0"/>
        <v>31000</v>
      </c>
      <c r="BK9" s="1023"/>
      <c r="BL9" s="1079"/>
      <c r="BM9" s="1092"/>
      <c r="BN9" s="1023"/>
      <c r="BO9" s="688"/>
    </row>
    <row r="10" spans="1:81" ht="13" outlineLevel="1" x14ac:dyDescent="0.3">
      <c r="A10" s="636" t="str">
        <f>WERSJA2!C18</f>
        <v>DATA URUCHOMIENIA</v>
      </c>
      <c r="B10" s="634">
        <f ca="1">WERSJA2!D18</f>
        <v>46199</v>
      </c>
      <c r="E10" s="617" t="s">
        <v>1809</v>
      </c>
      <c r="F10" s="628">
        <f ca="1">DATE(YEAR(G9),MONTH(G9)+1,$B$11)</f>
        <v>46229</v>
      </c>
      <c r="G10" s="629">
        <f ca="1">IF(MONTH(F10)-MONTH(G9)&gt;1,
DATE(YEAR(G9),MONTH(G9)+2,1)-1,F10)</f>
        <v>46229</v>
      </c>
      <c r="H10" s="630">
        <f ca="1">G10-$B$10</f>
        <v>30</v>
      </c>
      <c r="I10" s="629">
        <f ca="1">IF(AND(H10&gt;LiczDniDo1RatyMIN,H10&lt;=LiczDniDo1RatyMAX),G10,"")</f>
        <v>46229</v>
      </c>
      <c r="AM10" s="989" t="str">
        <f t="shared" si="1"/>
        <v>DATA URUCHOMIENIA</v>
      </c>
      <c r="AN10" s="992">
        <f t="shared" ca="1" si="0"/>
        <v>46199</v>
      </c>
      <c r="BK10" s="1023"/>
      <c r="BL10" s="1079"/>
      <c r="BM10" s="1092"/>
      <c r="BN10" s="1023"/>
      <c r="BO10" s="688"/>
    </row>
    <row r="11" spans="1:81" ht="13" outlineLevel="1" x14ac:dyDescent="0.3">
      <c r="A11" s="636" t="str">
        <f>WERSJA2!C19</f>
        <v>DZIEŃ NIETYPOWY SPŁATY</v>
      </c>
      <c r="B11" s="648">
        <f ca="1">WERSJA2!D19</f>
        <v>26</v>
      </c>
      <c r="E11" s="617" t="s">
        <v>1810</v>
      </c>
      <c r="F11" s="628">
        <f ca="1">DATE(YEAR(G10),MONTH(G10)+1,$B$11)</f>
        <v>46260</v>
      </c>
      <c r="G11" s="629">
        <f ca="1">IF(MONTH(F11)-MONTH(G10)&gt;1,
DATE(YEAR(G10),MONTH(G10)+2,1)-1,F11)</f>
        <v>46260</v>
      </c>
      <c r="H11" s="630">
        <f ca="1">G11-$B$10</f>
        <v>61</v>
      </c>
      <c r="I11" s="629" t="str">
        <f ca="1">IF(AND(H11&gt;LiczDniDo1RatyMIN,H11&lt;=LiczDniDo1RatyMAX),G11,"")</f>
        <v/>
      </c>
      <c r="AM11" s="989" t="str">
        <f t="shared" si="1"/>
        <v>DZIEŃ NIETYPOWY SPŁATY</v>
      </c>
      <c r="AN11" s="990">
        <f t="shared" ca="1" si="0"/>
        <v>26</v>
      </c>
    </row>
    <row r="12" spans="1:81" ht="13" x14ac:dyDescent="0.3">
      <c r="A12" s="645" t="str">
        <f>WERSJA2!C20</f>
        <v>DATA PIERWSZEJ RATY</v>
      </c>
      <c r="B12" s="652">
        <f ca="1">I12</f>
        <v>46229</v>
      </c>
      <c r="E12" s="617"/>
      <c r="F12" s="629"/>
      <c r="G12" s="629"/>
      <c r="H12" s="631" t="s">
        <v>1820</v>
      </c>
      <c r="I12" s="646">
        <f ca="1">IF(I9&lt;&gt;"",I9,IF(I10&lt;&gt;"",I10,I11))</f>
        <v>46229</v>
      </c>
      <c r="AM12" s="983" t="str">
        <f t="shared" si="1"/>
        <v>DATA PIERWSZEJ RATY</v>
      </c>
      <c r="AN12" s="993">
        <f t="shared" ca="1" si="0"/>
        <v>46229</v>
      </c>
    </row>
    <row r="13" spans="1:81" ht="13" outlineLevel="1" x14ac:dyDescent="0.25">
      <c r="A13" s="934" t="str">
        <f>WERSJA2!I17</f>
        <v>WYSOKOŚĆ RATY kredytu</v>
      </c>
      <c r="B13" s="935">
        <f ca="1">PMT_</f>
        <v>764.1</v>
      </c>
      <c r="C13" s="933" t="s">
        <v>1951</v>
      </c>
      <c r="AM13" s="994" t="str">
        <f t="shared" si="1"/>
        <v>WYSOKOŚĆ RATY kredytu</v>
      </c>
      <c r="AN13" s="999">
        <f t="shared" ca="1" si="0"/>
        <v>764.1</v>
      </c>
      <c r="AO13" s="613" t="s">
        <v>1977</v>
      </c>
    </row>
    <row r="14" spans="1:81" outlineLevel="1" x14ac:dyDescent="0.25">
      <c r="A14" s="640" t="str">
        <f>WERSJA2!I4</f>
        <v>PROWIZJA (%)</v>
      </c>
      <c r="B14" s="644">
        <f>WERSJA2!J4</f>
        <v>0</v>
      </c>
      <c r="AM14" s="983" t="str">
        <f t="shared" si="1"/>
        <v>PROWIZJA (%)</v>
      </c>
      <c r="AN14" s="995">
        <f t="shared" si="0"/>
        <v>0</v>
      </c>
    </row>
    <row r="15" spans="1:81" ht="25" outlineLevel="1" x14ac:dyDescent="0.25">
      <c r="A15" s="640" t="str">
        <f>WERSJA2!I5</f>
        <v>PROWIZJA (KWOTA)</v>
      </c>
      <c r="B15" s="643">
        <f>WERSJA2!J5</f>
        <v>0</v>
      </c>
      <c r="AM15" s="983" t="str">
        <f t="shared" si="1"/>
        <v>PROWIZJA (KWOTA)</v>
      </c>
      <c r="AN15" s="991">
        <f t="shared" si="0"/>
        <v>0</v>
      </c>
      <c r="BU15" s="1109" t="s">
        <v>2051</v>
      </c>
      <c r="BV15" s="1110" t="s">
        <v>2059</v>
      </c>
      <c r="BW15" s="1109" t="s">
        <v>2052</v>
      </c>
      <c r="BX15" s="1109" t="s">
        <v>2053</v>
      </c>
      <c r="BY15" s="1119" t="s">
        <v>2072</v>
      </c>
      <c r="CC15" s="914"/>
    </row>
    <row r="16" spans="1:81" ht="13" outlineLevel="1" x14ac:dyDescent="0.3">
      <c r="A16" s="640" t="str">
        <f>WERSJA2!I6</f>
        <v>KWOTA UBEZPIECZENIA jednorazowego</v>
      </c>
      <c r="B16" s="643">
        <f>WERSJA2!J6</f>
        <v>0</v>
      </c>
      <c r="C16" s="1124">
        <f>ROUND(wsp_ubezp_wybranejOfe*B9,2)</f>
        <v>0</v>
      </c>
      <c r="D16" s="1148" t="str">
        <f>IF(RodzUbezp="Jednorazowe","JEDNORAZOWO","RATALNIE")</f>
        <v>RATALNIE</v>
      </c>
      <c r="E16" s="1124">
        <f>C16*LRat</f>
        <v>0</v>
      </c>
      <c r="AM16" s="983" t="str">
        <f t="shared" si="1"/>
        <v>KWOTA UBEZPIECZENIA jednorazowego</v>
      </c>
      <c r="AN16" s="991">
        <f t="shared" si="0"/>
        <v>0</v>
      </c>
      <c r="AO16" s="991">
        <f>wsp_ubezp_wybranejOfe*B9</f>
        <v>0</v>
      </c>
      <c r="BU16" s="1023">
        <v>1</v>
      </c>
      <c r="BV16" s="1111">
        <v>0</v>
      </c>
      <c r="BW16" s="1023" t="s">
        <v>2054</v>
      </c>
      <c r="BX16" s="1023">
        <v>0</v>
      </c>
      <c r="BY16" s="1120">
        <v>0</v>
      </c>
      <c r="CC16" s="914"/>
    </row>
    <row r="17" spans="1:81" ht="13" outlineLevel="1" x14ac:dyDescent="0.3">
      <c r="A17" s="647" t="s">
        <v>1822</v>
      </c>
      <c r="B17" s="633">
        <f>B15*WSP_TNkrP</f>
        <v>0</v>
      </c>
      <c r="AM17" s="996" t="str">
        <f t="shared" si="1"/>
        <v>KREDYTOWANA PROWIZJA KWOTA</v>
      </c>
      <c r="AN17" s="983">
        <f t="shared" si="0"/>
        <v>0</v>
      </c>
      <c r="BU17" s="1023">
        <v>2</v>
      </c>
      <c r="BV17" s="1111">
        <v>13</v>
      </c>
      <c r="BW17" s="1023" t="s">
        <v>2055</v>
      </c>
      <c r="BX17" s="1023">
        <v>35</v>
      </c>
      <c r="BY17" s="1120">
        <v>15</v>
      </c>
      <c r="CC17" s="914"/>
    </row>
    <row r="18" spans="1:81" ht="13" outlineLevel="1" x14ac:dyDescent="0.3">
      <c r="A18" s="647" t="s">
        <v>1823</v>
      </c>
      <c r="B18" s="633">
        <f>B16*WSP_TNkrU</f>
        <v>0</v>
      </c>
      <c r="AM18" s="996" t="str">
        <f t="shared" si="1"/>
        <v>KREDYTOWANE UBEZPIECZENIE KWOTA</v>
      </c>
      <c r="AN18" s="983">
        <f t="shared" si="0"/>
        <v>0</v>
      </c>
      <c r="BU18" s="1023">
        <v>3</v>
      </c>
      <c r="BV18" s="1111">
        <v>37</v>
      </c>
      <c r="BW18" s="1023" t="s">
        <v>2056</v>
      </c>
      <c r="BX18" s="1023">
        <v>50</v>
      </c>
      <c r="BY18" s="1120">
        <v>30</v>
      </c>
      <c r="CC18" s="914"/>
    </row>
    <row r="19" spans="1:81" ht="13" outlineLevel="1" x14ac:dyDescent="0.3">
      <c r="A19" s="640" t="str">
        <f>WERSJA2!I9</f>
        <v xml:space="preserve">RODZAJ OPROCENTOWANIA </v>
      </c>
      <c r="B19" s="641" t="str">
        <f>WERSJA2!J9</f>
        <v>ZMIENNE</v>
      </c>
      <c r="AM19" s="983" t="str">
        <f t="shared" si="1"/>
        <v xml:space="preserve">RODZAJ OPROCENTOWANIA </v>
      </c>
      <c r="AN19" s="988" t="str">
        <f t="shared" si="0"/>
        <v>ZMIENNE</v>
      </c>
      <c r="BU19" s="1023">
        <v>4</v>
      </c>
      <c r="BV19" s="1111">
        <v>73</v>
      </c>
      <c r="BW19" s="1023" t="s">
        <v>2057</v>
      </c>
      <c r="BX19" s="1023">
        <v>70</v>
      </c>
      <c r="BY19" s="1120">
        <v>58</v>
      </c>
      <c r="CC19" s="914"/>
    </row>
    <row r="20" spans="1:81" ht="13" outlineLevel="1" x14ac:dyDescent="0.3">
      <c r="A20" s="640" t="str">
        <f>WERSJA2!I10</f>
        <v xml:space="preserve">OPROCENTOWANIE POŻYCZKI </v>
      </c>
      <c r="B20" s="650">
        <f>WERSJA2!J10</f>
        <v>8.4900000000000003E-2</v>
      </c>
      <c r="L20" s="686" t="s">
        <v>1941</v>
      </c>
      <c r="AM20" s="983" t="str">
        <f t="shared" si="1"/>
        <v xml:space="preserve">OPROCENTOWANIE POŻYCZKI </v>
      </c>
      <c r="AN20" s="997">
        <f t="shared" si="0"/>
        <v>8.4900000000000003E-2</v>
      </c>
      <c r="BU20" s="1023">
        <v>5</v>
      </c>
      <c r="BV20" s="1111">
        <v>133</v>
      </c>
      <c r="BW20" s="1023" t="s">
        <v>2058</v>
      </c>
      <c r="BX20" s="1023">
        <v>85</v>
      </c>
      <c r="BY20" s="1120">
        <v>87</v>
      </c>
      <c r="CC20" s="914"/>
    </row>
    <row r="21" spans="1:81" ht="13" outlineLevel="1" x14ac:dyDescent="0.3">
      <c r="A21" s="636" t="s">
        <v>1819</v>
      </c>
      <c r="B21" s="642"/>
      <c r="L21" s="686" t="s">
        <v>1829</v>
      </c>
      <c r="AM21" s="989" t="str">
        <f t="shared" si="1"/>
        <v>Dane Gosp domowego:</v>
      </c>
      <c r="AN21" s="998">
        <f t="shared" si="0"/>
        <v>0</v>
      </c>
      <c r="CC21" s="914"/>
    </row>
    <row r="22" spans="1:81" outlineLevel="1" x14ac:dyDescent="0.25">
      <c r="A22" s="640" t="str">
        <f>WERSJA2!C24</f>
        <v>DOCHÓD NETTO</v>
      </c>
      <c r="B22" s="643">
        <f>WERSJA2!D24</f>
        <v>1000000</v>
      </c>
      <c r="V22" s="948"/>
      <c r="AM22" s="983" t="str">
        <f t="shared" si="1"/>
        <v>DOCHÓD NETTO</v>
      </c>
      <c r="AN22" s="991">
        <f t="shared" si="0"/>
        <v>1000000</v>
      </c>
      <c r="CC22" s="914"/>
    </row>
    <row r="23" spans="1:81" ht="13" outlineLevel="1" x14ac:dyDescent="0.3">
      <c r="A23" s="640" t="str">
        <f>WERSJA2!C26</f>
        <v>MIESIĘCZNE OBCIĄŻENIA</v>
      </c>
      <c r="B23" s="643">
        <f>WERSJA2!D26</f>
        <v>0</v>
      </c>
      <c r="D23" s="1019" t="s">
        <v>2013</v>
      </c>
      <c r="E23" s="1019"/>
      <c r="L23" s="669"/>
      <c r="V23" s="948"/>
      <c r="AM23" s="983" t="str">
        <f t="shared" si="1"/>
        <v>MIESIĘCZNE OBCIĄŻENIA</v>
      </c>
      <c r="AN23" s="991">
        <f t="shared" si="0"/>
        <v>0</v>
      </c>
      <c r="CC23" s="914"/>
    </row>
    <row r="24" spans="1:81" ht="14" outlineLevel="1" x14ac:dyDescent="0.3">
      <c r="A24" s="640" t="str">
        <f>WERSJA2!C28</f>
        <v>ILOŚĆ OSÓB W RODZINIE</v>
      </c>
      <c r="B24" s="641">
        <f>WERSJA2!D28</f>
        <v>1</v>
      </c>
      <c r="D24" s="1087">
        <f ca="1">VLOOKUP(LRat,C30:E150,3,FALSE)</f>
        <v>764</v>
      </c>
      <c r="E24" s="1019" t="s">
        <v>2001</v>
      </c>
      <c r="L24" s="669" t="s">
        <v>1942</v>
      </c>
      <c r="M24" s="688"/>
      <c r="N24" s="688"/>
      <c r="O24" s="688"/>
      <c r="V24" s="948"/>
      <c r="AI24" s="965" t="s">
        <v>1966</v>
      </c>
      <c r="AJ24" s="633" t="s">
        <v>1967</v>
      </c>
      <c r="AK24" s="633" t="s">
        <v>1967</v>
      </c>
      <c r="AL24" s="633" t="s">
        <v>1968</v>
      </c>
      <c r="AM24" s="983" t="str">
        <f t="shared" si="1"/>
        <v>ILOŚĆ OSÓB W RODZINIE</v>
      </c>
      <c r="AN24" s="988">
        <f t="shared" si="0"/>
        <v>1</v>
      </c>
      <c r="BG24" s="965" t="s">
        <v>1966</v>
      </c>
      <c r="CC24" s="914"/>
    </row>
    <row r="25" spans="1:81" ht="13" outlineLevel="1" x14ac:dyDescent="0.3">
      <c r="A25" s="640" t="str">
        <f>WERSJA2!B29</f>
        <v>WYDATKI GOSP. DOMOWEGO</v>
      </c>
      <c r="B25" s="643">
        <f>WERSJA2!D29</f>
        <v>200</v>
      </c>
      <c r="D25" s="1018">
        <f ca="1">VLOOKUP(LRat,C30:D150,2,FALSE)</f>
        <v>47660</v>
      </c>
      <c r="E25" s="1019" t="s">
        <v>1992</v>
      </c>
      <c r="K25" s="686"/>
      <c r="N25" s="930"/>
      <c r="O25" s="930"/>
      <c r="P25" s="930"/>
      <c r="Q25" s="669">
        <f>OE_RP_raty</f>
        <v>365</v>
      </c>
      <c r="AI25" s="971">
        <v>8.2407822681154569E-2</v>
      </c>
      <c r="AJ25" s="984" t="str">
        <f>Raty_RRSO!U5</f>
        <v xml:space="preserve">RRSO </v>
      </c>
      <c r="AK25" s="984">
        <f>Raty_RRSO!V5</f>
        <v>0.17451905146291249</v>
      </c>
      <c r="AL25" s="984">
        <f>OE_wynikRRSO-AK25</f>
        <v>-9.2111228781757926E-2</v>
      </c>
      <c r="AM25" s="983" t="str">
        <f t="shared" si="1"/>
        <v>WYDATKI GOSP. DOMOWEGO</v>
      </c>
      <c r="AN25" s="991">
        <f t="shared" si="0"/>
        <v>200</v>
      </c>
      <c r="AP25" s="1037">
        <f ca="1">VLOOKUP(LRat,AO30:AP150,2,FALSE)</f>
        <v>47660</v>
      </c>
      <c r="AQ25" s="1001" t="s">
        <v>1992</v>
      </c>
      <c r="AR25" s="613">
        <f ca="1">SUM(AR31:AR150)</f>
        <v>5676.799999999992</v>
      </c>
      <c r="BC25" s="982" t="s">
        <v>1986</v>
      </c>
      <c r="BG25" s="971">
        <v>8.2410577811416197E-2</v>
      </c>
      <c r="BL25" s="613" t="s">
        <v>2050</v>
      </c>
      <c r="BU25" s="1115" t="s">
        <v>2063</v>
      </c>
      <c r="BV25" s="1107"/>
      <c r="CC25" s="914"/>
    </row>
    <row r="26" spans="1:81" ht="13" outlineLevel="1" x14ac:dyDescent="0.3">
      <c r="A26" s="640">
        <f>WERSJA2!C31</f>
        <v>0</v>
      </c>
      <c r="B26" s="643" t="str">
        <f>WERSJA2!D31</f>
        <v>DANE POŚREDNIKA</v>
      </c>
      <c r="K26" s="686"/>
      <c r="L26" s="930" t="s">
        <v>1952</v>
      </c>
      <c r="M26" s="930"/>
      <c r="N26" s="930"/>
      <c r="O26" s="930"/>
      <c r="P26" s="930"/>
      <c r="Q26" s="956"/>
      <c r="R26" s="957"/>
      <c r="S26" s="957"/>
      <c r="T26" s="958"/>
      <c r="U26" s="959"/>
      <c r="V26" s="957"/>
      <c r="W26" s="932"/>
      <c r="Y26" s="960" t="s">
        <v>1960</v>
      </c>
      <c r="Z26" s="930"/>
      <c r="AA26" s="930"/>
      <c r="AB26" s="930"/>
      <c r="AC26" s="930"/>
      <c r="AD26" s="930"/>
      <c r="AE26" s="930"/>
      <c r="AF26" s="930"/>
      <c r="AG26" s="930"/>
      <c r="AH26" s="930"/>
      <c r="AI26" s="930"/>
      <c r="AM26" s="983">
        <f t="shared" si="1"/>
        <v>0</v>
      </c>
      <c r="AN26" s="991" t="str">
        <f t="shared" si="0"/>
        <v>DANE POŚREDNIKA</v>
      </c>
      <c r="AW26" s="1002" t="s">
        <v>2081</v>
      </c>
      <c r="AX26" s="978"/>
      <c r="AY26" s="978"/>
      <c r="AZ26" s="1003"/>
      <c r="BA26" s="1003"/>
      <c r="BB26" s="1003"/>
      <c r="BC26" s="1003"/>
      <c r="BD26" s="1003"/>
      <c r="BE26" s="1003"/>
      <c r="BF26" s="1003"/>
      <c r="BG26" s="930"/>
      <c r="BV26" s="654" t="s">
        <v>2066</v>
      </c>
      <c r="BW26" s="654" t="s">
        <v>2068</v>
      </c>
      <c r="BX26" s="654" t="s">
        <v>2069</v>
      </c>
      <c r="BY26" s="654" t="s">
        <v>2073</v>
      </c>
      <c r="CC26" s="914"/>
    </row>
    <row r="27" spans="1:81" s="914" customFormat="1" ht="37.5" x14ac:dyDescent="0.25">
      <c r="C27" s="942"/>
      <c r="D27" s="987" t="s">
        <v>1976</v>
      </c>
      <c r="E27" s="986">
        <f ca="1">SUM(E31:E150)</f>
        <v>36676.699999999968</v>
      </c>
      <c r="G27" s="986">
        <f ca="1">SUM(G31:G150)</f>
        <v>5676.7000000000016</v>
      </c>
      <c r="H27" s="986">
        <f ca="1">SUM(H31:H150)</f>
        <v>30999.999999999993</v>
      </c>
      <c r="J27" s="986">
        <f>SUM(J30:J150)</f>
        <v>0</v>
      </c>
      <c r="K27" s="688"/>
      <c r="L27" s="923" t="s">
        <v>1804</v>
      </c>
      <c r="M27" s="923" t="s">
        <v>1843</v>
      </c>
      <c r="N27" s="923" t="s">
        <v>1844</v>
      </c>
      <c r="O27" s="923" t="s">
        <v>139</v>
      </c>
      <c r="P27" s="923" t="s">
        <v>148</v>
      </c>
      <c r="Q27" s="923" t="s">
        <v>1948</v>
      </c>
      <c r="R27" s="923" t="s">
        <v>140</v>
      </c>
      <c r="S27" s="923" t="s">
        <v>141</v>
      </c>
      <c r="T27" s="929" t="s">
        <v>1982</v>
      </c>
      <c r="U27" s="923" t="s">
        <v>1983</v>
      </c>
      <c r="V27" s="923" t="s">
        <v>134</v>
      </c>
      <c r="W27" s="923" t="s">
        <v>1944</v>
      </c>
      <c r="Y27" s="923" t="s">
        <v>1957</v>
      </c>
      <c r="Z27" s="923" t="s">
        <v>1958</v>
      </c>
      <c r="AA27" s="923" t="s">
        <v>149</v>
      </c>
      <c r="AB27" s="923" t="s">
        <v>140</v>
      </c>
      <c r="AC27" s="923" t="s">
        <v>141</v>
      </c>
      <c r="AD27" s="929" t="s">
        <v>1950</v>
      </c>
      <c r="AE27" s="923" t="s">
        <v>1949</v>
      </c>
      <c r="AF27" s="923" t="s">
        <v>134</v>
      </c>
      <c r="AG27" s="923" t="s">
        <v>1964</v>
      </c>
      <c r="AH27" s="923" t="s">
        <v>1962</v>
      </c>
      <c r="AI27" s="923" t="s">
        <v>1965</v>
      </c>
      <c r="AJ27" s="985"/>
      <c r="AK27" s="985"/>
      <c r="AL27" s="1008">
        <f>AK25-SOWK_wynikRRSO</f>
        <v>9.2108473651496298E-2</v>
      </c>
      <c r="AM27" s="978"/>
      <c r="AN27" s="978" t="s">
        <v>1973</v>
      </c>
      <c r="AO27" s="1036" t="s">
        <v>1997</v>
      </c>
      <c r="AP27" s="978"/>
      <c r="AQ27" s="978"/>
      <c r="AR27" s="978"/>
      <c r="AS27" s="978"/>
      <c r="AT27" s="978"/>
      <c r="AU27" s="978"/>
      <c r="AV27" s="978"/>
      <c r="AW27" s="978" t="s">
        <v>1957</v>
      </c>
      <c r="AX27" s="978" t="s">
        <v>1958</v>
      </c>
      <c r="AY27" s="978" t="s">
        <v>1985</v>
      </c>
      <c r="AZ27" s="978" t="s">
        <v>140</v>
      </c>
      <c r="BA27" s="978" t="s">
        <v>141</v>
      </c>
      <c r="BB27" s="1004" t="s">
        <v>1982</v>
      </c>
      <c r="BC27" s="978" t="s">
        <v>1949</v>
      </c>
      <c r="BD27" s="978" t="s">
        <v>134</v>
      </c>
      <c r="BE27" s="978" t="s">
        <v>1964</v>
      </c>
      <c r="BF27" s="978" t="s">
        <v>1962</v>
      </c>
      <c r="BG27" s="923" t="s">
        <v>1965</v>
      </c>
      <c r="BH27" s="985"/>
      <c r="BI27" s="985"/>
      <c r="BJ27" s="985"/>
      <c r="BL27" s="1112" t="str">
        <f>APLIKACJA</f>
        <v>FrontEnd</v>
      </c>
      <c r="BM27" s="1082"/>
      <c r="BN27" s="1083">
        <f ca="1">SUM(BN31:BN150)</f>
        <v>36676.699999999968</v>
      </c>
      <c r="BO27" s="1083">
        <f ca="1">SUM(BO31:BO150)</f>
        <v>5676.7000000000016</v>
      </c>
      <c r="BP27" s="1083">
        <f ca="1">SUM(BP31:BP150)</f>
        <v>30999.999999999993</v>
      </c>
      <c r="BQ27" s="1083"/>
      <c r="BR27" s="613"/>
      <c r="BS27" s="1108"/>
      <c r="BT27" s="1108"/>
      <c r="BU27" s="923" t="s">
        <v>2053</v>
      </c>
      <c r="BV27" s="1116" t="s">
        <v>2064</v>
      </c>
      <c r="BW27" s="923" t="s">
        <v>2065</v>
      </c>
      <c r="BX27" s="923" t="s">
        <v>2070</v>
      </c>
      <c r="BY27" s="923" t="s">
        <v>2079</v>
      </c>
      <c r="BZ27" s="923" t="s">
        <v>2077</v>
      </c>
    </row>
    <row r="28" spans="1:81" s="934" customFormat="1" ht="26" x14ac:dyDescent="0.25">
      <c r="A28" s="1121"/>
      <c r="B28" s="1224" t="s">
        <v>1953</v>
      </c>
      <c r="C28" s="1224"/>
      <c r="D28" s="1224"/>
      <c r="E28" s="1225" t="s">
        <v>1954</v>
      </c>
      <c r="F28" s="1225"/>
      <c r="G28" s="1225"/>
      <c r="H28" s="1225"/>
      <c r="I28" s="1762" t="s">
        <v>2303</v>
      </c>
      <c r="K28" s="1226"/>
      <c r="L28" s="934">
        <v>-2</v>
      </c>
      <c r="M28" s="1227">
        <f ca="1">IF(M31=M29,1,IF(M30=M29,2,3))</f>
        <v>2</v>
      </c>
      <c r="N28" s="1228" t="s">
        <v>1946</v>
      </c>
      <c r="V28" s="1229">
        <f ca="1">SUM(V31:V150)</f>
        <v>40.570689950515643</v>
      </c>
      <c r="W28" s="1230">
        <f ca="1">I30/V28</f>
        <v>764.09841779400153</v>
      </c>
      <c r="AA28" s="1231">
        <f>OE_RP_rrso</f>
        <v>366</v>
      </c>
      <c r="AC28" s="1121"/>
      <c r="AD28" s="1121"/>
      <c r="AF28" s="1232">
        <f ca="1">SUM(AF31:AF150)</f>
        <v>40.575047576862559</v>
      </c>
      <c r="AG28" s="1233">
        <f>Y30</f>
        <v>31000</v>
      </c>
      <c r="AH28" s="1233">
        <f ca="1">IFERROR(SUM(AH30:AH150)+WERSJA2!$D$11,"ERROR")</f>
        <v>31329.530483292609</v>
      </c>
      <c r="AI28" s="1727">
        <f ca="1">AH28-AG28</f>
        <v>329.53048329260855</v>
      </c>
      <c r="AJ28" s="1224"/>
      <c r="AK28" s="1224"/>
      <c r="AL28" s="1224"/>
      <c r="AR28" s="934" t="s">
        <v>1994</v>
      </c>
      <c r="AT28" s="994" t="s">
        <v>1975</v>
      </c>
      <c r="AU28" s="1234"/>
      <c r="AV28" s="1234"/>
      <c r="AY28" s="1235">
        <f>OE_RP_rrso</f>
        <v>366</v>
      </c>
      <c r="BA28" s="1121"/>
      <c r="BB28" s="1121"/>
      <c r="BD28" s="1236">
        <f ca="1">SUM(BD31:BD150)</f>
        <v>40.575047576862559</v>
      </c>
      <c r="BE28" s="1237">
        <f>AW30</f>
        <v>31000</v>
      </c>
      <c r="BF28" s="1237">
        <f ca="1">SUM(BF30:BF150)</f>
        <v>31329.448841880196</v>
      </c>
      <c r="BG28" s="1237">
        <f ca="1">BF28-BE28</f>
        <v>329.44884188019569</v>
      </c>
      <c r="BH28" s="1224"/>
      <c r="BI28" s="1224"/>
      <c r="BJ28" s="1224"/>
      <c r="BL28" s="1035" t="s">
        <v>1804</v>
      </c>
      <c r="BM28" s="1035" t="s">
        <v>1799</v>
      </c>
      <c r="BN28" s="1035" t="s">
        <v>1800</v>
      </c>
      <c r="BO28" s="1035" t="s">
        <v>1802</v>
      </c>
      <c r="BP28" s="1035" t="s">
        <v>1801</v>
      </c>
      <c r="BQ28" s="1035" t="s">
        <v>1803</v>
      </c>
      <c r="BR28" s="1035" t="s">
        <v>2080</v>
      </c>
      <c r="BS28" s="1238"/>
      <c r="BT28" s="1238"/>
      <c r="BU28" s="1239"/>
      <c r="BW28" s="934" t="s">
        <v>2067</v>
      </c>
      <c r="BX28" s="1121" t="s">
        <v>2071</v>
      </c>
      <c r="BY28" s="934" t="s">
        <v>2074</v>
      </c>
      <c r="BZ28" s="934" t="s">
        <v>2078</v>
      </c>
    </row>
    <row r="29" spans="1:81" ht="13.5" thickBot="1" x14ac:dyDescent="0.35">
      <c r="A29" s="974" t="s">
        <v>1970</v>
      </c>
      <c r="B29" s="943" t="s">
        <v>1824</v>
      </c>
      <c r="C29" s="655" t="s">
        <v>1804</v>
      </c>
      <c r="D29" s="656" t="s">
        <v>132</v>
      </c>
      <c r="E29" s="657" t="s">
        <v>212</v>
      </c>
      <c r="F29" s="967" t="s">
        <v>1956</v>
      </c>
      <c r="G29" s="657" t="s">
        <v>1825</v>
      </c>
      <c r="H29" s="657" t="s">
        <v>1826</v>
      </c>
      <c r="I29" s="657" t="s">
        <v>1803</v>
      </c>
      <c r="J29" s="657" t="s">
        <v>1961</v>
      </c>
      <c r="K29" s="657" t="s">
        <v>6</v>
      </c>
      <c r="L29" s="613">
        <v>-1</v>
      </c>
      <c r="M29" s="920">
        <f ca="1">IF(C29&lt;&gt;"",DATE(YEAR((D30)),MONTH((D30))+1,1)-1,"")</f>
        <v>46203</v>
      </c>
      <c r="N29" s="917">
        <f ca="1">D30</f>
        <v>46199</v>
      </c>
      <c r="Q29" s="921">
        <f ca="1">IF(C29&lt;&gt;"",IF(MOD(YEAR(N29),4)=0,OE_RP_raty,365),0)</f>
        <v>365</v>
      </c>
      <c r="W29" s="669" t="s">
        <v>1955</v>
      </c>
      <c r="Z29" s="1764"/>
      <c r="AA29" s="949">
        <f ca="1">IF(L29&lt;=LRat,IF(MOD(YEAR(N29),4)=0,OE_RP_rrso,365),0)</f>
        <v>365</v>
      </c>
      <c r="AC29" s="914"/>
      <c r="AD29" s="914"/>
      <c r="AH29" s="921" t="s">
        <v>1972</v>
      </c>
      <c r="AI29" s="966"/>
      <c r="AO29" s="948" t="str">
        <f>C29</f>
        <v>LP</v>
      </c>
      <c r="AP29" s="948" t="str">
        <f>D29</f>
        <v>Data Spłaty</v>
      </c>
      <c r="AQ29" s="948" t="s">
        <v>1981</v>
      </c>
      <c r="AR29" s="1000" t="s">
        <v>1980</v>
      </c>
      <c r="AS29" s="1000" t="s">
        <v>1979</v>
      </c>
      <c r="AT29" s="948" t="s">
        <v>1974</v>
      </c>
      <c r="AU29" s="979" t="s">
        <v>1984</v>
      </c>
      <c r="AV29" s="979" t="s">
        <v>6</v>
      </c>
      <c r="AY29" s="948">
        <f ca="1">IF(_NrRaty&lt;=LRat,IF(MOD(YEAR(N29),4)=0,OE_RP_rrso,365),0)</f>
        <v>365</v>
      </c>
      <c r="BA29" s="914"/>
      <c r="BB29" s="914"/>
      <c r="BE29" s="964"/>
      <c r="BF29" s="948" t="s">
        <v>1972</v>
      </c>
      <c r="BG29" s="966"/>
      <c r="BN29" s="654"/>
      <c r="BU29" s="1118" t="s">
        <v>2075</v>
      </c>
    </row>
    <row r="30" spans="1:81" ht="13.5" thickTop="1" x14ac:dyDescent="0.3">
      <c r="A30" s="973">
        <f ca="1">SUM(A32:A150)</f>
        <v>-0.10000000000002274</v>
      </c>
      <c r="B30" s="944">
        <f ca="1">B10</f>
        <v>46199</v>
      </c>
      <c r="C30" s="936">
        <v>0</v>
      </c>
      <c r="D30" s="937">
        <f ca="1">B30</f>
        <v>46199</v>
      </c>
      <c r="E30" s="972"/>
      <c r="F30" s="968"/>
      <c r="G30" s="915"/>
      <c r="H30" s="972"/>
      <c r="I30" s="912">
        <f>IF(prowizja_kredytowana=TRUE,KwNaReke + B15,WERSJA2!D16)</f>
        <v>31000</v>
      </c>
      <c r="J30" s="912">
        <f>IF(PLATNOSC_UBEZPIECZ="JEDNORAZOWO",B16,0)</f>
        <v>0</v>
      </c>
      <c r="K30" s="961">
        <f>B15</f>
        <v>0</v>
      </c>
      <c r="L30" s="613">
        <f>C30</f>
        <v>0</v>
      </c>
      <c r="M30" s="917">
        <f ca="1">DATE(YEAR((N31)),MONTH((N31)+1),1)-1</f>
        <v>46203</v>
      </c>
      <c r="N30" s="917">
        <f ca="1">DATE(YEAR(N31),MONTH(N31)-1,DAY(N31))</f>
        <v>46199</v>
      </c>
      <c r="O30" s="950">
        <f ca="1">IF(M28=1,0,IF(M28=2,0,M29-N29+1))</f>
        <v>0</v>
      </c>
      <c r="P30" s="951">
        <f ca="1">IF(M28=1,0,IF(M28=2,0,N30-M29-1))</f>
        <v>0</v>
      </c>
      <c r="Q30" s="921">
        <f ca="1">IF(C30&lt;&gt;"",IF(MOD(YEAR(N30),4)=0,OE_RP_raty,365),0)</f>
        <v>365</v>
      </c>
      <c r="R30" s="921">
        <f ca="1">IF(C30&lt;&gt;"",O30/Q29,0)</f>
        <v>0</v>
      </c>
      <c r="S30" s="921">
        <f ca="1">IF(C30&lt;&gt;"",P30/Q30,0)</f>
        <v>0</v>
      </c>
      <c r="T30" s="921"/>
      <c r="U30" s="921"/>
      <c r="V30" s="921"/>
      <c r="W30" s="931">
        <f ca="1">ROUND(W28,2)</f>
        <v>764.1</v>
      </c>
      <c r="Y30" s="947">
        <f>KwNaReke</f>
        <v>31000</v>
      </c>
      <c r="Z30" s="962">
        <f>IF(prowizja_kredytowana=TRUE,J30,J30+K30)</f>
        <v>0</v>
      </c>
      <c r="AA30" s="949">
        <f t="shared" ref="AA30:AA60" ca="1" si="2">IF(L30&lt;=LRat,IF(MOD(YEAR(N30),4)=0,OE_RP_rrso,365),0)</f>
        <v>365</v>
      </c>
      <c r="AB30" s="949">
        <f t="shared" ref="AB30:AB61" ca="1" si="3">IF(L30&lt;=LRat,O30/AA29,0)</f>
        <v>0</v>
      </c>
      <c r="AC30" s="954">
        <f t="shared" ref="AC30:AC61" ca="1" si="4">IF(L30&lt;=LRat,P30/AA30,0)</f>
        <v>0</v>
      </c>
      <c r="AD30" s="914"/>
      <c r="AF30" s="827">
        <v>0</v>
      </c>
      <c r="AH30" s="927">
        <f>IF(L30&lt;=LRat,Z30/((1+OE_wynikRRSO)^AF30),0)</f>
        <v>0</v>
      </c>
      <c r="AI30" s="966"/>
      <c r="AO30" s="948">
        <f>IF(_NrRaty&gt;LRat,"",_NrRaty)</f>
        <v>0</v>
      </c>
      <c r="AP30" s="977">
        <f t="shared" ref="AP30:AP42" ca="1" si="5">D30</f>
        <v>46199</v>
      </c>
      <c r="AQ30" s="948"/>
      <c r="AR30" s="948"/>
      <c r="AS30" s="948"/>
      <c r="AT30" s="981">
        <f>I30</f>
        <v>31000</v>
      </c>
      <c r="AU30" s="980">
        <f>IF(PLATNOSC_UBEZPIECZ="JEDNORAZOWO",AN16,0)</f>
        <v>0</v>
      </c>
      <c r="AV30" s="980">
        <f>B15</f>
        <v>0</v>
      </c>
      <c r="AW30" s="947">
        <f>AT30</f>
        <v>31000</v>
      </c>
      <c r="AX30" s="980">
        <f>SUM(AU30,AV30)</f>
        <v>0</v>
      </c>
      <c r="AY30" s="948">
        <f ca="1">IF(_NrRaty&lt;=LRat,IF(MOD(YEAR(N30),4)=0,OE_RP_rrso,365),0)</f>
        <v>365</v>
      </c>
      <c r="AZ30" s="948">
        <f ca="1">IF(_NrRaty&lt;=LRat,O30/AY29,0)</f>
        <v>0</v>
      </c>
      <c r="BA30" s="1006">
        <f ca="1">IF(_NrRaty&lt;=LRat,P30/AY30,0)</f>
        <v>0</v>
      </c>
      <c r="BB30" s="914"/>
      <c r="BD30" s="827">
        <v>0</v>
      </c>
      <c r="BE30" s="964"/>
      <c r="BF30" s="1001">
        <f>IF(_NrRaty&lt;=LRat,AX30/((1+SOWK_wynikRRSO)^BD30),0)</f>
        <v>0</v>
      </c>
      <c r="BG30" s="966"/>
      <c r="BL30" s="1023">
        <f>IF(_NrRaty&gt;LRat,"",_NrRaty)</f>
        <v>0</v>
      </c>
      <c r="BM30" s="1024">
        <f ca="1">IF(_NrRaty&gt;LRat,"",D30)</f>
        <v>46199</v>
      </c>
      <c r="BN30" s="1025"/>
      <c r="BO30" s="1025"/>
      <c r="BP30" s="1025"/>
      <c r="BQ30" s="1025">
        <f>IF(APLIKACJA="SOWK",AT30,I30)</f>
        <v>31000</v>
      </c>
      <c r="BT30" s="1107" t="s">
        <v>2062</v>
      </c>
      <c r="BU30" s="1109"/>
      <c r="BW30" s="1123" t="s">
        <v>2076</v>
      </c>
      <c r="BX30" s="1122">
        <f ca="1">SUM(BX31:BX150)</f>
        <v>66863.471835616438</v>
      </c>
      <c r="BY30" s="1122">
        <f ca="1">SUM(BY31:BY150)</f>
        <v>2676225.0906849317</v>
      </c>
      <c r="BZ30" s="1117">
        <f ca="1">BY30/BX30</f>
        <v>40.025218811018668</v>
      </c>
    </row>
    <row r="31" spans="1:81" ht="13" x14ac:dyDescent="0.3">
      <c r="A31" s="973"/>
      <c r="B31" s="944">
        <f ca="1">I12</f>
        <v>46229</v>
      </c>
      <c r="C31" s="938">
        <f>IF(_NrRaty&gt;LRat,"",_NrRaty)</f>
        <v>1</v>
      </c>
      <c r="D31" s="939">
        <f ca="1">B31</f>
        <v>46229</v>
      </c>
      <c r="E31" s="940">
        <f t="shared" ref="E31:E62" ca="1" si="6">IF(C31&lt;=LRat,(IF(C31&lt;LRat,PMT_,0)+IF(C31=LRat,I30+G31,0)),"")</f>
        <v>764.1</v>
      </c>
      <c r="F31" s="969">
        <f t="shared" ref="F31:F62" ca="1" si="7">IF(C31&lt;=LRat,ROUNDDOWN(OE_oproc/365*I30,5)*(D31-D30),"")</f>
        <v>216.32040000000001</v>
      </c>
      <c r="G31" s="940">
        <f ca="1">IF(C31&lt;=LRat,ROUND(ROUND(SUM($F$30:F31),2)-SUM($G$30:G30),2),"")</f>
        <v>216.32</v>
      </c>
      <c r="H31" s="940">
        <f t="shared" ref="H31:H62" ca="1" si="8">IF(C31&lt;=LRat,IF(C31=LRat,I30,ROUND(E31-G31,2)),"")</f>
        <v>547.78</v>
      </c>
      <c r="I31" s="940">
        <f ca="1">IF(C31&lt;=LRat,ROUND(I30-H31,2),"")</f>
        <v>30452.22</v>
      </c>
      <c r="J31" s="940">
        <f>IF(C31&lt;=LRat,(IF(PLATNOSC_UBEZPIECZ="JEDNORAZOWO",0,$C$16)),"")</f>
        <v>0</v>
      </c>
      <c r="K31" s="688">
        <v>0</v>
      </c>
      <c r="L31" s="616">
        <f>IF(_NrRaty&gt;LRat,"",_NrRaty)</f>
        <v>1</v>
      </c>
      <c r="M31" s="913">
        <f ca="1">IF(C31&lt;&gt;"",DATE(YEAR((D31)),MONTH((D31))+1,1)-1,"")</f>
        <v>46234</v>
      </c>
      <c r="N31" s="913">
        <f ca="1">D31</f>
        <v>46229</v>
      </c>
      <c r="O31" s="952">
        <f ca="1">IF(M28=1,0,IF(M28=2,M29-N29+1,M30-N30+1))</f>
        <v>5</v>
      </c>
      <c r="P31" s="953">
        <f ca="1">IF(M28=1,N31-N29,IF(M28=2,N31-M29-1,N31-M30-1))</f>
        <v>25</v>
      </c>
      <c r="Q31" s="921">
        <f t="shared" ref="Q31:Q34" ca="1" si="9">IF(C31&lt;&gt;"",IF(MOD(YEAR(N31),4)=0,OE_RP_raty,365),0)</f>
        <v>365</v>
      </c>
      <c r="R31" s="921">
        <f ca="1">IF(C31&lt;&gt;"",O31/Q30,0)</f>
        <v>1.3698630136986301E-2</v>
      </c>
      <c r="S31" s="921">
        <f ca="1">IF(C31&lt;&gt;"",P31/Q31,0)</f>
        <v>6.8493150684931503E-2</v>
      </c>
      <c r="T31" s="922">
        <f ca="1">R30+S30+R31+S31</f>
        <v>8.2191780821917804E-2</v>
      </c>
      <c r="U31" s="921">
        <f ca="1">IF(C31&lt;&gt;"",1+OE_oproc*T31,0)</f>
        <v>1.0069780821917809</v>
      </c>
      <c r="V31" s="927">
        <f ca="1">IF(C31&lt;&gt;"",1/U31,0)</f>
        <v>0.99307027400577341</v>
      </c>
      <c r="Y31" s="921"/>
      <c r="Z31" s="921">
        <f t="shared" ref="Z31:Z62" ca="1" si="10">IF(C31&lt;=LRat,SUM(E31,J31,K31),0)</f>
        <v>764.1</v>
      </c>
      <c r="AA31" s="949">
        <f t="shared" ca="1" si="2"/>
        <v>365</v>
      </c>
      <c r="AB31" s="949">
        <f t="shared" ca="1" si="3"/>
        <v>1.3698630136986301E-2</v>
      </c>
      <c r="AC31" s="954">
        <f t="shared" ca="1" si="4"/>
        <v>6.8493150684931503E-2</v>
      </c>
      <c r="AD31" s="955">
        <f ca="1">AB30+AC30+AB31+AC31</f>
        <v>8.2191780821917804E-2</v>
      </c>
      <c r="AE31" s="954">
        <f t="shared" ref="AE31:AE62" ca="1" si="11">IF(L31&lt;=LRat,1+OE_oproc*AD31,0)</f>
        <v>1.0069780821917809</v>
      </c>
      <c r="AF31" s="955">
        <f ca="1">IF(L31&lt;=LRat,1/AE31,0)</f>
        <v>0.99307027400577341</v>
      </c>
      <c r="AG31" s="966"/>
      <c r="AH31" s="921">
        <f ca="1">IF(L31&lt;=LRat,Z31/((1+OE_wynikRRSO)^(SUM($AD$31:AD31))),0)</f>
        <v>759.14292439808139</v>
      </c>
      <c r="AI31" s="966">
        <f ca="1">SUM($AD$31:AD31)</f>
        <v>8.2191780821917804E-2</v>
      </c>
      <c r="AO31" s="948">
        <f>IF(_NrRaty&gt;LRat,"",_NrRaty)</f>
        <v>1</v>
      </c>
      <c r="AP31" s="977">
        <f t="shared" ca="1" si="5"/>
        <v>46229</v>
      </c>
      <c r="AQ31" s="948">
        <f t="shared" ref="AQ31:AQ62" ca="1" si="12">IF(AO31&lt;=LRat,PMT_,0)</f>
        <v>764.1</v>
      </c>
      <c r="AR31" s="1001">
        <f ca="1">IF(_NrRaty&lt;LRat,ROUND(AT30*$AN$20*(SUM(O30:P31)/365),2),0)</f>
        <v>216.32</v>
      </c>
      <c r="AS31" s="948">
        <f ca="1">IF(_NrRaty&lt;LRat,ROUND(AQ31-AR31,2),0)+IF(_NrRaty=LRat,AT30,0)</f>
        <v>547.78</v>
      </c>
      <c r="AT31" s="979">
        <f ca="1">AT30-AS31</f>
        <v>30452.22</v>
      </c>
      <c r="AU31" s="979">
        <f t="shared" ref="AU31:AU62" si="13">IF(C31&lt;=LRat,(IF(PLATNOSC_UBEZPIECZ="JEDNORAZOWO",0,$AO$16)))</f>
        <v>0</v>
      </c>
      <c r="AV31" s="1005">
        <v>0</v>
      </c>
      <c r="AW31" s="921"/>
      <c r="AX31" s="948">
        <f t="shared" ref="AX31:AX62" ca="1" si="14">IF(AO31&lt;=LRat,SUM(AQ31,AU31,AV31),0)</f>
        <v>764.1</v>
      </c>
      <c r="AY31" s="948">
        <f ca="1">IF(_NrRaty&lt;=LRat,IF(MOD(YEAR(N31),4)=0,OE_RP_rrso,365),0)</f>
        <v>365</v>
      </c>
      <c r="AZ31" s="948">
        <f ca="1">IF(_NrRaty&lt;=LRat,O31/AY30,0)</f>
        <v>1.3698630136986301E-2</v>
      </c>
      <c r="BA31" s="1006">
        <f ca="1">IF(_NrRaty&lt;=LRat,P31/AY31,0)</f>
        <v>6.8493150684931503E-2</v>
      </c>
      <c r="BB31" s="1007">
        <f ca="1">AZ30+BA30+AZ31+BA31</f>
        <v>8.2191780821917804E-2</v>
      </c>
      <c r="BC31" s="1006">
        <f ca="1">IF(_NrRaty&lt;=LRat,1+OE_oproc*BB31,0)</f>
        <v>1.0069780821917809</v>
      </c>
      <c r="BD31" s="1007">
        <f ca="1">IF(_NrRaty&lt;=LRat,1/BC31,0)</f>
        <v>0.99307027400577341</v>
      </c>
      <c r="BE31" s="966"/>
      <c r="BF31" s="1001">
        <f ca="1">IF(_NrRaty&lt;=LRat,AX31/((1+SOWK_wynikRRSO)^($BB$31)),0)</f>
        <v>759.14276557904566</v>
      </c>
      <c r="BG31" s="966"/>
      <c r="BL31" s="1023">
        <f>IF(_NrRaty&gt;LRat,"",_NrRaty)</f>
        <v>1</v>
      </c>
      <c r="BM31" s="1024">
        <f ca="1">IF(_NrRaty&gt;LRat,"",D31)</f>
        <v>46229</v>
      </c>
      <c r="BN31" s="1025">
        <f t="shared" ref="BN31:BN62" ca="1" si="15">IF(APLIKACJA="SOWK",AQ31,E31)</f>
        <v>764.1</v>
      </c>
      <c r="BO31" s="1025">
        <f t="shared" ref="BO31:BO62" ca="1" si="16">IF(APLIKACJA="SOWK",AR31,G31)</f>
        <v>216.32</v>
      </c>
      <c r="BP31" s="1025">
        <f t="shared" ref="BP31:BP62" ca="1" si="17">IF(APLIKACJA="SOWK",AS31,H31)</f>
        <v>547.78</v>
      </c>
      <c r="BQ31" s="1025">
        <f ca="1">IF(APLIKACJA="SOWK",AT31,I31)</f>
        <v>30452.22</v>
      </c>
      <c r="BR31" s="1124">
        <f t="shared" ref="BR31:BR62" si="18">IF(APLIKACJA="SOWK",AU31,J31)*1</f>
        <v>0</v>
      </c>
      <c r="BT31" s="1113">
        <f>IF(_NrRaty&gt;LRat,"",_NrRaty)</f>
        <v>1</v>
      </c>
      <c r="BU31" s="1023">
        <f>IFERROR(VLOOKUP(BT31,$BV$16:$BX$20,3,TRUE),"")</f>
        <v>0</v>
      </c>
      <c r="BV31" s="1114">
        <f ca="1">IF(_NrRaty&gt;LRat,"",SUM($O$31:P31))</f>
        <v>30</v>
      </c>
      <c r="BW31" s="1025">
        <f ca="1">IF(_NrRaty&gt;LRat,"",BV31/365)</f>
        <v>8.2191780821917804E-2</v>
      </c>
      <c r="BX31" s="1025">
        <f ca="1">IF(_NrRaty&gt;LRat,"",BW31*BP31)</f>
        <v>45.02301369863013</v>
      </c>
      <c r="BY31" s="1025">
        <f ca="1">IF(_NrRaty&gt;LRat,"",BU31*BX31)</f>
        <v>0</v>
      </c>
    </row>
    <row r="32" spans="1:81" x14ac:dyDescent="0.25">
      <c r="A32" s="973">
        <f t="shared" ref="A32:A63" ca="1" si="19">IF(C32&lt;=LRat,E32-E31,0)</f>
        <v>0</v>
      </c>
      <c r="B32" s="944">
        <f ca="1">IF(C32&lt;&gt;"",
DATE(YEAR(D31),MONTH(D31)+1,DzNietySpl),"")</f>
        <v>46260</v>
      </c>
      <c r="C32" s="660">
        <f>IF(_NrRaty&gt;LRat,"",_NrRaty)</f>
        <v>2</v>
      </c>
      <c r="D32" s="661">
        <f ca="1">IF(C32&lt;&gt;"",
IF(MOD(MONTH(B32)-MONTH(B31),12)&gt;1,DATE(YEAR(B32),MONTH(B32),DAY(B32)-DAY(B32)),B32),"")</f>
        <v>46260</v>
      </c>
      <c r="E32" s="941">
        <f t="shared" ca="1" si="6"/>
        <v>764.1</v>
      </c>
      <c r="F32" s="970">
        <f t="shared" ca="1" si="7"/>
        <v>219.58106000000001</v>
      </c>
      <c r="G32" s="941">
        <f ca="1">IF(C32&lt;=LRat,ROUND(ROUND(SUM($F$30:F32),2)-SUM($G$30:G31),2),"")</f>
        <v>219.58</v>
      </c>
      <c r="H32" s="941">
        <f t="shared" ca="1" si="8"/>
        <v>544.52</v>
      </c>
      <c r="I32" s="941">
        <f t="shared" ref="I32:I62" ca="1" si="20">IF(C32&lt;=LRat,ROUND(I31-H32,2),"")</f>
        <v>29907.7</v>
      </c>
      <c r="J32" s="941">
        <f t="shared" ref="J32:J62" si="21">IF(C32&lt;=LRat,(IF(PLATNOSC_UBEZPIECZ="JEDNORAZOWO",0,$C$16)),"")</f>
        <v>0</v>
      </c>
      <c r="K32" s="688">
        <v>0</v>
      </c>
      <c r="L32" s="613">
        <f>IF(_NrRaty&gt;LRat,"",_NrRaty)</f>
        <v>2</v>
      </c>
      <c r="M32" s="913">
        <f ca="1">IF(C32&lt;&gt;"",DATE(YEAR((D32)),MONTH((D32))+1,1)-1,"")</f>
        <v>46265</v>
      </c>
      <c r="N32" s="913">
        <f ca="1">D32</f>
        <v>46260</v>
      </c>
      <c r="O32" s="921">
        <f ca="1">IF(C32&lt;&gt;"",M31-N31+1,0)</f>
        <v>6</v>
      </c>
      <c r="P32" s="921">
        <f ca="1">IF(C32&lt;&gt;"",N32-M31-1,0)</f>
        <v>25</v>
      </c>
      <c r="Q32" s="921">
        <f t="shared" ca="1" si="9"/>
        <v>365</v>
      </c>
      <c r="R32" s="921">
        <f t="shared" ref="R32:R41" ca="1" si="22">IF(C32&lt;&gt;"",O32/Q31,0)</f>
        <v>1.643835616438356E-2</v>
      </c>
      <c r="S32" s="921">
        <f t="shared" ref="S32:S41" ca="1" si="23">IF(C32&lt;&gt;"",P32/Q32,0)</f>
        <v>6.8493150684931503E-2</v>
      </c>
      <c r="T32" s="921">
        <f ca="1">R32+S32</f>
        <v>8.4931506849315067E-2</v>
      </c>
      <c r="U32" s="921">
        <f t="shared" ref="U32:U62" ca="1" si="24">IF(C32&lt;&gt;"",1+OE_oproc*T32,0)</f>
        <v>1.0072106849315068</v>
      </c>
      <c r="V32" s="921">
        <f ca="1">IF(C32&lt;&gt;"",1/PRODUCT($U$31:U32),0)</f>
        <v>0.98596082116951034</v>
      </c>
      <c r="Z32" s="921">
        <f t="shared" ca="1" si="10"/>
        <v>764.1</v>
      </c>
      <c r="AA32" s="949">
        <f t="shared" ca="1" si="2"/>
        <v>365</v>
      </c>
      <c r="AB32" s="949">
        <f t="shared" ca="1" si="3"/>
        <v>1.643835616438356E-2</v>
      </c>
      <c r="AC32" s="954">
        <f t="shared" ca="1" si="4"/>
        <v>6.8493150684931503E-2</v>
      </c>
      <c r="AD32" s="954">
        <f ca="1">AB32+AC32</f>
        <v>8.4931506849315067E-2</v>
      </c>
      <c r="AE32" s="954">
        <f t="shared" ca="1" si="11"/>
        <v>1.0072106849315068</v>
      </c>
      <c r="AF32" s="954">
        <f ca="1">IF(L32&lt;=LRat,1/PRODUCT($AE$31:AE32),0)</f>
        <v>0.98596082116951034</v>
      </c>
      <c r="AG32" s="966"/>
      <c r="AH32" s="921">
        <f ca="1">IF(L32&lt;=LRat,Z32/((1+OE_wynikRRSO)^(SUM($AD$31:AD32))),0)</f>
        <v>754.05439519136428</v>
      </c>
      <c r="AI32" s="966"/>
      <c r="AO32" s="948">
        <f>IF(_NrRaty&gt;LRat,"",_NrRaty)</f>
        <v>2</v>
      </c>
      <c r="AP32" s="977">
        <f t="shared" ca="1" si="5"/>
        <v>46260</v>
      </c>
      <c r="AQ32" s="948">
        <f t="shared" ca="1" si="12"/>
        <v>764.1</v>
      </c>
      <c r="AR32" s="948">
        <f ca="1">IF(_NrRaty&lt;LRat,ROUND(AT31*$AN$20*(SUM(O32:P32)/365),2),0)+IF(_NrRaty=LRat,AQ32-AS32,0)</f>
        <v>219.58</v>
      </c>
      <c r="AS32" s="948">
        <f ca="1">IF(_NrRaty&lt;LRat,ROUND(AQ32-AR32,2),0)+IF(_NrRaty=LRat,AT31,0)</f>
        <v>544.52</v>
      </c>
      <c r="AT32" s="979">
        <f t="shared" ref="AT32:AT43" ca="1" si="25">AT31-AS32</f>
        <v>29907.7</v>
      </c>
      <c r="AU32" s="979">
        <f t="shared" si="13"/>
        <v>0</v>
      </c>
      <c r="AV32" s="1005">
        <v>0</v>
      </c>
      <c r="AX32" s="948">
        <f t="shared" ca="1" si="14"/>
        <v>764.1</v>
      </c>
      <c r="AY32" s="948">
        <f ca="1">IF(_NrRaty&lt;=LRat,IF(MOD(YEAR(N32),4)=0,OE_RP_rrso,365),0)</f>
        <v>365</v>
      </c>
      <c r="AZ32" s="948">
        <f ca="1">IF(_NrRaty&lt;=LRat,O32/AY31,0)</f>
        <v>1.643835616438356E-2</v>
      </c>
      <c r="BA32" s="1006">
        <f ca="1">IF(_NrRaty&lt;=LRat,P32/AY32,0)</f>
        <v>6.8493150684931503E-2</v>
      </c>
      <c r="BB32" s="1006">
        <f ca="1">AZ32+BA32</f>
        <v>8.4931506849315067E-2</v>
      </c>
      <c r="BC32" s="1006">
        <f ca="1">IF(_NrRaty&lt;=LRat,1+OE_oproc*BB32,0)</f>
        <v>1.0072106849315068</v>
      </c>
      <c r="BD32" s="1006">
        <f ca="1">IF(_NrRaty&lt;=LRat,1/PRODUCT($BC$31:BC32),0)</f>
        <v>0.98596082116951034</v>
      </c>
      <c r="BE32" s="966"/>
      <c r="BF32" s="948">
        <f ca="1">IF(_NrRaty&lt;=LRat,AX32/((1+SOWK_wynikRRSO)^(SUM($BB$31:BB32))),0)</f>
        <v>754.05407442397018</v>
      </c>
      <c r="BG32" s="966"/>
      <c r="BL32" s="1023">
        <f>IF(_NrRaty&gt;LRat,"",_NrRaty)</f>
        <v>2</v>
      </c>
      <c r="BM32" s="1024">
        <f ca="1">IF(_NrRaty&gt;LRat,"",D32)</f>
        <v>46260</v>
      </c>
      <c r="BN32" s="1025">
        <f t="shared" ca="1" si="15"/>
        <v>764.1</v>
      </c>
      <c r="BO32" s="1025">
        <f t="shared" ca="1" si="16"/>
        <v>219.58</v>
      </c>
      <c r="BP32" s="1025">
        <f t="shared" ca="1" si="17"/>
        <v>544.52</v>
      </c>
      <c r="BQ32" s="1025">
        <f t="shared" ref="BQ32:BQ62" ca="1" si="26">IF(APLIKACJA="SOWK",AT32,I32)</f>
        <v>29907.7</v>
      </c>
      <c r="BR32" s="1124">
        <f t="shared" si="18"/>
        <v>0</v>
      </c>
      <c r="BT32" s="1113">
        <f>IF(_NrRaty&gt;LRat,"",_NrRaty)</f>
        <v>2</v>
      </c>
      <c r="BU32" s="1023">
        <f t="shared" ref="BU32:BU95" si="27">IFERROR(VLOOKUP(BT32,$BV$16:$BX$20,3,TRUE),"")</f>
        <v>0</v>
      </c>
      <c r="BV32" s="1114">
        <f ca="1">IF(_NrRaty&gt;LRat,"",SUM($O$31:P32))</f>
        <v>61</v>
      </c>
      <c r="BW32" s="1025">
        <f ca="1">IF(_NrRaty&gt;LRat,"",BV32/365)</f>
        <v>0.16712328767123288</v>
      </c>
      <c r="BX32" s="1025">
        <f ca="1">IF(_NrRaty&gt;LRat,"",BW32*BP32)</f>
        <v>91.001972602739727</v>
      </c>
      <c r="BY32" s="1025">
        <f ca="1">IF(_NrRaty&gt;LRat,"",BU32*BX32)</f>
        <v>0</v>
      </c>
    </row>
    <row r="33" spans="1:77" x14ac:dyDescent="0.25">
      <c r="A33" s="973">
        <f t="shared" ca="1" si="19"/>
        <v>0</v>
      </c>
      <c r="B33" s="944">
        <f t="shared" ref="B33:B42" ca="1" si="28">IF(C33&lt;&gt;"",
DATE(YEAR(D32),MONTH(D32)+1,DzNietySpl),"")</f>
        <v>46291</v>
      </c>
      <c r="C33" s="658">
        <f>IF(_NrRaty&gt;LRat,"",_NrRaty)</f>
        <v>3</v>
      </c>
      <c r="D33" s="659">
        <f t="shared" ref="D33:D42" ca="1" si="29">IF(C33&lt;&gt;"",
IF(MOD(MONTH(B33)-MONTH(B32),12)&gt;1,DATE(YEAR(B33),MONTH(B33),DAY(B33)-DAY(B33)),B33),"")</f>
        <v>46291</v>
      </c>
      <c r="E33" s="940">
        <f t="shared" ca="1" si="6"/>
        <v>764.1</v>
      </c>
      <c r="F33" s="969">
        <f t="shared" ca="1" si="7"/>
        <v>215.65491</v>
      </c>
      <c r="G33" s="940">
        <f ca="1">IF(C33&lt;=LRat,ROUND(ROUND(SUM($F$30:F33),2)-SUM($G$30:G32),2),"")</f>
        <v>215.66</v>
      </c>
      <c r="H33" s="940">
        <f t="shared" ca="1" si="8"/>
        <v>548.44000000000005</v>
      </c>
      <c r="I33" s="940">
        <f t="shared" ca="1" si="20"/>
        <v>29359.26</v>
      </c>
      <c r="J33" s="940">
        <f t="shared" si="21"/>
        <v>0</v>
      </c>
      <c r="K33" s="688">
        <v>0</v>
      </c>
      <c r="L33" s="613">
        <f>IF(_NrRaty&gt;LRat,"",_NrRaty)</f>
        <v>3</v>
      </c>
      <c r="M33" s="913">
        <f t="shared" ref="M33:M34" ca="1" si="30">IF(C33&lt;&gt;"",DATE(YEAR((D33)),MONTH((D33))+1,1)-1,"")</f>
        <v>46295</v>
      </c>
      <c r="N33" s="913">
        <f t="shared" ref="N33:N34" ca="1" si="31">D33</f>
        <v>46291</v>
      </c>
      <c r="O33" s="921">
        <f t="shared" ref="O33:O34" ca="1" si="32">IF(C33&lt;&gt;"",M32-N32+1,0)</f>
        <v>6</v>
      </c>
      <c r="P33" s="921">
        <f t="shared" ref="P33:P34" ca="1" si="33">IF(C33&lt;&gt;"",N33-M32-1,0)</f>
        <v>25</v>
      </c>
      <c r="Q33" s="921">
        <f t="shared" ca="1" si="9"/>
        <v>365</v>
      </c>
      <c r="R33" s="921">
        <f t="shared" ca="1" si="22"/>
        <v>1.643835616438356E-2</v>
      </c>
      <c r="S33" s="921">
        <f t="shared" ca="1" si="23"/>
        <v>6.8493150684931503E-2</v>
      </c>
      <c r="T33" s="921">
        <f t="shared" ref="T33:T42" ca="1" si="34">R33+S33</f>
        <v>8.4931506849315067E-2</v>
      </c>
      <c r="U33" s="921">
        <f t="shared" ca="1" si="24"/>
        <v>1.0072106849315068</v>
      </c>
      <c r="V33" s="921">
        <f ca="1">IF(C33&lt;&gt;"",1/PRODUCT($U$31:U33),0)</f>
        <v>0.9789022653552949</v>
      </c>
      <c r="Z33" s="921">
        <f t="shared" ca="1" si="10"/>
        <v>764.1</v>
      </c>
      <c r="AA33" s="949">
        <f t="shared" ca="1" si="2"/>
        <v>365</v>
      </c>
      <c r="AB33" s="949">
        <f t="shared" ca="1" si="3"/>
        <v>1.643835616438356E-2</v>
      </c>
      <c r="AC33" s="954">
        <f t="shared" ca="1" si="4"/>
        <v>6.8493150684931503E-2</v>
      </c>
      <c r="AD33" s="954">
        <f t="shared" ref="AD33:AD37" ca="1" si="35">AB33+AC33</f>
        <v>8.4931506849315067E-2</v>
      </c>
      <c r="AE33" s="954">
        <f t="shared" ca="1" si="11"/>
        <v>1.0072106849315068</v>
      </c>
      <c r="AF33" s="954">
        <f ca="1">IF(L33&lt;=LRat,1/PRODUCT($AE$31:AE33),0)</f>
        <v>0.9789022653552949</v>
      </c>
      <c r="AG33" s="966"/>
      <c r="AH33" s="921">
        <f ca="1">IF(L33&lt;=LRat,Z33/((1+OE_wynikRRSO)^(SUM($AD$31:AD33))),0)</f>
        <v>748.99997435693808</v>
      </c>
      <c r="AI33" s="966"/>
      <c r="AO33" s="948">
        <f>IF(_NrRaty&gt;LRat,"",_NrRaty)</f>
        <v>3</v>
      </c>
      <c r="AP33" s="977">
        <f t="shared" ca="1" si="5"/>
        <v>46291</v>
      </c>
      <c r="AQ33" s="948">
        <f t="shared" ca="1" si="12"/>
        <v>764.1</v>
      </c>
      <c r="AR33" s="948">
        <f ca="1">IF(_NrRaty&lt;LRat,ROUND(AT32*$AN$20*(SUM(O33:P33)/365),2),0)+IF(_NrRaty=LRat,AQ33-AS33,0)</f>
        <v>215.66</v>
      </c>
      <c r="AS33" s="948">
        <f ca="1">IF(_NrRaty&lt;LRat,ROUND(AQ33-AR33,2),0)+IF(_NrRaty=LRat,AT32,0)</f>
        <v>548.44000000000005</v>
      </c>
      <c r="AT33" s="979">
        <f t="shared" ca="1" si="25"/>
        <v>29359.260000000002</v>
      </c>
      <c r="AU33" s="979">
        <f t="shared" si="13"/>
        <v>0</v>
      </c>
      <c r="AV33" s="1005">
        <v>0</v>
      </c>
      <c r="AX33" s="948">
        <f t="shared" ca="1" si="14"/>
        <v>764.1</v>
      </c>
      <c r="AY33" s="948">
        <f ca="1">IF(_NrRaty&lt;=LRat,IF(MOD(YEAR(N33),4)=0,OE_RP_rrso,365),0)</f>
        <v>365</v>
      </c>
      <c r="AZ33" s="948">
        <f ca="1">IF(_NrRaty&lt;=LRat,O33/AY32,0)</f>
        <v>1.643835616438356E-2</v>
      </c>
      <c r="BA33" s="1006">
        <f ca="1">IF(_NrRaty&lt;=LRat,P33/AY33,0)</f>
        <v>6.8493150684931503E-2</v>
      </c>
      <c r="BB33" s="1006">
        <f t="shared" ref="BB33:BB35" ca="1" si="36">AZ33+BA33</f>
        <v>8.4931506849315067E-2</v>
      </c>
      <c r="BC33" s="1006">
        <f ca="1">IF(_NrRaty&lt;=LRat,1+OE_oproc*BB33,0)</f>
        <v>1.0072106849315068</v>
      </c>
      <c r="BD33" s="1006">
        <f ca="1">IF(_NrRaty&lt;=LRat,1/PRODUCT($BC$31:BC33),0)</f>
        <v>0.9789022653552949</v>
      </c>
      <c r="BF33" s="948">
        <f ca="1">IF(_NrRaty&lt;=LRat,AX33/((1+SOWK_wynikRRSO)^(SUM($BB$31:BB33))),0)</f>
        <v>748.99949381943418</v>
      </c>
      <c r="BG33" s="966"/>
      <c r="BL33" s="1023">
        <f>IF(_NrRaty&gt;LRat,"",_NrRaty)</f>
        <v>3</v>
      </c>
      <c r="BM33" s="1024">
        <f ca="1">IF(_NrRaty&gt;LRat,"",D33)</f>
        <v>46291</v>
      </c>
      <c r="BN33" s="1025">
        <f t="shared" ca="1" si="15"/>
        <v>764.1</v>
      </c>
      <c r="BO33" s="1025">
        <f t="shared" ca="1" si="16"/>
        <v>215.66</v>
      </c>
      <c r="BP33" s="1025">
        <f t="shared" ca="1" si="17"/>
        <v>548.44000000000005</v>
      </c>
      <c r="BQ33" s="1025">
        <f t="shared" ca="1" si="26"/>
        <v>29359.26</v>
      </c>
      <c r="BR33" s="1124">
        <f t="shared" si="18"/>
        <v>0</v>
      </c>
      <c r="BT33" s="1113">
        <f>IF(_NrRaty&gt;LRat,"",_NrRaty)</f>
        <v>3</v>
      </c>
      <c r="BU33" s="1023">
        <f t="shared" si="27"/>
        <v>0</v>
      </c>
      <c r="BV33" s="1114">
        <f ca="1">IF(_NrRaty&gt;LRat,"",SUM($O$31:P33))</f>
        <v>92</v>
      </c>
      <c r="BW33" s="1025">
        <f ca="1">IF(_NrRaty&gt;LRat,"",BV33/365)</f>
        <v>0.25205479452054796</v>
      </c>
      <c r="BX33" s="1025">
        <f ca="1">IF(_NrRaty&gt;LRat,"",BW33*BP33)</f>
        <v>138.23693150684934</v>
      </c>
      <c r="BY33" s="1025">
        <f ca="1">IF(_NrRaty&gt;LRat,"",BU33*BX33)</f>
        <v>0</v>
      </c>
    </row>
    <row r="34" spans="1:77" x14ac:dyDescent="0.25">
      <c r="A34" s="973">
        <f t="shared" ca="1" si="19"/>
        <v>0</v>
      </c>
      <c r="B34" s="944">
        <f t="shared" ca="1" si="28"/>
        <v>46321</v>
      </c>
      <c r="C34" s="660">
        <f>IF(_NrRaty&gt;LRat,"",_NrRaty)</f>
        <v>4</v>
      </c>
      <c r="D34" s="661">
        <f t="shared" ca="1" si="29"/>
        <v>46321</v>
      </c>
      <c r="E34" s="941">
        <f t="shared" ca="1" si="6"/>
        <v>764.1</v>
      </c>
      <c r="F34" s="970">
        <f t="shared" ca="1" si="7"/>
        <v>204.87119999999999</v>
      </c>
      <c r="G34" s="941">
        <f ca="1">IF(C34&lt;=LRat,ROUND(ROUND(SUM($F$30:F34),2)-SUM($G$30:G33),2),"")</f>
        <v>204.87</v>
      </c>
      <c r="H34" s="941">
        <f t="shared" ca="1" si="8"/>
        <v>559.23</v>
      </c>
      <c r="I34" s="941">
        <f t="shared" ca="1" si="20"/>
        <v>28800.03</v>
      </c>
      <c r="J34" s="941">
        <f t="shared" si="21"/>
        <v>0</v>
      </c>
      <c r="K34" s="688">
        <v>0</v>
      </c>
      <c r="L34" s="613">
        <f>IF(_NrRaty&gt;LRat,"",_NrRaty)</f>
        <v>4</v>
      </c>
      <c r="M34" s="913">
        <f t="shared" ca="1" si="30"/>
        <v>46326</v>
      </c>
      <c r="N34" s="913">
        <f t="shared" ca="1" si="31"/>
        <v>46321</v>
      </c>
      <c r="O34" s="921">
        <f t="shared" ca="1" si="32"/>
        <v>5</v>
      </c>
      <c r="P34" s="921">
        <f t="shared" ca="1" si="33"/>
        <v>25</v>
      </c>
      <c r="Q34" s="921">
        <f t="shared" ca="1" si="9"/>
        <v>365</v>
      </c>
      <c r="R34" s="921">
        <f t="shared" ca="1" si="22"/>
        <v>1.3698630136986301E-2</v>
      </c>
      <c r="S34" s="921">
        <f t="shared" ca="1" si="23"/>
        <v>6.8493150684931503E-2</v>
      </c>
      <c r="T34" s="921">
        <f t="shared" ca="1" si="34"/>
        <v>8.2191780821917804E-2</v>
      </c>
      <c r="U34" s="921">
        <f t="shared" ca="1" si="24"/>
        <v>1.0069780821917809</v>
      </c>
      <c r="V34" s="921">
        <f ca="1">IF(C34&lt;&gt;"",1/PRODUCT($U$31:U34),0)</f>
        <v>0.97211874088125494</v>
      </c>
      <c r="Z34" s="921">
        <f t="shared" ca="1" si="10"/>
        <v>764.1</v>
      </c>
      <c r="AA34" s="949">
        <f t="shared" ca="1" si="2"/>
        <v>365</v>
      </c>
      <c r="AB34" s="949">
        <f t="shared" ca="1" si="3"/>
        <v>1.3698630136986301E-2</v>
      </c>
      <c r="AC34" s="954">
        <f t="shared" ca="1" si="4"/>
        <v>6.8493150684931503E-2</v>
      </c>
      <c r="AD34" s="954">
        <f t="shared" ca="1" si="35"/>
        <v>8.2191780821917804E-2</v>
      </c>
      <c r="AE34" s="954">
        <f t="shared" ca="1" si="11"/>
        <v>1.0069780821917809</v>
      </c>
      <c r="AF34" s="954">
        <f ca="1">IF(L34&lt;=LRat,1/PRODUCT($AE$31:AE34),0)</f>
        <v>0.97211874088125494</v>
      </c>
      <c r="AG34" s="966"/>
      <c r="AH34" s="921">
        <f ca="1">IF(L34&lt;=LRat,Z34/((1+OE_wynikRRSO)^(SUM($AD$31:AD34))),0)</f>
        <v>744.14085971393013</v>
      </c>
      <c r="AI34" s="966"/>
      <c r="AO34" s="948">
        <f>IF(_NrRaty&gt;LRat,"",_NrRaty)</f>
        <v>4</v>
      </c>
      <c r="AP34" s="977">
        <f t="shared" ca="1" si="5"/>
        <v>46321</v>
      </c>
      <c r="AQ34" s="948">
        <f t="shared" ca="1" si="12"/>
        <v>764.1</v>
      </c>
      <c r="AR34" s="948">
        <f ca="1">IF(_NrRaty&lt;LRat,ROUND(AT33*$AN$20*(SUM(O34:P34)/365),2),0)+IF(_NrRaty=LRat,AQ34-AS34,0)</f>
        <v>204.87</v>
      </c>
      <c r="AS34" s="948">
        <f ca="1">IF(_NrRaty&lt;LRat,ROUND(AQ34-AR34,2),0)+IF(_NrRaty=LRat,AT33,0)</f>
        <v>559.23</v>
      </c>
      <c r="AT34" s="979">
        <f t="shared" ca="1" si="25"/>
        <v>28800.030000000002</v>
      </c>
      <c r="AU34" s="979">
        <f t="shared" si="13"/>
        <v>0</v>
      </c>
      <c r="AV34" s="1005">
        <v>0</v>
      </c>
      <c r="AX34" s="948">
        <f t="shared" ca="1" si="14"/>
        <v>764.1</v>
      </c>
      <c r="AY34" s="948">
        <f ca="1">IF(_NrRaty&lt;=LRat,IF(MOD(YEAR(N34),4)=0,OE_RP_rrso,365),0)</f>
        <v>365</v>
      </c>
      <c r="AZ34" s="948">
        <f ca="1">IF(_NrRaty&lt;=LRat,O34/AY33,0)</f>
        <v>1.3698630136986301E-2</v>
      </c>
      <c r="BA34" s="1006">
        <f ca="1">IF(_NrRaty&lt;=LRat,P34/AY34,0)</f>
        <v>6.8493150684931503E-2</v>
      </c>
      <c r="BB34" s="1006">
        <f t="shared" ca="1" si="36"/>
        <v>8.2191780821917804E-2</v>
      </c>
      <c r="BC34" s="1006">
        <f ca="1">IF(_NrRaty&lt;=LRat,1+OE_oproc*BB34,0)</f>
        <v>1.0069780821917809</v>
      </c>
      <c r="BD34" s="1006">
        <f ca="1">IF(_NrRaty&lt;=LRat,1/PRODUCT($BC$31:BC34),0)</f>
        <v>0.97211874088125494</v>
      </c>
      <c r="BF34" s="948">
        <f ca="1">IF(_NrRaty&lt;=LRat,AX34/((1+SOWK_wynikRRSO)^(SUM($BB$31:BB34))),0)</f>
        <v>744.14022661351976</v>
      </c>
      <c r="BG34" s="966"/>
      <c r="BL34" s="1023">
        <f>IF(_NrRaty&gt;LRat,"",_NrRaty)</f>
        <v>4</v>
      </c>
      <c r="BM34" s="1024">
        <f ca="1">IF(_NrRaty&gt;LRat,"",D34)</f>
        <v>46321</v>
      </c>
      <c r="BN34" s="1025">
        <f t="shared" ca="1" si="15"/>
        <v>764.1</v>
      </c>
      <c r="BO34" s="1025">
        <f t="shared" ca="1" si="16"/>
        <v>204.87</v>
      </c>
      <c r="BP34" s="1025">
        <f t="shared" ca="1" si="17"/>
        <v>559.23</v>
      </c>
      <c r="BQ34" s="1025">
        <f t="shared" ca="1" si="26"/>
        <v>28800.03</v>
      </c>
      <c r="BR34" s="1124">
        <f t="shared" si="18"/>
        <v>0</v>
      </c>
      <c r="BT34" s="1113">
        <f>IF(_NrRaty&gt;LRat,"",_NrRaty)</f>
        <v>4</v>
      </c>
      <c r="BU34" s="1023">
        <f t="shared" si="27"/>
        <v>0</v>
      </c>
      <c r="BV34" s="1114">
        <f ca="1">IF(_NrRaty&gt;LRat,"",SUM($O$31:P34))</f>
        <v>122</v>
      </c>
      <c r="BW34" s="1025">
        <f ca="1">IF(_NrRaty&gt;LRat,"",BV34/365)</f>
        <v>0.33424657534246577</v>
      </c>
      <c r="BX34" s="1025">
        <f ca="1">IF(_NrRaty&gt;LRat,"",BW34*BP34)</f>
        <v>186.92071232876714</v>
      </c>
      <c r="BY34" s="1025">
        <f ca="1">IF(_NrRaty&gt;LRat,"",BU34*BX34)</f>
        <v>0</v>
      </c>
    </row>
    <row r="35" spans="1:77" x14ac:dyDescent="0.25">
      <c r="A35" s="973">
        <f t="shared" ca="1" si="19"/>
        <v>0</v>
      </c>
      <c r="B35" s="944">
        <f t="shared" ca="1" si="28"/>
        <v>46352</v>
      </c>
      <c r="C35" s="658">
        <f>IF(_NrRaty&gt;LRat,"",_NrRaty)</f>
        <v>5</v>
      </c>
      <c r="D35" s="659">
        <f t="shared" ca="1" si="29"/>
        <v>46352</v>
      </c>
      <c r="E35" s="940">
        <f t="shared" ca="1" si="6"/>
        <v>764.1</v>
      </c>
      <c r="F35" s="969">
        <f t="shared" ca="1" si="7"/>
        <v>207.66775999999999</v>
      </c>
      <c r="G35" s="940">
        <f ca="1">IF(C35&lt;=LRat,ROUND(ROUND(SUM($F$30:F35),2)-SUM($G$30:G34),2),"")</f>
        <v>207.67</v>
      </c>
      <c r="H35" s="940">
        <f t="shared" ca="1" si="8"/>
        <v>556.42999999999995</v>
      </c>
      <c r="I35" s="940">
        <f t="shared" ca="1" si="20"/>
        <v>28243.599999999999</v>
      </c>
      <c r="J35" s="940">
        <f t="shared" si="21"/>
        <v>0</v>
      </c>
      <c r="K35" s="688">
        <v>0</v>
      </c>
      <c r="L35" s="613">
        <f>IF(_NrRaty&gt;LRat,"",_NrRaty)</f>
        <v>5</v>
      </c>
      <c r="M35" s="913">
        <f t="shared" ref="M35:M42" ca="1" si="37">IF(C35&lt;&gt;"",DATE(YEAR((D35)),MONTH((D35))+1,1)-1,"")</f>
        <v>46356</v>
      </c>
      <c r="N35" s="913">
        <f t="shared" ref="N35:N42" ca="1" si="38">D35</f>
        <v>46352</v>
      </c>
      <c r="O35" s="921">
        <f t="shared" ref="O35:O42" ca="1" si="39">IF(C35&lt;&gt;"",M34-N34+1,0)</f>
        <v>6</v>
      </c>
      <c r="P35" s="921">
        <f t="shared" ref="P35:P42" ca="1" si="40">IF(C35&lt;&gt;"",N35-M34-1,0)</f>
        <v>25</v>
      </c>
      <c r="Q35" s="921">
        <f t="shared" ref="Q35:Q42" ca="1" si="41">IF(C35&lt;&gt;"",IF(MOD(YEAR(N35),4)=0,OE_RP_raty,365),0)</f>
        <v>365</v>
      </c>
      <c r="R35" s="921">
        <f t="shared" ca="1" si="22"/>
        <v>1.643835616438356E-2</v>
      </c>
      <c r="S35" s="921">
        <f t="shared" ca="1" si="23"/>
        <v>6.8493150684931503E-2</v>
      </c>
      <c r="T35" s="921">
        <f t="shared" ca="1" si="34"/>
        <v>8.4931506849315067E-2</v>
      </c>
      <c r="U35" s="921">
        <f t="shared" ca="1" si="24"/>
        <v>1.0072106849315068</v>
      </c>
      <c r="V35" s="921">
        <f ca="1">IF(C35&lt;&gt;"",1/PRODUCT($U$31:U35),0)</f>
        <v>0.96515928139440044</v>
      </c>
      <c r="Z35" s="921">
        <f ca="1">IF(C35&lt;=LRat,SUM(E35,J35,K35),0)</f>
        <v>764.1</v>
      </c>
      <c r="AA35" s="949">
        <f t="shared" ca="1" si="2"/>
        <v>365</v>
      </c>
      <c r="AB35" s="949">
        <f t="shared" ca="1" si="3"/>
        <v>1.643835616438356E-2</v>
      </c>
      <c r="AC35" s="954">
        <f t="shared" ca="1" si="4"/>
        <v>6.8493150684931503E-2</v>
      </c>
      <c r="AD35" s="954">
        <f t="shared" ca="1" si="35"/>
        <v>8.4931506849315067E-2</v>
      </c>
      <c r="AE35" s="954">
        <f t="shared" ca="1" si="11"/>
        <v>1.0072106849315068</v>
      </c>
      <c r="AF35" s="954">
        <f ca="1">IF(L35&lt;=LRat,1/PRODUCT($AE$31:AE35),0)</f>
        <v>0.96515928139440044</v>
      </c>
      <c r="AG35" s="966"/>
      <c r="AH35" s="921">
        <f ca="1">IF(L35&lt;=LRat,Z35/((1+OE_wynikRRSO)^(SUM($AD$31:AD35))),0)</f>
        <v>739.15288923186529</v>
      </c>
      <c r="AI35" s="966"/>
      <c r="AO35" s="948">
        <f>IF(_NrRaty&gt;LRat,"",_NrRaty)</f>
        <v>5</v>
      </c>
      <c r="AP35" s="977">
        <f t="shared" ca="1" si="5"/>
        <v>46352</v>
      </c>
      <c r="AQ35" s="948">
        <f t="shared" ca="1" si="12"/>
        <v>764.1</v>
      </c>
      <c r="AR35" s="948">
        <f ca="1">IF(_NrRaty&lt;LRat,ROUND(AT34*$AN$20*(SUM(O35:P35)/365),2),0)+IF(_NrRaty=LRat,AQ35-AS35,0)</f>
        <v>207.67</v>
      </c>
      <c r="AS35" s="948">
        <f ca="1">IF(_NrRaty&lt;LRat,ROUND(AQ35-AR35,2),0)+IF(_NrRaty=LRat,AT34,0)</f>
        <v>556.42999999999995</v>
      </c>
      <c r="AT35" s="979">
        <f t="shared" ca="1" si="25"/>
        <v>28243.600000000002</v>
      </c>
      <c r="AU35" s="979">
        <f t="shared" si="13"/>
        <v>0</v>
      </c>
      <c r="AV35" s="1005">
        <v>0</v>
      </c>
      <c r="AX35" s="948">
        <f t="shared" ca="1" si="14"/>
        <v>764.1</v>
      </c>
      <c r="AY35" s="948">
        <f ca="1">IF(_NrRaty&lt;=LRat,IF(MOD(YEAR(N35),4)=0,OE_RP_rrso,365),0)</f>
        <v>365</v>
      </c>
      <c r="AZ35" s="948">
        <f ca="1">IF(_NrRaty&lt;=LRat,O35/AY34,0)</f>
        <v>1.643835616438356E-2</v>
      </c>
      <c r="BA35" s="1006">
        <f ca="1">IF(_NrRaty&lt;=LRat,P35/AY35,0)</f>
        <v>6.8493150684931503E-2</v>
      </c>
      <c r="BB35" s="1006">
        <f t="shared" ca="1" si="36"/>
        <v>8.4931506849315067E-2</v>
      </c>
      <c r="BC35" s="1006">
        <f ca="1">IF(_NrRaty&lt;=LRat,1+OE_oproc*BB35,0)</f>
        <v>1.0072106849315068</v>
      </c>
      <c r="BD35" s="1006">
        <f ca="1">IF(_NrRaty&lt;=LRat,1/PRODUCT($BC$31:BC35),0)</f>
        <v>0.96515928139440044</v>
      </c>
      <c r="BF35" s="948">
        <f ca="1">IF(_NrRaty&lt;=LRat,AX35/((1+SOWK_wynikRRSO)^(SUM($BB$31:BB35))),0)</f>
        <v>739.15210058373975</v>
      </c>
      <c r="BG35" s="966"/>
      <c r="BL35" s="1023">
        <f>IF(_NrRaty&gt;LRat,"",_NrRaty)</f>
        <v>5</v>
      </c>
      <c r="BM35" s="1024">
        <f ca="1">IF(_NrRaty&gt;LRat,"",D35)</f>
        <v>46352</v>
      </c>
      <c r="BN35" s="1025">
        <f t="shared" ca="1" si="15"/>
        <v>764.1</v>
      </c>
      <c r="BO35" s="1025">
        <f t="shared" ca="1" si="16"/>
        <v>207.67</v>
      </c>
      <c r="BP35" s="1025">
        <f t="shared" ca="1" si="17"/>
        <v>556.42999999999995</v>
      </c>
      <c r="BQ35" s="1025">
        <f t="shared" ca="1" si="26"/>
        <v>28243.599999999999</v>
      </c>
      <c r="BR35" s="1124">
        <f t="shared" si="18"/>
        <v>0</v>
      </c>
      <c r="BT35" s="1113">
        <f>IF(_NrRaty&gt;LRat,"",_NrRaty)</f>
        <v>5</v>
      </c>
      <c r="BU35" s="1023">
        <f t="shared" si="27"/>
        <v>0</v>
      </c>
      <c r="BV35" s="1114">
        <f ca="1">IF(_NrRaty&gt;LRat,"",SUM($O$31:P35))</f>
        <v>153</v>
      </c>
      <c r="BW35" s="1025">
        <f ca="1">IF(_NrRaty&gt;LRat,"",BV35/365)</f>
        <v>0.41917808219178082</v>
      </c>
      <c r="BX35" s="1025">
        <f ca="1">IF(_NrRaty&gt;LRat,"",BW35*BP35)</f>
        <v>233.2432602739726</v>
      </c>
      <c r="BY35" s="1025">
        <f ca="1">IF(_NrRaty&gt;LRat,"",BU35*BX35)</f>
        <v>0</v>
      </c>
    </row>
    <row r="36" spans="1:77" x14ac:dyDescent="0.25">
      <c r="A36" s="973">
        <f t="shared" ca="1" si="19"/>
        <v>0</v>
      </c>
      <c r="B36" s="944">
        <f t="shared" ca="1" si="28"/>
        <v>46382</v>
      </c>
      <c r="C36" s="660">
        <f>IF(_NrRaty&gt;LRat,"",_NrRaty)</f>
        <v>6</v>
      </c>
      <c r="D36" s="661">
        <f t="shared" ca="1" si="29"/>
        <v>46382</v>
      </c>
      <c r="E36" s="941">
        <f t="shared" ca="1" si="6"/>
        <v>764.1</v>
      </c>
      <c r="F36" s="970">
        <f t="shared" ca="1" si="7"/>
        <v>197.08590000000001</v>
      </c>
      <c r="G36" s="941">
        <f ca="1">IF(C36&lt;=LRat,ROUND(ROUND(SUM($F$30:F36),2)-SUM($G$30:G35),2),"")</f>
        <v>197.08</v>
      </c>
      <c r="H36" s="941">
        <f t="shared" ca="1" si="8"/>
        <v>567.02</v>
      </c>
      <c r="I36" s="941">
        <f t="shared" ca="1" si="20"/>
        <v>27676.58</v>
      </c>
      <c r="J36" s="941">
        <f t="shared" si="21"/>
        <v>0</v>
      </c>
      <c r="L36" s="613">
        <f>IF(_NrRaty&gt;LRat,"",_NrRaty)</f>
        <v>6</v>
      </c>
      <c r="M36" s="913">
        <f t="shared" ca="1" si="37"/>
        <v>46387</v>
      </c>
      <c r="N36" s="913">
        <f t="shared" ca="1" si="38"/>
        <v>46382</v>
      </c>
      <c r="O36" s="921">
        <f t="shared" ca="1" si="39"/>
        <v>5</v>
      </c>
      <c r="P36" s="921">
        <f t="shared" ca="1" si="40"/>
        <v>25</v>
      </c>
      <c r="Q36" s="921">
        <f t="shared" ca="1" si="41"/>
        <v>365</v>
      </c>
      <c r="R36" s="921">
        <f t="shared" ca="1" si="22"/>
        <v>1.3698630136986301E-2</v>
      </c>
      <c r="S36" s="921">
        <f t="shared" ca="1" si="23"/>
        <v>6.8493150684931503E-2</v>
      </c>
      <c r="T36" s="921">
        <f t="shared" ca="1" si="34"/>
        <v>8.2191780821917804E-2</v>
      </c>
      <c r="U36" s="921">
        <f t="shared" ca="1" si="24"/>
        <v>1.0069780821917809</v>
      </c>
      <c r="V36" s="921">
        <f ca="1">IF(C36&lt;&gt;"",1/PRODUCT($U$31:U36),0)</f>
        <v>0.95847099203355257</v>
      </c>
      <c r="Z36" s="921">
        <f t="shared" ca="1" si="10"/>
        <v>764.1</v>
      </c>
      <c r="AA36" s="949">
        <f t="shared" ca="1" si="2"/>
        <v>365</v>
      </c>
      <c r="AB36" s="949">
        <f t="shared" ca="1" si="3"/>
        <v>1.3698630136986301E-2</v>
      </c>
      <c r="AC36" s="954">
        <f t="shared" ca="1" si="4"/>
        <v>6.8493150684931503E-2</v>
      </c>
      <c r="AD36" s="954">
        <f t="shared" ca="1" si="35"/>
        <v>8.2191780821917804E-2</v>
      </c>
      <c r="AE36" s="954">
        <f t="shared" ca="1" si="11"/>
        <v>1.0069780821917809</v>
      </c>
      <c r="AF36" s="954">
        <f ca="1">IF(L36&lt;=LRat,1/PRODUCT($AE$31:AE36),0)</f>
        <v>0.95847099203355257</v>
      </c>
      <c r="AG36" s="966"/>
      <c r="AH36" s="921">
        <f ca="1">IF(L36&lt;=LRat,Z36/((1+OE_wynikRRSO)^(SUM($AD$31:AD36))),0)</f>
        <v>734.35765725529302</v>
      </c>
      <c r="AI36" s="966"/>
      <c r="AO36" s="948">
        <f>IF(_NrRaty&gt;LRat,"",_NrRaty)</f>
        <v>6</v>
      </c>
      <c r="AP36" s="977">
        <f t="shared" ca="1" si="5"/>
        <v>46382</v>
      </c>
      <c r="AQ36" s="948">
        <f t="shared" ca="1" si="12"/>
        <v>764.1</v>
      </c>
      <c r="AR36" s="948">
        <f ca="1">IF(_NrRaty&lt;LRat,ROUND(AT35*$AN$20*(SUM(O36:P36)/365),2),0)+IF(_NrRaty=LRat,AQ36-AS36,0)</f>
        <v>197.09</v>
      </c>
      <c r="AS36" s="948">
        <f ca="1">IF(_NrRaty&lt;LRat,ROUND(AQ36-AR36,2),0)+IF(_NrRaty=LRat,AT35,0)</f>
        <v>567.01</v>
      </c>
      <c r="AT36" s="979">
        <f t="shared" ca="1" si="25"/>
        <v>27676.590000000004</v>
      </c>
      <c r="AU36" s="979">
        <f t="shared" si="13"/>
        <v>0</v>
      </c>
      <c r="AV36" s="1005">
        <v>0</v>
      </c>
      <c r="AX36" s="948">
        <f t="shared" ca="1" si="14"/>
        <v>764.1</v>
      </c>
      <c r="AY36" s="948">
        <f ca="1">IF(_NrRaty&lt;=LRat,IF(MOD(YEAR(N36),4)=0,OE_RP_rrso,365),0)</f>
        <v>365</v>
      </c>
      <c r="AZ36" s="948">
        <f ca="1">IF(_NrRaty&lt;=LRat,O36/AY35,0)</f>
        <v>1.3698630136986301E-2</v>
      </c>
      <c r="BA36" s="1006">
        <f ca="1">IF(_NrRaty&lt;=LRat,P36/AY36,0)</f>
        <v>6.8493150684931503E-2</v>
      </c>
      <c r="BB36" s="1006">
        <f t="shared" ref="BB36:BB99" ca="1" si="42">AZ36+BA36</f>
        <v>8.2191780821917804E-2</v>
      </c>
      <c r="BC36" s="1006">
        <f ca="1">IF(_NrRaty&lt;=LRat,1+OE_oproc*BB36,0)</f>
        <v>1.0069780821917809</v>
      </c>
      <c r="BD36" s="1006">
        <f ca="1">IF(_NrRaty&lt;=LRat,1/PRODUCT($BC$31:BC36),0)</f>
        <v>0.95847099203355257</v>
      </c>
      <c r="BF36" s="948">
        <f ca="1">IF(_NrRaty&lt;=LRat,AX36/((1+SOWK_wynikRRSO)^(SUM($BB$31:BB36))),0)</f>
        <v>734.35672008991105</v>
      </c>
      <c r="BG36" s="966"/>
      <c r="BL36" s="1023">
        <f>IF(_NrRaty&gt;LRat,"",_NrRaty)</f>
        <v>6</v>
      </c>
      <c r="BM36" s="1024">
        <f ca="1">IF(_NrRaty&gt;LRat,"",D36)</f>
        <v>46382</v>
      </c>
      <c r="BN36" s="1025">
        <f t="shared" ca="1" si="15"/>
        <v>764.1</v>
      </c>
      <c r="BO36" s="1025">
        <f t="shared" ca="1" si="16"/>
        <v>197.08</v>
      </c>
      <c r="BP36" s="1025">
        <f t="shared" ca="1" si="17"/>
        <v>567.02</v>
      </c>
      <c r="BQ36" s="1025">
        <f t="shared" ca="1" si="26"/>
        <v>27676.58</v>
      </c>
      <c r="BR36" s="1124">
        <f t="shared" si="18"/>
        <v>0</v>
      </c>
      <c r="BT36" s="1113">
        <f>IF(_NrRaty&gt;LRat,"",_NrRaty)</f>
        <v>6</v>
      </c>
      <c r="BU36" s="1023">
        <f t="shared" si="27"/>
        <v>0</v>
      </c>
      <c r="BV36" s="1114">
        <f ca="1">IF(_NrRaty&gt;LRat,"",SUM($O$31:P36))</f>
        <v>183</v>
      </c>
      <c r="BW36" s="1025">
        <f ca="1">IF(_NrRaty&gt;LRat,"",BV36/365)</f>
        <v>0.50136986301369868</v>
      </c>
      <c r="BX36" s="1025">
        <f ca="1">IF(_NrRaty&gt;LRat,"",BW36*BP36)</f>
        <v>284.28673972602741</v>
      </c>
      <c r="BY36" s="1025">
        <f ca="1">IF(_NrRaty&gt;LRat,"",BU36*BX36)</f>
        <v>0</v>
      </c>
    </row>
    <row r="37" spans="1:77" x14ac:dyDescent="0.25">
      <c r="A37" s="973">
        <f t="shared" ca="1" si="19"/>
        <v>0</v>
      </c>
      <c r="B37" s="944">
        <f t="shared" ca="1" si="28"/>
        <v>46413</v>
      </c>
      <c r="C37" s="658">
        <f>IF(_NrRaty&gt;LRat,"",_NrRaty)</f>
        <v>7</v>
      </c>
      <c r="D37" s="659">
        <f t="shared" ca="1" si="29"/>
        <v>46413</v>
      </c>
      <c r="E37" s="940">
        <f t="shared" ca="1" si="6"/>
        <v>764.1</v>
      </c>
      <c r="F37" s="969">
        <f t="shared" ca="1" si="7"/>
        <v>199.56684000000001</v>
      </c>
      <c r="G37" s="940">
        <f ca="1">IF(C37&lt;=LRat,ROUND(ROUND(SUM($F$30:F37),2)-SUM($G$30:G36),2),"")</f>
        <v>199.57</v>
      </c>
      <c r="H37" s="940">
        <f t="shared" ca="1" si="8"/>
        <v>564.53</v>
      </c>
      <c r="I37" s="940">
        <f t="shared" ca="1" si="20"/>
        <v>27112.05</v>
      </c>
      <c r="J37" s="940">
        <f t="shared" si="21"/>
        <v>0</v>
      </c>
      <c r="L37" s="613">
        <f>IF(_NrRaty&gt;LRat,"",_NrRaty)</f>
        <v>7</v>
      </c>
      <c r="M37" s="913">
        <f t="shared" ca="1" si="37"/>
        <v>46418</v>
      </c>
      <c r="N37" s="913">
        <f t="shared" ca="1" si="38"/>
        <v>46413</v>
      </c>
      <c r="O37" s="921">
        <f t="shared" ca="1" si="39"/>
        <v>6</v>
      </c>
      <c r="P37" s="921">
        <f t="shared" ca="1" si="40"/>
        <v>25</v>
      </c>
      <c r="Q37" s="921">
        <f t="shared" ca="1" si="41"/>
        <v>365</v>
      </c>
      <c r="R37" s="921">
        <f t="shared" ca="1" si="22"/>
        <v>1.643835616438356E-2</v>
      </c>
      <c r="S37" s="921">
        <f t="shared" ca="1" si="23"/>
        <v>6.8493150684931503E-2</v>
      </c>
      <c r="T37" s="921">
        <f t="shared" ca="1" si="34"/>
        <v>8.4931506849315067E-2</v>
      </c>
      <c r="U37" s="921">
        <f t="shared" ca="1" si="24"/>
        <v>1.0072106849315068</v>
      </c>
      <c r="V37" s="921">
        <f ca="1">IF(C37&lt;&gt;"",1/PRODUCT($U$31:U37),0)</f>
        <v>0.95160923764299765</v>
      </c>
      <c r="Z37" s="921">
        <f t="shared" ca="1" si="10"/>
        <v>764.1</v>
      </c>
      <c r="AA37" s="949">
        <f t="shared" ca="1" si="2"/>
        <v>365</v>
      </c>
      <c r="AB37" s="949">
        <f t="shared" ca="1" si="3"/>
        <v>1.643835616438356E-2</v>
      </c>
      <c r="AC37" s="954">
        <f t="shared" ca="1" si="4"/>
        <v>6.8493150684931503E-2</v>
      </c>
      <c r="AD37" s="954">
        <f t="shared" ca="1" si="35"/>
        <v>8.4931506849315067E-2</v>
      </c>
      <c r="AE37" s="954">
        <f t="shared" ca="1" si="11"/>
        <v>1.0072106849315068</v>
      </c>
      <c r="AF37" s="954">
        <f ca="1">IF(L37&lt;=LRat,1/PRODUCT($AE$31:AE37),0)</f>
        <v>0.95160923764299765</v>
      </c>
      <c r="AG37" s="966"/>
      <c r="AH37" s="921">
        <f ca="1">IF(L37&lt;=LRat,Z37/((1+OE_wynikRRSO)^(SUM($AD$31:AD37))),0)</f>
        <v>729.43526350436275</v>
      </c>
      <c r="AI37" s="966"/>
      <c r="AO37" s="948">
        <f>IF(_NrRaty&gt;LRat,"",_NrRaty)</f>
        <v>7</v>
      </c>
      <c r="AP37" s="977">
        <f t="shared" ca="1" si="5"/>
        <v>46413</v>
      </c>
      <c r="AQ37" s="948">
        <f t="shared" ca="1" si="12"/>
        <v>764.1</v>
      </c>
      <c r="AR37" s="948">
        <f ca="1">IF(_NrRaty&lt;LRat,ROUND(AT36*$AN$20*(SUM(O37:P37)/365),2),0)+IF(_NrRaty=LRat,AQ37-AS37,0)</f>
        <v>199.57</v>
      </c>
      <c r="AS37" s="948">
        <f ca="1">IF(_NrRaty&lt;LRat,ROUND(AQ37-AR37,2),0)+IF(_NrRaty=LRat,AT36,0)</f>
        <v>564.53</v>
      </c>
      <c r="AT37" s="979">
        <f t="shared" ca="1" si="25"/>
        <v>27112.060000000005</v>
      </c>
      <c r="AU37" s="979">
        <f t="shared" si="13"/>
        <v>0</v>
      </c>
      <c r="AV37" s="1005">
        <v>0</v>
      </c>
      <c r="AX37" s="948">
        <f t="shared" ca="1" si="14"/>
        <v>764.1</v>
      </c>
      <c r="AY37" s="948">
        <f ca="1">IF(_NrRaty&lt;=LRat,IF(MOD(YEAR(N37),4)=0,OE_RP_rrso,365),0)</f>
        <v>365</v>
      </c>
      <c r="AZ37" s="948">
        <f ca="1">IF(_NrRaty&lt;=LRat,O37/AY36,0)</f>
        <v>1.643835616438356E-2</v>
      </c>
      <c r="BA37" s="1006">
        <f ca="1">IF(_NrRaty&lt;=LRat,P37/AY37,0)</f>
        <v>6.8493150684931503E-2</v>
      </c>
      <c r="BB37" s="1006">
        <f t="shared" ca="1" si="42"/>
        <v>8.4931506849315067E-2</v>
      </c>
      <c r="BC37" s="1006">
        <f ca="1">IF(_NrRaty&lt;=LRat,1+OE_oproc*BB37,0)</f>
        <v>1.0072106849315068</v>
      </c>
      <c r="BD37" s="1006">
        <f ca="1">IF(_NrRaty&lt;=LRat,1/PRODUCT($BC$31:BC37),0)</f>
        <v>0.95160923764299765</v>
      </c>
      <c r="BF37" s="948">
        <f ca="1">IF(_NrRaty&lt;=LRat,AX37/((1+SOWK_wynikRRSO)^(SUM($BB$31:BB37))),0)</f>
        <v>729.43417493025163</v>
      </c>
      <c r="BG37" s="966"/>
      <c r="BL37" s="1023">
        <f>IF(_NrRaty&gt;LRat,"",_NrRaty)</f>
        <v>7</v>
      </c>
      <c r="BM37" s="1024">
        <f ca="1">IF(_NrRaty&gt;LRat,"",D37)</f>
        <v>46413</v>
      </c>
      <c r="BN37" s="1025">
        <f t="shared" ca="1" si="15"/>
        <v>764.1</v>
      </c>
      <c r="BO37" s="1025">
        <f t="shared" ca="1" si="16"/>
        <v>199.57</v>
      </c>
      <c r="BP37" s="1025">
        <f t="shared" ca="1" si="17"/>
        <v>564.53</v>
      </c>
      <c r="BQ37" s="1025">
        <f t="shared" ca="1" si="26"/>
        <v>27112.05</v>
      </c>
      <c r="BR37" s="1124">
        <f t="shared" si="18"/>
        <v>0</v>
      </c>
      <c r="BT37" s="1113">
        <f>IF(_NrRaty&gt;LRat,"",_NrRaty)</f>
        <v>7</v>
      </c>
      <c r="BU37" s="1023">
        <f t="shared" si="27"/>
        <v>0</v>
      </c>
      <c r="BV37" s="1114">
        <f ca="1">IF(_NrRaty&gt;LRat,"",SUM($O$31:P37))</f>
        <v>214</v>
      </c>
      <c r="BW37" s="1025">
        <f ca="1">IF(_NrRaty&gt;LRat,"",BV37/365)</f>
        <v>0.58630136986301373</v>
      </c>
      <c r="BX37" s="1025">
        <f ca="1">IF(_NrRaty&gt;LRat,"",BW37*BP37)</f>
        <v>330.9847123287671</v>
      </c>
      <c r="BY37" s="1025">
        <f ca="1">IF(_NrRaty&gt;LRat,"",BU37*BX37)</f>
        <v>0</v>
      </c>
    </row>
    <row r="38" spans="1:77" x14ac:dyDescent="0.25">
      <c r="A38" s="973">
        <f t="shared" ca="1" si="19"/>
        <v>0</v>
      </c>
      <c r="B38" s="944">
        <f t="shared" ca="1" si="28"/>
        <v>46444</v>
      </c>
      <c r="C38" s="660">
        <f>IF(_NrRaty&gt;LRat,"",_NrRaty)</f>
        <v>8</v>
      </c>
      <c r="D38" s="661">
        <f t="shared" ca="1" si="29"/>
        <v>46444</v>
      </c>
      <c r="E38" s="941">
        <f t="shared" ca="1" si="6"/>
        <v>764.1</v>
      </c>
      <c r="F38" s="970">
        <f t="shared" ca="1" si="7"/>
        <v>195.49623</v>
      </c>
      <c r="G38" s="941">
        <f ca="1">IF(C38&lt;=LRat,ROUND(ROUND(SUM($F$30:F38),2)-SUM($G$30:G37),2),"")</f>
        <v>195.49</v>
      </c>
      <c r="H38" s="941">
        <f t="shared" ca="1" si="8"/>
        <v>568.61</v>
      </c>
      <c r="I38" s="941">
        <f t="shared" ca="1" si="20"/>
        <v>26543.439999999999</v>
      </c>
      <c r="J38" s="941">
        <f t="shared" si="21"/>
        <v>0</v>
      </c>
      <c r="L38" s="613">
        <f>IF(_NrRaty&gt;LRat,"",_NrRaty)</f>
        <v>8</v>
      </c>
      <c r="M38" s="913">
        <f t="shared" ca="1" si="37"/>
        <v>46446</v>
      </c>
      <c r="N38" s="913">
        <f t="shared" ca="1" si="38"/>
        <v>46444</v>
      </c>
      <c r="O38" s="921">
        <f t="shared" ca="1" si="39"/>
        <v>6</v>
      </c>
      <c r="P38" s="921">
        <f t="shared" ca="1" si="40"/>
        <v>25</v>
      </c>
      <c r="Q38" s="921">
        <f t="shared" ca="1" si="41"/>
        <v>365</v>
      </c>
      <c r="R38" s="921">
        <f t="shared" ca="1" si="22"/>
        <v>1.643835616438356E-2</v>
      </c>
      <c r="S38" s="921">
        <f t="shared" ca="1" si="23"/>
        <v>6.8493150684931503E-2</v>
      </c>
      <c r="T38" s="921">
        <f t="shared" ca="1" si="34"/>
        <v>8.4931506849315067E-2</v>
      </c>
      <c r="U38" s="921">
        <f t="shared" ca="1" si="24"/>
        <v>1.0072106849315068</v>
      </c>
      <c r="V38" s="921">
        <f ca="1">IF(C38&lt;&gt;"",1/PRODUCT($U$31:U38),0)</f>
        <v>0.94479660698566736</v>
      </c>
      <c r="Z38" s="921">
        <f t="shared" ca="1" si="10"/>
        <v>764.1</v>
      </c>
      <c r="AA38" s="949">
        <f t="shared" ca="1" si="2"/>
        <v>365</v>
      </c>
      <c r="AB38" s="949">
        <f t="shared" ca="1" si="3"/>
        <v>1.643835616438356E-2</v>
      </c>
      <c r="AC38" s="954">
        <f t="shared" ca="1" si="4"/>
        <v>6.8493150684931503E-2</v>
      </c>
      <c r="AD38" s="954">
        <f t="shared" ref="AD38:AD101" ca="1" si="43">AB38+AC38</f>
        <v>8.4931506849315067E-2</v>
      </c>
      <c r="AE38" s="954">
        <f t="shared" ca="1" si="11"/>
        <v>1.0072106849315068</v>
      </c>
      <c r="AF38" s="954">
        <f ca="1">IF(L38&lt;=LRat,1/PRODUCT($AE$31:AE38),0)</f>
        <v>0.94479660698566736</v>
      </c>
      <c r="AG38" s="966"/>
      <c r="AH38" s="921">
        <f ca="1">IF(L38&lt;=LRat,Z38/((1+OE_wynikRRSO)^(SUM($AD$31:AD38))),0)</f>
        <v>724.54586452103638</v>
      </c>
      <c r="AI38" s="966"/>
      <c r="AO38" s="948">
        <f>IF(_NrRaty&gt;LRat,"",_NrRaty)</f>
        <v>8</v>
      </c>
      <c r="AP38" s="977">
        <f t="shared" ca="1" si="5"/>
        <v>46444</v>
      </c>
      <c r="AQ38" s="948">
        <f t="shared" ca="1" si="12"/>
        <v>764.1</v>
      </c>
      <c r="AR38" s="948">
        <f ca="1">IF(_NrRaty&lt;LRat,ROUND(AT37*$AN$20*(SUM(O38:P38)/365),2),0)+IF(_NrRaty=LRat,AQ38-AS38,0)</f>
        <v>195.5</v>
      </c>
      <c r="AS38" s="948">
        <f ca="1">IF(_NrRaty&lt;LRat,ROUND(AQ38-AR38,2),0)+IF(_NrRaty=LRat,AT37,0)</f>
        <v>568.6</v>
      </c>
      <c r="AT38" s="979">
        <f t="shared" ca="1" si="25"/>
        <v>26543.460000000006</v>
      </c>
      <c r="AU38" s="979">
        <f t="shared" si="13"/>
        <v>0</v>
      </c>
      <c r="AV38" s="1005">
        <v>0</v>
      </c>
      <c r="AX38" s="948">
        <f t="shared" ca="1" si="14"/>
        <v>764.1</v>
      </c>
      <c r="AY38" s="948">
        <f ca="1">IF(_NrRaty&lt;=LRat,IF(MOD(YEAR(N38),4)=0,OE_RP_rrso,365),0)</f>
        <v>365</v>
      </c>
      <c r="AZ38" s="948">
        <f ca="1">IF(_NrRaty&lt;=LRat,O38/AY37,0)</f>
        <v>1.643835616438356E-2</v>
      </c>
      <c r="BA38" s="1006">
        <f ca="1">IF(_NrRaty&lt;=LRat,P38/AY38,0)</f>
        <v>6.8493150684931503E-2</v>
      </c>
      <c r="BB38" s="1006">
        <f t="shared" ca="1" si="42"/>
        <v>8.4931506849315067E-2</v>
      </c>
      <c r="BC38" s="1006">
        <f ca="1">IF(_NrRaty&lt;=LRat,1+OE_oproc*BB38,0)</f>
        <v>1.0072106849315068</v>
      </c>
      <c r="BD38" s="1006">
        <f ca="1">IF(_NrRaty&lt;=LRat,1/PRODUCT($BC$31:BC38),0)</f>
        <v>0.94479660698566736</v>
      </c>
      <c r="BF38" s="948">
        <f ca="1">IF(_NrRaty&lt;=LRat,AX38/((1+SOWK_wynikRRSO)^(SUM($BB$31:BB38))),0)</f>
        <v>724.54462661011974</v>
      </c>
      <c r="BG38" s="966"/>
      <c r="BL38" s="1023">
        <f>IF(_NrRaty&gt;LRat,"",_NrRaty)</f>
        <v>8</v>
      </c>
      <c r="BM38" s="1024">
        <f ca="1">IF(_NrRaty&gt;LRat,"",D38)</f>
        <v>46444</v>
      </c>
      <c r="BN38" s="1025">
        <f t="shared" ca="1" si="15"/>
        <v>764.1</v>
      </c>
      <c r="BO38" s="1025">
        <f t="shared" ca="1" si="16"/>
        <v>195.49</v>
      </c>
      <c r="BP38" s="1025">
        <f t="shared" ca="1" si="17"/>
        <v>568.61</v>
      </c>
      <c r="BQ38" s="1025">
        <f t="shared" ca="1" si="26"/>
        <v>26543.439999999999</v>
      </c>
      <c r="BR38" s="1124">
        <f t="shared" si="18"/>
        <v>0</v>
      </c>
      <c r="BT38" s="1113">
        <f>IF(_NrRaty&gt;LRat,"",_NrRaty)</f>
        <v>8</v>
      </c>
      <c r="BU38" s="1023">
        <f t="shared" si="27"/>
        <v>0</v>
      </c>
      <c r="BV38" s="1114">
        <f ca="1">IF(_NrRaty&gt;LRat,"",SUM($O$31:P38))</f>
        <v>245</v>
      </c>
      <c r="BW38" s="1025">
        <f ca="1">IF(_NrRaty&gt;LRat,"",BV38/365)</f>
        <v>0.67123287671232879</v>
      </c>
      <c r="BX38" s="1025">
        <f ca="1">IF(_NrRaty&gt;LRat,"",BW38*BP38)</f>
        <v>381.6697260273973</v>
      </c>
      <c r="BY38" s="1025">
        <f ca="1">IF(_NrRaty&gt;LRat,"",BU38*BX38)</f>
        <v>0</v>
      </c>
    </row>
    <row r="39" spans="1:77" x14ac:dyDescent="0.25">
      <c r="A39" s="973">
        <f t="shared" ca="1" si="19"/>
        <v>0</v>
      </c>
      <c r="B39" s="944">
        <f t="shared" ca="1" si="28"/>
        <v>46472</v>
      </c>
      <c r="C39" s="658">
        <f>IF(_NrRaty&gt;LRat,"",_NrRaty)</f>
        <v>9</v>
      </c>
      <c r="D39" s="659">
        <f t="shared" ca="1" si="29"/>
        <v>46472</v>
      </c>
      <c r="E39" s="940">
        <f t="shared" ca="1" si="6"/>
        <v>764.1</v>
      </c>
      <c r="F39" s="969">
        <f t="shared" ca="1" si="7"/>
        <v>172.87396000000001</v>
      </c>
      <c r="G39" s="940">
        <f ca="1">IF(C39&lt;=LRat,ROUND(ROUND(SUM($F$30:F39),2)-SUM($G$30:G38),2),"")</f>
        <v>172.88</v>
      </c>
      <c r="H39" s="940">
        <f t="shared" ca="1" si="8"/>
        <v>591.22</v>
      </c>
      <c r="I39" s="940">
        <f t="shared" ca="1" si="20"/>
        <v>25952.22</v>
      </c>
      <c r="J39" s="940">
        <f t="shared" si="21"/>
        <v>0</v>
      </c>
      <c r="L39" s="613">
        <f>IF(_NrRaty&gt;LRat,"",_NrRaty)</f>
        <v>9</v>
      </c>
      <c r="M39" s="913">
        <f t="shared" ca="1" si="37"/>
        <v>46477</v>
      </c>
      <c r="N39" s="913">
        <f t="shared" ca="1" si="38"/>
        <v>46472</v>
      </c>
      <c r="O39" s="921">
        <f t="shared" ca="1" si="39"/>
        <v>3</v>
      </c>
      <c r="P39" s="921">
        <f t="shared" ca="1" si="40"/>
        <v>25</v>
      </c>
      <c r="Q39" s="921">
        <f t="shared" ca="1" si="41"/>
        <v>365</v>
      </c>
      <c r="R39" s="921">
        <f t="shared" ca="1" si="22"/>
        <v>8.21917808219178E-3</v>
      </c>
      <c r="S39" s="921">
        <f t="shared" ca="1" si="23"/>
        <v>6.8493150684931503E-2</v>
      </c>
      <c r="T39" s="921">
        <f t="shared" ca="1" si="34"/>
        <v>7.6712328767123278E-2</v>
      </c>
      <c r="U39" s="921">
        <f t="shared" ca="1" si="24"/>
        <v>1.0065128767123288</v>
      </c>
      <c r="V39" s="921">
        <f ca="1">IF(C39&lt;&gt;"",1/PRODUCT($U$31:U39),0)</f>
        <v>0.93868307981488397</v>
      </c>
      <c r="Z39" s="921">
        <f t="shared" ca="1" si="10"/>
        <v>764.1</v>
      </c>
      <c r="AA39" s="949">
        <f t="shared" ca="1" si="2"/>
        <v>365</v>
      </c>
      <c r="AB39" s="949">
        <f t="shared" ca="1" si="3"/>
        <v>8.21917808219178E-3</v>
      </c>
      <c r="AC39" s="954">
        <f t="shared" ca="1" si="4"/>
        <v>6.8493150684931503E-2</v>
      </c>
      <c r="AD39" s="954">
        <f t="shared" ca="1" si="43"/>
        <v>7.6712328767123278E-2</v>
      </c>
      <c r="AE39" s="954">
        <f t="shared" ca="1" si="11"/>
        <v>1.0065128767123288</v>
      </c>
      <c r="AF39" s="954">
        <f ca="1">IF(L39&lt;=LRat,1/PRODUCT($AE$31:AE39),0)</f>
        <v>0.93868307981488397</v>
      </c>
      <c r="AG39" s="966"/>
      <c r="AH39" s="921">
        <f ca="1">IF(L39&lt;=LRat,Z39/((1+OE_wynikRRSO)^(SUM($AD$31:AD39))),0)</f>
        <v>720.15780889517589</v>
      </c>
      <c r="AI39" s="966"/>
      <c r="AO39" s="948">
        <f>IF(_NrRaty&gt;LRat,"",_NrRaty)</f>
        <v>9</v>
      </c>
      <c r="AP39" s="977">
        <f t="shared" ca="1" si="5"/>
        <v>46472</v>
      </c>
      <c r="AQ39" s="948">
        <f t="shared" ca="1" si="12"/>
        <v>764.1</v>
      </c>
      <c r="AR39" s="948">
        <f ca="1">IF(_NrRaty&lt;LRat,ROUND(AT38*$AN$20*(SUM(O39:P39)/365),2),0)+IF(_NrRaty=LRat,AQ39-AS39,0)</f>
        <v>172.87</v>
      </c>
      <c r="AS39" s="948">
        <f ca="1">IF(_NrRaty&lt;LRat,ROUND(AQ39-AR39,2),0)+IF(_NrRaty=LRat,AT38,0)</f>
        <v>591.23</v>
      </c>
      <c r="AT39" s="979">
        <f t="shared" ca="1" si="25"/>
        <v>25952.230000000007</v>
      </c>
      <c r="AU39" s="979">
        <f t="shared" si="13"/>
        <v>0</v>
      </c>
      <c r="AV39" s="1005">
        <v>0</v>
      </c>
      <c r="AX39" s="948">
        <f t="shared" ca="1" si="14"/>
        <v>764.1</v>
      </c>
      <c r="AY39" s="948">
        <f ca="1">IF(_NrRaty&lt;=LRat,IF(MOD(YEAR(N39),4)=0,OE_RP_rrso,365),0)</f>
        <v>365</v>
      </c>
      <c r="AZ39" s="948">
        <f ca="1">IF(_NrRaty&lt;=LRat,O39/AY38,0)</f>
        <v>8.21917808219178E-3</v>
      </c>
      <c r="BA39" s="1006">
        <f ca="1">IF(_NrRaty&lt;=LRat,P39/AY39,0)</f>
        <v>6.8493150684931503E-2</v>
      </c>
      <c r="BB39" s="1006">
        <f t="shared" ca="1" si="42"/>
        <v>7.6712328767123278E-2</v>
      </c>
      <c r="BC39" s="1006">
        <f ca="1">IF(_NrRaty&lt;=LRat,1+OE_oproc*BB39,0)</f>
        <v>1.0065128767123288</v>
      </c>
      <c r="BD39" s="1006">
        <f ca="1">IF(_NrRaty&lt;=LRat,1/PRODUCT($BC$31:BC39),0)</f>
        <v>0.93868307981488397</v>
      </c>
      <c r="BF39" s="948">
        <f ca="1">IF(_NrRaty&lt;=LRat,AX39/((1+SOWK_wynikRRSO)^(SUM($BB$31:BB39))),0)</f>
        <v>720.15643786281601</v>
      </c>
      <c r="BG39" s="966"/>
      <c r="BL39" s="1023">
        <f>IF(_NrRaty&gt;LRat,"",_NrRaty)</f>
        <v>9</v>
      </c>
      <c r="BM39" s="1024">
        <f ca="1">IF(_NrRaty&gt;LRat,"",D39)</f>
        <v>46472</v>
      </c>
      <c r="BN39" s="1025">
        <f t="shared" ca="1" si="15"/>
        <v>764.1</v>
      </c>
      <c r="BO39" s="1025">
        <f t="shared" ca="1" si="16"/>
        <v>172.88</v>
      </c>
      <c r="BP39" s="1025">
        <f t="shared" ca="1" si="17"/>
        <v>591.22</v>
      </c>
      <c r="BQ39" s="1025">
        <f t="shared" ca="1" si="26"/>
        <v>25952.22</v>
      </c>
      <c r="BR39" s="1124">
        <f t="shared" si="18"/>
        <v>0</v>
      </c>
      <c r="BT39" s="1113">
        <f>IF(_NrRaty&gt;LRat,"",_NrRaty)</f>
        <v>9</v>
      </c>
      <c r="BU39" s="1023">
        <f t="shared" si="27"/>
        <v>0</v>
      </c>
      <c r="BV39" s="1114">
        <f ca="1">IF(_NrRaty&gt;LRat,"",SUM($O$31:P39))</f>
        <v>273</v>
      </c>
      <c r="BW39" s="1025">
        <f ca="1">IF(_NrRaty&gt;LRat,"",BV39/365)</f>
        <v>0.74794520547945209</v>
      </c>
      <c r="BX39" s="1025">
        <f ca="1">IF(_NrRaty&gt;LRat,"",BW39*BP39)</f>
        <v>442.20016438356168</v>
      </c>
      <c r="BY39" s="1025">
        <f ca="1">IF(_NrRaty&gt;LRat,"",BU39*BX39)</f>
        <v>0</v>
      </c>
    </row>
    <row r="40" spans="1:77" x14ac:dyDescent="0.25">
      <c r="A40" s="973">
        <f t="shared" ca="1" si="19"/>
        <v>0</v>
      </c>
      <c r="B40" s="944">
        <f t="shared" ca="1" si="28"/>
        <v>46503</v>
      </c>
      <c r="C40" s="660">
        <f>IF(_NrRaty&gt;LRat,"",_NrRaty)</f>
        <v>10</v>
      </c>
      <c r="D40" s="661">
        <f t="shared" ca="1" si="29"/>
        <v>46503</v>
      </c>
      <c r="E40" s="941">
        <f t="shared" ca="1" si="6"/>
        <v>764.1</v>
      </c>
      <c r="F40" s="970">
        <f t="shared" ca="1" si="7"/>
        <v>187.13305</v>
      </c>
      <c r="G40" s="941">
        <f ca="1">IF(C40&lt;=LRat,ROUND(ROUND(SUM($F$30:F40),2)-SUM($G$30:G39),2),"")</f>
        <v>187.13</v>
      </c>
      <c r="H40" s="941">
        <f t="shared" ca="1" si="8"/>
        <v>576.97</v>
      </c>
      <c r="I40" s="941">
        <f t="shared" ca="1" si="20"/>
        <v>25375.25</v>
      </c>
      <c r="J40" s="941">
        <f t="shared" si="21"/>
        <v>0</v>
      </c>
      <c r="L40" s="613">
        <f>IF(_NrRaty&gt;LRat,"",_NrRaty)</f>
        <v>10</v>
      </c>
      <c r="M40" s="913">
        <f t="shared" ca="1" si="37"/>
        <v>46507</v>
      </c>
      <c r="N40" s="913">
        <f t="shared" ca="1" si="38"/>
        <v>46503</v>
      </c>
      <c r="O40" s="921">
        <f t="shared" ca="1" si="39"/>
        <v>6</v>
      </c>
      <c r="P40" s="921">
        <f t="shared" ca="1" si="40"/>
        <v>25</v>
      </c>
      <c r="Q40" s="921">
        <f t="shared" ca="1" si="41"/>
        <v>365</v>
      </c>
      <c r="R40" s="921">
        <f t="shared" ca="1" si="22"/>
        <v>1.643835616438356E-2</v>
      </c>
      <c r="S40" s="921">
        <f t="shared" ca="1" si="23"/>
        <v>6.8493150684931503E-2</v>
      </c>
      <c r="T40" s="921">
        <f t="shared" ca="1" si="34"/>
        <v>8.4931506849315067E-2</v>
      </c>
      <c r="U40" s="921">
        <f t="shared" ca="1" si="24"/>
        <v>1.0072106849315068</v>
      </c>
      <c r="V40" s="921">
        <f ca="1">IF(C40&lt;&gt;"",1/PRODUCT($U$31:U40),0)</f>
        <v>0.93196298833815194</v>
      </c>
      <c r="Z40" s="921">
        <f t="shared" ca="1" si="10"/>
        <v>764.1</v>
      </c>
      <c r="AA40" s="949">
        <f t="shared" ca="1" si="2"/>
        <v>365</v>
      </c>
      <c r="AB40" s="949">
        <f t="shared" ca="1" si="3"/>
        <v>1.643835616438356E-2</v>
      </c>
      <c r="AC40" s="954">
        <f t="shared" ca="1" si="4"/>
        <v>6.8493150684931503E-2</v>
      </c>
      <c r="AD40" s="954">
        <f t="shared" ca="1" si="43"/>
        <v>8.4931506849315067E-2</v>
      </c>
      <c r="AE40" s="954">
        <f t="shared" ca="1" si="11"/>
        <v>1.0072106849315068</v>
      </c>
      <c r="AF40" s="954">
        <f ca="1">IF(L40&lt;=LRat,1/PRODUCT($AE$31:AE40),0)</f>
        <v>0.93196298833815194</v>
      </c>
      <c r="AG40" s="966"/>
      <c r="AH40" s="921">
        <f ca="1">IF(L40&lt;=LRat,Z40/((1+OE_wynikRRSO)^(SUM($AD$31:AD40))),0)</f>
        <v>715.33059661902348</v>
      </c>
      <c r="AI40" s="966"/>
      <c r="AO40" s="948">
        <f>IF(_NrRaty&gt;LRat,"",_NrRaty)</f>
        <v>10</v>
      </c>
      <c r="AP40" s="977">
        <f t="shared" ca="1" si="5"/>
        <v>46503</v>
      </c>
      <c r="AQ40" s="948">
        <f t="shared" ca="1" si="12"/>
        <v>764.1</v>
      </c>
      <c r="AR40" s="948">
        <f ca="1">IF(_NrRaty&lt;LRat,ROUND(AT39*$AN$20*(SUM(O40:P40)/365),2),0)+IF(_NrRaty=LRat,AQ40-AS40,0)</f>
        <v>187.13</v>
      </c>
      <c r="AS40" s="948">
        <f ca="1">IF(_NrRaty&lt;LRat,ROUND(AQ40-AR40,2),0)+IF(_NrRaty=LRat,AT39,0)</f>
        <v>576.97</v>
      </c>
      <c r="AT40" s="979">
        <f t="shared" ca="1" si="25"/>
        <v>25375.260000000006</v>
      </c>
      <c r="AU40" s="979">
        <f t="shared" si="13"/>
        <v>0</v>
      </c>
      <c r="AV40" s="1005">
        <v>0</v>
      </c>
      <c r="AX40" s="948">
        <f t="shared" ca="1" si="14"/>
        <v>764.1</v>
      </c>
      <c r="AY40" s="948">
        <f ca="1">IF(_NrRaty&lt;=LRat,IF(MOD(YEAR(N40),4)=0,OE_RP_rrso,365),0)</f>
        <v>365</v>
      </c>
      <c r="AZ40" s="948">
        <f ca="1">IF(_NrRaty&lt;=LRat,O40/AY39,0)</f>
        <v>1.643835616438356E-2</v>
      </c>
      <c r="BA40" s="1006">
        <f ca="1">IF(_NrRaty&lt;=LRat,P40/AY40,0)</f>
        <v>6.8493150684931503E-2</v>
      </c>
      <c r="BB40" s="1006">
        <f t="shared" ca="1" si="42"/>
        <v>8.4931506849315067E-2</v>
      </c>
      <c r="BC40" s="1006">
        <f ca="1">IF(_NrRaty&lt;=LRat,1+OE_oproc*BB40,0)</f>
        <v>1.0072106849315068</v>
      </c>
      <c r="BD40" s="1006">
        <f ca="1">IF(_NrRaty&lt;=LRat,1/PRODUCT($BC$31:BC40),0)</f>
        <v>0.93196298833815194</v>
      </c>
      <c r="BF40" s="948">
        <f ca="1">IF(_NrRaty&lt;=LRat,AX40/((1+SOWK_wynikRRSO)^(SUM($BB$31:BB40))),0)</f>
        <v>715.32908013540919</v>
      </c>
      <c r="BG40" s="966"/>
      <c r="BL40" s="1023">
        <f>IF(_NrRaty&gt;LRat,"",_NrRaty)</f>
        <v>10</v>
      </c>
      <c r="BM40" s="1024">
        <f ca="1">IF(_NrRaty&gt;LRat,"",D40)</f>
        <v>46503</v>
      </c>
      <c r="BN40" s="1025">
        <f t="shared" ca="1" si="15"/>
        <v>764.1</v>
      </c>
      <c r="BO40" s="1025">
        <f t="shared" ca="1" si="16"/>
        <v>187.13</v>
      </c>
      <c r="BP40" s="1025">
        <f t="shared" ca="1" si="17"/>
        <v>576.97</v>
      </c>
      <c r="BQ40" s="1025">
        <f t="shared" ca="1" si="26"/>
        <v>25375.25</v>
      </c>
      <c r="BR40" s="1124">
        <f t="shared" si="18"/>
        <v>0</v>
      </c>
      <c r="BT40" s="1113">
        <f>IF(_NrRaty&gt;LRat,"",_NrRaty)</f>
        <v>10</v>
      </c>
      <c r="BU40" s="1023">
        <f t="shared" si="27"/>
        <v>0</v>
      </c>
      <c r="BV40" s="1114">
        <f ca="1">IF(_NrRaty&gt;LRat,"",SUM($O$31:P40))</f>
        <v>304</v>
      </c>
      <c r="BW40" s="1025">
        <f ca="1">IF(_NrRaty&gt;LRat,"",BV40/365)</f>
        <v>0.83287671232876714</v>
      </c>
      <c r="BX40" s="1025">
        <f ca="1">IF(_NrRaty&gt;LRat,"",BW40*BP40)</f>
        <v>480.5448767123288</v>
      </c>
      <c r="BY40" s="1025">
        <f ca="1">IF(_NrRaty&gt;LRat,"",BU40*BX40)</f>
        <v>0</v>
      </c>
    </row>
    <row r="41" spans="1:77" x14ac:dyDescent="0.25">
      <c r="A41" s="973">
        <f t="shared" ca="1" si="19"/>
        <v>0</v>
      </c>
      <c r="B41" s="944">
        <f t="shared" ca="1" si="28"/>
        <v>46533</v>
      </c>
      <c r="C41" s="658">
        <f>IF(_NrRaty&gt;LRat,"",_NrRaty)</f>
        <v>11</v>
      </c>
      <c r="D41" s="659">
        <f t="shared" ca="1" si="29"/>
        <v>46533</v>
      </c>
      <c r="E41" s="940">
        <f t="shared" ca="1" si="6"/>
        <v>764.1</v>
      </c>
      <c r="F41" s="969">
        <f t="shared" ca="1" si="7"/>
        <v>177.07050000000001</v>
      </c>
      <c r="G41" s="940">
        <f ca="1">IF(C41&lt;=LRat,ROUND(ROUND(SUM($F$30:F41),2)-SUM($G$30:G40),2),"")</f>
        <v>177.07</v>
      </c>
      <c r="H41" s="1288">
        <f t="shared" ca="1" si="8"/>
        <v>587.03</v>
      </c>
      <c r="I41" s="940">
        <f t="shared" ca="1" si="20"/>
        <v>24788.22</v>
      </c>
      <c r="J41" s="940">
        <f t="shared" si="21"/>
        <v>0</v>
      </c>
      <c r="L41" s="613">
        <f>IF(_NrRaty&gt;LRat,"",_NrRaty)</f>
        <v>11</v>
      </c>
      <c r="M41" s="913">
        <f t="shared" ca="1" si="37"/>
        <v>46538</v>
      </c>
      <c r="N41" s="913">
        <f t="shared" ca="1" si="38"/>
        <v>46533</v>
      </c>
      <c r="O41" s="921">
        <f t="shared" ca="1" si="39"/>
        <v>5</v>
      </c>
      <c r="P41" s="921">
        <f t="shared" ca="1" si="40"/>
        <v>25</v>
      </c>
      <c r="Q41" s="921">
        <f t="shared" ca="1" si="41"/>
        <v>365</v>
      </c>
      <c r="R41" s="921">
        <f t="shared" ca="1" si="22"/>
        <v>1.3698630136986301E-2</v>
      </c>
      <c r="S41" s="921">
        <f t="shared" ca="1" si="23"/>
        <v>6.8493150684931503E-2</v>
      </c>
      <c r="T41" s="921">
        <f t="shared" ca="1" si="34"/>
        <v>8.2191780821917804E-2</v>
      </c>
      <c r="U41" s="921">
        <f t="shared" ca="1" si="24"/>
        <v>1.0069780821917809</v>
      </c>
      <c r="V41" s="921">
        <f ca="1">IF(C41&lt;&gt;"",1/PRODUCT($U$31:U41),0)</f>
        <v>0.92550474019220796</v>
      </c>
      <c r="Z41" s="921">
        <f t="shared" ca="1" si="10"/>
        <v>764.1</v>
      </c>
      <c r="AA41" s="949">
        <f t="shared" ca="1" si="2"/>
        <v>365</v>
      </c>
      <c r="AB41" s="949">
        <f t="shared" ca="1" si="3"/>
        <v>1.3698630136986301E-2</v>
      </c>
      <c r="AC41" s="954">
        <f t="shared" ca="1" si="4"/>
        <v>6.8493150684931503E-2</v>
      </c>
      <c r="AD41" s="954">
        <f t="shared" ca="1" si="43"/>
        <v>8.2191780821917804E-2</v>
      </c>
      <c r="AE41" s="954">
        <f t="shared" ca="1" si="11"/>
        <v>1.0069780821917809</v>
      </c>
      <c r="AF41" s="954">
        <f ca="1">IF(L41&lt;=LRat,1/PRODUCT($AE$31:AE41),0)</f>
        <v>0.92550474019220796</v>
      </c>
      <c r="AG41" s="966"/>
      <c r="AH41" s="921">
        <f ca="1">IF(L41&lt;=LRat,Z41/((1+OE_wynikRRSO)^(SUM($AD$31:AD41))),0)</f>
        <v>710.68991104409099</v>
      </c>
      <c r="AI41" s="966"/>
      <c r="AO41" s="948">
        <f>IF(_NrRaty&gt;LRat,"",_NrRaty)</f>
        <v>11</v>
      </c>
      <c r="AP41" s="977">
        <f t="shared" ca="1" si="5"/>
        <v>46533</v>
      </c>
      <c r="AQ41" s="948">
        <f t="shared" ca="1" si="12"/>
        <v>764.1</v>
      </c>
      <c r="AR41" s="948">
        <f ca="1">IF(_NrRaty&lt;LRat,ROUND(AT40*$AN$20*(SUM(O41:P41)/365),2),0)+IF(_NrRaty=LRat,AQ41-AS41,0)</f>
        <v>177.07</v>
      </c>
      <c r="AS41" s="948">
        <f ca="1">IF(_NrRaty&lt;LRat,ROUND(AQ41-AR41,2),0)+IF(_NrRaty=LRat,AT40,0)</f>
        <v>587.03</v>
      </c>
      <c r="AT41" s="979">
        <f t="shared" ca="1" si="25"/>
        <v>24788.230000000007</v>
      </c>
      <c r="AU41" s="979">
        <f t="shared" si="13"/>
        <v>0</v>
      </c>
      <c r="AV41" s="1005">
        <v>0</v>
      </c>
      <c r="AX41" s="948">
        <f t="shared" ca="1" si="14"/>
        <v>764.1</v>
      </c>
      <c r="AY41" s="948">
        <f ca="1">IF(_NrRaty&lt;=LRat,IF(MOD(YEAR(N41),4)=0,OE_RP_rrso,365),0)</f>
        <v>365</v>
      </c>
      <c r="AZ41" s="948">
        <f ca="1">IF(_NrRaty&lt;=LRat,O41/AY40,0)</f>
        <v>1.3698630136986301E-2</v>
      </c>
      <c r="BA41" s="1006">
        <f ca="1">IF(_NrRaty&lt;=LRat,P41/AY41,0)</f>
        <v>6.8493150684931503E-2</v>
      </c>
      <c r="BB41" s="1006">
        <f t="shared" ca="1" si="42"/>
        <v>8.2191780821917804E-2</v>
      </c>
      <c r="BC41" s="1006">
        <f ca="1">IF(_NrRaty&lt;=LRat,1+OE_oproc*BB41,0)</f>
        <v>1.0069780821917809</v>
      </c>
      <c r="BD41" s="1006">
        <f ca="1">IF(_NrRaty&lt;=LRat,1/PRODUCT($BC$31:BC41),0)</f>
        <v>0.92550474019220796</v>
      </c>
      <c r="BF41" s="948">
        <f ca="1">IF(_NrRaty&lt;=LRat,AX41/((1+SOWK_wynikRRSO)^(SUM($BB$31:BB41))),0)</f>
        <v>710.68825571667219</v>
      </c>
      <c r="BG41" s="966"/>
      <c r="BL41" s="1023">
        <f>IF(_NrRaty&gt;LRat,"",_NrRaty)</f>
        <v>11</v>
      </c>
      <c r="BM41" s="1024">
        <f ca="1">IF(_NrRaty&gt;LRat,"",D41)</f>
        <v>46533</v>
      </c>
      <c r="BN41" s="1025">
        <f t="shared" ca="1" si="15"/>
        <v>764.1</v>
      </c>
      <c r="BO41" s="1025">
        <f t="shared" ca="1" si="16"/>
        <v>177.07</v>
      </c>
      <c r="BP41" s="1025">
        <f t="shared" ca="1" si="17"/>
        <v>587.03</v>
      </c>
      <c r="BQ41" s="1025">
        <f t="shared" ca="1" si="26"/>
        <v>24788.22</v>
      </c>
      <c r="BR41" s="1124">
        <f t="shared" si="18"/>
        <v>0</v>
      </c>
      <c r="BT41" s="1113">
        <f>IF(_NrRaty&gt;LRat,"",_NrRaty)</f>
        <v>11</v>
      </c>
      <c r="BU41" s="1023">
        <f t="shared" si="27"/>
        <v>0</v>
      </c>
      <c r="BV41" s="1114">
        <f ca="1">IF(_NrRaty&gt;LRat,"",SUM($O$31:P41))</f>
        <v>334</v>
      </c>
      <c r="BW41" s="1025">
        <f ca="1">IF(_NrRaty&gt;LRat,"",BV41/365)</f>
        <v>0.91506849315068495</v>
      </c>
      <c r="BX41" s="1025">
        <f ca="1">IF(_NrRaty&gt;LRat,"",BW41*BP41)</f>
        <v>537.17265753424658</v>
      </c>
      <c r="BY41" s="1025">
        <f ca="1">IF(_NrRaty&gt;LRat,"",BU41*BX41)</f>
        <v>0</v>
      </c>
    </row>
    <row r="42" spans="1:77" x14ac:dyDescent="0.25">
      <c r="A42" s="973">
        <f t="shared" ca="1" si="19"/>
        <v>0</v>
      </c>
      <c r="B42" s="944">
        <f t="shared" ca="1" si="28"/>
        <v>46564</v>
      </c>
      <c r="C42" s="660">
        <f>IF(_NrRaty&gt;LRat,"",_NrRaty)</f>
        <v>12</v>
      </c>
      <c r="D42" s="661">
        <f t="shared" ca="1" si="29"/>
        <v>46564</v>
      </c>
      <c r="E42" s="941">
        <f t="shared" ca="1" si="6"/>
        <v>764.1</v>
      </c>
      <c r="F42" s="970">
        <f t="shared" ca="1" si="7"/>
        <v>178.73979999999997</v>
      </c>
      <c r="G42" s="941">
        <f ca="1">IF(C42&lt;=LRat,ROUND(ROUND(SUM($F$30:F42),2)-SUM($G$30:G41),2),"")</f>
        <v>178.74</v>
      </c>
      <c r="H42" s="941">
        <f t="shared" ca="1" si="8"/>
        <v>585.36</v>
      </c>
      <c r="I42" s="941">
        <f t="shared" ca="1" si="20"/>
        <v>24202.86</v>
      </c>
      <c r="J42" s="941">
        <f t="shared" si="21"/>
        <v>0</v>
      </c>
      <c r="L42" s="613">
        <f>IF(_NrRaty&gt;LRat,"",_NrRaty)</f>
        <v>12</v>
      </c>
      <c r="M42" s="913">
        <f t="shared" ca="1" si="37"/>
        <v>46568</v>
      </c>
      <c r="N42" s="913">
        <f t="shared" ca="1" si="38"/>
        <v>46564</v>
      </c>
      <c r="O42" s="921">
        <f t="shared" ca="1" si="39"/>
        <v>6</v>
      </c>
      <c r="P42" s="921">
        <f t="shared" ca="1" si="40"/>
        <v>25</v>
      </c>
      <c r="Q42" s="921">
        <f t="shared" ca="1" si="41"/>
        <v>365</v>
      </c>
      <c r="R42" s="921">
        <f t="shared" ref="R42" ca="1" si="44">IF(C42&lt;&gt;"",O42/Q41,0)</f>
        <v>1.643835616438356E-2</v>
      </c>
      <c r="S42" s="921">
        <f t="shared" ref="S42" ca="1" si="45">IF(C42&lt;&gt;"",P42/Q42,0)</f>
        <v>6.8493150684931503E-2</v>
      </c>
      <c r="T42" s="921">
        <f t="shared" ca="1" si="34"/>
        <v>8.4931506849315067E-2</v>
      </c>
      <c r="U42" s="921">
        <f t="shared" ca="1" si="24"/>
        <v>1.0072106849315068</v>
      </c>
      <c r="V42" s="921">
        <f ca="1">IF(C42&lt;&gt;"",1/PRODUCT($U$31:U42),0)</f>
        <v>0.91887899328147504</v>
      </c>
      <c r="Z42" s="921">
        <f t="shared" ca="1" si="10"/>
        <v>764.1</v>
      </c>
      <c r="AA42" s="949">
        <f t="shared" ca="1" si="2"/>
        <v>365</v>
      </c>
      <c r="AB42" s="949">
        <f t="shared" ca="1" si="3"/>
        <v>1.643835616438356E-2</v>
      </c>
      <c r="AC42" s="954">
        <f t="shared" ca="1" si="4"/>
        <v>6.8493150684931503E-2</v>
      </c>
      <c r="AD42" s="954">
        <f t="shared" ca="1" si="43"/>
        <v>8.4931506849315067E-2</v>
      </c>
      <c r="AE42" s="954">
        <f t="shared" ca="1" si="11"/>
        <v>1.0072106849315068</v>
      </c>
      <c r="AF42" s="954">
        <f ca="1">IF(L42&lt;=LRat,1/PRODUCT($AE$31:AE42),0)</f>
        <v>0.91887899328147504</v>
      </c>
      <c r="AG42" s="966"/>
      <c r="AH42" s="921">
        <f ca="1">IF(L42&lt;=LRat,Z42/((1+OE_wynikRRSO)^(SUM($AD$31:AD42))),0)</f>
        <v>705.92616201470423</v>
      </c>
      <c r="AI42" s="966"/>
      <c r="AO42" s="948">
        <f>IF(_NrRaty&gt;LRat,"",_NrRaty)</f>
        <v>12</v>
      </c>
      <c r="AP42" s="977">
        <f t="shared" ca="1" si="5"/>
        <v>46564</v>
      </c>
      <c r="AQ42" s="948">
        <f t="shared" ca="1" si="12"/>
        <v>764.1</v>
      </c>
      <c r="AR42" s="948">
        <f ca="1">IF(_NrRaty&lt;LRat,ROUND(AT41*$AN$20*(SUM(O42:P42)/365),2),0)+IF(_NrRaty=LRat,AQ42-AS42,0)</f>
        <v>178.74</v>
      </c>
      <c r="AS42" s="948">
        <f ca="1">IF(_NrRaty&lt;LRat,ROUND(AQ42-AR42,2),0)+IF(_NrRaty=LRat,AT41,0)</f>
        <v>585.36</v>
      </c>
      <c r="AT42" s="979">
        <f t="shared" ca="1" si="25"/>
        <v>24202.870000000006</v>
      </c>
      <c r="AU42" s="979">
        <f t="shared" si="13"/>
        <v>0</v>
      </c>
      <c r="AV42" s="1005">
        <v>0</v>
      </c>
      <c r="AX42" s="948">
        <f t="shared" ca="1" si="14"/>
        <v>764.1</v>
      </c>
      <c r="AY42" s="948">
        <f ca="1">IF(_NrRaty&lt;=LRat,IF(MOD(YEAR(N42),4)=0,OE_RP_rrso,365),0)</f>
        <v>365</v>
      </c>
      <c r="AZ42" s="948">
        <f ca="1">IF(_NrRaty&lt;=LRat,O42/AY41,0)</f>
        <v>1.643835616438356E-2</v>
      </c>
      <c r="BA42" s="1006">
        <f ca="1">IF(_NrRaty&lt;=LRat,P42/AY42,0)</f>
        <v>6.8493150684931503E-2</v>
      </c>
      <c r="BB42" s="1006">
        <f t="shared" ca="1" si="42"/>
        <v>8.4931506849315067E-2</v>
      </c>
      <c r="BC42" s="1006">
        <f ca="1">IF(_NrRaty&lt;=LRat,1+OE_oproc*BB42,0)</f>
        <v>1.0072106849315068</v>
      </c>
      <c r="BD42" s="1006">
        <f ca="1">IF(_NrRaty&lt;=LRat,1/PRODUCT($BC$31:BC42),0)</f>
        <v>0.91887899328147504</v>
      </c>
      <c r="BF42" s="948">
        <f ca="1">IF(_NrRaty&lt;=LRat,AX42/((1+SOWK_wynikRRSO)^(SUM($BB$31:BB42))),0)</f>
        <v>705.92436517478859</v>
      </c>
      <c r="BG42" s="966"/>
      <c r="BL42" s="1023">
        <f>IF(_NrRaty&gt;LRat,"",_NrRaty)</f>
        <v>12</v>
      </c>
      <c r="BM42" s="1024">
        <f ca="1">IF(_NrRaty&gt;LRat,"",D42)</f>
        <v>46564</v>
      </c>
      <c r="BN42" s="1025">
        <f t="shared" ca="1" si="15"/>
        <v>764.1</v>
      </c>
      <c r="BO42" s="1025">
        <f t="shared" ca="1" si="16"/>
        <v>178.74</v>
      </c>
      <c r="BP42" s="1025">
        <f t="shared" ca="1" si="17"/>
        <v>585.36</v>
      </c>
      <c r="BQ42" s="1025">
        <f t="shared" ca="1" si="26"/>
        <v>24202.86</v>
      </c>
      <c r="BR42" s="1124">
        <f t="shared" si="18"/>
        <v>0</v>
      </c>
      <c r="BT42" s="1113">
        <f>IF(_NrRaty&gt;LRat,"",_NrRaty)</f>
        <v>12</v>
      </c>
      <c r="BU42" s="1023">
        <f t="shared" si="27"/>
        <v>0</v>
      </c>
      <c r="BV42" s="1114">
        <f ca="1">IF(_NrRaty&gt;LRat,"",SUM($O$31:P42))</f>
        <v>365</v>
      </c>
      <c r="BW42" s="1025">
        <f ca="1">IF(_NrRaty&gt;LRat,"",BV42/365)</f>
        <v>1</v>
      </c>
      <c r="BX42" s="1025">
        <f ca="1">IF(_NrRaty&gt;LRat,"",BW42*BP42)</f>
        <v>585.36</v>
      </c>
      <c r="BY42" s="1025">
        <f ca="1">IF(_NrRaty&gt;LRat,"",BU42*BX42)</f>
        <v>0</v>
      </c>
    </row>
    <row r="43" spans="1:77" x14ac:dyDescent="0.25">
      <c r="A43" s="973">
        <f t="shared" ca="1" si="19"/>
        <v>0</v>
      </c>
      <c r="B43" s="924">
        <f t="shared" ref="B43:B106" ca="1" si="46">IF(C43&lt;&gt;"",
DATE(YEAR(D42),MONTH(D42)+1,DzNietySpl),"")</f>
        <v>46594</v>
      </c>
      <c r="C43" s="658">
        <f>IF(_NrRaty&gt;LRat,"",_NrRaty)</f>
        <v>13</v>
      </c>
      <c r="D43" s="659">
        <f t="shared" ref="D43:D106" ca="1" si="47">IF(C43&lt;&gt;"",
IF(MOD(MONTH(B43)-MONTH(B42),12)&gt;1,DATE(YEAR(B43),MONTH(B43),DAY(B43)-DAY(B43)),B43),"")</f>
        <v>46594</v>
      </c>
      <c r="E43" s="940">
        <f t="shared" ca="1" si="6"/>
        <v>764.1</v>
      </c>
      <c r="F43" s="969">
        <f t="shared" ca="1" si="7"/>
        <v>168.8895</v>
      </c>
      <c r="G43" s="940">
        <f ca="1">IF(C43&lt;=LRat,ROUND(ROUND(SUM($F$30:F43),2)-SUM($G$30:G42),2),"")</f>
        <v>168.89</v>
      </c>
      <c r="H43" s="940">
        <f t="shared" ca="1" si="8"/>
        <v>595.21</v>
      </c>
      <c r="I43" s="940">
        <f t="shared" ca="1" si="20"/>
        <v>23607.65</v>
      </c>
      <c r="J43" s="940">
        <f t="shared" si="21"/>
        <v>0</v>
      </c>
      <c r="L43" s="613">
        <f>IF(_NrRaty&gt;LRat,"",_NrRaty)</f>
        <v>13</v>
      </c>
      <c r="M43" s="913">
        <f t="shared" ref="M43:M106" ca="1" si="48">IF(C43&lt;&gt;"",DATE(YEAR((D43)),MONTH((D43))+1,1)-1,"")</f>
        <v>46599</v>
      </c>
      <c r="N43" s="913">
        <f t="shared" ref="N43:N106" ca="1" si="49">D43</f>
        <v>46594</v>
      </c>
      <c r="O43" s="921">
        <f t="shared" ref="O43:O106" ca="1" si="50">IF(C43&lt;&gt;"",M42-N42+1,0)</f>
        <v>5</v>
      </c>
      <c r="P43" s="921">
        <f t="shared" ref="P43:P106" ca="1" si="51">IF(C43&lt;&gt;"",N43-M42-1,0)</f>
        <v>25</v>
      </c>
      <c r="Q43" s="921">
        <f t="shared" ref="Q43:Q106" ca="1" si="52">IF(C43&lt;&gt;"",IF(MOD(YEAR(N43),4)=0,OE_RP_raty,365),0)</f>
        <v>365</v>
      </c>
      <c r="R43" s="921">
        <f t="shared" ref="R43:R106" ca="1" si="53">IF(C43&lt;&gt;"",O43/Q42,0)</f>
        <v>1.3698630136986301E-2</v>
      </c>
      <c r="S43" s="921">
        <f t="shared" ref="S43:S106" ca="1" si="54">IF(C43&lt;&gt;"",P43/Q43,0)</f>
        <v>6.8493150684931503E-2</v>
      </c>
      <c r="T43" s="921">
        <f t="shared" ref="T43:T106" ca="1" si="55">R43+S43</f>
        <v>8.2191780821917804E-2</v>
      </c>
      <c r="U43" s="921">
        <f t="shared" ca="1" si="24"/>
        <v>1.0069780821917809</v>
      </c>
      <c r="V43" s="921">
        <f ca="1">IF(C43&lt;&gt;"",1/PRODUCT($U$31:U43),0)</f>
        <v>0.9125114136361836</v>
      </c>
      <c r="Z43" s="921">
        <f t="shared" ca="1" si="10"/>
        <v>764.1</v>
      </c>
      <c r="AA43" s="949">
        <f t="shared" ca="1" si="2"/>
        <v>365</v>
      </c>
      <c r="AB43" s="949">
        <f t="shared" ca="1" si="3"/>
        <v>1.3698630136986301E-2</v>
      </c>
      <c r="AC43" s="954">
        <f t="shared" ca="1" si="4"/>
        <v>6.8493150684931503E-2</v>
      </c>
      <c r="AD43" s="954">
        <f t="shared" ca="1" si="43"/>
        <v>8.2191780821917804E-2</v>
      </c>
      <c r="AE43" s="954">
        <f t="shared" ca="1" si="11"/>
        <v>1.0069780821917809</v>
      </c>
      <c r="AF43" s="954">
        <f ca="1">IF(L43&lt;=LRat,1/PRODUCT($AE$31:AE43),0)</f>
        <v>0.9125114136361836</v>
      </c>
      <c r="AG43" s="966"/>
      <c r="AH43" s="921">
        <f ca="1">IF(L43&lt;=LRat,Z43/((1+OE_wynikRRSO)^(SUM($AD$31:AD43))),0)</f>
        <v>701.34648742436377</v>
      </c>
      <c r="AI43" s="966"/>
      <c r="AO43" s="948">
        <f>IF(_NrRaty&gt;LRat,"",_NrRaty)</f>
        <v>13</v>
      </c>
      <c r="AP43" s="977">
        <f t="shared" ref="AP43:AP106" ca="1" si="56">D43</f>
        <v>46594</v>
      </c>
      <c r="AQ43" s="948">
        <f t="shared" ca="1" si="12"/>
        <v>764.1</v>
      </c>
      <c r="AR43" s="948">
        <f ca="1">IF(_NrRaty&lt;LRat,ROUND(AT42*$AN$20*(SUM(O43:P43)/365),2),0)+IF(_NrRaty=LRat,AQ43-AS43,0)</f>
        <v>168.89</v>
      </c>
      <c r="AS43" s="948">
        <f ca="1">IF(_NrRaty&lt;LRat,ROUND(AQ43-AR43,2),0)+IF(_NrRaty=LRat,AT42,0)</f>
        <v>595.21</v>
      </c>
      <c r="AT43" s="979">
        <f t="shared" ca="1" si="25"/>
        <v>23607.660000000007</v>
      </c>
      <c r="AU43" s="979">
        <f t="shared" si="13"/>
        <v>0</v>
      </c>
      <c r="AV43" s="1005">
        <v>0</v>
      </c>
      <c r="AX43" s="948">
        <f t="shared" ca="1" si="14"/>
        <v>764.1</v>
      </c>
      <c r="AY43" s="948">
        <f ca="1">IF(_NrRaty&lt;=LRat,IF(MOD(YEAR(N43),4)=0,OE_RP_rrso,365),0)</f>
        <v>365</v>
      </c>
      <c r="AZ43" s="948">
        <f ca="1">IF(_NrRaty&lt;=LRat,O43/AY42,0)</f>
        <v>1.3698630136986301E-2</v>
      </c>
      <c r="BA43" s="1006">
        <f ca="1">IF(_NrRaty&lt;=LRat,P43/AY43,0)</f>
        <v>6.8493150684931503E-2</v>
      </c>
      <c r="BB43" s="1006">
        <f t="shared" ca="1" si="42"/>
        <v>8.2191780821917804E-2</v>
      </c>
      <c r="BC43" s="1006">
        <f ca="1">IF(_NrRaty&lt;=LRat,1+OE_oproc*BB43,0)</f>
        <v>1.0069780821917809</v>
      </c>
      <c r="BD43" s="1006">
        <f ca="1">IF(_NrRaty&lt;=LRat,1/PRODUCT($BC$31:BC43),0)</f>
        <v>0.9125114136361836</v>
      </c>
      <c r="BF43" s="948">
        <f ca="1">IF(_NrRaty&lt;=LRat,AX43/((1+SOWK_wynikRRSO)^(SUM($BB$31:BB43))),0)</f>
        <v>701.3445555142273</v>
      </c>
      <c r="BG43" s="966"/>
      <c r="BL43" s="1023">
        <f>IF(_NrRaty&gt;LRat,"",_NrRaty)</f>
        <v>13</v>
      </c>
      <c r="BM43" s="1024">
        <f ca="1">IF(_NrRaty&gt;LRat,"",D43)</f>
        <v>46594</v>
      </c>
      <c r="BN43" s="1025">
        <f t="shared" ca="1" si="15"/>
        <v>764.1</v>
      </c>
      <c r="BO43" s="1025">
        <f t="shared" ca="1" si="16"/>
        <v>168.89</v>
      </c>
      <c r="BP43" s="1025">
        <f t="shared" ca="1" si="17"/>
        <v>595.21</v>
      </c>
      <c r="BQ43" s="1025">
        <f t="shared" ca="1" si="26"/>
        <v>23607.65</v>
      </c>
      <c r="BR43" s="1124">
        <f t="shared" si="18"/>
        <v>0</v>
      </c>
      <c r="BT43" s="1113">
        <f>IF(_NrRaty&gt;LRat,"",_NrRaty)</f>
        <v>13</v>
      </c>
      <c r="BU43" s="1023">
        <f t="shared" si="27"/>
        <v>35</v>
      </c>
      <c r="BV43" s="1114">
        <f ca="1">IF(_NrRaty&gt;LRat,"",SUM($O$31:P43))</f>
        <v>395</v>
      </c>
      <c r="BW43" s="1025">
        <f ca="1">IF(_NrRaty&gt;LRat,"",BV43/365)</f>
        <v>1.0821917808219179</v>
      </c>
      <c r="BX43" s="1025">
        <f ca="1">IF(_NrRaty&gt;LRat,"",BW43*BP43)</f>
        <v>644.13136986301379</v>
      </c>
      <c r="BY43" s="1025">
        <f ca="1">IF(_NrRaty&gt;LRat,"",BU43*BX43)</f>
        <v>22544.597945205482</v>
      </c>
    </row>
    <row r="44" spans="1:77" x14ac:dyDescent="0.25">
      <c r="A44" s="973">
        <f t="shared" ca="1" si="19"/>
        <v>0</v>
      </c>
      <c r="B44" s="924">
        <f t="shared" ca="1" si="46"/>
        <v>46625</v>
      </c>
      <c r="C44" s="660">
        <f>IF(_NrRaty&gt;LRat,"",_NrRaty)</f>
        <v>14</v>
      </c>
      <c r="D44" s="661">
        <f t="shared" ca="1" si="47"/>
        <v>46625</v>
      </c>
      <c r="E44" s="941">
        <f t="shared" ca="1" si="6"/>
        <v>764.1</v>
      </c>
      <c r="F44" s="970">
        <f t="shared" ca="1" si="7"/>
        <v>170.22720000000001</v>
      </c>
      <c r="G44" s="941">
        <f ca="1">IF(C44&lt;=LRat,ROUND(ROUND(SUM($F$30:F44),2)-SUM($G$30:G43),2),"")</f>
        <v>170.23</v>
      </c>
      <c r="H44" s="941">
        <f t="shared" ca="1" si="8"/>
        <v>593.87</v>
      </c>
      <c r="I44" s="941">
        <f t="shared" ca="1" si="20"/>
        <v>23013.78</v>
      </c>
      <c r="J44" s="941">
        <f t="shared" si="21"/>
        <v>0</v>
      </c>
      <c r="L44" s="613">
        <f>IF(_NrRaty&gt;LRat,"",_NrRaty)</f>
        <v>14</v>
      </c>
      <c r="M44" s="913">
        <f t="shared" ca="1" si="48"/>
        <v>46630</v>
      </c>
      <c r="N44" s="913">
        <f t="shared" ca="1" si="49"/>
        <v>46625</v>
      </c>
      <c r="O44" s="921">
        <f t="shared" ca="1" si="50"/>
        <v>6</v>
      </c>
      <c r="P44" s="921">
        <f t="shared" ca="1" si="51"/>
        <v>25</v>
      </c>
      <c r="Q44" s="921">
        <f t="shared" ca="1" si="52"/>
        <v>365</v>
      </c>
      <c r="R44" s="921">
        <f t="shared" ca="1" si="53"/>
        <v>1.643835616438356E-2</v>
      </c>
      <c r="S44" s="921">
        <f t="shared" ca="1" si="54"/>
        <v>6.8493150684931503E-2</v>
      </c>
      <c r="T44" s="921">
        <f t="shared" ca="1" si="55"/>
        <v>8.4931506849315067E-2</v>
      </c>
      <c r="U44" s="921">
        <f t="shared" ca="1" si="24"/>
        <v>1.0072106849315068</v>
      </c>
      <c r="V44" s="921">
        <f ca="1">IF(C44&lt;&gt;"",1/PRODUCT($U$31:U44),0)</f>
        <v>0.90597868677121618</v>
      </c>
      <c r="Z44" s="921">
        <f t="shared" ca="1" si="10"/>
        <v>764.1</v>
      </c>
      <c r="AA44" s="949">
        <f t="shared" ca="1" si="2"/>
        <v>365</v>
      </c>
      <c r="AB44" s="949">
        <f t="shared" ca="1" si="3"/>
        <v>1.643835616438356E-2</v>
      </c>
      <c r="AC44" s="954">
        <f t="shared" ca="1" si="4"/>
        <v>6.8493150684931503E-2</v>
      </c>
      <c r="AD44" s="954">
        <f t="shared" ca="1" si="43"/>
        <v>8.4931506849315067E-2</v>
      </c>
      <c r="AE44" s="954">
        <f t="shared" ca="1" si="11"/>
        <v>1.0072106849315068</v>
      </c>
      <c r="AF44" s="954">
        <f ca="1">IF(L44&lt;=LRat,1/PRODUCT($AE$31:AE44),0)</f>
        <v>0.90597868677121618</v>
      </c>
      <c r="AG44" s="966"/>
      <c r="AH44" s="921">
        <f ca="1">IF(L44&lt;=LRat,Z44/((1+OE_wynikRRSO)^(SUM($AD$31:AD44))),0)</f>
        <v>696.64536729192344</v>
      </c>
      <c r="AI44" s="966"/>
      <c r="AO44" s="948">
        <f>IF(_NrRaty&gt;LRat,"",_NrRaty)</f>
        <v>14</v>
      </c>
      <c r="AP44" s="977">
        <f t="shared" ca="1" si="56"/>
        <v>46625</v>
      </c>
      <c r="AQ44" s="948">
        <f t="shared" ca="1" si="12"/>
        <v>764.1</v>
      </c>
      <c r="AR44" s="948">
        <f ca="1">IF(_NrRaty&lt;LRat,ROUND(AT43*$AN$20*(SUM(O44:P44)/365),2),0)+IF(_NrRaty=LRat,AQ44-AS44,0)</f>
        <v>170.23</v>
      </c>
      <c r="AS44" s="948">
        <f ca="1">IF(_NrRaty&lt;LRat,ROUND(AQ44-AR44,2),0)+IF(_NrRaty=LRat,AT43,0)</f>
        <v>593.87</v>
      </c>
      <c r="AT44" s="979">
        <f t="shared" ref="AT44:AT47" ca="1" si="57">AT43-AS44</f>
        <v>23013.790000000008</v>
      </c>
      <c r="AU44" s="979">
        <f t="shared" si="13"/>
        <v>0</v>
      </c>
      <c r="AV44" s="1005">
        <v>0</v>
      </c>
      <c r="AX44" s="948">
        <f t="shared" ca="1" si="14"/>
        <v>764.1</v>
      </c>
      <c r="AY44" s="948">
        <f ca="1">IF(_NrRaty&lt;=LRat,IF(MOD(YEAR(N44),4)=0,OE_RP_rrso,365),0)</f>
        <v>365</v>
      </c>
      <c r="AZ44" s="948">
        <f ca="1">IF(_NrRaty&lt;=LRat,O44/AY43,0)</f>
        <v>1.643835616438356E-2</v>
      </c>
      <c r="BA44" s="1006">
        <f ca="1">IF(_NrRaty&lt;=LRat,P44/AY44,0)</f>
        <v>6.8493150684931503E-2</v>
      </c>
      <c r="BB44" s="1006">
        <f t="shared" ca="1" si="42"/>
        <v>8.4931506849315067E-2</v>
      </c>
      <c r="BC44" s="1006">
        <f ca="1">IF(_NrRaty&lt;=LRat,1+OE_oproc*BB44,0)</f>
        <v>1.0072106849315068</v>
      </c>
      <c r="BD44" s="1006">
        <f ca="1">IF(_NrRaty&lt;=LRat,1/PRODUCT($BC$31:BC44),0)</f>
        <v>0.90597868677121618</v>
      </c>
      <c r="BF44" s="948">
        <f ca="1">IF(_NrRaty&lt;=LRat,AX44/((1+SOWK_wynikRRSO)^(SUM($BB$31:BB44))),0)</f>
        <v>696.64329772962174</v>
      </c>
      <c r="BG44" s="966"/>
      <c r="BL44" s="1023">
        <f>IF(_NrRaty&gt;LRat,"",_NrRaty)</f>
        <v>14</v>
      </c>
      <c r="BM44" s="1024">
        <f ca="1">IF(_NrRaty&gt;LRat,"",D44)</f>
        <v>46625</v>
      </c>
      <c r="BN44" s="1025">
        <f t="shared" ca="1" si="15"/>
        <v>764.1</v>
      </c>
      <c r="BO44" s="1025">
        <f t="shared" ca="1" si="16"/>
        <v>170.23</v>
      </c>
      <c r="BP44" s="1025">
        <f t="shared" ca="1" si="17"/>
        <v>593.87</v>
      </c>
      <c r="BQ44" s="1025">
        <f t="shared" ca="1" si="26"/>
        <v>23013.78</v>
      </c>
      <c r="BR44" s="1124">
        <f t="shared" si="18"/>
        <v>0</v>
      </c>
      <c r="BT44" s="1113">
        <f>IF(_NrRaty&gt;LRat,"",_NrRaty)</f>
        <v>14</v>
      </c>
      <c r="BU44" s="1023">
        <f t="shared" si="27"/>
        <v>35</v>
      </c>
      <c r="BV44" s="1114">
        <f ca="1">IF(_NrRaty&gt;LRat,"",SUM($O$31:P44))</f>
        <v>426</v>
      </c>
      <c r="BW44" s="1025">
        <f ca="1">IF(_NrRaty&gt;LRat,"",BV44/365)</f>
        <v>1.167123287671233</v>
      </c>
      <c r="BX44" s="1025">
        <f ca="1">IF(_NrRaty&gt;LRat,"",BW44*BP44)</f>
        <v>693.11950684931514</v>
      </c>
      <c r="BY44" s="1025">
        <f ca="1">IF(_NrRaty&gt;LRat,"",BU44*BX44)</f>
        <v>24259.182739726031</v>
      </c>
    </row>
    <row r="45" spans="1:77" x14ac:dyDescent="0.25">
      <c r="A45" s="973">
        <f t="shared" ca="1" si="19"/>
        <v>0</v>
      </c>
      <c r="B45" s="924">
        <f t="shared" ca="1" si="46"/>
        <v>46656</v>
      </c>
      <c r="C45" s="658">
        <f>IF(_NrRaty&gt;LRat,"",_NrRaty)</f>
        <v>15</v>
      </c>
      <c r="D45" s="659">
        <f t="shared" ca="1" si="47"/>
        <v>46656</v>
      </c>
      <c r="E45" s="940">
        <f t="shared" ca="1" si="6"/>
        <v>764.1</v>
      </c>
      <c r="F45" s="969">
        <f t="shared" ca="1" si="7"/>
        <v>165.94486000000001</v>
      </c>
      <c r="G45" s="940">
        <f ca="1">IF(C45&lt;=LRat,ROUND(ROUND(SUM($F$30:F45),2)-SUM($G$30:G44),2),"")</f>
        <v>165.94</v>
      </c>
      <c r="H45" s="940">
        <f t="shared" ca="1" si="8"/>
        <v>598.16</v>
      </c>
      <c r="I45" s="940">
        <f t="shared" ca="1" si="20"/>
        <v>22415.62</v>
      </c>
      <c r="J45" s="940">
        <f t="shared" si="21"/>
        <v>0</v>
      </c>
      <c r="L45" s="613">
        <f>IF(_NrRaty&gt;LRat,"",_NrRaty)</f>
        <v>15</v>
      </c>
      <c r="M45" s="913">
        <f t="shared" ca="1" si="48"/>
        <v>46660</v>
      </c>
      <c r="N45" s="913">
        <f t="shared" ca="1" si="49"/>
        <v>46656</v>
      </c>
      <c r="O45" s="921">
        <f t="shared" ca="1" si="50"/>
        <v>6</v>
      </c>
      <c r="P45" s="921">
        <f t="shared" ca="1" si="51"/>
        <v>25</v>
      </c>
      <c r="Q45" s="921">
        <f t="shared" ca="1" si="52"/>
        <v>365</v>
      </c>
      <c r="R45" s="921">
        <f t="shared" ca="1" si="53"/>
        <v>1.643835616438356E-2</v>
      </c>
      <c r="S45" s="921">
        <f t="shared" ca="1" si="54"/>
        <v>6.8493150684931503E-2</v>
      </c>
      <c r="T45" s="921">
        <f t="shared" ca="1" si="55"/>
        <v>8.4931506849315067E-2</v>
      </c>
      <c r="U45" s="921">
        <f t="shared" ca="1" si="24"/>
        <v>1.0072106849315068</v>
      </c>
      <c r="V45" s="921">
        <f ca="1">IF(C45&lt;&gt;"",1/PRODUCT($U$31:U45),0)</f>
        <v>0.89949272811062886</v>
      </c>
      <c r="Z45" s="921">
        <f t="shared" ca="1" si="10"/>
        <v>764.1</v>
      </c>
      <c r="AA45" s="949">
        <f t="shared" ca="1" si="2"/>
        <v>365</v>
      </c>
      <c r="AB45" s="949">
        <f t="shared" ca="1" si="3"/>
        <v>1.643835616438356E-2</v>
      </c>
      <c r="AC45" s="954">
        <f t="shared" ca="1" si="4"/>
        <v>6.8493150684931503E-2</v>
      </c>
      <c r="AD45" s="954">
        <f t="shared" ca="1" si="43"/>
        <v>8.4931506849315067E-2</v>
      </c>
      <c r="AE45" s="954">
        <f t="shared" ca="1" si="11"/>
        <v>1.0072106849315068</v>
      </c>
      <c r="AF45" s="954">
        <f ca="1">IF(L45&lt;=LRat,1/PRODUCT($AE$31:AE45),0)</f>
        <v>0.89949272811062886</v>
      </c>
      <c r="AG45" s="966"/>
      <c r="AH45" s="921">
        <f ca="1">IF(L45&lt;=LRat,Z45/((1+OE_wynikRRSO)^(SUM($AD$31:AD45))),0)</f>
        <v>691.97575873171741</v>
      </c>
      <c r="AI45" s="966"/>
      <c r="AO45" s="948">
        <f>IF(_NrRaty&gt;LRat,"",_NrRaty)</f>
        <v>15</v>
      </c>
      <c r="AP45" s="977">
        <f t="shared" ca="1" si="56"/>
        <v>46656</v>
      </c>
      <c r="AQ45" s="948">
        <f t="shared" ca="1" si="12"/>
        <v>764.1</v>
      </c>
      <c r="AR45" s="948">
        <f ca="1">IF(_NrRaty&lt;LRat,ROUND(AT44*$AN$20*(SUM(O45:P45)/365),2),0)+IF(_NrRaty=LRat,AQ45-AS45,0)</f>
        <v>165.95</v>
      </c>
      <c r="AS45" s="948">
        <f ca="1">IF(_NrRaty&lt;LRat,ROUND(AQ45-AR45,2),0)+IF(_NrRaty=LRat,AT44,0)</f>
        <v>598.15</v>
      </c>
      <c r="AT45" s="979">
        <f t="shared" ca="1" si="57"/>
        <v>22415.640000000007</v>
      </c>
      <c r="AU45" s="979">
        <f t="shared" si="13"/>
        <v>0</v>
      </c>
      <c r="AV45" s="1005">
        <v>0</v>
      </c>
      <c r="AX45" s="948">
        <f t="shared" ca="1" si="14"/>
        <v>764.1</v>
      </c>
      <c r="AY45" s="948">
        <f ca="1">IF(_NrRaty&lt;=LRat,IF(MOD(YEAR(N45),4)=0,OE_RP_rrso,365),0)</f>
        <v>365</v>
      </c>
      <c r="AZ45" s="948">
        <f ca="1">IF(_NrRaty&lt;=LRat,O45/AY44,0)</f>
        <v>1.643835616438356E-2</v>
      </c>
      <c r="BA45" s="1006">
        <f ca="1">IF(_NrRaty&lt;=LRat,P45/AY45,0)</f>
        <v>6.8493150684931503E-2</v>
      </c>
      <c r="BB45" s="1006">
        <f t="shared" ca="1" si="42"/>
        <v>8.4931506849315067E-2</v>
      </c>
      <c r="BC45" s="1006">
        <f ca="1">IF(_NrRaty&lt;=LRat,1+OE_oproc*BB45,0)</f>
        <v>1.0072106849315068</v>
      </c>
      <c r="BD45" s="1006">
        <f ca="1">IF(_NrRaty&lt;=LRat,1/PRODUCT($BC$31:BC45),0)</f>
        <v>0.89949272811062886</v>
      </c>
      <c r="BF45" s="948">
        <f ca="1">IF(_NrRaty&lt;=LRat,AX45/((1+SOWK_wynikRRSO)^(SUM($BB$31:BB45))),0)</f>
        <v>691.97355344944629</v>
      </c>
      <c r="BG45" s="966"/>
      <c r="BL45" s="1023">
        <f>IF(_NrRaty&gt;LRat,"",_NrRaty)</f>
        <v>15</v>
      </c>
      <c r="BM45" s="1024">
        <f ca="1">IF(_NrRaty&gt;LRat,"",D45)</f>
        <v>46656</v>
      </c>
      <c r="BN45" s="1025">
        <f t="shared" ca="1" si="15"/>
        <v>764.1</v>
      </c>
      <c r="BO45" s="1025">
        <f t="shared" ca="1" si="16"/>
        <v>165.94</v>
      </c>
      <c r="BP45" s="1025">
        <f t="shared" ca="1" si="17"/>
        <v>598.16</v>
      </c>
      <c r="BQ45" s="1025">
        <f t="shared" ca="1" si="26"/>
        <v>22415.62</v>
      </c>
      <c r="BR45" s="1124">
        <f t="shared" si="18"/>
        <v>0</v>
      </c>
      <c r="BT45" s="1113">
        <f>IF(_NrRaty&gt;LRat,"",_NrRaty)</f>
        <v>15</v>
      </c>
      <c r="BU45" s="1023">
        <f t="shared" si="27"/>
        <v>35</v>
      </c>
      <c r="BV45" s="1114">
        <f ca="1">IF(_NrRaty&gt;LRat,"",SUM($O$31:P45))</f>
        <v>457</v>
      </c>
      <c r="BW45" s="1025">
        <f ca="1">IF(_NrRaty&gt;LRat,"",BV45/365)</f>
        <v>1.252054794520548</v>
      </c>
      <c r="BX45" s="1025">
        <f ca="1">IF(_NrRaty&gt;LRat,"",BW45*BP45)</f>
        <v>748.92909589041096</v>
      </c>
      <c r="BY45" s="1025">
        <f ca="1">IF(_NrRaty&gt;LRat,"",BU45*BX45)</f>
        <v>26212.518356164383</v>
      </c>
    </row>
    <row r="46" spans="1:77" x14ac:dyDescent="0.25">
      <c r="A46" s="973">
        <f t="shared" ca="1" si="19"/>
        <v>0</v>
      </c>
      <c r="B46" s="924">
        <f t="shared" ca="1" si="46"/>
        <v>46686</v>
      </c>
      <c r="C46" s="660">
        <f>IF(_NrRaty&gt;LRat,"",_NrRaty)</f>
        <v>16</v>
      </c>
      <c r="D46" s="661">
        <f t="shared" ca="1" si="47"/>
        <v>46686</v>
      </c>
      <c r="E46" s="941">
        <f t="shared" ca="1" si="6"/>
        <v>764.1</v>
      </c>
      <c r="F46" s="970">
        <f t="shared" ca="1" si="7"/>
        <v>156.4179</v>
      </c>
      <c r="G46" s="941">
        <f ca="1">IF(C46&lt;=LRat,ROUND(ROUND(SUM($F$30:F46),2)-SUM($G$30:G45),2),"")</f>
        <v>156.41999999999999</v>
      </c>
      <c r="H46" s="941">
        <f t="shared" ca="1" si="8"/>
        <v>607.67999999999995</v>
      </c>
      <c r="I46" s="941">
        <f t="shared" ca="1" si="20"/>
        <v>21807.94</v>
      </c>
      <c r="J46" s="941">
        <f t="shared" si="21"/>
        <v>0</v>
      </c>
      <c r="L46" s="613">
        <f>IF(_NrRaty&gt;LRat,"",_NrRaty)</f>
        <v>16</v>
      </c>
      <c r="M46" s="913">
        <f t="shared" ca="1" si="48"/>
        <v>46691</v>
      </c>
      <c r="N46" s="913">
        <f t="shared" ca="1" si="49"/>
        <v>46686</v>
      </c>
      <c r="O46" s="921">
        <f t="shared" ca="1" si="50"/>
        <v>5</v>
      </c>
      <c r="P46" s="921">
        <f t="shared" ca="1" si="51"/>
        <v>25</v>
      </c>
      <c r="Q46" s="921">
        <f t="shared" ca="1" si="52"/>
        <v>365</v>
      </c>
      <c r="R46" s="921">
        <f t="shared" ca="1" si="53"/>
        <v>1.3698630136986301E-2</v>
      </c>
      <c r="S46" s="921">
        <f t="shared" ca="1" si="54"/>
        <v>6.8493150684931503E-2</v>
      </c>
      <c r="T46" s="921">
        <f t="shared" ca="1" si="55"/>
        <v>8.2191780821917804E-2</v>
      </c>
      <c r="U46" s="921">
        <f t="shared" ca="1" si="24"/>
        <v>1.0069780821917809</v>
      </c>
      <c r="V46" s="921">
        <f ca="1">IF(C46&lt;&gt;"",1/PRODUCT($U$31:U46),0)</f>
        <v>0.89325948997102289</v>
      </c>
      <c r="Z46" s="921">
        <f t="shared" ca="1" si="10"/>
        <v>764.1</v>
      </c>
      <c r="AA46" s="949">
        <f t="shared" ca="1" si="2"/>
        <v>365</v>
      </c>
      <c r="AB46" s="949">
        <f t="shared" ca="1" si="3"/>
        <v>1.3698630136986301E-2</v>
      </c>
      <c r="AC46" s="954">
        <f t="shared" ca="1" si="4"/>
        <v>6.8493150684931503E-2</v>
      </c>
      <c r="AD46" s="954">
        <f t="shared" ca="1" si="43"/>
        <v>8.2191780821917804E-2</v>
      </c>
      <c r="AE46" s="954">
        <f t="shared" ca="1" si="11"/>
        <v>1.0069780821917809</v>
      </c>
      <c r="AF46" s="954">
        <f ca="1">IF(L46&lt;=LRat,1/PRODUCT($AE$31:AE46),0)</f>
        <v>0.89325948997102289</v>
      </c>
      <c r="AG46" s="966"/>
      <c r="AH46" s="921">
        <f ca="1">IF(L46&lt;=LRat,Z46/((1+OE_wynikRRSO)^(SUM($AD$31:AD46))),0)</f>
        <v>687.48658696005384</v>
      </c>
      <c r="AI46" s="966"/>
      <c r="AO46" s="948">
        <f>IF(_NrRaty&gt;LRat,"",_NrRaty)</f>
        <v>16</v>
      </c>
      <c r="AP46" s="977">
        <f t="shared" ca="1" si="56"/>
        <v>46686</v>
      </c>
      <c r="AQ46" s="948">
        <f t="shared" ca="1" si="12"/>
        <v>764.1</v>
      </c>
      <c r="AR46" s="948">
        <f ca="1">IF(_NrRaty&lt;LRat,ROUND(AT45*$AN$20*(SUM(O46:P46)/365),2),0)+IF(_NrRaty=LRat,AQ46-AS46,0)</f>
        <v>156.41999999999999</v>
      </c>
      <c r="AS46" s="948">
        <f ca="1">IF(_NrRaty&lt;LRat,ROUND(AQ46-AR46,2),0)+IF(_NrRaty=LRat,AT45,0)</f>
        <v>607.67999999999995</v>
      </c>
      <c r="AT46" s="979">
        <f t="shared" ca="1" si="57"/>
        <v>21807.960000000006</v>
      </c>
      <c r="AU46" s="979">
        <f t="shared" si="13"/>
        <v>0</v>
      </c>
      <c r="AV46" s="1005">
        <v>0</v>
      </c>
      <c r="AX46" s="948">
        <f t="shared" ca="1" si="14"/>
        <v>764.1</v>
      </c>
      <c r="AY46" s="948">
        <f ca="1">IF(_NrRaty&lt;=LRat,IF(MOD(YEAR(N46),4)=0,OE_RP_rrso,365),0)</f>
        <v>365</v>
      </c>
      <c r="AZ46" s="948">
        <f ca="1">IF(_NrRaty&lt;=LRat,O46/AY45,0)</f>
        <v>1.3698630136986301E-2</v>
      </c>
      <c r="BA46" s="1006">
        <f ca="1">IF(_NrRaty&lt;=LRat,P46/AY46,0)</f>
        <v>6.8493150684931503E-2</v>
      </c>
      <c r="BB46" s="1006">
        <f t="shared" ca="1" si="42"/>
        <v>8.2191780821917804E-2</v>
      </c>
      <c r="BC46" s="1006">
        <f ca="1">IF(_NrRaty&lt;=LRat,1+OE_oproc*BB46,0)</f>
        <v>1.0069780821917809</v>
      </c>
      <c r="BD46" s="1006">
        <f ca="1">IF(_NrRaty&lt;=LRat,1/PRODUCT($BC$31:BC46),0)</f>
        <v>0.89325948997102289</v>
      </c>
      <c r="BF46" s="948">
        <f ca="1">IF(_NrRaty&lt;=LRat,AX46/((1+SOWK_wynikRRSO)^(SUM($BB$31:BB46))),0)</f>
        <v>687.48425215701116</v>
      </c>
      <c r="BG46" s="966"/>
      <c r="BL46" s="1023">
        <f>IF(_NrRaty&gt;LRat,"",_NrRaty)</f>
        <v>16</v>
      </c>
      <c r="BM46" s="1024">
        <f ca="1">IF(_NrRaty&gt;LRat,"",D46)</f>
        <v>46686</v>
      </c>
      <c r="BN46" s="1025">
        <f t="shared" ca="1" si="15"/>
        <v>764.1</v>
      </c>
      <c r="BO46" s="1025">
        <f t="shared" ca="1" si="16"/>
        <v>156.41999999999999</v>
      </c>
      <c r="BP46" s="1025">
        <f t="shared" ca="1" si="17"/>
        <v>607.67999999999995</v>
      </c>
      <c r="BQ46" s="1025">
        <f t="shared" ca="1" si="26"/>
        <v>21807.94</v>
      </c>
      <c r="BR46" s="1124">
        <f t="shared" si="18"/>
        <v>0</v>
      </c>
      <c r="BT46" s="1113">
        <f>IF(_NrRaty&gt;LRat,"",_NrRaty)</f>
        <v>16</v>
      </c>
      <c r="BU46" s="1023">
        <f t="shared" si="27"/>
        <v>35</v>
      </c>
      <c r="BV46" s="1114">
        <f ca="1">IF(_NrRaty&gt;LRat,"",SUM($O$31:P46))</f>
        <v>487</v>
      </c>
      <c r="BW46" s="1025">
        <f ca="1">IF(_NrRaty&gt;LRat,"",BV46/365)</f>
        <v>1.3342465753424657</v>
      </c>
      <c r="BX46" s="1025">
        <f ca="1">IF(_NrRaty&gt;LRat,"",BW46*BP46)</f>
        <v>810.79495890410954</v>
      </c>
      <c r="BY46" s="1025">
        <f ca="1">IF(_NrRaty&gt;LRat,"",BU46*BX46)</f>
        <v>28377.823561643832</v>
      </c>
    </row>
    <row r="47" spans="1:77" x14ac:dyDescent="0.25">
      <c r="A47" s="973">
        <f t="shared" ca="1" si="19"/>
        <v>0</v>
      </c>
      <c r="B47" s="924">
        <f t="shared" ca="1" si="46"/>
        <v>46717</v>
      </c>
      <c r="C47" s="658">
        <f>IF(_NrRaty&gt;LRat,"",_NrRaty)</f>
        <v>17</v>
      </c>
      <c r="D47" s="659">
        <f t="shared" ca="1" si="47"/>
        <v>46717</v>
      </c>
      <c r="E47" s="940">
        <f t="shared" ca="1" si="6"/>
        <v>764.1</v>
      </c>
      <c r="F47" s="969">
        <f t="shared" ca="1" si="7"/>
        <v>157.24998000000002</v>
      </c>
      <c r="G47" s="940">
        <f ca="1">IF(C47&lt;=LRat,ROUND(ROUND(SUM($F$30:F47),2)-SUM($G$30:G46),2),"")</f>
        <v>157.25</v>
      </c>
      <c r="H47" s="940">
        <f t="shared" ca="1" si="8"/>
        <v>606.85</v>
      </c>
      <c r="I47" s="940">
        <f t="shared" ca="1" si="20"/>
        <v>21201.09</v>
      </c>
      <c r="J47" s="940">
        <f t="shared" si="21"/>
        <v>0</v>
      </c>
      <c r="L47" s="613">
        <f>IF(_NrRaty&gt;LRat,"",_NrRaty)</f>
        <v>17</v>
      </c>
      <c r="M47" s="913">
        <f t="shared" ca="1" si="48"/>
        <v>46721</v>
      </c>
      <c r="N47" s="913">
        <f t="shared" ca="1" si="49"/>
        <v>46717</v>
      </c>
      <c r="O47" s="921">
        <f t="shared" ca="1" si="50"/>
        <v>6</v>
      </c>
      <c r="P47" s="921">
        <f t="shared" ca="1" si="51"/>
        <v>25</v>
      </c>
      <c r="Q47" s="921">
        <f t="shared" ca="1" si="52"/>
        <v>365</v>
      </c>
      <c r="R47" s="921">
        <f t="shared" ca="1" si="53"/>
        <v>1.643835616438356E-2</v>
      </c>
      <c r="S47" s="921">
        <f t="shared" ca="1" si="54"/>
        <v>6.8493150684931503E-2</v>
      </c>
      <c r="T47" s="921">
        <f t="shared" ca="1" si="55"/>
        <v>8.4931506849315067E-2</v>
      </c>
      <c r="U47" s="921">
        <f t="shared" ca="1" si="24"/>
        <v>1.0072106849315068</v>
      </c>
      <c r="V47" s="921">
        <f ca="1">IF(C47&lt;&gt;"",1/PRODUCT($U$31:U47),0)</f>
        <v>0.8868645888439588</v>
      </c>
      <c r="Z47" s="921">
        <f t="shared" ca="1" si="10"/>
        <v>764.1</v>
      </c>
      <c r="AA47" s="949">
        <f t="shared" ca="1" si="2"/>
        <v>365</v>
      </c>
      <c r="AB47" s="949">
        <f t="shared" ca="1" si="3"/>
        <v>1.643835616438356E-2</v>
      </c>
      <c r="AC47" s="954">
        <f t="shared" ca="1" si="4"/>
        <v>6.8493150684931503E-2</v>
      </c>
      <c r="AD47" s="954">
        <f t="shared" ca="1" si="43"/>
        <v>8.4931506849315067E-2</v>
      </c>
      <c r="AE47" s="954">
        <f t="shared" ca="1" si="11"/>
        <v>1.0072106849315068</v>
      </c>
      <c r="AF47" s="954">
        <f ca="1">IF(L47&lt;=LRat,1/PRODUCT($AE$31:AE47),0)</f>
        <v>0.8868645888439588</v>
      </c>
      <c r="AG47" s="966"/>
      <c r="AH47" s="921">
        <f ca="1">IF(L47&lt;=LRat,Z47/((1+OE_wynikRRSO)^(SUM($AD$31:AD47))),0)</f>
        <v>682.87836963425002</v>
      </c>
      <c r="AI47" s="966"/>
      <c r="AO47" s="948">
        <f>IF(_NrRaty&gt;LRat,"",_NrRaty)</f>
        <v>17</v>
      </c>
      <c r="AP47" s="977">
        <f t="shared" ca="1" si="56"/>
        <v>46717</v>
      </c>
      <c r="AQ47" s="948">
        <f t="shared" ca="1" si="12"/>
        <v>764.1</v>
      </c>
      <c r="AR47" s="948">
        <f ca="1">IF(_NrRaty&lt;LRat,ROUND(AT46*$AN$20*(SUM(O47:P47)/365),2),0)+IF(_NrRaty=LRat,AQ47-AS47,0)</f>
        <v>157.25</v>
      </c>
      <c r="AS47" s="948">
        <f ca="1">IF(_NrRaty&lt;LRat,ROUND(AQ47-AR47,2),0)+IF(_NrRaty=LRat,AT46,0)</f>
        <v>606.85</v>
      </c>
      <c r="AT47" s="979">
        <f t="shared" ca="1" si="57"/>
        <v>21201.110000000008</v>
      </c>
      <c r="AU47" s="979">
        <f t="shared" si="13"/>
        <v>0</v>
      </c>
      <c r="AV47" s="1005">
        <v>0</v>
      </c>
      <c r="AX47" s="948">
        <f t="shared" ca="1" si="14"/>
        <v>764.1</v>
      </c>
      <c r="AY47" s="948">
        <f ca="1">IF(_NrRaty&lt;=LRat,IF(MOD(YEAR(N47),4)=0,OE_RP_rrso,365),0)</f>
        <v>365</v>
      </c>
      <c r="AZ47" s="948">
        <f ca="1">IF(_NrRaty&lt;=LRat,O47/AY46,0)</f>
        <v>1.643835616438356E-2</v>
      </c>
      <c r="BA47" s="1006">
        <f ca="1">IF(_NrRaty&lt;=LRat,P47/AY47,0)</f>
        <v>6.8493150684931503E-2</v>
      </c>
      <c r="BB47" s="1006">
        <f t="shared" ca="1" si="42"/>
        <v>8.4931506849315067E-2</v>
      </c>
      <c r="BC47" s="1006">
        <f ca="1">IF(_NrRaty&lt;=LRat,1+OE_oproc*BB47,0)</f>
        <v>1.0072106849315068</v>
      </c>
      <c r="BD47" s="1006">
        <f ca="1">IF(_NrRaty&lt;=LRat,1/PRODUCT($BC$31:BC47),0)</f>
        <v>0.8868645888439588</v>
      </c>
      <c r="BF47" s="948">
        <f ca="1">IF(_NrRaty&lt;=LRat,AX47/((1+SOWK_wynikRRSO)^(SUM($BB$31:BB47))),0)</f>
        <v>682.87590285589306</v>
      </c>
      <c r="BG47" s="966"/>
      <c r="BL47" s="1023">
        <f>IF(_NrRaty&gt;LRat,"",_NrRaty)</f>
        <v>17</v>
      </c>
      <c r="BM47" s="1024">
        <f ca="1">IF(_NrRaty&gt;LRat,"",D47)</f>
        <v>46717</v>
      </c>
      <c r="BN47" s="1025">
        <f t="shared" ca="1" si="15"/>
        <v>764.1</v>
      </c>
      <c r="BO47" s="1025">
        <f t="shared" ca="1" si="16"/>
        <v>157.25</v>
      </c>
      <c r="BP47" s="1025">
        <f t="shared" ca="1" si="17"/>
        <v>606.85</v>
      </c>
      <c r="BQ47" s="1025">
        <f t="shared" ca="1" si="26"/>
        <v>21201.09</v>
      </c>
      <c r="BR47" s="1124">
        <f t="shared" si="18"/>
        <v>0</v>
      </c>
      <c r="BT47" s="1113">
        <f>IF(_NrRaty&gt;LRat,"",_NrRaty)</f>
        <v>17</v>
      </c>
      <c r="BU47" s="1023">
        <f t="shared" si="27"/>
        <v>35</v>
      </c>
      <c r="BV47" s="1114">
        <f ca="1">IF(_NrRaty&gt;LRat,"",SUM($O$31:P47))</f>
        <v>518</v>
      </c>
      <c r="BW47" s="1025">
        <f ca="1">IF(_NrRaty&gt;LRat,"",BV47/365)</f>
        <v>1.4191780821917808</v>
      </c>
      <c r="BX47" s="1025">
        <f ca="1">IF(_NrRaty&gt;LRat,"",BW47*BP47)</f>
        <v>861.22821917808221</v>
      </c>
      <c r="BY47" s="1025">
        <f ca="1">IF(_NrRaty&gt;LRat,"",BU47*BX47)</f>
        <v>30142.987671232877</v>
      </c>
    </row>
    <row r="48" spans="1:77" x14ac:dyDescent="0.25">
      <c r="A48" s="973">
        <f t="shared" ca="1" si="19"/>
        <v>0</v>
      </c>
      <c r="B48" s="924">
        <f t="shared" ca="1" si="46"/>
        <v>46747</v>
      </c>
      <c r="C48" s="660">
        <f>IF(_NrRaty&gt;LRat,"",_NrRaty)</f>
        <v>18</v>
      </c>
      <c r="D48" s="661">
        <f t="shared" ca="1" si="47"/>
        <v>46747</v>
      </c>
      <c r="E48" s="941">
        <f t="shared" ca="1" si="6"/>
        <v>764.1</v>
      </c>
      <c r="F48" s="970">
        <f t="shared" ca="1" si="7"/>
        <v>147.94289999999998</v>
      </c>
      <c r="G48" s="941">
        <f ca="1">IF(C48&lt;=LRat,ROUND(ROUND(SUM($F$30:F48),2)-SUM($G$30:G47),2),"")</f>
        <v>147.94</v>
      </c>
      <c r="H48" s="941">
        <f t="shared" ca="1" si="8"/>
        <v>616.16</v>
      </c>
      <c r="I48" s="941">
        <f t="shared" ca="1" si="20"/>
        <v>20584.93</v>
      </c>
      <c r="J48" s="941">
        <f t="shared" si="21"/>
        <v>0</v>
      </c>
      <c r="L48" s="613">
        <f>IF(_NrRaty&gt;LRat,"",_NrRaty)</f>
        <v>18</v>
      </c>
      <c r="M48" s="913">
        <f t="shared" ca="1" si="48"/>
        <v>46752</v>
      </c>
      <c r="N48" s="913">
        <f t="shared" ca="1" si="49"/>
        <v>46747</v>
      </c>
      <c r="O48" s="921">
        <f t="shared" ca="1" si="50"/>
        <v>5</v>
      </c>
      <c r="P48" s="921">
        <f t="shared" ca="1" si="51"/>
        <v>25</v>
      </c>
      <c r="Q48" s="921">
        <f t="shared" ca="1" si="52"/>
        <v>365</v>
      </c>
      <c r="R48" s="921">
        <f t="shared" ca="1" si="53"/>
        <v>1.3698630136986301E-2</v>
      </c>
      <c r="S48" s="921">
        <f t="shared" ca="1" si="54"/>
        <v>6.8493150684931503E-2</v>
      </c>
      <c r="T48" s="921">
        <f t="shared" ca="1" si="55"/>
        <v>8.2191780821917804E-2</v>
      </c>
      <c r="U48" s="921">
        <f t="shared" ca="1" si="24"/>
        <v>1.0069780821917809</v>
      </c>
      <c r="V48" s="921">
        <f ca="1">IF(C48&lt;&gt;"",1/PRODUCT($U$31:U48),0)</f>
        <v>0.8807188602492878</v>
      </c>
      <c r="Z48" s="921">
        <f t="shared" ca="1" si="10"/>
        <v>764.1</v>
      </c>
      <c r="AA48" s="949">
        <f t="shared" ca="1" si="2"/>
        <v>365</v>
      </c>
      <c r="AB48" s="949">
        <f t="shared" ca="1" si="3"/>
        <v>1.3698630136986301E-2</v>
      </c>
      <c r="AC48" s="954">
        <f t="shared" ca="1" si="4"/>
        <v>6.8493150684931503E-2</v>
      </c>
      <c r="AD48" s="954">
        <f t="shared" ca="1" si="43"/>
        <v>8.2191780821917804E-2</v>
      </c>
      <c r="AE48" s="954">
        <f t="shared" ca="1" si="11"/>
        <v>1.0069780821917809</v>
      </c>
      <c r="AF48" s="954">
        <f ca="1">IF(L48&lt;=LRat,1/PRODUCT($AE$31:AE48),0)</f>
        <v>0.8807188602492878</v>
      </c>
      <c r="AG48" s="966"/>
      <c r="AH48" s="921">
        <f ca="1">IF(L48&lt;=LRat,Z48/((1+OE_wynikRRSO)^(SUM($AD$31:AD48))),0)</f>
        <v>678.44821689875494</v>
      </c>
      <c r="AI48" s="966"/>
      <c r="AO48" s="948">
        <f>IF(_NrRaty&gt;LRat,"",_NrRaty)</f>
        <v>18</v>
      </c>
      <c r="AP48" s="977">
        <f t="shared" ca="1" si="56"/>
        <v>46747</v>
      </c>
      <c r="AQ48" s="948">
        <f t="shared" ca="1" si="12"/>
        <v>764.1</v>
      </c>
      <c r="AR48" s="948">
        <f ca="1">IF(_NrRaty&lt;LRat,ROUND(AT47*$AN$20*(SUM(O48:P48)/365),2),0)+IF(_NrRaty=LRat,AQ48-AS48,0)</f>
        <v>147.94</v>
      </c>
      <c r="AS48" s="948">
        <f ca="1">IF(_NrRaty&lt;LRat,ROUND(AQ48-AR48,2),0)+IF(_NrRaty=LRat,AT47,0)</f>
        <v>616.16</v>
      </c>
      <c r="AT48" s="979">
        <f t="shared" ref="AT48:AT111" ca="1" si="58">AT47-AS48</f>
        <v>20584.950000000008</v>
      </c>
      <c r="AU48" s="979">
        <f t="shared" si="13"/>
        <v>0</v>
      </c>
      <c r="AV48" s="1005">
        <v>0</v>
      </c>
      <c r="AX48" s="948">
        <f t="shared" ca="1" si="14"/>
        <v>764.1</v>
      </c>
      <c r="AY48" s="948">
        <f ca="1">IF(_NrRaty&lt;=LRat,IF(MOD(YEAR(N48),4)=0,OE_RP_rrso,365),0)</f>
        <v>365</v>
      </c>
      <c r="AZ48" s="948">
        <f ca="1">IF(_NrRaty&lt;=LRat,O48/AY47,0)</f>
        <v>1.3698630136986301E-2</v>
      </c>
      <c r="BA48" s="1006">
        <f ca="1">IF(_NrRaty&lt;=LRat,P48/AY48,0)</f>
        <v>6.8493150684931503E-2</v>
      </c>
      <c r="BB48" s="1006">
        <f t="shared" ca="1" si="42"/>
        <v>8.2191780821917804E-2</v>
      </c>
      <c r="BC48" s="1006">
        <f ca="1">IF(_NrRaty&lt;=LRat,1+OE_oproc*BB48,0)</f>
        <v>1.0069780821917809</v>
      </c>
      <c r="BD48" s="1006">
        <f ca="1">IF(_NrRaty&lt;=LRat,1/PRODUCT($BC$31:BC48),0)</f>
        <v>0.8807188602492878</v>
      </c>
      <c r="BF48" s="948">
        <f ca="1">IF(_NrRaty&lt;=LRat,AX48/((1+SOWK_wynikRRSO)^(SUM($BB$31:BB48))),0)</f>
        <v>678.44562418703106</v>
      </c>
      <c r="BG48" s="966"/>
      <c r="BL48" s="1023">
        <f>IF(_NrRaty&gt;LRat,"",_NrRaty)</f>
        <v>18</v>
      </c>
      <c r="BM48" s="1024">
        <f ca="1">IF(_NrRaty&gt;LRat,"",D48)</f>
        <v>46747</v>
      </c>
      <c r="BN48" s="1025">
        <f t="shared" ca="1" si="15"/>
        <v>764.1</v>
      </c>
      <c r="BO48" s="1025">
        <f t="shared" ca="1" si="16"/>
        <v>147.94</v>
      </c>
      <c r="BP48" s="1025">
        <f t="shared" ca="1" si="17"/>
        <v>616.16</v>
      </c>
      <c r="BQ48" s="1025">
        <f t="shared" ca="1" si="26"/>
        <v>20584.93</v>
      </c>
      <c r="BR48" s="1124">
        <f t="shared" si="18"/>
        <v>0</v>
      </c>
      <c r="BT48" s="1113">
        <f>IF(_NrRaty&gt;LRat,"",_NrRaty)</f>
        <v>18</v>
      </c>
      <c r="BU48" s="1023">
        <f t="shared" si="27"/>
        <v>35</v>
      </c>
      <c r="BV48" s="1114">
        <f ca="1">IF(_NrRaty&gt;LRat,"",SUM($O$31:P48))</f>
        <v>548</v>
      </c>
      <c r="BW48" s="1025">
        <f ca="1">IF(_NrRaty&gt;LRat,"",BV48/365)</f>
        <v>1.5013698630136987</v>
      </c>
      <c r="BX48" s="1025">
        <f ca="1">IF(_NrRaty&gt;LRat,"",BW48*BP48)</f>
        <v>925.08405479452051</v>
      </c>
      <c r="BY48" s="1025">
        <f ca="1">IF(_NrRaty&gt;LRat,"",BU48*BX48)</f>
        <v>32377.941917808217</v>
      </c>
    </row>
    <row r="49" spans="1:77" x14ac:dyDescent="0.25">
      <c r="A49" s="973">
        <f t="shared" ca="1" si="19"/>
        <v>0</v>
      </c>
      <c r="B49" s="924">
        <f t="shared" ca="1" si="46"/>
        <v>46778</v>
      </c>
      <c r="C49" s="658">
        <f>IF(_NrRaty&gt;LRat,"",_NrRaty)</f>
        <v>19</v>
      </c>
      <c r="D49" s="659">
        <f t="shared" ca="1" si="47"/>
        <v>46778</v>
      </c>
      <c r="E49" s="940">
        <f t="shared" ca="1" si="6"/>
        <v>764.1</v>
      </c>
      <c r="F49" s="969">
        <f t="shared" ca="1" si="7"/>
        <v>148.43141</v>
      </c>
      <c r="G49" s="940">
        <f ca="1">IF(C49&lt;=LRat,ROUND(ROUND(SUM($F$30:F49),2)-SUM($G$30:G48),2),"")</f>
        <v>148.44</v>
      </c>
      <c r="H49" s="940">
        <f t="shared" ca="1" si="8"/>
        <v>615.66</v>
      </c>
      <c r="I49" s="940">
        <f t="shared" ca="1" si="20"/>
        <v>19969.27</v>
      </c>
      <c r="J49" s="940">
        <f t="shared" si="21"/>
        <v>0</v>
      </c>
      <c r="L49" s="613">
        <f>IF(_NrRaty&gt;LRat,"",_NrRaty)</f>
        <v>19</v>
      </c>
      <c r="M49" s="913">
        <f t="shared" ca="1" si="48"/>
        <v>46783</v>
      </c>
      <c r="N49" s="913">
        <f t="shared" ca="1" si="49"/>
        <v>46778</v>
      </c>
      <c r="O49" s="921">
        <f t="shared" ca="1" si="50"/>
        <v>6</v>
      </c>
      <c r="P49" s="921">
        <f t="shared" ca="1" si="51"/>
        <v>25</v>
      </c>
      <c r="Q49" s="921">
        <f t="shared" ca="1" si="52"/>
        <v>365</v>
      </c>
      <c r="R49" s="921">
        <f t="shared" ca="1" si="53"/>
        <v>1.643835616438356E-2</v>
      </c>
      <c r="S49" s="921">
        <f t="shared" ca="1" si="54"/>
        <v>6.8493150684931503E-2</v>
      </c>
      <c r="T49" s="921">
        <f t="shared" ca="1" si="55"/>
        <v>8.4931506849315067E-2</v>
      </c>
      <c r="U49" s="921">
        <f t="shared" ca="1" si="24"/>
        <v>1.0072106849315068</v>
      </c>
      <c r="V49" s="921">
        <f ca="1">IF(C49&lt;&gt;"",1/PRODUCT($U$31:U49),0)</f>
        <v>0.87441373828274993</v>
      </c>
      <c r="Z49" s="921">
        <f t="shared" ca="1" si="10"/>
        <v>764.1</v>
      </c>
      <c r="AA49" s="949">
        <f t="shared" ca="1" si="2"/>
        <v>366</v>
      </c>
      <c r="AB49" s="949">
        <f t="shared" ca="1" si="3"/>
        <v>1.643835616438356E-2</v>
      </c>
      <c r="AC49" s="954">
        <f t="shared" ca="1" si="4"/>
        <v>6.8306010928961755E-2</v>
      </c>
      <c r="AD49" s="954">
        <f t="shared" ca="1" si="43"/>
        <v>8.4744367093345319E-2</v>
      </c>
      <c r="AE49" s="954">
        <f t="shared" ca="1" si="11"/>
        <v>1.0071947967662249</v>
      </c>
      <c r="AF49" s="954">
        <f ca="1">IF(L49&lt;=LRat,1/PRODUCT($AE$31:AE49),0)</f>
        <v>0.87442753187068667</v>
      </c>
      <c r="AG49" s="966"/>
      <c r="AH49" s="921">
        <f ca="1">IF(L49&lt;=LRat,Z49/((1+OE_wynikRRSO)^(SUM($AD$31:AD49))),0)</f>
        <v>673.91057045841126</v>
      </c>
      <c r="AI49" s="966"/>
      <c r="AO49" s="948">
        <f>IF(_NrRaty&gt;LRat,"",_NrRaty)</f>
        <v>19</v>
      </c>
      <c r="AP49" s="977">
        <f t="shared" ca="1" si="56"/>
        <v>46778</v>
      </c>
      <c r="AQ49" s="948">
        <f t="shared" ca="1" si="12"/>
        <v>764.1</v>
      </c>
      <c r="AR49" s="948">
        <f ca="1">IF(_NrRaty&lt;LRat,ROUND(AT48*$AN$20*(SUM(O49:P49)/365),2),0)+IF(_NrRaty=LRat,AQ49-AS49,0)</f>
        <v>148.43</v>
      </c>
      <c r="AS49" s="948">
        <f ca="1">IF(_NrRaty&lt;LRat,ROUND(AQ49-AR49,2),0)+IF(_NrRaty=LRat,AT48,0)</f>
        <v>615.66999999999996</v>
      </c>
      <c r="AT49" s="979">
        <f t="shared" ca="1" si="58"/>
        <v>19969.28000000001</v>
      </c>
      <c r="AU49" s="979">
        <f t="shared" si="13"/>
        <v>0</v>
      </c>
      <c r="AV49" s="1005">
        <v>0</v>
      </c>
      <c r="AX49" s="948">
        <f t="shared" ca="1" si="14"/>
        <v>764.1</v>
      </c>
      <c r="AY49" s="948">
        <f ca="1">IF(_NrRaty&lt;=LRat,IF(MOD(YEAR(N49),4)=0,OE_RP_rrso,365),0)</f>
        <v>366</v>
      </c>
      <c r="AZ49" s="948">
        <f ca="1">IF(_NrRaty&lt;=LRat,O49/AY48,0)</f>
        <v>1.643835616438356E-2</v>
      </c>
      <c r="BA49" s="1006">
        <f ca="1">IF(_NrRaty&lt;=LRat,P49/AY49,0)</f>
        <v>6.8306010928961755E-2</v>
      </c>
      <c r="BB49" s="1006">
        <f t="shared" ca="1" si="42"/>
        <v>8.4744367093345319E-2</v>
      </c>
      <c r="BC49" s="1006">
        <f ca="1">IF(_NrRaty&lt;=LRat,1+OE_oproc*BB49,0)</f>
        <v>1.0071947967662249</v>
      </c>
      <c r="BD49" s="1006">
        <f ca="1">IF(_NrRaty&lt;=LRat,1/PRODUCT($BC$31:BC49),0)</f>
        <v>0.87442753187068667</v>
      </c>
      <c r="BF49" s="948">
        <f ca="1">IF(_NrRaty&lt;=LRat,AX49/((1+SOWK_wynikRRSO)^(SUM($BB$31:BB49))),0)</f>
        <v>673.907849721709</v>
      </c>
      <c r="BL49" s="1023">
        <f>IF(_NrRaty&gt;LRat,"",_NrRaty)</f>
        <v>19</v>
      </c>
      <c r="BM49" s="1024">
        <f ca="1">IF(_NrRaty&gt;LRat,"",D49)</f>
        <v>46778</v>
      </c>
      <c r="BN49" s="1025">
        <f t="shared" ca="1" si="15"/>
        <v>764.1</v>
      </c>
      <c r="BO49" s="1025">
        <f t="shared" ca="1" si="16"/>
        <v>148.44</v>
      </c>
      <c r="BP49" s="1025">
        <f t="shared" ca="1" si="17"/>
        <v>615.66</v>
      </c>
      <c r="BQ49" s="1025">
        <f t="shared" ca="1" si="26"/>
        <v>19969.27</v>
      </c>
      <c r="BR49" s="1124">
        <f t="shared" si="18"/>
        <v>0</v>
      </c>
      <c r="BT49" s="1113">
        <f>IF(_NrRaty&gt;LRat,"",_NrRaty)</f>
        <v>19</v>
      </c>
      <c r="BU49" s="1023">
        <f t="shared" si="27"/>
        <v>35</v>
      </c>
      <c r="BV49" s="1114">
        <f ca="1">IF(_NrRaty&gt;LRat,"",SUM($O$31:P49))</f>
        <v>579</v>
      </c>
      <c r="BW49" s="1025">
        <f ca="1">IF(_NrRaty&gt;LRat,"",BV49/365)</f>
        <v>1.5863013698630137</v>
      </c>
      <c r="BX49" s="1025">
        <f ca="1">IF(_NrRaty&gt;LRat,"",BW49*BP49)</f>
        <v>976.62230136986295</v>
      </c>
      <c r="BY49" s="1025">
        <f ca="1">IF(_NrRaty&gt;LRat,"",BU49*BX49)</f>
        <v>34181.7805479452</v>
      </c>
    </row>
    <row r="50" spans="1:77" x14ac:dyDescent="0.25">
      <c r="A50" s="973">
        <f t="shared" ca="1" si="19"/>
        <v>0</v>
      </c>
      <c r="B50" s="924">
        <f t="shared" ca="1" si="46"/>
        <v>46809</v>
      </c>
      <c r="C50" s="660">
        <f>IF(_NrRaty&gt;LRat,"",_NrRaty)</f>
        <v>20</v>
      </c>
      <c r="D50" s="661">
        <f t="shared" ca="1" si="47"/>
        <v>46809</v>
      </c>
      <c r="E50" s="941">
        <f t="shared" ca="1" si="6"/>
        <v>764.1</v>
      </c>
      <c r="F50" s="970">
        <f t="shared" ca="1" si="7"/>
        <v>143.99189999999999</v>
      </c>
      <c r="G50" s="941">
        <f ca="1">IF(C50&lt;=LRat,ROUND(ROUND(SUM($F$30:F50),2)-SUM($G$30:G49),2),"")</f>
        <v>143.99</v>
      </c>
      <c r="H50" s="941">
        <f t="shared" ca="1" si="8"/>
        <v>620.11</v>
      </c>
      <c r="I50" s="941">
        <f t="shared" ca="1" si="20"/>
        <v>19349.16</v>
      </c>
      <c r="J50" s="941">
        <f t="shared" si="21"/>
        <v>0</v>
      </c>
      <c r="L50" s="613">
        <f>IF(_NrRaty&gt;LRat,"",_NrRaty)</f>
        <v>20</v>
      </c>
      <c r="M50" s="913">
        <f t="shared" ca="1" si="48"/>
        <v>46812</v>
      </c>
      <c r="N50" s="913">
        <f t="shared" ca="1" si="49"/>
        <v>46809</v>
      </c>
      <c r="O50" s="921">
        <f t="shared" ca="1" si="50"/>
        <v>6</v>
      </c>
      <c r="P50" s="921">
        <f t="shared" ca="1" si="51"/>
        <v>25</v>
      </c>
      <c r="Q50" s="921">
        <f t="shared" ca="1" si="52"/>
        <v>365</v>
      </c>
      <c r="R50" s="921">
        <f t="shared" ca="1" si="53"/>
        <v>1.643835616438356E-2</v>
      </c>
      <c r="S50" s="921">
        <f t="shared" ca="1" si="54"/>
        <v>6.8493150684931503E-2</v>
      </c>
      <c r="T50" s="921">
        <f t="shared" ca="1" si="55"/>
        <v>8.4931506849315067E-2</v>
      </c>
      <c r="U50" s="921">
        <f t="shared" ca="1" si="24"/>
        <v>1.0072106849315068</v>
      </c>
      <c r="V50" s="921">
        <f ca="1">IF(C50&lt;&gt;"",1/PRODUCT($U$31:U50),0)</f>
        <v>0.86815375508274373</v>
      </c>
      <c r="Z50" s="921">
        <f t="shared" ca="1" si="10"/>
        <v>764.1</v>
      </c>
      <c r="AA50" s="949">
        <f t="shared" ca="1" si="2"/>
        <v>366</v>
      </c>
      <c r="AB50" s="949">
        <f t="shared" ca="1" si="3"/>
        <v>1.6393442622950821E-2</v>
      </c>
      <c r="AC50" s="954">
        <f t="shared" ca="1" si="4"/>
        <v>6.8306010928961755E-2</v>
      </c>
      <c r="AD50" s="954">
        <f t="shared" ca="1" si="43"/>
        <v>8.4699453551912579E-2</v>
      </c>
      <c r="AE50" s="954">
        <f t="shared" ca="1" si="11"/>
        <v>1.0071909836065573</v>
      </c>
      <c r="AF50" s="954">
        <f ca="1">IF(L50&lt;=LRat,1/PRODUCT($AE$31:AE50),0)</f>
        <v>0.86818443185375793</v>
      </c>
      <c r="AG50" s="966"/>
      <c r="AH50" s="921">
        <f ca="1">IF(L50&lt;=LRat,Z50/((1+OE_wynikRRSO)^(SUM($AD$31:AD50))),0)</f>
        <v>669.40565384694014</v>
      </c>
      <c r="AI50" s="966"/>
      <c r="AO50" s="948">
        <f>IF(_NrRaty&gt;LRat,"",_NrRaty)</f>
        <v>20</v>
      </c>
      <c r="AP50" s="977">
        <f t="shared" ca="1" si="56"/>
        <v>46809</v>
      </c>
      <c r="AQ50" s="948">
        <f t="shared" ca="1" si="12"/>
        <v>764.1</v>
      </c>
      <c r="AR50" s="948">
        <f ca="1">IF(_NrRaty&lt;LRat,ROUND(AT49*$AN$20*(SUM(O50:P50)/365),2),0)+IF(_NrRaty=LRat,AQ50-AS50,0)</f>
        <v>143.99</v>
      </c>
      <c r="AS50" s="948">
        <f ca="1">IF(_NrRaty&lt;LRat,ROUND(AQ50-AR50,2),0)+IF(_NrRaty=LRat,AT49,0)</f>
        <v>620.11</v>
      </c>
      <c r="AT50" s="979">
        <f t="shared" ca="1" si="58"/>
        <v>19349.170000000009</v>
      </c>
      <c r="AU50" s="979">
        <f t="shared" si="13"/>
        <v>0</v>
      </c>
      <c r="AV50" s="1005">
        <v>0</v>
      </c>
      <c r="AX50" s="948">
        <f t="shared" ca="1" si="14"/>
        <v>764.1</v>
      </c>
      <c r="AY50" s="948">
        <f ca="1">IF(_NrRaty&lt;=LRat,IF(MOD(YEAR(N50),4)=0,OE_RP_rrso,365),0)</f>
        <v>366</v>
      </c>
      <c r="AZ50" s="948">
        <f ca="1">IF(_NrRaty&lt;=LRat,O50/AY49,0)</f>
        <v>1.6393442622950821E-2</v>
      </c>
      <c r="BA50" s="1006">
        <f ca="1">IF(_NrRaty&lt;=LRat,P50/AY50,0)</f>
        <v>6.8306010928961755E-2</v>
      </c>
      <c r="BB50" s="1006">
        <f t="shared" ca="1" si="42"/>
        <v>8.4699453551912579E-2</v>
      </c>
      <c r="BC50" s="1006">
        <f ca="1">IF(_NrRaty&lt;=LRat,1+OE_oproc*BB50,0)</f>
        <v>1.0071909836065573</v>
      </c>
      <c r="BD50" s="1006">
        <f ca="1">IF(_NrRaty&lt;=LRat,1/PRODUCT($BC$31:BC50),0)</f>
        <v>0.86818443185375793</v>
      </c>
      <c r="BF50" s="948">
        <f ca="1">IF(_NrRaty&lt;=LRat,AX50/((1+SOWK_wynikRRSO)^(SUM($BB$31:BB50))),0)</f>
        <v>669.40280698020422</v>
      </c>
      <c r="BL50" s="1023">
        <f>IF(_NrRaty&gt;LRat,"",_NrRaty)</f>
        <v>20</v>
      </c>
      <c r="BM50" s="1024">
        <f ca="1">IF(_NrRaty&gt;LRat,"",D50)</f>
        <v>46809</v>
      </c>
      <c r="BN50" s="1025">
        <f t="shared" ca="1" si="15"/>
        <v>764.1</v>
      </c>
      <c r="BO50" s="1025">
        <f t="shared" ca="1" si="16"/>
        <v>143.99</v>
      </c>
      <c r="BP50" s="1025">
        <f t="shared" ca="1" si="17"/>
        <v>620.11</v>
      </c>
      <c r="BQ50" s="1025">
        <f t="shared" ca="1" si="26"/>
        <v>19349.16</v>
      </c>
      <c r="BR50" s="1124">
        <f t="shared" si="18"/>
        <v>0</v>
      </c>
      <c r="BT50" s="1113">
        <f>IF(_NrRaty&gt;LRat,"",_NrRaty)</f>
        <v>20</v>
      </c>
      <c r="BU50" s="1023">
        <f t="shared" si="27"/>
        <v>35</v>
      </c>
      <c r="BV50" s="1114">
        <f ca="1">IF(_NrRaty&gt;LRat,"",SUM($O$31:P50))</f>
        <v>610</v>
      </c>
      <c r="BW50" s="1025">
        <f ca="1">IF(_NrRaty&gt;LRat,"",BV50/365)</f>
        <v>1.6712328767123288</v>
      </c>
      <c r="BX50" s="1025">
        <f ca="1">IF(_NrRaty&gt;LRat,"",BW50*BP50)</f>
        <v>1036.3482191780822</v>
      </c>
      <c r="BY50" s="1025">
        <f ca="1">IF(_NrRaty&gt;LRat,"",BU50*BX50)</f>
        <v>36272.187671232881</v>
      </c>
    </row>
    <row r="51" spans="1:77" x14ac:dyDescent="0.25">
      <c r="A51" s="973">
        <f t="shared" ca="1" si="19"/>
        <v>0</v>
      </c>
      <c r="B51" s="924">
        <f t="shared" ca="1" si="46"/>
        <v>46838</v>
      </c>
      <c r="C51" s="658">
        <f>IF(_NrRaty&gt;LRat,"",_NrRaty)</f>
        <v>21</v>
      </c>
      <c r="D51" s="659">
        <f t="shared" ca="1" si="47"/>
        <v>46838</v>
      </c>
      <c r="E51" s="940">
        <f t="shared" ca="1" si="6"/>
        <v>764.1</v>
      </c>
      <c r="F51" s="969">
        <f t="shared" ca="1" si="7"/>
        <v>130.51913999999999</v>
      </c>
      <c r="G51" s="940">
        <f ca="1">IF(C51&lt;=LRat,ROUND(ROUND(SUM($F$30:F51),2)-SUM($G$30:G50),2),"")</f>
        <v>130.52000000000001</v>
      </c>
      <c r="H51" s="940">
        <f t="shared" ca="1" si="8"/>
        <v>633.58000000000004</v>
      </c>
      <c r="I51" s="940">
        <f t="shared" ca="1" si="20"/>
        <v>18715.580000000002</v>
      </c>
      <c r="J51" s="940">
        <f t="shared" si="21"/>
        <v>0</v>
      </c>
      <c r="L51" s="613">
        <f>IF(_NrRaty&gt;LRat,"",_NrRaty)</f>
        <v>21</v>
      </c>
      <c r="M51" s="913">
        <f t="shared" ca="1" si="48"/>
        <v>46843</v>
      </c>
      <c r="N51" s="913">
        <f t="shared" ca="1" si="49"/>
        <v>46838</v>
      </c>
      <c r="O51" s="921">
        <f t="shared" ca="1" si="50"/>
        <v>4</v>
      </c>
      <c r="P51" s="921">
        <f t="shared" ca="1" si="51"/>
        <v>25</v>
      </c>
      <c r="Q51" s="921">
        <f t="shared" ca="1" si="52"/>
        <v>365</v>
      </c>
      <c r="R51" s="921">
        <f t="shared" ca="1" si="53"/>
        <v>1.0958904109589041E-2</v>
      </c>
      <c r="S51" s="921">
        <f t="shared" ca="1" si="54"/>
        <v>6.8493150684931503E-2</v>
      </c>
      <c r="T51" s="921">
        <f t="shared" ca="1" si="55"/>
        <v>7.9452054794520541E-2</v>
      </c>
      <c r="U51" s="921">
        <f t="shared" ca="1" si="24"/>
        <v>1.0067454794520547</v>
      </c>
      <c r="V51" s="921">
        <f ca="1">IF(C51&lt;&gt;"",1/PRODUCT($U$31:U51),0)</f>
        <v>0.86233687938212267</v>
      </c>
      <c r="Z51" s="921">
        <f t="shared" ca="1" si="10"/>
        <v>764.1</v>
      </c>
      <c r="AA51" s="949">
        <f t="shared" ca="1" si="2"/>
        <v>366</v>
      </c>
      <c r="AB51" s="949">
        <f t="shared" ca="1" si="3"/>
        <v>1.092896174863388E-2</v>
      </c>
      <c r="AC51" s="954">
        <f t="shared" ca="1" si="4"/>
        <v>6.8306010928961755E-2</v>
      </c>
      <c r="AD51" s="954">
        <f t="shared" ca="1" si="43"/>
        <v>7.9234972677595633E-2</v>
      </c>
      <c r="AE51" s="954">
        <f t="shared" ca="1" si="11"/>
        <v>1.006727049180328</v>
      </c>
      <c r="AF51" s="954">
        <f ca="1">IF(L51&lt;=LRat,1/PRODUCT($AE$31:AE51),0)</f>
        <v>0.86238313807166433</v>
      </c>
      <c r="AG51" s="966"/>
      <c r="AH51" s="921">
        <f ca="1">IF(L51&lt;=LRat,Z51/((1+OE_wynikRRSO)^(SUM($AD$31:AD51))),0)</f>
        <v>665.21864353286389</v>
      </c>
      <c r="AI51" s="966"/>
      <c r="AO51" s="948">
        <f>IF(_NrRaty&gt;LRat,"",_NrRaty)</f>
        <v>21</v>
      </c>
      <c r="AP51" s="977">
        <f t="shared" ca="1" si="56"/>
        <v>46838</v>
      </c>
      <c r="AQ51" s="948">
        <f t="shared" ca="1" si="12"/>
        <v>764.1</v>
      </c>
      <c r="AR51" s="948">
        <f ca="1">IF(_NrRaty&lt;LRat,ROUND(AT50*$AN$20*(SUM(O51:P51)/365),2),0)+IF(_NrRaty=LRat,AQ51-AS51,0)</f>
        <v>130.52000000000001</v>
      </c>
      <c r="AS51" s="948">
        <f ca="1">IF(_NrRaty&lt;LRat,ROUND(AQ51-AR51,2),0)+IF(_NrRaty=LRat,AT50,0)</f>
        <v>633.58000000000004</v>
      </c>
      <c r="AT51" s="979">
        <f t="shared" ca="1" si="58"/>
        <v>18715.590000000007</v>
      </c>
      <c r="AU51" s="979">
        <f t="shared" si="13"/>
        <v>0</v>
      </c>
      <c r="AV51" s="1005">
        <v>0</v>
      </c>
      <c r="AX51" s="948">
        <f t="shared" ca="1" si="14"/>
        <v>764.1</v>
      </c>
      <c r="AY51" s="948">
        <f ca="1">IF(_NrRaty&lt;=LRat,IF(MOD(YEAR(N51),4)=0,OE_RP_rrso,365),0)</f>
        <v>366</v>
      </c>
      <c r="AZ51" s="948">
        <f ca="1">IF(_NrRaty&lt;=LRat,O51/AY50,0)</f>
        <v>1.092896174863388E-2</v>
      </c>
      <c r="BA51" s="1006">
        <f ca="1">IF(_NrRaty&lt;=LRat,P51/AY51,0)</f>
        <v>6.8306010928961755E-2</v>
      </c>
      <c r="BB51" s="1006">
        <f t="shared" ca="1" si="42"/>
        <v>7.9234972677595633E-2</v>
      </c>
      <c r="BC51" s="1006">
        <f ca="1">IF(_NrRaty&lt;=LRat,1+OE_oproc*BB51,0)</f>
        <v>1.006727049180328</v>
      </c>
      <c r="BD51" s="1006">
        <f ca="1">IF(_NrRaty&lt;=LRat,1/PRODUCT($BC$31:BC51),0)</f>
        <v>0.86238313807166433</v>
      </c>
      <c r="BF51" s="948">
        <f ca="1">IF(_NrRaty&lt;=LRat,AX51/((1+SOWK_wynikRRSO)^(SUM($BB$31:BB51))),0)</f>
        <v>665.21568031058348</v>
      </c>
      <c r="BL51" s="1023">
        <f>IF(_NrRaty&gt;LRat,"",_NrRaty)</f>
        <v>21</v>
      </c>
      <c r="BM51" s="1024">
        <f ca="1">IF(_NrRaty&gt;LRat,"",D51)</f>
        <v>46838</v>
      </c>
      <c r="BN51" s="1025">
        <f t="shared" ca="1" si="15"/>
        <v>764.1</v>
      </c>
      <c r="BO51" s="1025">
        <f t="shared" ca="1" si="16"/>
        <v>130.52000000000001</v>
      </c>
      <c r="BP51" s="1025">
        <f t="shared" ca="1" si="17"/>
        <v>633.58000000000004</v>
      </c>
      <c r="BQ51" s="1025">
        <f t="shared" ca="1" si="26"/>
        <v>18715.580000000002</v>
      </c>
      <c r="BR51" s="1124">
        <f t="shared" si="18"/>
        <v>0</v>
      </c>
      <c r="BT51" s="1113">
        <f>IF(_NrRaty&gt;LRat,"",_NrRaty)</f>
        <v>21</v>
      </c>
      <c r="BU51" s="1023">
        <f t="shared" si="27"/>
        <v>35</v>
      </c>
      <c r="BV51" s="1114">
        <f ca="1">IF(_NrRaty&gt;LRat,"",SUM($O$31:P51))</f>
        <v>639</v>
      </c>
      <c r="BW51" s="1025">
        <f ca="1">IF(_NrRaty&gt;LRat,"",BV51/365)</f>
        <v>1.7506849315068493</v>
      </c>
      <c r="BX51" s="1025">
        <f ca="1">IF(_NrRaty&gt;LRat,"",BW51*BP51)</f>
        <v>1109.1989589041098</v>
      </c>
      <c r="BY51" s="1025">
        <f ca="1">IF(_NrRaty&gt;LRat,"",BU51*BX51)</f>
        <v>38821.963561643839</v>
      </c>
    </row>
    <row r="52" spans="1:77" x14ac:dyDescent="0.25">
      <c r="A52" s="973">
        <f t="shared" ca="1" si="19"/>
        <v>0</v>
      </c>
      <c r="B52" s="924">
        <f t="shared" ca="1" si="46"/>
        <v>46869</v>
      </c>
      <c r="C52" s="660">
        <f>IF(_NrRaty&gt;LRat,"",_NrRaty)</f>
        <v>22</v>
      </c>
      <c r="D52" s="661">
        <f t="shared" ca="1" si="47"/>
        <v>46869</v>
      </c>
      <c r="E52" s="941">
        <f t="shared" ca="1" si="6"/>
        <v>764.1</v>
      </c>
      <c r="F52" s="970">
        <f t="shared" ca="1" si="7"/>
        <v>134.95199000000002</v>
      </c>
      <c r="G52" s="941">
        <f ca="1">IF(C52&lt;=LRat,ROUND(ROUND(SUM($F$30:F52),2)-SUM($G$30:G51),2),"")</f>
        <v>134.94999999999999</v>
      </c>
      <c r="H52" s="941">
        <f t="shared" ca="1" si="8"/>
        <v>629.15</v>
      </c>
      <c r="I52" s="941">
        <f t="shared" ca="1" si="20"/>
        <v>18086.43</v>
      </c>
      <c r="J52" s="941">
        <f t="shared" si="21"/>
        <v>0</v>
      </c>
      <c r="L52" s="613">
        <f>IF(_NrRaty&gt;LRat,"",_NrRaty)</f>
        <v>22</v>
      </c>
      <c r="M52" s="913">
        <f t="shared" ca="1" si="48"/>
        <v>46873</v>
      </c>
      <c r="N52" s="913">
        <f t="shared" ca="1" si="49"/>
        <v>46869</v>
      </c>
      <c r="O52" s="921">
        <f t="shared" ca="1" si="50"/>
        <v>6</v>
      </c>
      <c r="P52" s="921">
        <f t="shared" ca="1" si="51"/>
        <v>25</v>
      </c>
      <c r="Q52" s="921">
        <f t="shared" ca="1" si="52"/>
        <v>365</v>
      </c>
      <c r="R52" s="921">
        <f t="shared" ca="1" si="53"/>
        <v>1.643835616438356E-2</v>
      </c>
      <c r="S52" s="921">
        <f t="shared" ca="1" si="54"/>
        <v>6.8493150684931503E-2</v>
      </c>
      <c r="T52" s="921">
        <f t="shared" ca="1" si="55"/>
        <v>8.4931506849315067E-2</v>
      </c>
      <c r="U52" s="921">
        <f t="shared" ca="1" si="24"/>
        <v>1.0072106849315068</v>
      </c>
      <c r="V52" s="921">
        <f ca="1">IF(C52&lt;&gt;"",1/PRODUCT($U$31:U52),0)</f>
        <v>0.85616335517803221</v>
      </c>
      <c r="Z52" s="921">
        <f t="shared" ca="1" si="10"/>
        <v>764.1</v>
      </c>
      <c r="AA52" s="949">
        <f t="shared" ca="1" si="2"/>
        <v>366</v>
      </c>
      <c r="AB52" s="949">
        <f t="shared" ca="1" si="3"/>
        <v>1.6393442622950821E-2</v>
      </c>
      <c r="AC52" s="954">
        <f t="shared" ca="1" si="4"/>
        <v>6.8306010928961755E-2</v>
      </c>
      <c r="AD52" s="954">
        <f t="shared" ca="1" si="43"/>
        <v>8.4699453551912579E-2</v>
      </c>
      <c r="AE52" s="954">
        <f t="shared" ca="1" si="11"/>
        <v>1.0071909836065573</v>
      </c>
      <c r="AF52" s="954">
        <f ca="1">IF(L52&lt;=LRat,1/PRODUCT($AE$31:AE52),0)</f>
        <v>0.85622603072124026</v>
      </c>
      <c r="AG52" s="966"/>
      <c r="AH52" s="921">
        <f ca="1">IF(L52&lt;=LRat,Z52/((1+OE_wynikRRSO)^(SUM($AD$31:AD52))),0)</f>
        <v>660.77183018866469</v>
      </c>
      <c r="AI52" s="966"/>
      <c r="AO52" s="948">
        <f>IF(_NrRaty&gt;LRat,"",_NrRaty)</f>
        <v>22</v>
      </c>
      <c r="AP52" s="977">
        <f t="shared" ca="1" si="56"/>
        <v>46869</v>
      </c>
      <c r="AQ52" s="948">
        <f t="shared" ca="1" si="12"/>
        <v>764.1</v>
      </c>
      <c r="AR52" s="948">
        <f ca="1">IF(_NrRaty&lt;LRat,ROUND(AT51*$AN$20*(SUM(O52:P52)/365),2),0)+IF(_NrRaty=LRat,AQ52-AS52,0)</f>
        <v>134.94999999999999</v>
      </c>
      <c r="AS52" s="948">
        <f ca="1">IF(_NrRaty&lt;LRat,ROUND(AQ52-AR52,2),0)+IF(_NrRaty=LRat,AT51,0)</f>
        <v>629.15</v>
      </c>
      <c r="AT52" s="979">
        <f t="shared" ca="1" si="58"/>
        <v>18086.440000000006</v>
      </c>
      <c r="AU52" s="979">
        <f t="shared" si="13"/>
        <v>0</v>
      </c>
      <c r="AV52" s="1005">
        <v>0</v>
      </c>
      <c r="AX52" s="948">
        <f t="shared" ca="1" si="14"/>
        <v>764.1</v>
      </c>
      <c r="AY52" s="948">
        <f ca="1">IF(_NrRaty&lt;=LRat,IF(MOD(YEAR(N52),4)=0,OE_RP_rrso,365),0)</f>
        <v>366</v>
      </c>
      <c r="AZ52" s="948">
        <f ca="1">IF(_NrRaty&lt;=LRat,O52/AY51,0)</f>
        <v>1.6393442622950821E-2</v>
      </c>
      <c r="BA52" s="1006">
        <f ca="1">IF(_NrRaty&lt;=LRat,P52/AY52,0)</f>
        <v>6.8306010928961755E-2</v>
      </c>
      <c r="BB52" s="1006">
        <f t="shared" ca="1" si="42"/>
        <v>8.4699453551912579E-2</v>
      </c>
      <c r="BC52" s="1006">
        <f ca="1">IF(_NrRaty&lt;=LRat,1+OE_oproc*BB52,0)</f>
        <v>1.0071909836065573</v>
      </c>
      <c r="BD52" s="1006">
        <f ca="1">IF(_NrRaty&lt;=LRat,1/PRODUCT($BC$31:BC52),0)</f>
        <v>0.85622603072124026</v>
      </c>
      <c r="BF52" s="948">
        <f ca="1">IF(_NrRaty&lt;=LRat,AX52/((1+SOWK_wynikRRSO)^(SUM($BB$31:BB52))),0)</f>
        <v>660.76874431873273</v>
      </c>
      <c r="BL52" s="1023">
        <f>IF(_NrRaty&gt;LRat,"",_NrRaty)</f>
        <v>22</v>
      </c>
      <c r="BM52" s="1024">
        <f ca="1">IF(_NrRaty&gt;LRat,"",D52)</f>
        <v>46869</v>
      </c>
      <c r="BN52" s="1025">
        <f t="shared" ca="1" si="15"/>
        <v>764.1</v>
      </c>
      <c r="BO52" s="1025">
        <f t="shared" ca="1" si="16"/>
        <v>134.94999999999999</v>
      </c>
      <c r="BP52" s="1025">
        <f t="shared" ca="1" si="17"/>
        <v>629.15</v>
      </c>
      <c r="BQ52" s="1025">
        <f t="shared" ca="1" si="26"/>
        <v>18086.43</v>
      </c>
      <c r="BR52" s="1124">
        <f t="shared" si="18"/>
        <v>0</v>
      </c>
      <c r="BT52" s="1113">
        <f>IF(_NrRaty&gt;LRat,"",_NrRaty)</f>
        <v>22</v>
      </c>
      <c r="BU52" s="1023">
        <f t="shared" si="27"/>
        <v>35</v>
      </c>
      <c r="BV52" s="1114">
        <f ca="1">IF(_NrRaty&gt;LRat,"",SUM($O$31:P52))</f>
        <v>670</v>
      </c>
      <c r="BW52" s="1025">
        <f ca="1">IF(_NrRaty&gt;LRat,"",BV52/365)</f>
        <v>1.8356164383561644</v>
      </c>
      <c r="BX52" s="1025">
        <f ca="1">IF(_NrRaty&gt;LRat,"",BW52*BP52)</f>
        <v>1154.8780821917808</v>
      </c>
      <c r="BY52" s="1025">
        <f ca="1">IF(_NrRaty&gt;LRat,"",BU52*BX52)</f>
        <v>40420.732876712325</v>
      </c>
    </row>
    <row r="53" spans="1:77" x14ac:dyDescent="0.25">
      <c r="A53" s="973">
        <f t="shared" ca="1" si="19"/>
        <v>0</v>
      </c>
      <c r="B53" s="924">
        <f t="shared" ca="1" si="46"/>
        <v>46899</v>
      </c>
      <c r="C53" s="658">
        <f>IF(_NrRaty&gt;LRat,"",_NrRaty)</f>
        <v>23</v>
      </c>
      <c r="D53" s="659">
        <f t="shared" ca="1" si="47"/>
        <v>46899</v>
      </c>
      <c r="E53" s="940">
        <f t="shared" ca="1" si="6"/>
        <v>764.1</v>
      </c>
      <c r="F53" s="969">
        <f t="shared" ca="1" si="7"/>
        <v>126.2085</v>
      </c>
      <c r="G53" s="940">
        <f ca="1">IF(C53&lt;=LRat,ROUND(ROUND(SUM($F$30:F53),2)-SUM($G$30:G52),2),"")</f>
        <v>126.21</v>
      </c>
      <c r="H53" s="940">
        <f t="shared" ca="1" si="8"/>
        <v>637.89</v>
      </c>
      <c r="I53" s="940">
        <f t="shared" ca="1" si="20"/>
        <v>17448.54</v>
      </c>
      <c r="J53" s="940">
        <f t="shared" si="21"/>
        <v>0</v>
      </c>
      <c r="L53" s="613">
        <f>IF(_NrRaty&gt;LRat,"",_NrRaty)</f>
        <v>23</v>
      </c>
      <c r="M53" s="913">
        <f t="shared" ca="1" si="48"/>
        <v>46904</v>
      </c>
      <c r="N53" s="913">
        <f t="shared" ca="1" si="49"/>
        <v>46899</v>
      </c>
      <c r="O53" s="921">
        <f t="shared" ca="1" si="50"/>
        <v>5</v>
      </c>
      <c r="P53" s="921">
        <f t="shared" ca="1" si="51"/>
        <v>25</v>
      </c>
      <c r="Q53" s="921">
        <f t="shared" ca="1" si="52"/>
        <v>365</v>
      </c>
      <c r="R53" s="921">
        <f t="shared" ca="1" si="53"/>
        <v>1.3698630136986301E-2</v>
      </c>
      <c r="S53" s="921">
        <f t="shared" ca="1" si="54"/>
        <v>6.8493150684931503E-2</v>
      </c>
      <c r="T53" s="921">
        <f t="shared" ca="1" si="55"/>
        <v>8.2191780821917804E-2</v>
      </c>
      <c r="U53" s="921">
        <f t="shared" ca="1" si="24"/>
        <v>1.0069780821917809</v>
      </c>
      <c r="V53" s="921">
        <f ca="1">IF(C53&lt;&gt;"",1/PRODUCT($U$31:U53),0)</f>
        <v>0.85023037772035071</v>
      </c>
      <c r="Z53" s="921">
        <f t="shared" ca="1" si="10"/>
        <v>764.1</v>
      </c>
      <c r="AA53" s="949">
        <f t="shared" ca="1" si="2"/>
        <v>366</v>
      </c>
      <c r="AB53" s="949">
        <f t="shared" ca="1" si="3"/>
        <v>1.3661202185792349E-2</v>
      </c>
      <c r="AC53" s="954">
        <f t="shared" ca="1" si="4"/>
        <v>6.8306010928961755E-2</v>
      </c>
      <c r="AD53" s="954">
        <f t="shared" ca="1" si="43"/>
        <v>8.1967213114754106E-2</v>
      </c>
      <c r="AE53" s="954">
        <f t="shared" ca="1" si="11"/>
        <v>1.0069590163934425</v>
      </c>
      <c r="AF53" s="954">
        <f ca="1">IF(L53&lt;=LRat,1/PRODUCT($AE$31:AE53),0)</f>
        <v>0.85030871841033562</v>
      </c>
      <c r="AG53" s="966"/>
      <c r="AH53" s="921">
        <f ca="1">IF(L53&lt;=LRat,Z53/((1+OE_wynikRRSO)^(SUM($AD$31:AD53))),0)</f>
        <v>656.49676738438836</v>
      </c>
      <c r="AI53" s="966"/>
      <c r="AO53" s="948">
        <f>IF(_NrRaty&gt;LRat,"",_NrRaty)</f>
        <v>23</v>
      </c>
      <c r="AP53" s="977">
        <f t="shared" ca="1" si="56"/>
        <v>46899</v>
      </c>
      <c r="AQ53" s="948">
        <f t="shared" ca="1" si="12"/>
        <v>764.1</v>
      </c>
      <c r="AR53" s="948">
        <f ca="1">IF(_NrRaty&lt;LRat,ROUND(AT52*$AN$20*(SUM(O53:P53)/365),2),0)+IF(_NrRaty=LRat,AQ53-AS53,0)</f>
        <v>126.21</v>
      </c>
      <c r="AS53" s="948">
        <f ca="1">IF(_NrRaty&lt;LRat,ROUND(AQ53-AR53,2),0)+IF(_NrRaty=LRat,AT52,0)</f>
        <v>637.89</v>
      </c>
      <c r="AT53" s="979">
        <f t="shared" ca="1" si="58"/>
        <v>17448.550000000007</v>
      </c>
      <c r="AU53" s="979">
        <f t="shared" si="13"/>
        <v>0</v>
      </c>
      <c r="AV53" s="1005">
        <v>0</v>
      </c>
      <c r="AX53" s="948">
        <f t="shared" ca="1" si="14"/>
        <v>764.1</v>
      </c>
      <c r="AY53" s="948">
        <f ca="1">IF(_NrRaty&lt;=LRat,IF(MOD(YEAR(N53),4)=0,OE_RP_rrso,365),0)</f>
        <v>366</v>
      </c>
      <c r="AZ53" s="948">
        <f ca="1">IF(_NrRaty&lt;=LRat,O53/AY52,0)</f>
        <v>1.3661202185792349E-2</v>
      </c>
      <c r="BA53" s="1006">
        <f ca="1">IF(_NrRaty&lt;=LRat,P53/AY53,0)</f>
        <v>6.8306010928961755E-2</v>
      </c>
      <c r="BB53" s="1006">
        <f t="shared" ca="1" si="42"/>
        <v>8.1967213114754106E-2</v>
      </c>
      <c r="BC53" s="1006">
        <f ca="1">IF(_NrRaty&lt;=LRat,1+OE_oproc*BB53,0)</f>
        <v>1.0069590163934425</v>
      </c>
      <c r="BD53" s="1006">
        <f ca="1">IF(_NrRaty&lt;=LRat,1/PRODUCT($BC$31:BC53),0)</f>
        <v>0.85030871841033562</v>
      </c>
      <c r="BF53" s="948">
        <f ca="1">IF(_NrRaty&lt;=LRat,AX53/((1+SOWK_wynikRRSO)^(SUM($BB$31:BB53))),0)</f>
        <v>656.49356451071822</v>
      </c>
      <c r="BL53" s="1023">
        <f>IF(_NrRaty&gt;LRat,"",_NrRaty)</f>
        <v>23</v>
      </c>
      <c r="BM53" s="1024">
        <f ca="1">IF(_NrRaty&gt;LRat,"",D53)</f>
        <v>46899</v>
      </c>
      <c r="BN53" s="1025">
        <f t="shared" ca="1" si="15"/>
        <v>764.1</v>
      </c>
      <c r="BO53" s="1025">
        <f t="shared" ca="1" si="16"/>
        <v>126.21</v>
      </c>
      <c r="BP53" s="1025">
        <f t="shared" ca="1" si="17"/>
        <v>637.89</v>
      </c>
      <c r="BQ53" s="1025">
        <f t="shared" ca="1" si="26"/>
        <v>17448.54</v>
      </c>
      <c r="BR53" s="1124">
        <f t="shared" si="18"/>
        <v>0</v>
      </c>
      <c r="BT53" s="1113">
        <f>IF(_NrRaty&gt;LRat,"",_NrRaty)</f>
        <v>23</v>
      </c>
      <c r="BU53" s="1023">
        <f t="shared" si="27"/>
        <v>35</v>
      </c>
      <c r="BV53" s="1114">
        <f ca="1">IF(_NrRaty&gt;LRat,"",SUM($O$31:P53))</f>
        <v>700</v>
      </c>
      <c r="BW53" s="1025">
        <f ca="1">IF(_NrRaty&gt;LRat,"",BV53/365)</f>
        <v>1.9178082191780821</v>
      </c>
      <c r="BX53" s="1025">
        <f ca="1">IF(_NrRaty&gt;LRat,"",BW53*BP53)</f>
        <v>1223.3506849315067</v>
      </c>
      <c r="BY53" s="1025">
        <f ca="1">IF(_NrRaty&gt;LRat,"",BU53*BX53)</f>
        <v>42817.273972602736</v>
      </c>
    </row>
    <row r="54" spans="1:77" x14ac:dyDescent="0.25">
      <c r="A54" s="973">
        <f t="shared" ca="1" si="19"/>
        <v>0</v>
      </c>
      <c r="B54" s="924">
        <f t="shared" ca="1" si="46"/>
        <v>46930</v>
      </c>
      <c r="C54" s="660">
        <f>IF(_NrRaty&gt;LRat,"",_NrRaty)</f>
        <v>24</v>
      </c>
      <c r="D54" s="661">
        <f t="shared" ca="1" si="47"/>
        <v>46930</v>
      </c>
      <c r="E54" s="941">
        <f t="shared" ca="1" si="6"/>
        <v>764.1</v>
      </c>
      <c r="F54" s="970">
        <f t="shared" ca="1" si="7"/>
        <v>125.81566999999998</v>
      </c>
      <c r="G54" s="941">
        <f ca="1">IF(C54&lt;=LRat,ROUND(ROUND(SUM($F$30:F54),2)-SUM($G$30:G53),2),"")</f>
        <v>125.81</v>
      </c>
      <c r="H54" s="941">
        <f t="shared" ca="1" si="8"/>
        <v>638.29</v>
      </c>
      <c r="I54" s="941">
        <f t="shared" ca="1" si="20"/>
        <v>16810.25</v>
      </c>
      <c r="J54" s="941">
        <f t="shared" si="21"/>
        <v>0</v>
      </c>
      <c r="L54" s="613">
        <f>IF(_NrRaty&gt;LRat,"",_NrRaty)</f>
        <v>24</v>
      </c>
      <c r="M54" s="913">
        <f t="shared" ca="1" si="48"/>
        <v>46934</v>
      </c>
      <c r="N54" s="913">
        <f t="shared" ca="1" si="49"/>
        <v>46930</v>
      </c>
      <c r="O54" s="921">
        <f t="shared" ca="1" si="50"/>
        <v>6</v>
      </c>
      <c r="P54" s="921">
        <f t="shared" ca="1" si="51"/>
        <v>25</v>
      </c>
      <c r="Q54" s="921">
        <f t="shared" ca="1" si="52"/>
        <v>365</v>
      </c>
      <c r="R54" s="921">
        <f t="shared" ca="1" si="53"/>
        <v>1.643835616438356E-2</v>
      </c>
      <c r="S54" s="921">
        <f t="shared" ca="1" si="54"/>
        <v>6.8493150684931503E-2</v>
      </c>
      <c r="T54" s="921">
        <f t="shared" ca="1" si="55"/>
        <v>8.4931506849315067E-2</v>
      </c>
      <c r="U54" s="921">
        <f t="shared" ca="1" si="24"/>
        <v>1.0072106849315068</v>
      </c>
      <c r="V54" s="921">
        <f ca="1">IF(C54&lt;&gt;"",1/PRODUCT($U$31:U54),0)</f>
        <v>0.84414352472657583</v>
      </c>
      <c r="Z54" s="921">
        <f t="shared" ca="1" si="10"/>
        <v>764.1</v>
      </c>
      <c r="AA54" s="949">
        <f t="shared" ca="1" si="2"/>
        <v>366</v>
      </c>
      <c r="AB54" s="949">
        <f t="shared" ca="1" si="3"/>
        <v>1.6393442622950821E-2</v>
      </c>
      <c r="AC54" s="954">
        <f t="shared" ca="1" si="4"/>
        <v>6.8306010928961755E-2</v>
      </c>
      <c r="AD54" s="954">
        <f t="shared" ca="1" si="43"/>
        <v>8.4699453551912579E-2</v>
      </c>
      <c r="AE54" s="954">
        <f t="shared" ca="1" si="11"/>
        <v>1.0071909836065573</v>
      </c>
      <c r="AF54" s="954">
        <f ca="1">IF(L54&lt;=LRat,1/PRODUCT($AE$31:AE54),0)</f>
        <v>0.84423781810034026</v>
      </c>
      <c r="AG54" s="966"/>
      <c r="AH54" s="921">
        <f ca="1">IF(L54&lt;=LRat,Z54/((1+OE_wynikRRSO)^(SUM($AD$31:AD54))),0)</f>
        <v>652.10825751021446</v>
      </c>
      <c r="AI54" s="966"/>
      <c r="AO54" s="948">
        <f>IF(_NrRaty&gt;LRat,"",_NrRaty)</f>
        <v>24</v>
      </c>
      <c r="AP54" s="977">
        <f t="shared" ca="1" si="56"/>
        <v>46930</v>
      </c>
      <c r="AQ54" s="948">
        <f t="shared" ca="1" si="12"/>
        <v>764.1</v>
      </c>
      <c r="AR54" s="948">
        <f ca="1">IF(_NrRaty&lt;LRat,ROUND(AT53*$AN$20*(SUM(O54:P54)/365),2),0)+IF(_NrRaty=LRat,AQ54-AS54,0)</f>
        <v>125.82</v>
      </c>
      <c r="AS54" s="948">
        <f ca="1">IF(_NrRaty&lt;LRat,ROUND(AQ54-AR54,2),0)+IF(_NrRaty=LRat,AT53,0)</f>
        <v>638.28</v>
      </c>
      <c r="AT54" s="979">
        <f t="shared" ca="1" si="58"/>
        <v>16810.270000000008</v>
      </c>
      <c r="AU54" s="979">
        <f t="shared" si="13"/>
        <v>0</v>
      </c>
      <c r="AV54" s="1005">
        <v>0</v>
      </c>
      <c r="AX54" s="948">
        <f t="shared" ca="1" si="14"/>
        <v>764.1</v>
      </c>
      <c r="AY54" s="948">
        <f ca="1">IF(_NrRaty&lt;=LRat,IF(MOD(YEAR(N54),4)=0,OE_RP_rrso,365),0)</f>
        <v>366</v>
      </c>
      <c r="AZ54" s="948">
        <f ca="1">IF(_NrRaty&lt;=LRat,O54/AY53,0)</f>
        <v>1.6393442622950821E-2</v>
      </c>
      <c r="BA54" s="1006">
        <f ca="1">IF(_NrRaty&lt;=LRat,P54/AY54,0)</f>
        <v>6.8306010928961755E-2</v>
      </c>
      <c r="BB54" s="1006">
        <f t="shared" ca="1" si="42"/>
        <v>8.4699453551912579E-2</v>
      </c>
      <c r="BC54" s="1006">
        <f ca="1">IF(_NrRaty&lt;=LRat,1+OE_oproc*BB54,0)</f>
        <v>1.0071909836065573</v>
      </c>
      <c r="BD54" s="1006">
        <f ca="1">IF(_NrRaty&lt;=LRat,1/PRODUCT($BC$31:BC54),0)</f>
        <v>0.84423781810034026</v>
      </c>
      <c r="BF54" s="948">
        <f ca="1">IF(_NrRaty&lt;=LRat,AX54/((1+SOWK_wynikRRSO)^(SUM($BB$31:BB54))),0)</f>
        <v>652.10493545874181</v>
      </c>
      <c r="BL54" s="1023">
        <f>IF(_NrRaty&gt;LRat,"",_NrRaty)</f>
        <v>24</v>
      </c>
      <c r="BM54" s="1024">
        <f ca="1">IF(_NrRaty&gt;LRat,"",D54)</f>
        <v>46930</v>
      </c>
      <c r="BN54" s="1025">
        <f t="shared" ca="1" si="15"/>
        <v>764.1</v>
      </c>
      <c r="BO54" s="1025">
        <f t="shared" ca="1" si="16"/>
        <v>125.81</v>
      </c>
      <c r="BP54" s="1025">
        <f t="shared" ca="1" si="17"/>
        <v>638.29</v>
      </c>
      <c r="BQ54" s="1025">
        <f t="shared" ca="1" si="26"/>
        <v>16810.25</v>
      </c>
      <c r="BR54" s="1124">
        <f t="shared" si="18"/>
        <v>0</v>
      </c>
      <c r="BT54" s="1113">
        <f>IF(_NrRaty&gt;LRat,"",_NrRaty)</f>
        <v>24</v>
      </c>
      <c r="BU54" s="1023">
        <f t="shared" si="27"/>
        <v>35</v>
      </c>
      <c r="BV54" s="1114">
        <f ca="1">IF(_NrRaty&gt;LRat,"",SUM($O$31:P54))</f>
        <v>731</v>
      </c>
      <c r="BW54" s="1025">
        <f ca="1">IF(_NrRaty&gt;LRat,"",BV54/365)</f>
        <v>2.0027397260273974</v>
      </c>
      <c r="BX54" s="1025">
        <f ca="1">IF(_NrRaty&gt;LRat,"",BW54*BP54)</f>
        <v>1278.3287397260274</v>
      </c>
      <c r="BY54" s="1025">
        <f ca="1">IF(_NrRaty&gt;LRat,"",BU54*BX54)</f>
        <v>44741.505890410961</v>
      </c>
    </row>
    <row r="55" spans="1:77" x14ac:dyDescent="0.25">
      <c r="A55" s="973">
        <f t="shared" ca="1" si="19"/>
        <v>0</v>
      </c>
      <c r="B55" s="924">
        <f t="shared" ca="1" si="46"/>
        <v>46960</v>
      </c>
      <c r="C55" s="658">
        <f>IF(_NrRaty&gt;LRat,"",_NrRaty)</f>
        <v>25</v>
      </c>
      <c r="D55" s="659">
        <f t="shared" ca="1" si="47"/>
        <v>46960</v>
      </c>
      <c r="E55" s="940">
        <f t="shared" ca="1" si="6"/>
        <v>764.1</v>
      </c>
      <c r="F55" s="969">
        <f t="shared" ca="1" si="7"/>
        <v>117.30329999999999</v>
      </c>
      <c r="G55" s="940">
        <f ca="1">IF(C55&lt;=LRat,ROUND(ROUND(SUM($F$30:F55),2)-SUM($G$30:G54),2),"")</f>
        <v>117.31</v>
      </c>
      <c r="H55" s="940">
        <f t="shared" ca="1" si="8"/>
        <v>646.79</v>
      </c>
      <c r="I55" s="940">
        <f t="shared" ca="1" si="20"/>
        <v>16163.46</v>
      </c>
      <c r="J55" s="940">
        <f t="shared" si="21"/>
        <v>0</v>
      </c>
      <c r="L55" s="613">
        <f>IF(_NrRaty&gt;LRat,"",_NrRaty)</f>
        <v>25</v>
      </c>
      <c r="M55" s="913">
        <f t="shared" ca="1" si="48"/>
        <v>46965</v>
      </c>
      <c r="N55" s="913">
        <f t="shared" ca="1" si="49"/>
        <v>46960</v>
      </c>
      <c r="O55" s="921">
        <f t="shared" ca="1" si="50"/>
        <v>5</v>
      </c>
      <c r="P55" s="921">
        <f t="shared" ca="1" si="51"/>
        <v>25</v>
      </c>
      <c r="Q55" s="921">
        <f t="shared" ca="1" si="52"/>
        <v>365</v>
      </c>
      <c r="R55" s="921">
        <f t="shared" ca="1" si="53"/>
        <v>1.3698630136986301E-2</v>
      </c>
      <c r="S55" s="921">
        <f t="shared" ca="1" si="54"/>
        <v>6.8493150684931503E-2</v>
      </c>
      <c r="T55" s="921">
        <f t="shared" ca="1" si="55"/>
        <v>8.2191780821917804E-2</v>
      </c>
      <c r="U55" s="921">
        <f t="shared" ca="1" si="24"/>
        <v>1.0069780821917809</v>
      </c>
      <c r="V55" s="921">
        <f ca="1">IF(C55&lt;&gt;"",1/PRODUCT($U$31:U55),0)</f>
        <v>0.83829384140041996</v>
      </c>
      <c r="Z55" s="921">
        <f t="shared" ca="1" si="10"/>
        <v>764.1</v>
      </c>
      <c r="AA55" s="949">
        <f t="shared" ca="1" si="2"/>
        <v>366</v>
      </c>
      <c r="AB55" s="949">
        <f t="shared" ca="1" si="3"/>
        <v>1.3661202185792349E-2</v>
      </c>
      <c r="AC55" s="954">
        <f t="shared" ca="1" si="4"/>
        <v>6.8306010928961755E-2</v>
      </c>
      <c r="AD55" s="954">
        <f t="shared" ca="1" si="43"/>
        <v>8.1967213114754106E-2</v>
      </c>
      <c r="AE55" s="954">
        <f t="shared" ca="1" si="11"/>
        <v>1.0069590163934425</v>
      </c>
      <c r="AF55" s="954">
        <f ca="1">IF(L55&lt;=LRat,1/PRODUCT($AE$31:AE55),0)</f>
        <v>0.83840335540575428</v>
      </c>
      <c r="AG55" s="966"/>
      <c r="AH55" s="921">
        <f ca="1">IF(L55&lt;=LRat,Z55/((1+OE_wynikRRSO)^(SUM($AD$31:AD55))),0)</f>
        <v>647.88924630441375</v>
      </c>
      <c r="AI55" s="966"/>
      <c r="AO55" s="948">
        <f>IF(_NrRaty&gt;LRat,"",_NrRaty)</f>
        <v>25</v>
      </c>
      <c r="AP55" s="977">
        <f t="shared" ca="1" si="56"/>
        <v>46960</v>
      </c>
      <c r="AQ55" s="948">
        <f t="shared" ca="1" si="12"/>
        <v>764.1</v>
      </c>
      <c r="AR55" s="948">
        <f ca="1">IF(_NrRaty&lt;LRat,ROUND(AT54*$AN$20*(SUM(O55:P55)/365),2),0)+IF(_NrRaty=LRat,AQ55-AS55,0)</f>
        <v>117.3</v>
      </c>
      <c r="AS55" s="948">
        <f ca="1">IF(_NrRaty&lt;LRat,ROUND(AQ55-AR55,2),0)+IF(_NrRaty=LRat,AT54,0)</f>
        <v>646.79999999999995</v>
      </c>
      <c r="AT55" s="979">
        <f t="shared" ca="1" si="58"/>
        <v>16163.470000000008</v>
      </c>
      <c r="AU55" s="979">
        <f t="shared" si="13"/>
        <v>0</v>
      </c>
      <c r="AV55" s="1005">
        <v>0</v>
      </c>
      <c r="AX55" s="948">
        <f t="shared" ca="1" si="14"/>
        <v>764.1</v>
      </c>
      <c r="AY55" s="948">
        <f ca="1">IF(_NrRaty&lt;=LRat,IF(MOD(YEAR(N55),4)=0,OE_RP_rrso,365),0)</f>
        <v>366</v>
      </c>
      <c r="AZ55" s="948">
        <f ca="1">IF(_NrRaty&lt;=LRat,O55/AY54,0)</f>
        <v>1.3661202185792349E-2</v>
      </c>
      <c r="BA55" s="1006">
        <f ca="1">IF(_NrRaty&lt;=LRat,P55/AY55,0)</f>
        <v>6.8306010928961755E-2</v>
      </c>
      <c r="BB55" s="1006">
        <f t="shared" ca="1" si="42"/>
        <v>8.1967213114754106E-2</v>
      </c>
      <c r="BC55" s="1006">
        <f ca="1">IF(_NrRaty&lt;=LRat,1+OE_oproc*BB55,0)</f>
        <v>1.0069590163934425</v>
      </c>
      <c r="BD55" s="1006">
        <f ca="1">IF(_NrRaty&lt;=LRat,1/PRODUCT($BC$31:BC55),0)</f>
        <v>0.83840335540575428</v>
      </c>
      <c r="BF55" s="948">
        <f ca="1">IF(_NrRaty&lt;=LRat,AX55/((1+SOWK_wynikRRSO)^(SUM($BB$31:BB55))),0)</f>
        <v>647.88581057314491</v>
      </c>
      <c r="BL55" s="1023">
        <f>IF(_NrRaty&gt;LRat,"",_NrRaty)</f>
        <v>25</v>
      </c>
      <c r="BM55" s="1024">
        <f ca="1">IF(_NrRaty&gt;LRat,"",D55)</f>
        <v>46960</v>
      </c>
      <c r="BN55" s="1025">
        <f t="shared" ca="1" si="15"/>
        <v>764.1</v>
      </c>
      <c r="BO55" s="1025">
        <f t="shared" ca="1" si="16"/>
        <v>117.31</v>
      </c>
      <c r="BP55" s="1025">
        <f t="shared" ca="1" si="17"/>
        <v>646.79</v>
      </c>
      <c r="BQ55" s="1025">
        <f t="shared" ca="1" si="26"/>
        <v>16163.46</v>
      </c>
      <c r="BR55" s="1124">
        <f t="shared" si="18"/>
        <v>0</v>
      </c>
      <c r="BT55" s="1113">
        <f>IF(_NrRaty&gt;LRat,"",_NrRaty)</f>
        <v>25</v>
      </c>
      <c r="BU55" s="1023">
        <f t="shared" si="27"/>
        <v>35</v>
      </c>
      <c r="BV55" s="1114">
        <f ca="1">IF(_NrRaty&gt;LRat,"",SUM($O$31:P55))</f>
        <v>761</v>
      </c>
      <c r="BW55" s="1025">
        <f ca="1">IF(_NrRaty&gt;LRat,"",BV55/365)</f>
        <v>2.0849315068493151</v>
      </c>
      <c r="BX55" s="1025">
        <f ca="1">IF(_NrRaty&gt;LRat,"",BW55*BP55)</f>
        <v>1348.5128493150685</v>
      </c>
      <c r="BY55" s="1025">
        <f ca="1">IF(_NrRaty&gt;LRat,"",BU55*BX55)</f>
        <v>47197.9497260274</v>
      </c>
    </row>
    <row r="56" spans="1:77" x14ac:dyDescent="0.25">
      <c r="A56" s="973">
        <f t="shared" ca="1" si="19"/>
        <v>0</v>
      </c>
      <c r="B56" s="924">
        <f t="shared" ca="1" si="46"/>
        <v>46991</v>
      </c>
      <c r="C56" s="660">
        <f>IF(_NrRaty&gt;LRat,"",_NrRaty)</f>
        <v>26</v>
      </c>
      <c r="D56" s="661">
        <f t="shared" ca="1" si="47"/>
        <v>46991</v>
      </c>
      <c r="E56" s="941">
        <f t="shared" ca="1" si="6"/>
        <v>764.1</v>
      </c>
      <c r="F56" s="970">
        <f t="shared" ca="1" si="7"/>
        <v>116.54946</v>
      </c>
      <c r="G56" s="941">
        <f ca="1">IF(C56&lt;=LRat,ROUND(ROUND(SUM($F$30:F56),2)-SUM($G$30:G55),2),"")</f>
        <v>116.55</v>
      </c>
      <c r="H56" s="941">
        <f t="shared" ca="1" si="8"/>
        <v>647.54999999999995</v>
      </c>
      <c r="I56" s="941">
        <f t="shared" ca="1" si="20"/>
        <v>15515.91</v>
      </c>
      <c r="J56" s="941">
        <f t="shared" si="21"/>
        <v>0</v>
      </c>
      <c r="L56" s="613">
        <f>IF(_NrRaty&gt;LRat,"",_NrRaty)</f>
        <v>26</v>
      </c>
      <c r="M56" s="913">
        <f t="shared" ca="1" si="48"/>
        <v>46996</v>
      </c>
      <c r="N56" s="913">
        <f t="shared" ca="1" si="49"/>
        <v>46991</v>
      </c>
      <c r="O56" s="921">
        <f t="shared" ca="1" si="50"/>
        <v>6</v>
      </c>
      <c r="P56" s="921">
        <f t="shared" ca="1" si="51"/>
        <v>25</v>
      </c>
      <c r="Q56" s="921">
        <f t="shared" ca="1" si="52"/>
        <v>365</v>
      </c>
      <c r="R56" s="921">
        <f t="shared" ca="1" si="53"/>
        <v>1.643835616438356E-2</v>
      </c>
      <c r="S56" s="921">
        <f t="shared" ca="1" si="54"/>
        <v>6.8493150684931503E-2</v>
      </c>
      <c r="T56" s="921">
        <f t="shared" ca="1" si="55"/>
        <v>8.4931506849315067E-2</v>
      </c>
      <c r="U56" s="921">
        <f t="shared" ca="1" si="24"/>
        <v>1.0072106849315068</v>
      </c>
      <c r="V56" s="921">
        <f ca="1">IF(C56&lt;&gt;"",1/PRODUCT($U$31:U56),0)</f>
        <v>0.83229244282433956</v>
      </c>
      <c r="Z56" s="921">
        <f t="shared" ca="1" si="10"/>
        <v>764.1</v>
      </c>
      <c r="AA56" s="949">
        <f t="shared" ca="1" si="2"/>
        <v>366</v>
      </c>
      <c r="AB56" s="949">
        <f t="shared" ca="1" si="3"/>
        <v>1.6393442622950821E-2</v>
      </c>
      <c r="AC56" s="954">
        <f t="shared" ca="1" si="4"/>
        <v>6.8306010928961755E-2</v>
      </c>
      <c r="AD56" s="954">
        <f t="shared" ca="1" si="43"/>
        <v>8.4699453551912579E-2</v>
      </c>
      <c r="AE56" s="954">
        <f t="shared" ca="1" si="11"/>
        <v>1.0071909836065573</v>
      </c>
      <c r="AF56" s="954">
        <f ca="1">IF(L56&lt;=LRat,1/PRODUCT($AE$31:AE56),0)</f>
        <v>0.83241745513208731</v>
      </c>
      <c r="AG56" s="966"/>
      <c r="AH56" s="921">
        <f ca="1">IF(L56&lt;=LRat,Z56/((1+OE_wynikRRSO)^(SUM($AD$31:AD56))),0)</f>
        <v>643.55827546642138</v>
      </c>
      <c r="AI56" s="966"/>
      <c r="AO56" s="948">
        <f>IF(_NrRaty&gt;LRat,"",_NrRaty)</f>
        <v>26</v>
      </c>
      <c r="AP56" s="977">
        <f t="shared" ca="1" si="56"/>
        <v>46991</v>
      </c>
      <c r="AQ56" s="948">
        <f t="shared" ca="1" si="12"/>
        <v>764.1</v>
      </c>
      <c r="AR56" s="948">
        <f ca="1">IF(_NrRaty&lt;LRat,ROUND(AT55*$AN$20*(SUM(O56:P56)/365),2),0)+IF(_NrRaty=LRat,AQ56-AS56,0)</f>
        <v>116.55</v>
      </c>
      <c r="AS56" s="948">
        <f ca="1">IF(_NrRaty&lt;LRat,ROUND(AQ56-AR56,2),0)+IF(_NrRaty=LRat,AT55,0)</f>
        <v>647.54999999999995</v>
      </c>
      <c r="AT56" s="979">
        <f t="shared" ca="1" si="58"/>
        <v>15515.920000000009</v>
      </c>
      <c r="AU56" s="979">
        <f t="shared" si="13"/>
        <v>0</v>
      </c>
      <c r="AV56" s="1005">
        <v>0</v>
      </c>
      <c r="AX56" s="948">
        <f t="shared" ca="1" si="14"/>
        <v>764.1</v>
      </c>
      <c r="AY56" s="948">
        <f ca="1">IF(_NrRaty&lt;=LRat,IF(MOD(YEAR(N56),4)=0,OE_RP_rrso,365),0)</f>
        <v>366</v>
      </c>
      <c r="AZ56" s="948">
        <f ca="1">IF(_NrRaty&lt;=LRat,O56/AY55,0)</f>
        <v>1.6393442622950821E-2</v>
      </c>
      <c r="BA56" s="1006">
        <f ca="1">IF(_NrRaty&lt;=LRat,P56/AY56,0)</f>
        <v>6.8306010928961755E-2</v>
      </c>
      <c r="BB56" s="1006">
        <f t="shared" ca="1" si="42"/>
        <v>8.4699453551912579E-2</v>
      </c>
      <c r="BC56" s="1006">
        <f ca="1">IF(_NrRaty&lt;=LRat,1+OE_oproc*BB56,0)</f>
        <v>1.0071909836065573</v>
      </c>
      <c r="BD56" s="1006">
        <f ca="1">IF(_NrRaty&lt;=LRat,1/PRODUCT($BC$31:BC56),0)</f>
        <v>0.83241745513208731</v>
      </c>
      <c r="BF56" s="948">
        <f ca="1">IF(_NrRaty&lt;=LRat,AX56/((1+SOWK_wynikRRSO)^(SUM($BB$31:BB56))),0)</f>
        <v>643.55472395729419</v>
      </c>
      <c r="BL56" s="1023">
        <f>IF(_NrRaty&gt;LRat,"",_NrRaty)</f>
        <v>26</v>
      </c>
      <c r="BM56" s="1024">
        <f ca="1">IF(_NrRaty&gt;LRat,"",D56)</f>
        <v>46991</v>
      </c>
      <c r="BN56" s="1025">
        <f t="shared" ca="1" si="15"/>
        <v>764.1</v>
      </c>
      <c r="BO56" s="1025">
        <f t="shared" ca="1" si="16"/>
        <v>116.55</v>
      </c>
      <c r="BP56" s="1025">
        <f t="shared" ca="1" si="17"/>
        <v>647.54999999999995</v>
      </c>
      <c r="BQ56" s="1025">
        <f t="shared" ca="1" si="26"/>
        <v>15515.91</v>
      </c>
      <c r="BR56" s="1124">
        <f t="shared" si="18"/>
        <v>0</v>
      </c>
      <c r="BT56" s="1113">
        <f>IF(_NrRaty&gt;LRat,"",_NrRaty)</f>
        <v>26</v>
      </c>
      <c r="BU56" s="1023">
        <f t="shared" si="27"/>
        <v>35</v>
      </c>
      <c r="BV56" s="1114">
        <f ca="1">IF(_NrRaty&gt;LRat,"",SUM($O$31:P56))</f>
        <v>792</v>
      </c>
      <c r="BW56" s="1025">
        <f ca="1">IF(_NrRaty&gt;LRat,"",BV56/365)</f>
        <v>2.1698630136986301</v>
      </c>
      <c r="BX56" s="1025">
        <f ca="1">IF(_NrRaty&gt;LRat,"",BW56*BP56)</f>
        <v>1405.0947945205478</v>
      </c>
      <c r="BY56" s="1025">
        <f ca="1">IF(_NrRaty&gt;LRat,"",BU56*BX56)</f>
        <v>49178.317808219173</v>
      </c>
    </row>
    <row r="57" spans="1:77" x14ac:dyDescent="0.25">
      <c r="A57" s="973">
        <f t="shared" ca="1" si="19"/>
        <v>0</v>
      </c>
      <c r="B57" s="924">
        <f t="shared" ca="1" si="46"/>
        <v>47022</v>
      </c>
      <c r="C57" s="658">
        <f>IF(_NrRaty&gt;LRat,"",_NrRaty)</f>
        <v>27</v>
      </c>
      <c r="D57" s="659">
        <f t="shared" ca="1" si="47"/>
        <v>47022</v>
      </c>
      <c r="E57" s="940">
        <f t="shared" ca="1" si="6"/>
        <v>764.1</v>
      </c>
      <c r="F57" s="969">
        <f t="shared" ca="1" si="7"/>
        <v>111.88024</v>
      </c>
      <c r="G57" s="940">
        <f ca="1">IF(C57&lt;=LRat,ROUND(ROUND(SUM($F$30:F57),2)-SUM($G$30:G56),2),"")</f>
        <v>111.88</v>
      </c>
      <c r="H57" s="940">
        <f t="shared" ca="1" si="8"/>
        <v>652.22</v>
      </c>
      <c r="I57" s="940">
        <f t="shared" ca="1" si="20"/>
        <v>14863.69</v>
      </c>
      <c r="J57" s="940">
        <f t="shared" si="21"/>
        <v>0</v>
      </c>
      <c r="L57" s="613">
        <f>IF(_NrRaty&gt;LRat,"",_NrRaty)</f>
        <v>27</v>
      </c>
      <c r="M57" s="913">
        <f t="shared" ca="1" si="48"/>
        <v>47026</v>
      </c>
      <c r="N57" s="913">
        <f t="shared" ca="1" si="49"/>
        <v>47022</v>
      </c>
      <c r="O57" s="921">
        <f t="shared" ca="1" si="50"/>
        <v>6</v>
      </c>
      <c r="P57" s="921">
        <f t="shared" ca="1" si="51"/>
        <v>25</v>
      </c>
      <c r="Q57" s="921">
        <f t="shared" ca="1" si="52"/>
        <v>365</v>
      </c>
      <c r="R57" s="921">
        <f t="shared" ca="1" si="53"/>
        <v>1.643835616438356E-2</v>
      </c>
      <c r="S57" s="921">
        <f t="shared" ca="1" si="54"/>
        <v>6.8493150684931503E-2</v>
      </c>
      <c r="T57" s="921">
        <f t="shared" ca="1" si="55"/>
        <v>8.4931506849315067E-2</v>
      </c>
      <c r="U57" s="921">
        <f t="shared" ca="1" si="24"/>
        <v>1.0072106849315068</v>
      </c>
      <c r="V57" s="921">
        <f ca="1">IF(C57&lt;&gt;"",1/PRODUCT($U$31:U57),0)</f>
        <v>0.82633400863984852</v>
      </c>
      <c r="Z57" s="921">
        <f t="shared" ca="1" si="10"/>
        <v>764.1</v>
      </c>
      <c r="AA57" s="949">
        <f t="shared" ca="1" si="2"/>
        <v>366</v>
      </c>
      <c r="AB57" s="949">
        <f t="shared" ca="1" si="3"/>
        <v>1.6393442622950821E-2</v>
      </c>
      <c r="AC57" s="954">
        <f t="shared" ca="1" si="4"/>
        <v>6.8306010928961755E-2</v>
      </c>
      <c r="AD57" s="954">
        <f t="shared" ca="1" si="43"/>
        <v>8.4699453551912579E-2</v>
      </c>
      <c r="AE57" s="954">
        <f t="shared" ca="1" si="11"/>
        <v>1.0071909836065573</v>
      </c>
      <c r="AF57" s="954">
        <f ca="1">IF(L57&lt;=LRat,1/PRODUCT($AE$31:AE57),0)</f>
        <v>0.82647429204673806</v>
      </c>
      <c r="AG57" s="966"/>
      <c r="AH57" s="921">
        <f ca="1">IF(L57&lt;=LRat,Z57/((1+OE_wynikRRSO)^(SUM($AD$31:AD57))),0)</f>
        <v>639.2562560402738</v>
      </c>
      <c r="AI57" s="966"/>
      <c r="AO57" s="948">
        <f>IF(_NrRaty&gt;LRat,"",_NrRaty)</f>
        <v>27</v>
      </c>
      <c r="AP57" s="977">
        <f t="shared" ca="1" si="56"/>
        <v>47022</v>
      </c>
      <c r="AQ57" s="948">
        <f t="shared" ca="1" si="12"/>
        <v>764.1</v>
      </c>
      <c r="AR57" s="948">
        <f ca="1">IF(_NrRaty&lt;LRat,ROUND(AT56*$AN$20*(SUM(O57:P57)/365),2),0)+IF(_NrRaty=LRat,AQ57-AS57,0)</f>
        <v>111.88</v>
      </c>
      <c r="AS57" s="948">
        <f ca="1">IF(_NrRaty&lt;LRat,ROUND(AQ57-AR57,2),0)+IF(_NrRaty=LRat,AT56,0)</f>
        <v>652.22</v>
      </c>
      <c r="AT57" s="979">
        <f t="shared" ca="1" si="58"/>
        <v>14863.70000000001</v>
      </c>
      <c r="AU57" s="979">
        <f t="shared" si="13"/>
        <v>0</v>
      </c>
      <c r="AV57" s="1005">
        <v>0</v>
      </c>
      <c r="AX57" s="948">
        <f t="shared" ca="1" si="14"/>
        <v>764.1</v>
      </c>
      <c r="AY57" s="948">
        <f ca="1">IF(_NrRaty&lt;=LRat,IF(MOD(YEAR(N57),4)=0,OE_RP_rrso,365),0)</f>
        <v>366</v>
      </c>
      <c r="AZ57" s="948">
        <f ca="1">IF(_NrRaty&lt;=LRat,O57/AY56,0)</f>
        <v>1.6393442622950821E-2</v>
      </c>
      <c r="BA57" s="1006">
        <f ca="1">IF(_NrRaty&lt;=LRat,P57/AY57,0)</f>
        <v>6.8306010928961755E-2</v>
      </c>
      <c r="BB57" s="1006">
        <f t="shared" ca="1" si="42"/>
        <v>8.4699453551912579E-2</v>
      </c>
      <c r="BC57" s="1006">
        <f ca="1">IF(_NrRaty&lt;=LRat,1+OE_oproc*BB57,0)</f>
        <v>1.0071909836065573</v>
      </c>
      <c r="BD57" s="1006">
        <f ca="1">IF(_NrRaty&lt;=LRat,1/PRODUCT($BC$31:BC57),0)</f>
        <v>0.82647429204673806</v>
      </c>
      <c r="BF57" s="948">
        <f ca="1">IF(_NrRaty&lt;=LRat,AX57/((1+SOWK_wynikRRSO)^(SUM($BB$31:BB57))),0)</f>
        <v>639.2525904547357</v>
      </c>
      <c r="BL57" s="1023">
        <f>IF(_NrRaty&gt;LRat,"",_NrRaty)</f>
        <v>27</v>
      </c>
      <c r="BM57" s="1024">
        <f ca="1">IF(_NrRaty&gt;LRat,"",D57)</f>
        <v>47022</v>
      </c>
      <c r="BN57" s="1025">
        <f t="shared" ca="1" si="15"/>
        <v>764.1</v>
      </c>
      <c r="BO57" s="1025">
        <f t="shared" ca="1" si="16"/>
        <v>111.88</v>
      </c>
      <c r="BP57" s="1025">
        <f t="shared" ca="1" si="17"/>
        <v>652.22</v>
      </c>
      <c r="BQ57" s="1025">
        <f t="shared" ca="1" si="26"/>
        <v>14863.69</v>
      </c>
      <c r="BR57" s="1124">
        <f t="shared" si="18"/>
        <v>0</v>
      </c>
      <c r="BT57" s="1113">
        <f>IF(_NrRaty&gt;LRat,"",_NrRaty)</f>
        <v>27</v>
      </c>
      <c r="BU57" s="1023">
        <f t="shared" si="27"/>
        <v>35</v>
      </c>
      <c r="BV57" s="1114">
        <f ca="1">IF(_NrRaty&gt;LRat,"",SUM($O$31:P57))</f>
        <v>823</v>
      </c>
      <c r="BW57" s="1025">
        <f ca="1">IF(_NrRaty&gt;LRat,"",BV57/365)</f>
        <v>2.2547945205479452</v>
      </c>
      <c r="BX57" s="1025">
        <f ca="1">IF(_NrRaty&gt;LRat,"",BW57*BP57)</f>
        <v>1470.6220821917809</v>
      </c>
      <c r="BY57" s="1025">
        <f ca="1">IF(_NrRaty&gt;LRat,"",BU57*BX57)</f>
        <v>51471.772876712334</v>
      </c>
    </row>
    <row r="58" spans="1:77" x14ac:dyDescent="0.25">
      <c r="A58" s="973">
        <f t="shared" ca="1" si="19"/>
        <v>0</v>
      </c>
      <c r="B58" s="924">
        <f t="shared" ca="1" si="46"/>
        <v>47052</v>
      </c>
      <c r="C58" s="660">
        <f>IF(_NrRaty&gt;LRat,"",_NrRaty)</f>
        <v>28</v>
      </c>
      <c r="D58" s="661">
        <f t="shared" ca="1" si="47"/>
        <v>47052</v>
      </c>
      <c r="E58" s="941">
        <f t="shared" ca="1" si="6"/>
        <v>764.1</v>
      </c>
      <c r="F58" s="970">
        <f t="shared" ca="1" si="7"/>
        <v>103.7199</v>
      </c>
      <c r="G58" s="941">
        <f ca="1">IF(C58&lt;=LRat,ROUND(ROUND(SUM($F$30:F58),2)-SUM($G$30:G57),2),"")</f>
        <v>103.72</v>
      </c>
      <c r="H58" s="941">
        <f t="shared" ca="1" si="8"/>
        <v>660.38</v>
      </c>
      <c r="I58" s="941">
        <f t="shared" ca="1" si="20"/>
        <v>14203.31</v>
      </c>
      <c r="J58" s="941">
        <f t="shared" si="21"/>
        <v>0</v>
      </c>
      <c r="L58" s="613">
        <f>IF(_NrRaty&gt;LRat,"",_NrRaty)</f>
        <v>28</v>
      </c>
      <c r="M58" s="913">
        <f t="shared" ca="1" si="48"/>
        <v>47057</v>
      </c>
      <c r="N58" s="913">
        <f t="shared" ca="1" si="49"/>
        <v>47052</v>
      </c>
      <c r="O58" s="921">
        <f t="shared" ca="1" si="50"/>
        <v>5</v>
      </c>
      <c r="P58" s="921">
        <f t="shared" ca="1" si="51"/>
        <v>25</v>
      </c>
      <c r="Q58" s="921">
        <f t="shared" ca="1" si="52"/>
        <v>365</v>
      </c>
      <c r="R58" s="921">
        <f t="shared" ca="1" si="53"/>
        <v>1.3698630136986301E-2</v>
      </c>
      <c r="S58" s="921">
        <f t="shared" ca="1" si="54"/>
        <v>6.8493150684931503E-2</v>
      </c>
      <c r="T58" s="921">
        <f t="shared" ca="1" si="55"/>
        <v>8.2191780821917804E-2</v>
      </c>
      <c r="U58" s="921">
        <f t="shared" ca="1" si="24"/>
        <v>1.0069780821917809</v>
      </c>
      <c r="V58" s="921">
        <f ca="1">IF(C58&lt;&gt;"",1/PRODUCT($U$31:U58),0)</f>
        <v>0.82060774038026352</v>
      </c>
      <c r="Z58" s="921">
        <f t="shared" ca="1" si="10"/>
        <v>764.1</v>
      </c>
      <c r="AA58" s="949">
        <f t="shared" ca="1" si="2"/>
        <v>366</v>
      </c>
      <c r="AB58" s="949">
        <f t="shared" ca="1" si="3"/>
        <v>1.3661202185792349E-2</v>
      </c>
      <c r="AC58" s="954">
        <f t="shared" ca="1" si="4"/>
        <v>6.8306010928961755E-2</v>
      </c>
      <c r="AD58" s="954">
        <f t="shared" ca="1" si="43"/>
        <v>8.1967213114754106E-2</v>
      </c>
      <c r="AE58" s="954">
        <f t="shared" ca="1" si="11"/>
        <v>1.0069590163934425</v>
      </c>
      <c r="AF58" s="954">
        <f ca="1">IF(L58&lt;=LRat,1/PRODUCT($AE$31:AE58),0)</f>
        <v>0.82076259171586297</v>
      </c>
      <c r="AG58" s="966"/>
      <c r="AH58" s="921">
        <f ca="1">IF(L58&lt;=LRat,Z58/((1+OE_wynikRRSO)^(SUM($AD$31:AD58))),0)</f>
        <v>635.12039473726031</v>
      </c>
      <c r="AI58" s="966"/>
      <c r="AO58" s="948">
        <f>IF(_NrRaty&gt;LRat,"",_NrRaty)</f>
        <v>28</v>
      </c>
      <c r="AP58" s="977">
        <f t="shared" ca="1" si="56"/>
        <v>47052</v>
      </c>
      <c r="AQ58" s="948">
        <f t="shared" ca="1" si="12"/>
        <v>764.1</v>
      </c>
      <c r="AR58" s="948">
        <f ca="1">IF(_NrRaty&lt;LRat,ROUND(AT57*$AN$20*(SUM(O58:P58)/365),2),0)+IF(_NrRaty=LRat,AQ58-AS58,0)</f>
        <v>103.72</v>
      </c>
      <c r="AS58" s="948">
        <f ca="1">IF(_NrRaty&lt;LRat,ROUND(AQ58-AR58,2),0)+IF(_NrRaty=LRat,AT57,0)</f>
        <v>660.38</v>
      </c>
      <c r="AT58" s="979">
        <f t="shared" ca="1" si="58"/>
        <v>14203.320000000011</v>
      </c>
      <c r="AU58" s="979">
        <f t="shared" si="13"/>
        <v>0</v>
      </c>
      <c r="AV58" s="1005">
        <v>0</v>
      </c>
      <c r="AX58" s="948">
        <f t="shared" ca="1" si="14"/>
        <v>764.1</v>
      </c>
      <c r="AY58" s="948">
        <f ca="1">IF(_NrRaty&lt;=LRat,IF(MOD(YEAR(N58),4)=0,OE_RP_rrso,365),0)</f>
        <v>366</v>
      </c>
      <c r="AZ58" s="948">
        <f ca="1">IF(_NrRaty&lt;=LRat,O58/AY57,0)</f>
        <v>1.3661202185792349E-2</v>
      </c>
      <c r="BA58" s="1006">
        <f ca="1">IF(_NrRaty&lt;=LRat,P58/AY58,0)</f>
        <v>6.8306010928961755E-2</v>
      </c>
      <c r="BB58" s="1006">
        <f t="shared" ca="1" si="42"/>
        <v>8.1967213114754106E-2</v>
      </c>
      <c r="BC58" s="1006">
        <f ca="1">IF(_NrRaty&lt;=LRat,1+OE_oproc*BB58,0)</f>
        <v>1.0069590163934425</v>
      </c>
      <c r="BD58" s="1006">
        <f ca="1">IF(_NrRaty&lt;=LRat,1/PRODUCT($BC$31:BC58),0)</f>
        <v>0.82076259171586297</v>
      </c>
      <c r="BF58" s="948">
        <f ca="1">IF(_NrRaty&lt;=LRat,AX58/((1+SOWK_wynikRRSO)^(SUM($BB$31:BB58))),0)</f>
        <v>635.11662035864606</v>
      </c>
      <c r="BL58" s="1023">
        <f>IF(_NrRaty&gt;LRat,"",_NrRaty)</f>
        <v>28</v>
      </c>
      <c r="BM58" s="1024">
        <f ca="1">IF(_NrRaty&gt;LRat,"",D58)</f>
        <v>47052</v>
      </c>
      <c r="BN58" s="1025">
        <f t="shared" ca="1" si="15"/>
        <v>764.1</v>
      </c>
      <c r="BO58" s="1025">
        <f t="shared" ca="1" si="16"/>
        <v>103.72</v>
      </c>
      <c r="BP58" s="1025">
        <f t="shared" ca="1" si="17"/>
        <v>660.38</v>
      </c>
      <c r="BQ58" s="1025">
        <f t="shared" ca="1" si="26"/>
        <v>14203.31</v>
      </c>
      <c r="BR58" s="1124">
        <f t="shared" si="18"/>
        <v>0</v>
      </c>
      <c r="BT58" s="1113">
        <f>IF(_NrRaty&gt;LRat,"",_NrRaty)</f>
        <v>28</v>
      </c>
      <c r="BU58" s="1023">
        <f t="shared" si="27"/>
        <v>35</v>
      </c>
      <c r="BV58" s="1114">
        <f ca="1">IF(_NrRaty&gt;LRat,"",SUM($O$31:P58))</f>
        <v>853</v>
      </c>
      <c r="BW58" s="1025">
        <f ca="1">IF(_NrRaty&gt;LRat,"",BV58/365)</f>
        <v>2.3369863013698629</v>
      </c>
      <c r="BX58" s="1025">
        <f ca="1">IF(_NrRaty&gt;LRat,"",BW58*BP58)</f>
        <v>1543.29901369863</v>
      </c>
      <c r="BY58" s="1025">
        <f ca="1">IF(_NrRaty&gt;LRat,"",BU58*BX58)</f>
        <v>54015.465479452047</v>
      </c>
    </row>
    <row r="59" spans="1:77" x14ac:dyDescent="0.25">
      <c r="A59" s="973">
        <f t="shared" ca="1" si="19"/>
        <v>0</v>
      </c>
      <c r="B59" s="924">
        <f t="shared" ca="1" si="46"/>
        <v>47083</v>
      </c>
      <c r="C59" s="658">
        <f>IF(_NrRaty&gt;LRat,"",_NrRaty)</f>
        <v>29</v>
      </c>
      <c r="D59" s="659">
        <f t="shared" ca="1" si="47"/>
        <v>47083</v>
      </c>
      <c r="E59" s="940">
        <f t="shared" ca="1" si="6"/>
        <v>764.1</v>
      </c>
      <c r="F59" s="969">
        <f t="shared" ca="1" si="7"/>
        <v>102.41532000000001</v>
      </c>
      <c r="G59" s="940">
        <f ca="1">IF(C59&lt;=LRat,ROUND(ROUND(SUM($F$30:F59),2)-SUM($G$30:G58),2),"")</f>
        <v>102.41</v>
      </c>
      <c r="H59" s="940">
        <f t="shared" ca="1" si="8"/>
        <v>661.69</v>
      </c>
      <c r="I59" s="940">
        <f t="shared" ca="1" si="20"/>
        <v>13541.62</v>
      </c>
      <c r="J59" s="940">
        <f t="shared" si="21"/>
        <v>0</v>
      </c>
      <c r="L59" s="613">
        <f>IF(_NrRaty&gt;LRat,"",_NrRaty)</f>
        <v>29</v>
      </c>
      <c r="M59" s="913">
        <f t="shared" ca="1" si="48"/>
        <v>47087</v>
      </c>
      <c r="N59" s="913">
        <f t="shared" ca="1" si="49"/>
        <v>47083</v>
      </c>
      <c r="O59" s="921">
        <f t="shared" ca="1" si="50"/>
        <v>6</v>
      </c>
      <c r="P59" s="921">
        <f t="shared" ca="1" si="51"/>
        <v>25</v>
      </c>
      <c r="Q59" s="921">
        <f t="shared" ca="1" si="52"/>
        <v>365</v>
      </c>
      <c r="R59" s="921">
        <f t="shared" ca="1" si="53"/>
        <v>1.643835616438356E-2</v>
      </c>
      <c r="S59" s="921">
        <f t="shared" ca="1" si="54"/>
        <v>6.8493150684931503E-2</v>
      </c>
      <c r="T59" s="921">
        <f t="shared" ca="1" si="55"/>
        <v>8.4931506849315067E-2</v>
      </c>
      <c r="U59" s="921">
        <f t="shared" ca="1" si="24"/>
        <v>1.0072106849315068</v>
      </c>
      <c r="V59" s="921">
        <f ca="1">IF(C59&lt;&gt;"",1/PRODUCT($U$31:U59),0)</f>
        <v>0.81473295771883825</v>
      </c>
      <c r="Z59" s="921">
        <f t="shared" ca="1" si="10"/>
        <v>764.1</v>
      </c>
      <c r="AA59" s="949">
        <f t="shared" ca="1" si="2"/>
        <v>366</v>
      </c>
      <c r="AB59" s="949">
        <f t="shared" ca="1" si="3"/>
        <v>1.6393442622950821E-2</v>
      </c>
      <c r="AC59" s="954">
        <f t="shared" ca="1" si="4"/>
        <v>6.8306010928961755E-2</v>
      </c>
      <c r="AD59" s="954">
        <f t="shared" ca="1" si="43"/>
        <v>8.4699453551912579E-2</v>
      </c>
      <c r="AE59" s="954">
        <f t="shared" ca="1" si="11"/>
        <v>1.0071909836065573</v>
      </c>
      <c r="AF59" s="954">
        <f ca="1">IF(L59&lt;=LRat,1/PRODUCT($AE$31:AE59),0)</f>
        <v>0.81490264018932135</v>
      </c>
      <c r="AG59" s="966"/>
      <c r="AH59" s="921">
        <f ca="1">IF(L59&lt;=LRat,Z59/((1+OE_wynikRRSO)^(SUM($AD$31:AD59))),0)</f>
        <v>630.87478034573996</v>
      </c>
      <c r="AI59" s="966"/>
      <c r="AO59" s="948">
        <f>IF(_NrRaty&gt;LRat,"",_NrRaty)</f>
        <v>29</v>
      </c>
      <c r="AP59" s="977">
        <f t="shared" ca="1" si="56"/>
        <v>47083</v>
      </c>
      <c r="AQ59" s="948">
        <f t="shared" ca="1" si="12"/>
        <v>764.1</v>
      </c>
      <c r="AR59" s="948">
        <f ca="1">IF(_NrRaty&lt;LRat,ROUND(AT58*$AN$20*(SUM(O59:P59)/365),2),0)+IF(_NrRaty=LRat,AQ59-AS59,0)</f>
        <v>102.42</v>
      </c>
      <c r="AS59" s="948">
        <f ca="1">IF(_NrRaty&lt;LRat,ROUND(AQ59-AR59,2),0)+IF(_NrRaty=LRat,AT58,0)</f>
        <v>661.68</v>
      </c>
      <c r="AT59" s="979">
        <f t="shared" ca="1" si="58"/>
        <v>13541.64000000001</v>
      </c>
      <c r="AU59" s="979">
        <f t="shared" si="13"/>
        <v>0</v>
      </c>
      <c r="AV59" s="1005">
        <v>0</v>
      </c>
      <c r="AX59" s="948">
        <f t="shared" ca="1" si="14"/>
        <v>764.1</v>
      </c>
      <c r="AY59" s="948">
        <f ca="1">IF(_NrRaty&lt;=LRat,IF(MOD(YEAR(N59),4)=0,OE_RP_rrso,365),0)</f>
        <v>366</v>
      </c>
      <c r="AZ59" s="948">
        <f ca="1">IF(_NrRaty&lt;=LRat,O59/AY58,0)</f>
        <v>1.6393442622950821E-2</v>
      </c>
      <c r="BA59" s="1006">
        <f ca="1">IF(_NrRaty&lt;=LRat,P59/AY59,0)</f>
        <v>6.8306010928961755E-2</v>
      </c>
      <c r="BB59" s="1006">
        <f t="shared" ca="1" si="42"/>
        <v>8.4699453551912579E-2</v>
      </c>
      <c r="BC59" s="1006">
        <f ca="1">IF(_NrRaty&lt;=LRat,1+OE_oproc*BB59,0)</f>
        <v>1.0071909836065573</v>
      </c>
      <c r="BD59" s="1006">
        <f ca="1">IF(_NrRaty&lt;=LRat,1/PRODUCT($BC$31:BC59),0)</f>
        <v>0.81490264018932135</v>
      </c>
      <c r="BF59" s="948">
        <f ca="1">IF(_NrRaty&lt;=LRat,AX59/((1+SOWK_wynikRRSO)^(SUM($BB$31:BB59))),0)</f>
        <v>630.87089518756022</v>
      </c>
      <c r="BL59" s="1023">
        <f>IF(_NrRaty&gt;LRat,"",_NrRaty)</f>
        <v>29</v>
      </c>
      <c r="BM59" s="1024">
        <f ca="1">IF(_NrRaty&gt;LRat,"",D59)</f>
        <v>47083</v>
      </c>
      <c r="BN59" s="1025">
        <f t="shared" ca="1" si="15"/>
        <v>764.1</v>
      </c>
      <c r="BO59" s="1025">
        <f t="shared" ca="1" si="16"/>
        <v>102.41</v>
      </c>
      <c r="BP59" s="1025">
        <f t="shared" ca="1" si="17"/>
        <v>661.69</v>
      </c>
      <c r="BQ59" s="1025">
        <f t="shared" ca="1" si="26"/>
        <v>13541.62</v>
      </c>
      <c r="BR59" s="1124">
        <f t="shared" si="18"/>
        <v>0</v>
      </c>
      <c r="BT59" s="1113">
        <f>IF(_NrRaty&gt;LRat,"",_NrRaty)</f>
        <v>29</v>
      </c>
      <c r="BU59" s="1023">
        <f t="shared" si="27"/>
        <v>35</v>
      </c>
      <c r="BV59" s="1114">
        <f ca="1">IF(_NrRaty&gt;LRat,"",SUM($O$31:P59))</f>
        <v>884</v>
      </c>
      <c r="BW59" s="1025">
        <f ca="1">IF(_NrRaty&gt;LRat,"",BV59/365)</f>
        <v>2.4219178082191779</v>
      </c>
      <c r="BX59" s="1025">
        <f ca="1">IF(_NrRaty&gt;LRat,"",BW59*BP59)</f>
        <v>1602.558794520548</v>
      </c>
      <c r="BY59" s="1025">
        <f ca="1">IF(_NrRaty&gt;LRat,"",BU59*BX59)</f>
        <v>56089.557808219179</v>
      </c>
    </row>
    <row r="60" spans="1:77" x14ac:dyDescent="0.25">
      <c r="A60" s="973">
        <f t="shared" ca="1" si="19"/>
        <v>0</v>
      </c>
      <c r="B60" s="924">
        <f t="shared" ca="1" si="46"/>
        <v>47113</v>
      </c>
      <c r="C60" s="660">
        <f>IF(_NrRaty&gt;LRat,"",_NrRaty)</f>
        <v>30</v>
      </c>
      <c r="D60" s="661">
        <f t="shared" ca="1" si="47"/>
        <v>47113</v>
      </c>
      <c r="E60" s="941">
        <f t="shared" ca="1" si="6"/>
        <v>764.1</v>
      </c>
      <c r="F60" s="970">
        <f t="shared" ca="1" si="7"/>
        <v>94.494299999999996</v>
      </c>
      <c r="G60" s="941">
        <f ca="1">IF(C60&lt;=LRat,ROUND(ROUND(SUM($F$30:F60),2)-SUM($G$30:G59),2),"")</f>
        <v>94.5</v>
      </c>
      <c r="H60" s="941">
        <f t="shared" ca="1" si="8"/>
        <v>669.6</v>
      </c>
      <c r="I60" s="941">
        <f t="shared" ca="1" si="20"/>
        <v>12872.02</v>
      </c>
      <c r="J60" s="941">
        <f t="shared" si="21"/>
        <v>0</v>
      </c>
      <c r="L60" s="613">
        <f>IF(_NrRaty&gt;LRat,"",_NrRaty)</f>
        <v>30</v>
      </c>
      <c r="M60" s="913">
        <f t="shared" ca="1" si="48"/>
        <v>47118</v>
      </c>
      <c r="N60" s="913">
        <f t="shared" ca="1" si="49"/>
        <v>47113</v>
      </c>
      <c r="O60" s="921">
        <f t="shared" ca="1" si="50"/>
        <v>5</v>
      </c>
      <c r="P60" s="921">
        <f t="shared" ca="1" si="51"/>
        <v>25</v>
      </c>
      <c r="Q60" s="921">
        <f t="shared" ca="1" si="52"/>
        <v>365</v>
      </c>
      <c r="R60" s="921">
        <f t="shared" ca="1" si="53"/>
        <v>1.3698630136986301E-2</v>
      </c>
      <c r="S60" s="921">
        <f t="shared" ca="1" si="54"/>
        <v>6.8493150684931503E-2</v>
      </c>
      <c r="T60" s="921">
        <f t="shared" ca="1" si="55"/>
        <v>8.2191780821917804E-2</v>
      </c>
      <c r="U60" s="921">
        <f t="shared" ca="1" si="24"/>
        <v>1.0069780821917809</v>
      </c>
      <c r="V60" s="921">
        <f ca="1">IF(C60&lt;&gt;"",1/PRODUCT($U$31:U60),0)</f>
        <v>0.80908708156338083</v>
      </c>
      <c r="Z60" s="921">
        <f t="shared" ca="1" si="10"/>
        <v>764.1</v>
      </c>
      <c r="AA60" s="949">
        <f t="shared" ca="1" si="2"/>
        <v>366</v>
      </c>
      <c r="AB60" s="949">
        <f t="shared" ca="1" si="3"/>
        <v>1.3661202185792349E-2</v>
      </c>
      <c r="AC60" s="954">
        <f t="shared" ca="1" si="4"/>
        <v>6.8306010928961755E-2</v>
      </c>
      <c r="AD60" s="954">
        <f t="shared" ca="1" si="43"/>
        <v>8.1967213114754106E-2</v>
      </c>
      <c r="AE60" s="954">
        <f t="shared" ca="1" si="11"/>
        <v>1.0069590163934425</v>
      </c>
      <c r="AF60" s="954">
        <f ca="1">IF(L60&lt;=LRat,1/PRODUCT($AE$31:AE60),0)</f>
        <v>0.80927091065533463</v>
      </c>
      <c r="AG60" s="966"/>
      <c r="AH60" s="921">
        <f ca="1">IF(L60&lt;=LRat,Z60/((1+OE_wynikRRSO)^(SUM($AD$31:AD60))),0)</f>
        <v>626.79314552961591</v>
      </c>
      <c r="AI60" s="966"/>
      <c r="AO60" s="948">
        <f>IF(_NrRaty&gt;LRat,"",_NrRaty)</f>
        <v>30</v>
      </c>
      <c r="AP60" s="977">
        <f t="shared" ca="1" si="56"/>
        <v>47113</v>
      </c>
      <c r="AQ60" s="948">
        <f t="shared" ca="1" si="12"/>
        <v>764.1</v>
      </c>
      <c r="AR60" s="948">
        <f ca="1">IF(_NrRaty&lt;LRat,ROUND(AT59*$AN$20*(SUM(O60:P60)/365),2),0)+IF(_NrRaty=LRat,AQ60-AS60,0)</f>
        <v>94.49</v>
      </c>
      <c r="AS60" s="948">
        <f ca="1">IF(_NrRaty&lt;LRat,ROUND(AQ60-AR60,2),0)+IF(_NrRaty=LRat,AT59,0)</f>
        <v>669.61</v>
      </c>
      <c r="AT60" s="979">
        <f t="shared" ca="1" si="58"/>
        <v>12872.03000000001</v>
      </c>
      <c r="AU60" s="979">
        <f t="shared" si="13"/>
        <v>0</v>
      </c>
      <c r="AV60" s="1005">
        <v>0</v>
      </c>
      <c r="AX60" s="948">
        <f t="shared" ca="1" si="14"/>
        <v>764.1</v>
      </c>
      <c r="AY60" s="948">
        <f ca="1">IF(_NrRaty&lt;=LRat,IF(MOD(YEAR(N60),4)=0,OE_RP_rrso,365),0)</f>
        <v>366</v>
      </c>
      <c r="AZ60" s="948">
        <f ca="1">IF(_NrRaty&lt;=LRat,O60/AY59,0)</f>
        <v>1.3661202185792349E-2</v>
      </c>
      <c r="BA60" s="1006">
        <f ca="1">IF(_NrRaty&lt;=LRat,P60/AY60,0)</f>
        <v>6.8306010928961755E-2</v>
      </c>
      <c r="BB60" s="1006">
        <f t="shared" ca="1" si="42"/>
        <v>8.1967213114754106E-2</v>
      </c>
      <c r="BC60" s="1006">
        <f ca="1">IF(_NrRaty&lt;=LRat,1+OE_oproc*BB60,0)</f>
        <v>1.0069590163934425</v>
      </c>
      <c r="BD60" s="1006">
        <f ca="1">IF(_NrRaty&lt;=LRat,1/PRODUCT($BC$31:BC60),0)</f>
        <v>0.80927091065533463</v>
      </c>
      <c r="BF60" s="948">
        <f ca="1">IF(_NrRaty&lt;=LRat,AX60/((1+SOWK_wynikRRSO)^(SUM($BB$31:BB60))),0)</f>
        <v>626.78915473636721</v>
      </c>
      <c r="BL60" s="1023">
        <f>IF(_NrRaty&gt;LRat,"",_NrRaty)</f>
        <v>30</v>
      </c>
      <c r="BM60" s="1024">
        <f ca="1">IF(_NrRaty&gt;LRat,"",D60)</f>
        <v>47113</v>
      </c>
      <c r="BN60" s="1025">
        <f t="shared" ca="1" si="15"/>
        <v>764.1</v>
      </c>
      <c r="BO60" s="1025">
        <f t="shared" ca="1" si="16"/>
        <v>94.5</v>
      </c>
      <c r="BP60" s="1025">
        <f t="shared" ca="1" si="17"/>
        <v>669.6</v>
      </c>
      <c r="BQ60" s="1025">
        <f t="shared" ca="1" si="26"/>
        <v>12872.02</v>
      </c>
      <c r="BR60" s="1124">
        <f t="shared" si="18"/>
        <v>0</v>
      </c>
      <c r="BT60" s="1113">
        <f>IF(_NrRaty&gt;LRat,"",_NrRaty)</f>
        <v>30</v>
      </c>
      <c r="BU60" s="1023">
        <f t="shared" si="27"/>
        <v>35</v>
      </c>
      <c r="BV60" s="1114">
        <f ca="1">IF(_NrRaty&gt;LRat,"",SUM($O$31:P60))</f>
        <v>914</v>
      </c>
      <c r="BW60" s="1025">
        <f ca="1">IF(_NrRaty&gt;LRat,"",BV60/365)</f>
        <v>2.504109589041096</v>
      </c>
      <c r="BX60" s="1025">
        <f ca="1">IF(_NrRaty&gt;LRat,"",BW60*BP60)</f>
        <v>1676.7517808219179</v>
      </c>
      <c r="BY60" s="1025">
        <f ca="1">IF(_NrRaty&gt;LRat,"",BU60*BX60)</f>
        <v>58686.312328767126</v>
      </c>
    </row>
    <row r="61" spans="1:77" x14ac:dyDescent="0.25">
      <c r="A61" s="973">
        <f t="shared" ca="1" si="19"/>
        <v>0</v>
      </c>
      <c r="B61" s="924">
        <f t="shared" ca="1" si="46"/>
        <v>47144</v>
      </c>
      <c r="C61" s="658">
        <f>IF(_NrRaty&gt;LRat,"",_NrRaty)</f>
        <v>31</v>
      </c>
      <c r="D61" s="659">
        <f t="shared" ca="1" si="47"/>
        <v>47144</v>
      </c>
      <c r="E61" s="940">
        <f t="shared" ca="1" si="6"/>
        <v>764.1</v>
      </c>
      <c r="F61" s="969">
        <f t="shared" ca="1" si="7"/>
        <v>92.815860000000001</v>
      </c>
      <c r="G61" s="940">
        <f ca="1">IF(C61&lt;=LRat,ROUND(ROUND(SUM($F$30:F61),2)-SUM($G$30:G60),2),"")</f>
        <v>92.81</v>
      </c>
      <c r="H61" s="940">
        <f t="shared" ca="1" si="8"/>
        <v>671.29</v>
      </c>
      <c r="I61" s="940">
        <f t="shared" ca="1" si="20"/>
        <v>12200.73</v>
      </c>
      <c r="J61" s="940">
        <f t="shared" si="21"/>
        <v>0</v>
      </c>
      <c r="L61" s="613">
        <f>IF(_NrRaty&gt;LRat,"",_NrRaty)</f>
        <v>31</v>
      </c>
      <c r="M61" s="913">
        <f t="shared" ca="1" si="48"/>
        <v>47149</v>
      </c>
      <c r="N61" s="913">
        <f t="shared" ca="1" si="49"/>
        <v>47144</v>
      </c>
      <c r="O61" s="921">
        <f t="shared" ca="1" si="50"/>
        <v>6</v>
      </c>
      <c r="P61" s="921">
        <f t="shared" ca="1" si="51"/>
        <v>25</v>
      </c>
      <c r="Q61" s="921">
        <f t="shared" ca="1" si="52"/>
        <v>365</v>
      </c>
      <c r="R61" s="921">
        <f t="shared" ca="1" si="53"/>
        <v>1.643835616438356E-2</v>
      </c>
      <c r="S61" s="921">
        <f t="shared" ca="1" si="54"/>
        <v>6.8493150684931503E-2</v>
      </c>
      <c r="T61" s="921">
        <f t="shared" ca="1" si="55"/>
        <v>8.4931506849315067E-2</v>
      </c>
      <c r="U61" s="921">
        <f t="shared" ca="1" si="24"/>
        <v>1.0072106849315068</v>
      </c>
      <c r="V61" s="921">
        <f ca="1">IF(C61&lt;&gt;"",1/PRODUCT($U$31:U61),0)</f>
        <v>0.8032947760263297</v>
      </c>
      <c r="Z61" s="921">
        <f t="shared" ca="1" si="10"/>
        <v>764.1</v>
      </c>
      <c r="AA61" s="949">
        <f t="shared" ref="AA61:AA92" ca="1" si="59">IF(L61&lt;=LRat,IF(MOD(YEAR(N61),4)=0,OE_RP_rrso,365),0)</f>
        <v>365</v>
      </c>
      <c r="AB61" s="949">
        <f t="shared" ca="1" si="3"/>
        <v>1.6393442622950821E-2</v>
      </c>
      <c r="AC61" s="954">
        <f t="shared" ca="1" si="4"/>
        <v>6.8493150684931503E-2</v>
      </c>
      <c r="AD61" s="954">
        <f t="shared" ca="1" si="43"/>
        <v>8.4886593307882327E-2</v>
      </c>
      <c r="AE61" s="954">
        <f t="shared" ca="1" si="11"/>
        <v>1.0072068717718392</v>
      </c>
      <c r="AF61" s="954">
        <f ca="1">IF(L61&lt;=LRat,1/PRODUCT($AE$31:AE61),0)</f>
        <v>0.8034803309390619</v>
      </c>
      <c r="AG61" s="966"/>
      <c r="AH61" s="921">
        <f ca="1">IF(L61&lt;=LRat,Z61/((1+OE_wynikRRSO)^(SUM($AD$31:AD61))),0)</f>
        <v>622.59397019966241</v>
      </c>
      <c r="AI61" s="966"/>
      <c r="AO61" s="948">
        <f>IF(_NrRaty&gt;LRat,"",_NrRaty)</f>
        <v>31</v>
      </c>
      <c r="AP61" s="977">
        <f t="shared" ca="1" si="56"/>
        <v>47144</v>
      </c>
      <c r="AQ61" s="948">
        <f t="shared" ca="1" si="12"/>
        <v>764.1</v>
      </c>
      <c r="AR61" s="948">
        <f ca="1">IF(_NrRaty&lt;LRat,ROUND(AT60*$AN$20*(SUM(O61:P61)/365),2),0)+IF(_NrRaty=LRat,AQ61-AS61,0)</f>
        <v>92.82</v>
      </c>
      <c r="AS61" s="948">
        <f ca="1">IF(_NrRaty&lt;LRat,ROUND(AQ61-AR61,2),0)+IF(_NrRaty=LRat,AT60,0)</f>
        <v>671.28</v>
      </c>
      <c r="AT61" s="979">
        <f t="shared" ca="1" si="58"/>
        <v>12200.750000000009</v>
      </c>
      <c r="AU61" s="979">
        <f t="shared" si="13"/>
        <v>0</v>
      </c>
      <c r="AV61" s="1005">
        <v>0</v>
      </c>
      <c r="AX61" s="948">
        <f t="shared" ca="1" si="14"/>
        <v>764.1</v>
      </c>
      <c r="AY61" s="948">
        <f ca="1">IF(_NrRaty&lt;=LRat,IF(MOD(YEAR(N61),4)=0,OE_RP_rrso,365),0)</f>
        <v>365</v>
      </c>
      <c r="AZ61" s="948">
        <f ca="1">IF(_NrRaty&lt;=LRat,O61/AY60,0)</f>
        <v>1.6393442622950821E-2</v>
      </c>
      <c r="BA61" s="1006">
        <f ca="1">IF(_NrRaty&lt;=LRat,P61/AY61,0)</f>
        <v>6.8493150684931503E-2</v>
      </c>
      <c r="BB61" s="1006">
        <f t="shared" ca="1" si="42"/>
        <v>8.4886593307882327E-2</v>
      </c>
      <c r="BC61" s="1006">
        <f ca="1">IF(_NrRaty&lt;=LRat,1+OE_oproc*BB61,0)</f>
        <v>1.0072068717718392</v>
      </c>
      <c r="BD61" s="1006">
        <f ca="1">IF(_NrRaty&lt;=LRat,1/PRODUCT($BC$31:BC61),0)</f>
        <v>0.8034803309390619</v>
      </c>
      <c r="BF61" s="948">
        <f ca="1">IF(_NrRaty&lt;=LRat,AX61/((1+SOWK_wynikRRSO)^(SUM($BB$31:BB61))),0)</f>
        <v>622.58987162102108</v>
      </c>
      <c r="BL61" s="1023">
        <f>IF(_NrRaty&gt;LRat,"",_NrRaty)</f>
        <v>31</v>
      </c>
      <c r="BM61" s="1024">
        <f ca="1">IF(_NrRaty&gt;LRat,"",D61)</f>
        <v>47144</v>
      </c>
      <c r="BN61" s="1025">
        <f t="shared" ca="1" si="15"/>
        <v>764.1</v>
      </c>
      <c r="BO61" s="1025">
        <f t="shared" ca="1" si="16"/>
        <v>92.81</v>
      </c>
      <c r="BP61" s="1025">
        <f t="shared" ca="1" si="17"/>
        <v>671.29</v>
      </c>
      <c r="BQ61" s="1025">
        <f t="shared" ca="1" si="26"/>
        <v>12200.73</v>
      </c>
      <c r="BR61" s="1124">
        <f t="shared" si="18"/>
        <v>0</v>
      </c>
      <c r="BT61" s="1113">
        <f>IF(_NrRaty&gt;LRat,"",_NrRaty)</f>
        <v>31</v>
      </c>
      <c r="BU61" s="1023">
        <f t="shared" si="27"/>
        <v>35</v>
      </c>
      <c r="BV61" s="1114">
        <f ca="1">IF(_NrRaty&gt;LRat,"",SUM($O$31:P61))</f>
        <v>945</v>
      </c>
      <c r="BW61" s="1025">
        <f ca="1">IF(_NrRaty&gt;LRat,"",BV61/365)</f>
        <v>2.5890410958904111</v>
      </c>
      <c r="BX61" s="1025">
        <f ca="1">IF(_NrRaty&gt;LRat,"",BW61*BP61)</f>
        <v>1737.9973972602741</v>
      </c>
      <c r="BY61" s="1025">
        <f ca="1">IF(_NrRaty&gt;LRat,"",BU61*BX61)</f>
        <v>60829.908904109594</v>
      </c>
    </row>
    <row r="62" spans="1:77" x14ac:dyDescent="0.25">
      <c r="A62" s="973">
        <f t="shared" ca="1" si="19"/>
        <v>0</v>
      </c>
      <c r="B62" s="924">
        <f t="shared" ca="1" si="46"/>
        <v>47175</v>
      </c>
      <c r="C62" s="660">
        <f>IF(_NrRaty&gt;LRat,"",_NrRaty)</f>
        <v>32</v>
      </c>
      <c r="D62" s="661">
        <f t="shared" ca="1" si="47"/>
        <v>47175</v>
      </c>
      <c r="E62" s="941">
        <f t="shared" ca="1" si="6"/>
        <v>764.1</v>
      </c>
      <c r="F62" s="970">
        <f t="shared" ca="1" si="7"/>
        <v>87.975520000000003</v>
      </c>
      <c r="G62" s="941">
        <f ca="1">IF(C62&lt;=LRat,ROUND(ROUND(SUM($F$30:F62),2)-SUM($G$30:G61),2),"")</f>
        <v>87.98</v>
      </c>
      <c r="H62" s="941">
        <f t="shared" ca="1" si="8"/>
        <v>676.12</v>
      </c>
      <c r="I62" s="941">
        <f t="shared" ca="1" si="20"/>
        <v>11524.61</v>
      </c>
      <c r="J62" s="941">
        <f t="shared" si="21"/>
        <v>0</v>
      </c>
      <c r="L62" s="613">
        <f>IF(_NrRaty&gt;LRat,"",_NrRaty)</f>
        <v>32</v>
      </c>
      <c r="M62" s="913">
        <f t="shared" ca="1" si="48"/>
        <v>47177</v>
      </c>
      <c r="N62" s="913">
        <f t="shared" ca="1" si="49"/>
        <v>47175</v>
      </c>
      <c r="O62" s="921">
        <f t="shared" ca="1" si="50"/>
        <v>6</v>
      </c>
      <c r="P62" s="921">
        <f t="shared" ca="1" si="51"/>
        <v>25</v>
      </c>
      <c r="Q62" s="921">
        <f t="shared" ca="1" si="52"/>
        <v>365</v>
      </c>
      <c r="R62" s="921">
        <f t="shared" ca="1" si="53"/>
        <v>1.643835616438356E-2</v>
      </c>
      <c r="S62" s="921">
        <f t="shared" ca="1" si="54"/>
        <v>6.8493150684931503E-2</v>
      </c>
      <c r="T62" s="921">
        <f t="shared" ca="1" si="55"/>
        <v>8.4931506849315067E-2</v>
      </c>
      <c r="U62" s="921">
        <f t="shared" ca="1" si="24"/>
        <v>1.0072106849315068</v>
      </c>
      <c r="V62" s="921">
        <f ca="1">IF(C62&lt;&gt;"",1/PRODUCT($U$31:U62),0)</f>
        <v>0.79754393797059053</v>
      </c>
      <c r="Z62" s="921">
        <f t="shared" ca="1" si="10"/>
        <v>764.1</v>
      </c>
      <c r="AA62" s="949">
        <f t="shared" ca="1" si="59"/>
        <v>365</v>
      </c>
      <c r="AB62" s="949">
        <f t="shared" ref="AB62:AB93" ca="1" si="60">IF(L62&lt;=LRat,O62/AA61,0)</f>
        <v>1.643835616438356E-2</v>
      </c>
      <c r="AC62" s="954">
        <f t="shared" ref="AC62:AC93" ca="1" si="61">IF(L62&lt;=LRat,P62/AA62,0)</f>
        <v>6.8493150684931503E-2</v>
      </c>
      <c r="AD62" s="954">
        <f t="shared" ca="1" si="43"/>
        <v>8.4931506849315067E-2</v>
      </c>
      <c r="AE62" s="954">
        <f t="shared" ca="1" si="11"/>
        <v>1.0072106849315068</v>
      </c>
      <c r="AF62" s="954">
        <f ca="1">IF(L62&lt;=LRat,1/PRODUCT($AE$31:AE62),0)</f>
        <v>0.79772816448397876</v>
      </c>
      <c r="AG62" s="966"/>
      <c r="AH62" s="921">
        <f ca="1">IF(L62&lt;=LRat,Z62/((1+OE_wynikRRSO)^(SUM($AD$31:AD62))),0)</f>
        <v>618.42072758688437</v>
      </c>
      <c r="AI62" s="966"/>
      <c r="AO62" s="948">
        <f>IF(_NrRaty&gt;LRat,"",_NrRaty)</f>
        <v>32</v>
      </c>
      <c r="AP62" s="977">
        <f t="shared" ca="1" si="56"/>
        <v>47175</v>
      </c>
      <c r="AQ62" s="948">
        <f t="shared" ca="1" si="12"/>
        <v>764.1</v>
      </c>
      <c r="AR62" s="948">
        <f ca="1">IF(_NrRaty&lt;LRat,ROUND(AT61*$AN$20*(SUM(O62:P62)/365),2),0)+IF(_NrRaty=LRat,AQ62-AS62,0)</f>
        <v>87.98</v>
      </c>
      <c r="AS62" s="948">
        <f ca="1">IF(_NrRaty&lt;LRat,ROUND(AQ62-AR62,2),0)+IF(_NrRaty=LRat,AT61,0)</f>
        <v>676.12</v>
      </c>
      <c r="AT62" s="979">
        <f t="shared" ca="1" si="58"/>
        <v>11524.630000000008</v>
      </c>
      <c r="AU62" s="979">
        <f t="shared" si="13"/>
        <v>0</v>
      </c>
      <c r="AV62" s="1005">
        <v>0</v>
      </c>
      <c r="AX62" s="948">
        <f t="shared" ca="1" si="14"/>
        <v>764.1</v>
      </c>
      <c r="AY62" s="948">
        <f ca="1">IF(_NrRaty&lt;=LRat,IF(MOD(YEAR(N62),4)=0,OE_RP_rrso,365),0)</f>
        <v>365</v>
      </c>
      <c r="AZ62" s="948">
        <f ca="1">IF(_NrRaty&lt;=LRat,O62/AY61,0)</f>
        <v>1.643835616438356E-2</v>
      </c>
      <c r="BA62" s="1006">
        <f ca="1">IF(_NrRaty&lt;=LRat,P62/AY62,0)</f>
        <v>6.8493150684931503E-2</v>
      </c>
      <c r="BB62" s="1006">
        <f t="shared" ca="1" si="42"/>
        <v>8.4931506849315067E-2</v>
      </c>
      <c r="BC62" s="1006">
        <f ca="1">IF(_NrRaty&lt;=LRat,1+OE_oproc*BB62,0)</f>
        <v>1.0072106849315068</v>
      </c>
      <c r="BD62" s="1006">
        <f ca="1">IF(_NrRaty&lt;=LRat,1/PRODUCT($BC$31:BC62),0)</f>
        <v>0.79772816448397876</v>
      </c>
      <c r="BF62" s="948">
        <f ca="1">IF(_NrRaty&lt;=LRat,AX62/((1+SOWK_wynikRRSO)^(SUM($BB$31:BB62))),0)</f>
        <v>618.41652279046104</v>
      </c>
      <c r="BL62" s="1023">
        <f>IF(_NrRaty&gt;LRat,"",_NrRaty)</f>
        <v>32</v>
      </c>
      <c r="BM62" s="1024">
        <f ca="1">IF(_NrRaty&gt;LRat,"",D62)</f>
        <v>47175</v>
      </c>
      <c r="BN62" s="1025">
        <f t="shared" ca="1" si="15"/>
        <v>764.1</v>
      </c>
      <c r="BO62" s="1025">
        <f t="shared" ca="1" si="16"/>
        <v>87.98</v>
      </c>
      <c r="BP62" s="1025">
        <f t="shared" ca="1" si="17"/>
        <v>676.12</v>
      </c>
      <c r="BQ62" s="1025">
        <f t="shared" ca="1" si="26"/>
        <v>11524.61</v>
      </c>
      <c r="BR62" s="1124">
        <f t="shared" si="18"/>
        <v>0</v>
      </c>
      <c r="BT62" s="1113">
        <f>IF(_NrRaty&gt;LRat,"",_NrRaty)</f>
        <v>32</v>
      </c>
      <c r="BU62" s="1023">
        <f t="shared" si="27"/>
        <v>35</v>
      </c>
      <c r="BV62" s="1114">
        <f ca="1">IF(_NrRaty&gt;LRat,"",SUM($O$31:P62))</f>
        <v>976</v>
      </c>
      <c r="BW62" s="1025">
        <f ca="1">IF(_NrRaty&gt;LRat,"",BV62/365)</f>
        <v>2.6739726027397261</v>
      </c>
      <c r="BX62" s="1025">
        <f ca="1">IF(_NrRaty&gt;LRat,"",BW62*BP62)</f>
        <v>1807.9263561643836</v>
      </c>
      <c r="BY62" s="1025">
        <f ca="1">IF(_NrRaty&gt;LRat,"",BU62*BX62)</f>
        <v>63277.422465753429</v>
      </c>
    </row>
    <row r="63" spans="1:77" x14ac:dyDescent="0.25">
      <c r="A63" s="973">
        <f t="shared" ca="1" si="19"/>
        <v>0</v>
      </c>
      <c r="B63" s="924">
        <f t="shared" ca="1" si="46"/>
        <v>47203</v>
      </c>
      <c r="C63" s="658">
        <f>IF(_NrRaty&gt;LRat,"",_NrRaty)</f>
        <v>33</v>
      </c>
      <c r="D63" s="659">
        <f t="shared" ca="1" si="47"/>
        <v>47203</v>
      </c>
      <c r="E63" s="940">
        <f t="shared" ref="E63:E94" ca="1" si="62">IF(C63&lt;=LRat,(IF(C63&lt;LRat,PMT_,0)+IF(C63=LRat,I62+G63,0)),"")</f>
        <v>764.1</v>
      </c>
      <c r="F63" s="969">
        <f t="shared" ref="F63:F94" ca="1" si="63">IF(C63&lt;=LRat,ROUNDDOWN(OE_oproc/365*I62,5)*(D63-D62),"")</f>
        <v>75.058199999999999</v>
      </c>
      <c r="G63" s="940">
        <f ca="1">IF(C63&lt;=LRat,ROUND(ROUND(SUM($F$30:F63),2)-SUM($G$30:G62),2),"")</f>
        <v>75.05</v>
      </c>
      <c r="H63" s="940">
        <f t="shared" ref="H63:H94" ca="1" si="64">IF(C63&lt;=LRat,IF(C63=LRat,I62,ROUND(E63-G63,2)),"")</f>
        <v>689.05</v>
      </c>
      <c r="I63" s="940">
        <f t="shared" ref="I63:I94" ca="1" si="65">IF(C63&lt;=LRat,ROUND(I62-H63,2),"")</f>
        <v>10835.56</v>
      </c>
      <c r="J63" s="940">
        <f t="shared" ref="J63:J94" si="66">IF(C63&lt;=LRat,(IF(PLATNOSC_UBEZPIECZ="JEDNORAZOWO",0,$C$16)),"")</f>
        <v>0</v>
      </c>
      <c r="L63" s="613">
        <f>IF(_NrRaty&gt;LRat,"",_NrRaty)</f>
        <v>33</v>
      </c>
      <c r="M63" s="913">
        <f t="shared" ca="1" si="48"/>
        <v>47208</v>
      </c>
      <c r="N63" s="913">
        <f t="shared" ca="1" si="49"/>
        <v>47203</v>
      </c>
      <c r="O63" s="921">
        <f t="shared" ca="1" si="50"/>
        <v>3</v>
      </c>
      <c r="P63" s="921">
        <f t="shared" ca="1" si="51"/>
        <v>25</v>
      </c>
      <c r="Q63" s="921">
        <f t="shared" ca="1" si="52"/>
        <v>365</v>
      </c>
      <c r="R63" s="921">
        <f t="shared" ca="1" si="53"/>
        <v>8.21917808219178E-3</v>
      </c>
      <c r="S63" s="921">
        <f t="shared" ca="1" si="54"/>
        <v>6.8493150684931503E-2</v>
      </c>
      <c r="T63" s="921">
        <f t="shared" ca="1" si="55"/>
        <v>7.6712328767123278E-2</v>
      </c>
      <c r="U63" s="921">
        <f t="shared" ref="U63:U94" ca="1" si="67">IF(C63&lt;&gt;"",1+OE_oproc*T63,0)</f>
        <v>1.0065128767123288</v>
      </c>
      <c r="V63" s="921">
        <f ca="1">IF(C63&lt;&gt;"",1/PRODUCT($U$31:U63),0)</f>
        <v>0.79238324359613377</v>
      </c>
      <c r="Z63" s="921">
        <f t="shared" ref="Z63:Z94" ca="1" si="68">IF(C63&lt;=LRat,SUM(E63,J63,K63),0)</f>
        <v>764.1</v>
      </c>
      <c r="AA63" s="949">
        <f t="shared" ca="1" si="59"/>
        <v>365</v>
      </c>
      <c r="AB63" s="949">
        <f t="shared" ca="1" si="60"/>
        <v>8.21917808219178E-3</v>
      </c>
      <c r="AC63" s="954">
        <f t="shared" ca="1" si="61"/>
        <v>6.8493150684931503E-2</v>
      </c>
      <c r="AD63" s="954">
        <f t="shared" ca="1" si="43"/>
        <v>7.6712328767123278E-2</v>
      </c>
      <c r="AE63" s="954">
        <f t="shared" ref="AE63:AE94" ca="1" si="69">IF(L63&lt;=LRat,1+OE_oproc*AD63,0)</f>
        <v>1.0065128767123288</v>
      </c>
      <c r="AF63" s="954">
        <f ca="1">IF(L63&lt;=LRat,1/PRODUCT($AE$31:AE63),0)</f>
        <v>0.79256627802882762</v>
      </c>
      <c r="AG63" s="966"/>
      <c r="AH63" s="921">
        <f ca="1">IF(L63&lt;=LRat,Z63/((1+OE_wynikRRSO)^(SUM($AD$31:AD63))),0)</f>
        <v>614.67539594437994</v>
      </c>
      <c r="AI63" s="966"/>
      <c r="AO63" s="948">
        <f>IF(_NrRaty&gt;LRat,"",_NrRaty)</f>
        <v>33</v>
      </c>
      <c r="AP63" s="977">
        <f t="shared" ca="1" si="56"/>
        <v>47203</v>
      </c>
      <c r="AQ63" s="948">
        <f t="shared" ref="AQ63:AQ94" ca="1" si="70">IF(AO63&lt;=LRat,PMT_,0)</f>
        <v>764.1</v>
      </c>
      <c r="AR63" s="948">
        <f ca="1">IF(_NrRaty&lt;LRat,ROUND(AT62*$AN$20*(SUM(O63:P63)/365),2),0)+IF(_NrRaty=LRat,AQ63-AS63,0)</f>
        <v>75.06</v>
      </c>
      <c r="AS63" s="948">
        <f ca="1">IF(_NrRaty&lt;LRat,ROUND(AQ63-AR63,2),0)+IF(_NrRaty=LRat,AT62,0)</f>
        <v>689.04</v>
      </c>
      <c r="AT63" s="979">
        <f t="shared" ca="1" si="58"/>
        <v>10835.590000000007</v>
      </c>
      <c r="AU63" s="979">
        <f t="shared" ref="AU63:AU94" si="71">IF(C63&lt;=LRat,(IF(PLATNOSC_UBEZPIECZ="JEDNORAZOWO",0,$AO$16)))</f>
        <v>0</v>
      </c>
      <c r="AV63" s="1005">
        <v>0</v>
      </c>
      <c r="AX63" s="948">
        <f t="shared" ref="AX63:AX94" ca="1" si="72">IF(AO63&lt;=LRat,SUM(AQ63,AU63,AV63),0)</f>
        <v>764.1</v>
      </c>
      <c r="AY63" s="948">
        <f ca="1">IF(_NrRaty&lt;=LRat,IF(MOD(YEAR(N63),4)=0,OE_RP_rrso,365),0)</f>
        <v>365</v>
      </c>
      <c r="AZ63" s="948">
        <f ca="1">IF(_NrRaty&lt;=LRat,O63/AY62,0)</f>
        <v>8.21917808219178E-3</v>
      </c>
      <c r="BA63" s="1006">
        <f ca="1">IF(_NrRaty&lt;=LRat,P63/AY63,0)</f>
        <v>6.8493150684931503E-2</v>
      </c>
      <c r="BB63" s="1006">
        <f t="shared" ca="1" si="42"/>
        <v>7.6712328767123278E-2</v>
      </c>
      <c r="BC63" s="1006">
        <f ca="1">IF(_NrRaty&lt;=LRat,1+OE_oproc*BB63,0)</f>
        <v>1.0065128767123288</v>
      </c>
      <c r="BD63" s="1006">
        <f ca="1">IF(_NrRaty&lt;=LRat,1/PRODUCT($BC$31:BC63),0)</f>
        <v>0.79256627802882762</v>
      </c>
      <c r="BF63" s="948">
        <f ca="1">IF(_NrRaty&lt;=LRat,AX63/((1+SOWK_wynikRRSO)^(SUM($BB$31:BB63))),0)</f>
        <v>614.67109659200548</v>
      </c>
      <c r="BL63" s="1023">
        <f>IF(_NrRaty&gt;LRat,"",_NrRaty)</f>
        <v>33</v>
      </c>
      <c r="BM63" s="1024">
        <f ca="1">IF(_NrRaty&gt;LRat,"",D63)</f>
        <v>47203</v>
      </c>
      <c r="BN63" s="1025">
        <f t="shared" ref="BN63:BN94" ca="1" si="73">IF(APLIKACJA="SOWK",AQ63,E63)</f>
        <v>764.1</v>
      </c>
      <c r="BO63" s="1025">
        <f t="shared" ref="BO63:BO94" ca="1" si="74">IF(APLIKACJA="SOWK",AR63,G63)</f>
        <v>75.05</v>
      </c>
      <c r="BP63" s="1025">
        <f t="shared" ref="BP63:BP94" ca="1" si="75">IF(APLIKACJA="SOWK",AS63,H63)</f>
        <v>689.05</v>
      </c>
      <c r="BQ63" s="1025">
        <f t="shared" ref="BQ63:BQ94" ca="1" si="76">IF(APLIKACJA="SOWK",AT63,I63)</f>
        <v>10835.56</v>
      </c>
      <c r="BR63" s="1124">
        <f t="shared" ref="BR63:BR94" si="77">IF(APLIKACJA="SOWK",AU63,J63)*1</f>
        <v>0</v>
      </c>
      <c r="BT63" s="1113">
        <f>IF(_NrRaty&gt;LRat,"",_NrRaty)</f>
        <v>33</v>
      </c>
      <c r="BU63" s="1023">
        <f t="shared" si="27"/>
        <v>35</v>
      </c>
      <c r="BV63" s="1114">
        <f ca="1">IF(_NrRaty&gt;LRat,"",SUM($O$31:P63))</f>
        <v>1004</v>
      </c>
      <c r="BW63" s="1025">
        <f ca="1">IF(_NrRaty&gt;LRat,"",BV63/365)</f>
        <v>2.7506849315068491</v>
      </c>
      <c r="BX63" s="1025">
        <f ca="1">IF(_NrRaty&gt;LRat,"",BW63*BP63)</f>
        <v>1895.3594520547942</v>
      </c>
      <c r="BY63" s="1025">
        <f ca="1">IF(_NrRaty&gt;LRat,"",BU63*BX63)</f>
        <v>66337.5808219178</v>
      </c>
    </row>
    <row r="64" spans="1:77" x14ac:dyDescent="0.25">
      <c r="A64" s="973">
        <f t="shared" ref="A64:A95" ca="1" si="78">IF(C64&lt;=LRat,E64-E63,0)</f>
        <v>0</v>
      </c>
      <c r="B64" s="924">
        <f t="shared" ca="1" si="46"/>
        <v>47234</v>
      </c>
      <c r="C64" s="660">
        <f>IF(_NrRaty&gt;LRat,"",_NrRaty)</f>
        <v>34</v>
      </c>
      <c r="D64" s="661">
        <f t="shared" ca="1" si="47"/>
        <v>47234</v>
      </c>
      <c r="E64" s="941">
        <f t="shared" ca="1" si="62"/>
        <v>764.1</v>
      </c>
      <c r="F64" s="970">
        <f t="shared" ca="1" si="63"/>
        <v>78.131779999999992</v>
      </c>
      <c r="G64" s="941">
        <f ca="1">IF(C64&lt;=LRat,ROUND(ROUND(SUM($F$30:F64),2)-SUM($G$30:G63),2),"")</f>
        <v>78.14</v>
      </c>
      <c r="H64" s="941">
        <f t="shared" ca="1" si="64"/>
        <v>685.96</v>
      </c>
      <c r="I64" s="941">
        <f t="shared" ca="1" si="65"/>
        <v>10149.6</v>
      </c>
      <c r="J64" s="941">
        <f t="shared" si="66"/>
        <v>0</v>
      </c>
      <c r="L64" s="613">
        <f>IF(_NrRaty&gt;LRat,"",_NrRaty)</f>
        <v>34</v>
      </c>
      <c r="M64" s="913">
        <f t="shared" ca="1" si="48"/>
        <v>47238</v>
      </c>
      <c r="N64" s="913">
        <f t="shared" ca="1" si="49"/>
        <v>47234</v>
      </c>
      <c r="O64" s="921">
        <f t="shared" ca="1" si="50"/>
        <v>6</v>
      </c>
      <c r="P64" s="921">
        <f t="shared" ca="1" si="51"/>
        <v>25</v>
      </c>
      <c r="Q64" s="921">
        <f t="shared" ca="1" si="52"/>
        <v>365</v>
      </c>
      <c r="R64" s="921">
        <f t="shared" ca="1" si="53"/>
        <v>1.643835616438356E-2</v>
      </c>
      <c r="S64" s="921">
        <f t="shared" ca="1" si="54"/>
        <v>6.8493150684931503E-2</v>
      </c>
      <c r="T64" s="921">
        <f t="shared" ca="1" si="55"/>
        <v>8.4931506849315067E-2</v>
      </c>
      <c r="U64" s="921">
        <f t="shared" ca="1" si="67"/>
        <v>1.0072106849315068</v>
      </c>
      <c r="V64" s="921">
        <f ca="1">IF(C64&lt;&gt;"",1/PRODUCT($U$31:U64),0)</f>
        <v>0.78671052189048019</v>
      </c>
      <c r="Z64" s="921">
        <f t="shared" ca="1" si="68"/>
        <v>764.1</v>
      </c>
      <c r="AA64" s="949">
        <f t="shared" ca="1" si="59"/>
        <v>365</v>
      </c>
      <c r="AB64" s="949">
        <f t="shared" ca="1" si="60"/>
        <v>1.643835616438356E-2</v>
      </c>
      <c r="AC64" s="954">
        <f t="shared" ca="1" si="61"/>
        <v>6.8493150684931503E-2</v>
      </c>
      <c r="AD64" s="954">
        <f t="shared" ca="1" si="43"/>
        <v>8.4931506849315067E-2</v>
      </c>
      <c r="AE64" s="954">
        <f t="shared" ca="1" si="69"/>
        <v>1.0072106849315068</v>
      </c>
      <c r="AF64" s="954">
        <f ca="1">IF(L64&lt;=LRat,1/PRODUCT($AE$31:AE64),0)</f>
        <v>0.78689224596810592</v>
      </c>
      <c r="AG64" s="966"/>
      <c r="AH64" s="921">
        <f ca="1">IF(L64&lt;=LRat,Z64/((1+OE_wynikRRSO)^(SUM($AD$31:AD64))),0)</f>
        <v>610.55523147417364</v>
      </c>
      <c r="AI64" s="966"/>
      <c r="AO64" s="948">
        <f>IF(_NrRaty&gt;LRat,"",_NrRaty)</f>
        <v>34</v>
      </c>
      <c r="AP64" s="977">
        <f t="shared" ca="1" si="56"/>
        <v>47234</v>
      </c>
      <c r="AQ64" s="948">
        <f t="shared" ca="1" si="70"/>
        <v>764.1</v>
      </c>
      <c r="AR64" s="948">
        <f ca="1">IF(_NrRaty&lt;LRat,ROUND(AT63*$AN$20*(SUM(O64:P64)/365),2),0)+IF(_NrRaty=LRat,AQ64-AS64,0)</f>
        <v>78.13</v>
      </c>
      <c r="AS64" s="948">
        <f ca="1">IF(_NrRaty&lt;LRat,ROUND(AQ64-AR64,2),0)+IF(_NrRaty=LRat,AT63,0)</f>
        <v>685.97</v>
      </c>
      <c r="AT64" s="979">
        <f t="shared" ca="1" si="58"/>
        <v>10149.620000000008</v>
      </c>
      <c r="AU64" s="979">
        <f t="shared" si="71"/>
        <v>0</v>
      </c>
      <c r="AV64" s="1005">
        <v>0</v>
      </c>
      <c r="AX64" s="948">
        <f t="shared" ca="1" si="72"/>
        <v>764.1</v>
      </c>
      <c r="AY64" s="948">
        <f ca="1">IF(_NrRaty&lt;=LRat,IF(MOD(YEAR(N64),4)=0,OE_RP_rrso,365),0)</f>
        <v>365</v>
      </c>
      <c r="AZ64" s="948">
        <f ca="1">IF(_NrRaty&lt;=LRat,O64/AY63,0)</f>
        <v>1.643835616438356E-2</v>
      </c>
      <c r="BA64" s="1006">
        <f ca="1">IF(_NrRaty&lt;=LRat,P64/AY64,0)</f>
        <v>6.8493150684931503E-2</v>
      </c>
      <c r="BB64" s="1006">
        <f t="shared" ca="1" si="42"/>
        <v>8.4931506849315067E-2</v>
      </c>
      <c r="BC64" s="1006">
        <f ca="1">IF(_NrRaty&lt;=LRat,1+OE_oproc*BB64,0)</f>
        <v>1.0072106849315068</v>
      </c>
      <c r="BD64" s="1006">
        <f ca="1">IF(_NrRaty&lt;=LRat,1/PRODUCT($BC$31:BC64),0)</f>
        <v>0.78689224596810592</v>
      </c>
      <c r="BF64" s="948">
        <f ca="1">IF(_NrRaty&lt;=LRat,AX64/((1+SOWK_wynikRRSO)^(SUM($BB$31:BB64))),0)</f>
        <v>610.55082895022349</v>
      </c>
      <c r="BL64" s="1023">
        <f>IF(_NrRaty&gt;LRat,"",_NrRaty)</f>
        <v>34</v>
      </c>
      <c r="BM64" s="1024">
        <f ca="1">IF(_NrRaty&gt;LRat,"",D64)</f>
        <v>47234</v>
      </c>
      <c r="BN64" s="1025">
        <f t="shared" ca="1" si="73"/>
        <v>764.1</v>
      </c>
      <c r="BO64" s="1025">
        <f t="shared" ca="1" si="74"/>
        <v>78.14</v>
      </c>
      <c r="BP64" s="1025">
        <f t="shared" ca="1" si="75"/>
        <v>685.96</v>
      </c>
      <c r="BQ64" s="1025">
        <f t="shared" ca="1" si="76"/>
        <v>10149.6</v>
      </c>
      <c r="BR64" s="1124">
        <f t="shared" si="77"/>
        <v>0</v>
      </c>
      <c r="BT64" s="1113">
        <f>IF(_NrRaty&gt;LRat,"",_NrRaty)</f>
        <v>34</v>
      </c>
      <c r="BU64" s="1023">
        <f t="shared" si="27"/>
        <v>35</v>
      </c>
      <c r="BV64" s="1114">
        <f ca="1">IF(_NrRaty&gt;LRat,"",SUM($O$31:P64))</f>
        <v>1035</v>
      </c>
      <c r="BW64" s="1025">
        <f ca="1">IF(_NrRaty&gt;LRat,"",BV64/365)</f>
        <v>2.8356164383561642</v>
      </c>
      <c r="BX64" s="1025">
        <f ca="1">IF(_NrRaty&gt;LRat,"",BW64*BP64)</f>
        <v>1945.1194520547945</v>
      </c>
      <c r="BY64" s="1025">
        <f ca="1">IF(_NrRaty&gt;LRat,"",BU64*BX64)</f>
        <v>68079.180821917806</v>
      </c>
    </row>
    <row r="65" spans="1:77" x14ac:dyDescent="0.25">
      <c r="A65" s="973">
        <f t="shared" ca="1" si="78"/>
        <v>0</v>
      </c>
      <c r="B65" s="924">
        <f t="shared" ca="1" si="46"/>
        <v>47264</v>
      </c>
      <c r="C65" s="658">
        <f>IF(_NrRaty&gt;LRat,"",_NrRaty)</f>
        <v>35</v>
      </c>
      <c r="D65" s="659">
        <f t="shared" ca="1" si="47"/>
        <v>47264</v>
      </c>
      <c r="E65" s="940">
        <f t="shared" ca="1" si="62"/>
        <v>764.1</v>
      </c>
      <c r="F65" s="969">
        <f t="shared" ca="1" si="63"/>
        <v>70.824600000000004</v>
      </c>
      <c r="G65" s="940">
        <f ca="1">IF(C65&lt;=LRat,ROUND(ROUND(SUM($F$30:F65),2)-SUM($G$30:G64),2),"")</f>
        <v>70.819999999999993</v>
      </c>
      <c r="H65" s="940">
        <f t="shared" ca="1" si="64"/>
        <v>693.28</v>
      </c>
      <c r="I65" s="940">
        <f t="shared" ca="1" si="65"/>
        <v>9456.32</v>
      </c>
      <c r="J65" s="940">
        <f t="shared" si="66"/>
        <v>0</v>
      </c>
      <c r="L65" s="613">
        <f>IF(_NrRaty&gt;LRat,"",_NrRaty)</f>
        <v>35</v>
      </c>
      <c r="M65" s="913">
        <f t="shared" ca="1" si="48"/>
        <v>47269</v>
      </c>
      <c r="N65" s="913">
        <f t="shared" ca="1" si="49"/>
        <v>47264</v>
      </c>
      <c r="O65" s="921">
        <f t="shared" ca="1" si="50"/>
        <v>5</v>
      </c>
      <c r="P65" s="921">
        <f t="shared" ca="1" si="51"/>
        <v>25</v>
      </c>
      <c r="Q65" s="921">
        <f t="shared" ca="1" si="52"/>
        <v>365</v>
      </c>
      <c r="R65" s="921">
        <f t="shared" ca="1" si="53"/>
        <v>1.3698630136986301E-2</v>
      </c>
      <c r="S65" s="921">
        <f t="shared" ca="1" si="54"/>
        <v>6.8493150684931503E-2</v>
      </c>
      <c r="T65" s="921">
        <f t="shared" ca="1" si="55"/>
        <v>8.2191780821917804E-2</v>
      </c>
      <c r="U65" s="921">
        <f t="shared" ca="1" si="67"/>
        <v>1.0069780821917809</v>
      </c>
      <c r="V65" s="921">
        <f ca="1">IF(C65&lt;&gt;"",1/PRODUCT($U$31:U65),0)</f>
        <v>0.78125883353700409</v>
      </c>
      <c r="Z65" s="921">
        <f t="shared" ca="1" si="68"/>
        <v>764.1</v>
      </c>
      <c r="AA65" s="949">
        <f t="shared" ca="1" si="59"/>
        <v>365</v>
      </c>
      <c r="AB65" s="949">
        <f t="shared" ca="1" si="60"/>
        <v>1.3698630136986301E-2</v>
      </c>
      <c r="AC65" s="954">
        <f t="shared" ca="1" si="61"/>
        <v>6.8493150684931503E-2</v>
      </c>
      <c r="AD65" s="954">
        <f t="shared" ca="1" si="43"/>
        <v>8.2191780821917804E-2</v>
      </c>
      <c r="AE65" s="954">
        <f t="shared" ca="1" si="69"/>
        <v>1.0069780821917809</v>
      </c>
      <c r="AF65" s="954">
        <f ca="1">IF(L65&lt;=LRat,1/PRODUCT($AE$31:AE65),0)</f>
        <v>0.78143929831656533</v>
      </c>
      <c r="AG65" s="966"/>
      <c r="AH65" s="921">
        <f ca="1">IF(L65&lt;=LRat,Z65/((1+OE_wynikRRSO)^(SUM($AD$31:AD65))),0)</f>
        <v>606.59427290649364</v>
      </c>
      <c r="AI65" s="966"/>
      <c r="AO65" s="948">
        <f>IF(_NrRaty&gt;LRat,"",_NrRaty)</f>
        <v>35</v>
      </c>
      <c r="AP65" s="977">
        <f t="shared" ca="1" si="56"/>
        <v>47264</v>
      </c>
      <c r="AQ65" s="948">
        <f t="shared" ca="1" si="70"/>
        <v>764.1</v>
      </c>
      <c r="AR65" s="948">
        <f ca="1">IF(_NrRaty&lt;LRat,ROUND(AT64*$AN$20*(SUM(O65:P65)/365),2),0)+IF(_NrRaty=LRat,AQ65-AS65,0)</f>
        <v>70.819999999999993</v>
      </c>
      <c r="AS65" s="948">
        <f ca="1">IF(_NrRaty&lt;LRat,ROUND(AQ65-AR65,2),0)+IF(_NrRaty=LRat,AT64,0)</f>
        <v>693.28</v>
      </c>
      <c r="AT65" s="979">
        <f t="shared" ca="1" si="58"/>
        <v>9456.3400000000074</v>
      </c>
      <c r="AU65" s="979">
        <f t="shared" si="71"/>
        <v>0</v>
      </c>
      <c r="AV65" s="1005">
        <v>0</v>
      </c>
      <c r="AX65" s="948">
        <f t="shared" ca="1" si="72"/>
        <v>764.1</v>
      </c>
      <c r="AY65" s="948">
        <f ca="1">IF(_NrRaty&lt;=LRat,IF(MOD(YEAR(N65),4)=0,OE_RP_rrso,365),0)</f>
        <v>365</v>
      </c>
      <c r="AZ65" s="948">
        <f ca="1">IF(_NrRaty&lt;=LRat,O65/AY64,0)</f>
        <v>1.3698630136986301E-2</v>
      </c>
      <c r="BA65" s="1006">
        <f ca="1">IF(_NrRaty&lt;=LRat,P65/AY65,0)</f>
        <v>6.8493150684931503E-2</v>
      </c>
      <c r="BB65" s="1006">
        <f t="shared" ca="1" si="42"/>
        <v>8.2191780821917804E-2</v>
      </c>
      <c r="BC65" s="1006">
        <f ca="1">IF(_NrRaty&lt;=LRat,1+OE_oproc*BB65,0)</f>
        <v>1.0069780821917809</v>
      </c>
      <c r="BD65" s="1006">
        <f ca="1">IF(_NrRaty&lt;=LRat,1/PRODUCT($BC$31:BC65),0)</f>
        <v>0.78143929831656533</v>
      </c>
      <c r="BF65" s="948">
        <f ca="1">IF(_NrRaty&lt;=LRat,AX65/((1+SOWK_wynikRRSO)^(SUM($BB$31:BB65))),0)</f>
        <v>606.58977204011444</v>
      </c>
      <c r="BL65" s="1023">
        <f>IF(_NrRaty&gt;LRat,"",_NrRaty)</f>
        <v>35</v>
      </c>
      <c r="BM65" s="1024">
        <f ca="1">IF(_NrRaty&gt;LRat,"",D65)</f>
        <v>47264</v>
      </c>
      <c r="BN65" s="1025">
        <f t="shared" ca="1" si="73"/>
        <v>764.1</v>
      </c>
      <c r="BO65" s="1025">
        <f t="shared" ca="1" si="74"/>
        <v>70.819999999999993</v>
      </c>
      <c r="BP65" s="1025">
        <f t="shared" ca="1" si="75"/>
        <v>693.28</v>
      </c>
      <c r="BQ65" s="1025">
        <f t="shared" ca="1" si="76"/>
        <v>9456.32</v>
      </c>
      <c r="BR65" s="1124">
        <f t="shared" si="77"/>
        <v>0</v>
      </c>
      <c r="BT65" s="1113">
        <f>IF(_NrRaty&gt;LRat,"",_NrRaty)</f>
        <v>35</v>
      </c>
      <c r="BU65" s="1023">
        <f t="shared" si="27"/>
        <v>35</v>
      </c>
      <c r="BV65" s="1114">
        <f ca="1">IF(_NrRaty&gt;LRat,"",SUM($O$31:P65))</f>
        <v>1065</v>
      </c>
      <c r="BW65" s="1025">
        <f ca="1">IF(_NrRaty&gt;LRat,"",BV65/365)</f>
        <v>2.9178082191780823</v>
      </c>
      <c r="BX65" s="1025">
        <f ca="1">IF(_NrRaty&gt;LRat,"",BW65*BP65)</f>
        <v>2022.8580821917808</v>
      </c>
      <c r="BY65" s="1025">
        <f ca="1">IF(_NrRaty&gt;LRat,"",BU65*BX65)</f>
        <v>70800.032876712328</v>
      </c>
    </row>
    <row r="66" spans="1:77" x14ac:dyDescent="0.25">
      <c r="A66" s="973">
        <f t="shared" ca="1" si="78"/>
        <v>0</v>
      </c>
      <c r="B66" s="924">
        <f t="shared" ca="1" si="46"/>
        <v>47295</v>
      </c>
      <c r="C66" s="660">
        <f>IF(_NrRaty&gt;LRat,"",_NrRaty)</f>
        <v>36</v>
      </c>
      <c r="D66" s="661">
        <f t="shared" ca="1" si="47"/>
        <v>47295</v>
      </c>
      <c r="E66" s="941">
        <f t="shared" ca="1" si="62"/>
        <v>764.1</v>
      </c>
      <c r="F66" s="970">
        <f t="shared" ca="1" si="63"/>
        <v>68.186359999999993</v>
      </c>
      <c r="G66" s="941">
        <f ca="1">IF(C66&lt;=LRat,ROUND(ROUND(SUM($F$30:F66),2)-SUM($G$30:G65),2),"")</f>
        <v>68.19</v>
      </c>
      <c r="H66" s="941">
        <f t="shared" ca="1" si="64"/>
        <v>695.91</v>
      </c>
      <c r="I66" s="941">
        <f t="shared" ca="1" si="65"/>
        <v>8760.41</v>
      </c>
      <c r="J66" s="941">
        <f t="shared" si="66"/>
        <v>0</v>
      </c>
      <c r="L66" s="613">
        <f>IF(_NrRaty&gt;LRat,"",_NrRaty)</f>
        <v>36</v>
      </c>
      <c r="M66" s="913">
        <f t="shared" ca="1" si="48"/>
        <v>47299</v>
      </c>
      <c r="N66" s="913">
        <f t="shared" ca="1" si="49"/>
        <v>47295</v>
      </c>
      <c r="O66" s="921">
        <f t="shared" ca="1" si="50"/>
        <v>6</v>
      </c>
      <c r="P66" s="921">
        <f t="shared" ca="1" si="51"/>
        <v>25</v>
      </c>
      <c r="Q66" s="921">
        <f t="shared" ca="1" si="52"/>
        <v>365</v>
      </c>
      <c r="R66" s="921">
        <f t="shared" ca="1" si="53"/>
        <v>1.643835616438356E-2</v>
      </c>
      <c r="S66" s="921">
        <f t="shared" ca="1" si="54"/>
        <v>6.8493150684931503E-2</v>
      </c>
      <c r="T66" s="921">
        <f t="shared" ca="1" si="55"/>
        <v>8.4931506849315067E-2</v>
      </c>
      <c r="U66" s="921">
        <f t="shared" ca="1" si="67"/>
        <v>1.0072106849315068</v>
      </c>
      <c r="V66" s="921">
        <f ca="1">IF(C66&lt;&gt;"",1/PRODUCT($U$31:U66),0)</f>
        <v>0.77566575218583189</v>
      </c>
      <c r="Z66" s="921">
        <f t="shared" ca="1" si="68"/>
        <v>764.1</v>
      </c>
      <c r="AA66" s="949">
        <f t="shared" ca="1" si="59"/>
        <v>365</v>
      </c>
      <c r="AB66" s="949">
        <f t="shared" ca="1" si="60"/>
        <v>1.643835616438356E-2</v>
      </c>
      <c r="AC66" s="954">
        <f t="shared" ca="1" si="61"/>
        <v>6.8493150684931503E-2</v>
      </c>
      <c r="AD66" s="954">
        <f t="shared" ca="1" si="43"/>
        <v>8.4931506849315067E-2</v>
      </c>
      <c r="AE66" s="954">
        <f t="shared" ca="1" si="69"/>
        <v>1.0072106849315068</v>
      </c>
      <c r="AF66" s="954">
        <f ca="1">IF(L66&lt;=LRat,1/PRODUCT($AE$31:AE66),0)</f>
        <v>0.77584492500663393</v>
      </c>
      <c r="AG66" s="966"/>
      <c r="AH66" s="921">
        <f ca="1">IF(L66&lt;=LRat,Z66/((1+OE_wynikRRSO)^(SUM($AD$31:AD66))),0)</f>
        <v>602.52827614210366</v>
      </c>
      <c r="AI66" s="966"/>
      <c r="AO66" s="948">
        <f>IF(_NrRaty&gt;LRat,"",_NrRaty)</f>
        <v>36</v>
      </c>
      <c r="AP66" s="977">
        <f t="shared" ca="1" si="56"/>
        <v>47295</v>
      </c>
      <c r="AQ66" s="948">
        <f t="shared" ca="1" si="70"/>
        <v>764.1</v>
      </c>
      <c r="AR66" s="948">
        <f ca="1">IF(_NrRaty&lt;LRat,ROUND(AT65*$AN$20*(SUM(O66:P66)/365),2),0)+IF(_NrRaty=LRat,AQ66-AS66,0)</f>
        <v>68.19</v>
      </c>
      <c r="AS66" s="948">
        <f ca="1">IF(_NrRaty&lt;LRat,ROUND(AQ66-AR66,2),0)+IF(_NrRaty=LRat,AT65,0)</f>
        <v>695.91</v>
      </c>
      <c r="AT66" s="979">
        <f t="shared" ca="1" si="58"/>
        <v>8760.4300000000076</v>
      </c>
      <c r="AU66" s="979">
        <f t="shared" si="71"/>
        <v>0</v>
      </c>
      <c r="AV66" s="1005">
        <v>0</v>
      </c>
      <c r="AX66" s="948">
        <f t="shared" ca="1" si="72"/>
        <v>764.1</v>
      </c>
      <c r="AY66" s="948">
        <f ca="1">IF(_NrRaty&lt;=LRat,IF(MOD(YEAR(N66),4)=0,OE_RP_rrso,365),0)</f>
        <v>365</v>
      </c>
      <c r="AZ66" s="948">
        <f ca="1">IF(_NrRaty&lt;=LRat,O66/AY65,0)</f>
        <v>1.643835616438356E-2</v>
      </c>
      <c r="BA66" s="1006">
        <f ca="1">IF(_NrRaty&lt;=LRat,P66/AY66,0)</f>
        <v>6.8493150684931503E-2</v>
      </c>
      <c r="BB66" s="1006">
        <f t="shared" ca="1" si="42"/>
        <v>8.4931506849315067E-2</v>
      </c>
      <c r="BC66" s="1006">
        <f ca="1">IF(_NrRaty&lt;=LRat,1+OE_oproc*BB66,0)</f>
        <v>1.0072106849315068</v>
      </c>
      <c r="BD66" s="1006">
        <f ca="1">IF(_NrRaty&lt;=LRat,1/PRODUCT($BC$31:BC66),0)</f>
        <v>0.77584492500663393</v>
      </c>
      <c r="BF66" s="948">
        <f ca="1">IF(_NrRaty&lt;=LRat,AX66/((1+SOWK_wynikRRSO)^(SUM($BB$31:BB66))),0)</f>
        <v>602.52367519022198</v>
      </c>
      <c r="BL66" s="1023">
        <f>IF(_NrRaty&gt;LRat,"",_NrRaty)</f>
        <v>36</v>
      </c>
      <c r="BM66" s="1024">
        <f ca="1">IF(_NrRaty&gt;LRat,"",D66)</f>
        <v>47295</v>
      </c>
      <c r="BN66" s="1025">
        <f t="shared" ca="1" si="73"/>
        <v>764.1</v>
      </c>
      <c r="BO66" s="1025">
        <f t="shared" ca="1" si="74"/>
        <v>68.19</v>
      </c>
      <c r="BP66" s="1025">
        <f t="shared" ca="1" si="75"/>
        <v>695.91</v>
      </c>
      <c r="BQ66" s="1025">
        <f t="shared" ca="1" si="76"/>
        <v>8760.41</v>
      </c>
      <c r="BR66" s="1124">
        <f t="shared" si="77"/>
        <v>0</v>
      </c>
      <c r="BT66" s="1113">
        <f>IF(_NrRaty&gt;LRat,"",_NrRaty)</f>
        <v>36</v>
      </c>
      <c r="BU66" s="1023">
        <f t="shared" si="27"/>
        <v>35</v>
      </c>
      <c r="BV66" s="1114">
        <f ca="1">IF(_NrRaty&gt;LRat,"",SUM($O$31:P66))</f>
        <v>1096</v>
      </c>
      <c r="BW66" s="1025">
        <f ca="1">IF(_NrRaty&gt;LRat,"",BV66/365)</f>
        <v>3.0027397260273974</v>
      </c>
      <c r="BX66" s="1025">
        <f ca="1">IF(_NrRaty&gt;LRat,"",BW66*BP66)</f>
        <v>2089.6366027397262</v>
      </c>
      <c r="BY66" s="1025">
        <f ca="1">IF(_NrRaty&gt;LRat,"",BU66*BX66)</f>
        <v>73137.281095890416</v>
      </c>
    </row>
    <row r="67" spans="1:77" x14ac:dyDescent="0.25">
      <c r="A67" s="973">
        <f t="shared" ca="1" si="78"/>
        <v>0</v>
      </c>
      <c r="B67" s="924">
        <f t="shared" ca="1" si="46"/>
        <v>47325</v>
      </c>
      <c r="C67" s="658">
        <f>IF(_NrRaty&gt;LRat,"",_NrRaty)</f>
        <v>37</v>
      </c>
      <c r="D67" s="659">
        <f t="shared" ca="1" si="47"/>
        <v>47325</v>
      </c>
      <c r="E67" s="940">
        <f t="shared" ca="1" si="62"/>
        <v>764.1</v>
      </c>
      <c r="F67" s="969">
        <f t="shared" ca="1" si="63"/>
        <v>61.130699999999997</v>
      </c>
      <c r="G67" s="940">
        <f ca="1">IF(C67&lt;=LRat,ROUND(ROUND(SUM($F$30:F67),2)-SUM($G$30:G66),2),"")</f>
        <v>61.13</v>
      </c>
      <c r="H67" s="940">
        <f t="shared" ca="1" si="64"/>
        <v>702.97</v>
      </c>
      <c r="I67" s="940">
        <f t="shared" ca="1" si="65"/>
        <v>8057.44</v>
      </c>
      <c r="J67" s="940">
        <f t="shared" si="66"/>
        <v>0</v>
      </c>
      <c r="L67" s="613">
        <f>IF(_NrRaty&gt;LRat,"",_NrRaty)</f>
        <v>37</v>
      </c>
      <c r="M67" s="913">
        <f t="shared" ca="1" si="48"/>
        <v>47330</v>
      </c>
      <c r="N67" s="913">
        <f t="shared" ca="1" si="49"/>
        <v>47325</v>
      </c>
      <c r="O67" s="921">
        <f t="shared" ca="1" si="50"/>
        <v>5</v>
      </c>
      <c r="P67" s="921">
        <f t="shared" ca="1" si="51"/>
        <v>25</v>
      </c>
      <c r="Q67" s="921">
        <f t="shared" ca="1" si="52"/>
        <v>365</v>
      </c>
      <c r="R67" s="921">
        <f t="shared" ca="1" si="53"/>
        <v>1.3698630136986301E-2</v>
      </c>
      <c r="S67" s="921">
        <f t="shared" ca="1" si="54"/>
        <v>6.8493150684931503E-2</v>
      </c>
      <c r="T67" s="921">
        <f t="shared" ca="1" si="55"/>
        <v>8.2191780821917804E-2</v>
      </c>
      <c r="U67" s="921">
        <f t="shared" ca="1" si="67"/>
        <v>1.0069780821917809</v>
      </c>
      <c r="V67" s="921">
        <f ca="1">IF(C67&lt;&gt;"",1/PRODUCT($U$31:U67),0)</f>
        <v>0.77029060106007841</v>
      </c>
      <c r="Z67" s="921">
        <f t="shared" ca="1" si="68"/>
        <v>764.1</v>
      </c>
      <c r="AA67" s="949">
        <f t="shared" ca="1" si="59"/>
        <v>365</v>
      </c>
      <c r="AB67" s="949">
        <f t="shared" ca="1" si="60"/>
        <v>1.3698630136986301E-2</v>
      </c>
      <c r="AC67" s="954">
        <f t="shared" ca="1" si="61"/>
        <v>6.8493150684931503E-2</v>
      </c>
      <c r="AD67" s="954">
        <f t="shared" ca="1" si="43"/>
        <v>8.2191780821917804E-2</v>
      </c>
      <c r="AE67" s="954">
        <f t="shared" ca="1" si="69"/>
        <v>1.0069780821917809</v>
      </c>
      <c r="AF67" s="954">
        <f ca="1">IF(L67&lt;=LRat,1/PRODUCT($AE$31:AE67),0)</f>
        <v>0.7704685322623267</v>
      </c>
      <c r="AG67" s="966"/>
      <c r="AH67" s="921">
        <f ca="1">IF(L67&lt;=LRat,Z67/((1+OE_wynikRRSO)^(SUM($AD$31:AD67))),0)</f>
        <v>598.61939220396721</v>
      </c>
      <c r="AI67" s="966"/>
      <c r="AO67" s="948">
        <f>IF(_NrRaty&gt;LRat,"",_NrRaty)</f>
        <v>37</v>
      </c>
      <c r="AP67" s="977">
        <f t="shared" ca="1" si="56"/>
        <v>47325</v>
      </c>
      <c r="AQ67" s="948">
        <f t="shared" ca="1" si="70"/>
        <v>764.1</v>
      </c>
      <c r="AR67" s="948">
        <f ca="1">IF(_NrRaty&lt;LRat,ROUND(AT66*$AN$20*(SUM(O67:P67)/365),2),0)+IF(_NrRaty=LRat,AQ67-AS67,0)</f>
        <v>61.13</v>
      </c>
      <c r="AS67" s="948">
        <f ca="1">IF(_NrRaty&lt;LRat,ROUND(AQ67-AR67,2),0)+IF(_NrRaty=LRat,AT66,0)</f>
        <v>702.97</v>
      </c>
      <c r="AT67" s="979">
        <f t="shared" ca="1" si="58"/>
        <v>8057.4600000000073</v>
      </c>
      <c r="AU67" s="979">
        <f t="shared" si="71"/>
        <v>0</v>
      </c>
      <c r="AV67" s="1005">
        <v>0</v>
      </c>
      <c r="AX67" s="948">
        <f t="shared" ca="1" si="72"/>
        <v>764.1</v>
      </c>
      <c r="AY67" s="948">
        <f ca="1">IF(_NrRaty&lt;=LRat,IF(MOD(YEAR(N67),4)=0,OE_RP_rrso,365),0)</f>
        <v>365</v>
      </c>
      <c r="AZ67" s="948">
        <f ca="1">IF(_NrRaty&lt;=LRat,O67/AY66,0)</f>
        <v>1.3698630136986301E-2</v>
      </c>
      <c r="BA67" s="1006">
        <f ca="1">IF(_NrRaty&lt;=LRat,P67/AY67,0)</f>
        <v>6.8493150684931503E-2</v>
      </c>
      <c r="BB67" s="1006">
        <f t="shared" ca="1" si="42"/>
        <v>8.2191780821917804E-2</v>
      </c>
      <c r="BC67" s="1006">
        <f ca="1">IF(_NrRaty&lt;=LRat,1+OE_oproc*BB67,0)</f>
        <v>1.0069780821917809</v>
      </c>
      <c r="BD67" s="1006">
        <f ca="1">IF(_NrRaty&lt;=LRat,1/PRODUCT($BC$31:BC67),0)</f>
        <v>0.7704685322623267</v>
      </c>
      <c r="BF67" s="948">
        <f ca="1">IF(_NrRaty&lt;=LRat,AX67/((1+SOWK_wynikRRSO)^(SUM($BB$31:BB67))),0)</f>
        <v>598.61469586540454</v>
      </c>
      <c r="BL67" s="1023">
        <f>IF(_NrRaty&gt;LRat,"",_NrRaty)</f>
        <v>37</v>
      </c>
      <c r="BM67" s="1024">
        <f ca="1">IF(_NrRaty&gt;LRat,"",D67)</f>
        <v>47325</v>
      </c>
      <c r="BN67" s="1025">
        <f t="shared" ca="1" si="73"/>
        <v>764.1</v>
      </c>
      <c r="BO67" s="1025">
        <f t="shared" ca="1" si="74"/>
        <v>61.13</v>
      </c>
      <c r="BP67" s="1025">
        <f t="shared" ca="1" si="75"/>
        <v>702.97</v>
      </c>
      <c r="BQ67" s="1025">
        <f t="shared" ca="1" si="76"/>
        <v>8057.44</v>
      </c>
      <c r="BR67" s="1124">
        <f t="shared" si="77"/>
        <v>0</v>
      </c>
      <c r="BT67" s="1113">
        <f>IF(_NrRaty&gt;LRat,"",_NrRaty)</f>
        <v>37</v>
      </c>
      <c r="BU67" s="1023">
        <f t="shared" si="27"/>
        <v>50</v>
      </c>
      <c r="BV67" s="1114">
        <f ca="1">IF(_NrRaty&gt;LRat,"",SUM($O$31:P67))</f>
        <v>1126</v>
      </c>
      <c r="BW67" s="1025">
        <f ca="1">IF(_NrRaty&gt;LRat,"",BV67/365)</f>
        <v>3.0849315068493151</v>
      </c>
      <c r="BX67" s="1025">
        <f ca="1">IF(_NrRaty&gt;LRat,"",BW67*BP67)</f>
        <v>2168.6143013698629</v>
      </c>
      <c r="BY67" s="1025">
        <f ca="1">IF(_NrRaty&gt;LRat,"",BU67*BX67)</f>
        <v>108430.71506849314</v>
      </c>
    </row>
    <row r="68" spans="1:77" x14ac:dyDescent="0.25">
      <c r="A68" s="973">
        <f t="shared" ca="1" si="78"/>
        <v>0</v>
      </c>
      <c r="B68" s="924">
        <f t="shared" ca="1" si="46"/>
        <v>47356</v>
      </c>
      <c r="C68" s="660">
        <f>IF(_NrRaty&gt;LRat,"",_NrRaty)</f>
        <v>38</v>
      </c>
      <c r="D68" s="661">
        <f t="shared" ca="1" si="47"/>
        <v>47356</v>
      </c>
      <c r="E68" s="941">
        <f t="shared" ca="1" si="62"/>
        <v>764.1</v>
      </c>
      <c r="F68" s="970">
        <f t="shared" ca="1" si="63"/>
        <v>58.099579999999996</v>
      </c>
      <c r="G68" s="941">
        <f ca="1">IF(C68&lt;=LRat,ROUND(ROUND(SUM($F$30:F68),2)-SUM($G$30:G67),2),"")</f>
        <v>58.1</v>
      </c>
      <c r="H68" s="941">
        <f t="shared" ca="1" si="64"/>
        <v>706</v>
      </c>
      <c r="I68" s="941">
        <f t="shared" ca="1" si="65"/>
        <v>7351.44</v>
      </c>
      <c r="J68" s="941">
        <f t="shared" si="66"/>
        <v>0</v>
      </c>
      <c r="L68" s="613">
        <f>IF(_NrRaty&gt;LRat,"",_NrRaty)</f>
        <v>38</v>
      </c>
      <c r="M68" s="913">
        <f t="shared" ca="1" si="48"/>
        <v>47361</v>
      </c>
      <c r="N68" s="913">
        <f t="shared" ca="1" si="49"/>
        <v>47356</v>
      </c>
      <c r="O68" s="921">
        <f t="shared" ca="1" si="50"/>
        <v>6</v>
      </c>
      <c r="P68" s="921">
        <f t="shared" ca="1" si="51"/>
        <v>25</v>
      </c>
      <c r="Q68" s="921">
        <f t="shared" ca="1" si="52"/>
        <v>365</v>
      </c>
      <c r="R68" s="921">
        <f t="shared" ca="1" si="53"/>
        <v>1.643835616438356E-2</v>
      </c>
      <c r="S68" s="921">
        <f t="shared" ca="1" si="54"/>
        <v>6.8493150684931503E-2</v>
      </c>
      <c r="T68" s="921">
        <f t="shared" ca="1" si="55"/>
        <v>8.4931506849315067E-2</v>
      </c>
      <c r="U68" s="921">
        <f t="shared" ca="1" si="67"/>
        <v>1.0072106849315068</v>
      </c>
      <c r="V68" s="921">
        <f ca="1">IF(C68&lt;&gt;"",1/PRODUCT($U$31:U68),0)</f>
        <v>0.7647760419782087</v>
      </c>
      <c r="Z68" s="921">
        <f t="shared" ca="1" si="68"/>
        <v>764.1</v>
      </c>
      <c r="AA68" s="949">
        <f t="shared" ca="1" si="59"/>
        <v>365</v>
      </c>
      <c r="AB68" s="949">
        <f t="shared" ca="1" si="60"/>
        <v>1.643835616438356E-2</v>
      </c>
      <c r="AC68" s="954">
        <f t="shared" ca="1" si="61"/>
        <v>6.8493150684931503E-2</v>
      </c>
      <c r="AD68" s="954">
        <f t="shared" ca="1" si="43"/>
        <v>8.4931506849315067E-2</v>
      </c>
      <c r="AE68" s="954">
        <f t="shared" ca="1" si="69"/>
        <v>1.0072106849315068</v>
      </c>
      <c r="AF68" s="954">
        <f ca="1">IF(L68&lt;=LRat,1/PRODUCT($AE$31:AE68),0)</f>
        <v>0.76495269935973809</v>
      </c>
      <c r="AG68" s="966"/>
      <c r="AH68" s="921">
        <f ca="1">IF(L68&lt;=LRat,Z68/((1+OE_wynikRRSO)^(SUM($AD$31:AD68))),0)</f>
        <v>594.60685100383353</v>
      </c>
      <c r="AI68" s="966"/>
      <c r="AO68" s="948">
        <f>IF(_NrRaty&gt;LRat,"",_NrRaty)</f>
        <v>38</v>
      </c>
      <c r="AP68" s="977">
        <f t="shared" ca="1" si="56"/>
        <v>47356</v>
      </c>
      <c r="AQ68" s="948">
        <f t="shared" ca="1" si="70"/>
        <v>764.1</v>
      </c>
      <c r="AR68" s="948">
        <f ca="1">IF(_NrRaty&lt;LRat,ROUND(AT67*$AN$20*(SUM(O68:P68)/365),2),0)+IF(_NrRaty=LRat,AQ68-AS68,0)</f>
        <v>58.1</v>
      </c>
      <c r="AS68" s="948">
        <f ca="1">IF(_NrRaty&lt;LRat,ROUND(AQ68-AR68,2),0)+IF(_NrRaty=LRat,AT67,0)</f>
        <v>706</v>
      </c>
      <c r="AT68" s="979">
        <f t="shared" ca="1" si="58"/>
        <v>7351.4600000000073</v>
      </c>
      <c r="AU68" s="979">
        <f t="shared" si="71"/>
        <v>0</v>
      </c>
      <c r="AV68" s="1005">
        <v>0</v>
      </c>
      <c r="AX68" s="948">
        <f t="shared" ca="1" si="72"/>
        <v>764.1</v>
      </c>
      <c r="AY68" s="948">
        <f ca="1">IF(_NrRaty&lt;=LRat,IF(MOD(YEAR(N68),4)=0,OE_RP_rrso,365),0)</f>
        <v>365</v>
      </c>
      <c r="AZ68" s="948">
        <f ca="1">IF(_NrRaty&lt;=LRat,O68/AY67,0)</f>
        <v>1.643835616438356E-2</v>
      </c>
      <c r="BA68" s="1006">
        <f ca="1">IF(_NrRaty&lt;=LRat,P68/AY68,0)</f>
        <v>6.8493150684931503E-2</v>
      </c>
      <c r="BB68" s="1006">
        <f t="shared" ca="1" si="42"/>
        <v>8.4931506849315067E-2</v>
      </c>
      <c r="BC68" s="1006">
        <f ca="1">IF(_NrRaty&lt;=LRat,1+OE_oproc*BB68,0)</f>
        <v>1.0072106849315068</v>
      </c>
      <c r="BD68" s="1006">
        <f ca="1">IF(_NrRaty&lt;=LRat,1/PRODUCT($BC$31:BC68),0)</f>
        <v>0.76495269935973809</v>
      </c>
      <c r="BF68" s="948">
        <f ca="1">IF(_NrRaty&lt;=LRat,AX68/((1+SOWK_wynikRRSO)^(SUM($BB$31:BB68))),0)</f>
        <v>594.60205760252813</v>
      </c>
      <c r="BL68" s="1023">
        <f>IF(_NrRaty&gt;LRat,"",_NrRaty)</f>
        <v>38</v>
      </c>
      <c r="BM68" s="1024">
        <f ca="1">IF(_NrRaty&gt;LRat,"",D68)</f>
        <v>47356</v>
      </c>
      <c r="BN68" s="1025">
        <f t="shared" ca="1" si="73"/>
        <v>764.1</v>
      </c>
      <c r="BO68" s="1025">
        <f t="shared" ca="1" si="74"/>
        <v>58.1</v>
      </c>
      <c r="BP68" s="1025">
        <f t="shared" ca="1" si="75"/>
        <v>706</v>
      </c>
      <c r="BQ68" s="1025">
        <f t="shared" ca="1" si="76"/>
        <v>7351.44</v>
      </c>
      <c r="BR68" s="1124">
        <f t="shared" si="77"/>
        <v>0</v>
      </c>
      <c r="BT68" s="1113">
        <f>IF(_NrRaty&gt;LRat,"",_NrRaty)</f>
        <v>38</v>
      </c>
      <c r="BU68" s="1023">
        <f t="shared" si="27"/>
        <v>50</v>
      </c>
      <c r="BV68" s="1114">
        <f ca="1">IF(_NrRaty&gt;LRat,"",SUM($O$31:P68))</f>
        <v>1157</v>
      </c>
      <c r="BW68" s="1025">
        <f ca="1">IF(_NrRaty&gt;LRat,"",BV68/365)</f>
        <v>3.1698630136986301</v>
      </c>
      <c r="BX68" s="1025">
        <f ca="1">IF(_NrRaty&gt;LRat,"",BW68*BP68)</f>
        <v>2237.9232876712326</v>
      </c>
      <c r="BY68" s="1025">
        <f ca="1">IF(_NrRaty&gt;LRat,"",BU68*BX68)</f>
        <v>111896.16438356163</v>
      </c>
    </row>
    <row r="69" spans="1:77" x14ac:dyDescent="0.25">
      <c r="A69" s="973">
        <f t="shared" ca="1" si="78"/>
        <v>0</v>
      </c>
      <c r="B69" s="924">
        <f t="shared" ca="1" si="46"/>
        <v>47387</v>
      </c>
      <c r="C69" s="658">
        <f>IF(_NrRaty&gt;LRat,"",_NrRaty)</f>
        <v>39</v>
      </c>
      <c r="D69" s="659">
        <f t="shared" ca="1" si="47"/>
        <v>47387</v>
      </c>
      <c r="E69" s="940">
        <f t="shared" ca="1" si="62"/>
        <v>764.1</v>
      </c>
      <c r="F69" s="969">
        <f t="shared" ca="1" si="63"/>
        <v>53.008759999999995</v>
      </c>
      <c r="G69" s="940">
        <f ca="1">IF(C69&lt;=LRat,ROUND(ROUND(SUM($F$30:F69),2)-SUM($G$30:G68),2),"")</f>
        <v>53.01</v>
      </c>
      <c r="H69" s="940">
        <f t="shared" ca="1" si="64"/>
        <v>711.09</v>
      </c>
      <c r="I69" s="940">
        <f t="shared" ca="1" si="65"/>
        <v>6640.35</v>
      </c>
      <c r="J69" s="940">
        <f t="shared" si="66"/>
        <v>0</v>
      </c>
      <c r="L69" s="613">
        <f>IF(_NrRaty&gt;LRat,"",_NrRaty)</f>
        <v>39</v>
      </c>
      <c r="M69" s="913">
        <f t="shared" ca="1" si="48"/>
        <v>47391</v>
      </c>
      <c r="N69" s="913">
        <f t="shared" ca="1" si="49"/>
        <v>47387</v>
      </c>
      <c r="O69" s="921">
        <f t="shared" ca="1" si="50"/>
        <v>6</v>
      </c>
      <c r="P69" s="921">
        <f t="shared" ca="1" si="51"/>
        <v>25</v>
      </c>
      <c r="Q69" s="921">
        <f t="shared" ca="1" si="52"/>
        <v>365</v>
      </c>
      <c r="R69" s="921">
        <f t="shared" ca="1" si="53"/>
        <v>1.643835616438356E-2</v>
      </c>
      <c r="S69" s="921">
        <f t="shared" ca="1" si="54"/>
        <v>6.8493150684931503E-2</v>
      </c>
      <c r="T69" s="921">
        <f t="shared" ca="1" si="55"/>
        <v>8.4931506849315067E-2</v>
      </c>
      <c r="U69" s="921">
        <f t="shared" ca="1" si="67"/>
        <v>1.0072106849315068</v>
      </c>
      <c r="V69" s="921">
        <f ca="1">IF(C69&lt;&gt;"",1/PRODUCT($U$31:U69),0)</f>
        <v>0.75930096197322972</v>
      </c>
      <c r="Z69" s="921">
        <f t="shared" ca="1" si="68"/>
        <v>764.1</v>
      </c>
      <c r="AA69" s="949">
        <f t="shared" ca="1" si="59"/>
        <v>365</v>
      </c>
      <c r="AB69" s="949">
        <f t="shared" ca="1" si="60"/>
        <v>1.643835616438356E-2</v>
      </c>
      <c r="AC69" s="954">
        <f t="shared" ca="1" si="61"/>
        <v>6.8493150684931503E-2</v>
      </c>
      <c r="AD69" s="954">
        <f t="shared" ca="1" si="43"/>
        <v>8.4931506849315067E-2</v>
      </c>
      <c r="AE69" s="954">
        <f t="shared" ca="1" si="69"/>
        <v>1.0072106849315068</v>
      </c>
      <c r="AF69" s="954">
        <f ca="1">IF(L69&lt;=LRat,1/PRODUCT($AE$31:AE69),0)</f>
        <v>0.75947635465340302</v>
      </c>
      <c r="AG69" s="966"/>
      <c r="AH69" s="921">
        <f ca="1">IF(L69&lt;=LRat,Z69/((1+OE_wynikRRSO)^(SUM($AD$31:AD69))),0)</f>
        <v>590.62120583662579</v>
      </c>
      <c r="AI69" s="966"/>
      <c r="AO69" s="948">
        <f>IF(_NrRaty&gt;LRat,"",_NrRaty)</f>
        <v>39</v>
      </c>
      <c r="AP69" s="977">
        <f t="shared" ca="1" si="56"/>
        <v>47387</v>
      </c>
      <c r="AQ69" s="948">
        <f t="shared" ca="1" si="70"/>
        <v>764.1</v>
      </c>
      <c r="AR69" s="948">
        <f ca="1">IF(_NrRaty&lt;LRat,ROUND(AT68*$AN$20*(SUM(O69:P69)/365),2),0)+IF(_NrRaty=LRat,AQ69-AS69,0)</f>
        <v>53.01</v>
      </c>
      <c r="AS69" s="948">
        <f ca="1">IF(_NrRaty&lt;LRat,ROUND(AQ69-AR69,2),0)+IF(_NrRaty=LRat,AT68,0)</f>
        <v>711.09</v>
      </c>
      <c r="AT69" s="979">
        <f t="shared" ca="1" si="58"/>
        <v>6640.3700000000072</v>
      </c>
      <c r="AU69" s="979">
        <f t="shared" si="71"/>
        <v>0</v>
      </c>
      <c r="AV69" s="1005">
        <v>0</v>
      </c>
      <c r="AX69" s="948">
        <f t="shared" ca="1" si="72"/>
        <v>764.1</v>
      </c>
      <c r="AY69" s="948">
        <f ca="1">IF(_NrRaty&lt;=LRat,IF(MOD(YEAR(N69),4)=0,OE_RP_rrso,365),0)</f>
        <v>365</v>
      </c>
      <c r="AZ69" s="948">
        <f ca="1">IF(_NrRaty&lt;=LRat,O69/AY68,0)</f>
        <v>1.643835616438356E-2</v>
      </c>
      <c r="BA69" s="1006">
        <f ca="1">IF(_NrRaty&lt;=LRat,P69/AY69,0)</f>
        <v>6.8493150684931503E-2</v>
      </c>
      <c r="BB69" s="1006">
        <f t="shared" ca="1" si="42"/>
        <v>8.4931506849315067E-2</v>
      </c>
      <c r="BC69" s="1006">
        <f ca="1">IF(_NrRaty&lt;=LRat,1+OE_oproc*BB69,0)</f>
        <v>1.0072106849315068</v>
      </c>
      <c r="BD69" s="1006">
        <f ca="1">IF(_NrRaty&lt;=LRat,1/PRODUCT($BC$31:BC69),0)</f>
        <v>0.75947635465340302</v>
      </c>
      <c r="BF69" s="948">
        <f ca="1">IF(_NrRaty&lt;=LRat,AX69/((1+SOWK_wynikRRSO)^(SUM($BB$31:BB69))),0)</f>
        <v>590.61631688483351</v>
      </c>
      <c r="BL69" s="1023">
        <f>IF(_NrRaty&gt;LRat,"",_NrRaty)</f>
        <v>39</v>
      </c>
      <c r="BM69" s="1024">
        <f ca="1">IF(_NrRaty&gt;LRat,"",D69)</f>
        <v>47387</v>
      </c>
      <c r="BN69" s="1025">
        <f t="shared" ca="1" si="73"/>
        <v>764.1</v>
      </c>
      <c r="BO69" s="1025">
        <f t="shared" ca="1" si="74"/>
        <v>53.01</v>
      </c>
      <c r="BP69" s="1025">
        <f t="shared" ca="1" si="75"/>
        <v>711.09</v>
      </c>
      <c r="BQ69" s="1025">
        <f t="shared" ca="1" si="76"/>
        <v>6640.35</v>
      </c>
      <c r="BR69" s="1124">
        <f t="shared" si="77"/>
        <v>0</v>
      </c>
      <c r="BT69" s="1113">
        <f>IF(_NrRaty&gt;LRat,"",_NrRaty)</f>
        <v>39</v>
      </c>
      <c r="BU69" s="1023">
        <f t="shared" si="27"/>
        <v>50</v>
      </c>
      <c r="BV69" s="1114">
        <f ca="1">IF(_NrRaty&gt;LRat,"",SUM($O$31:P69))</f>
        <v>1188</v>
      </c>
      <c r="BW69" s="1025">
        <f ca="1">IF(_NrRaty&gt;LRat,"",BV69/365)</f>
        <v>3.2547945205479452</v>
      </c>
      <c r="BX69" s="1025">
        <f ca="1">IF(_NrRaty&gt;LRat,"",BW69*BP69)</f>
        <v>2314.4518356164385</v>
      </c>
      <c r="BY69" s="1025">
        <f ca="1">IF(_NrRaty&gt;LRat,"",BU69*BX69)</f>
        <v>115722.59178082192</v>
      </c>
    </row>
    <row r="70" spans="1:77" x14ac:dyDescent="0.25">
      <c r="A70" s="973">
        <f t="shared" ca="1" si="78"/>
        <v>0</v>
      </c>
      <c r="B70" s="924">
        <f t="shared" ca="1" si="46"/>
        <v>47417</v>
      </c>
      <c r="C70" s="660">
        <f>IF(_NrRaty&gt;LRat,"",_NrRaty)</f>
        <v>40</v>
      </c>
      <c r="D70" s="661">
        <f t="shared" ca="1" si="47"/>
        <v>47417</v>
      </c>
      <c r="E70" s="941">
        <f t="shared" ca="1" si="62"/>
        <v>764.1</v>
      </c>
      <c r="F70" s="970">
        <f t="shared" ca="1" si="63"/>
        <v>46.336799999999997</v>
      </c>
      <c r="G70" s="941">
        <f ca="1">IF(C70&lt;=LRat,ROUND(ROUND(SUM($F$30:F70),2)-SUM($G$30:G69),2),"")</f>
        <v>46.33</v>
      </c>
      <c r="H70" s="941">
        <f t="shared" ca="1" si="64"/>
        <v>717.77</v>
      </c>
      <c r="I70" s="941">
        <f t="shared" ca="1" si="65"/>
        <v>5922.58</v>
      </c>
      <c r="J70" s="941">
        <f t="shared" si="66"/>
        <v>0</v>
      </c>
      <c r="L70" s="613">
        <f>IF(_NrRaty&gt;LRat,"",_NrRaty)</f>
        <v>40</v>
      </c>
      <c r="M70" s="913">
        <f t="shared" ca="1" si="48"/>
        <v>47422</v>
      </c>
      <c r="N70" s="913">
        <f t="shared" ca="1" si="49"/>
        <v>47417</v>
      </c>
      <c r="O70" s="921">
        <f t="shared" ca="1" si="50"/>
        <v>5</v>
      </c>
      <c r="P70" s="921">
        <f t="shared" ca="1" si="51"/>
        <v>25</v>
      </c>
      <c r="Q70" s="921">
        <f t="shared" ca="1" si="52"/>
        <v>365</v>
      </c>
      <c r="R70" s="921">
        <f t="shared" ca="1" si="53"/>
        <v>1.3698630136986301E-2</v>
      </c>
      <c r="S70" s="921">
        <f t="shared" ca="1" si="54"/>
        <v>6.8493150684931503E-2</v>
      </c>
      <c r="T70" s="921">
        <f t="shared" ca="1" si="55"/>
        <v>8.2191780821917804E-2</v>
      </c>
      <c r="U70" s="921">
        <f t="shared" ca="1" si="67"/>
        <v>1.0069780821917809</v>
      </c>
      <c r="V70" s="921">
        <f ca="1">IF(C70&lt;&gt;"",1/PRODUCT($U$31:U70),0)</f>
        <v>0.75403921435960253</v>
      </c>
      <c r="Z70" s="921">
        <f t="shared" ca="1" si="68"/>
        <v>764.1</v>
      </c>
      <c r="AA70" s="949">
        <f t="shared" ca="1" si="59"/>
        <v>365</v>
      </c>
      <c r="AB70" s="949">
        <f t="shared" ca="1" si="60"/>
        <v>1.3698630136986301E-2</v>
      </c>
      <c r="AC70" s="954">
        <f t="shared" ca="1" si="61"/>
        <v>6.8493150684931503E-2</v>
      </c>
      <c r="AD70" s="954">
        <f t="shared" ca="1" si="43"/>
        <v>8.2191780821917804E-2</v>
      </c>
      <c r="AE70" s="954">
        <f t="shared" ca="1" si="69"/>
        <v>1.0069780821917809</v>
      </c>
      <c r="AF70" s="954">
        <f ca="1">IF(L70&lt;=LRat,1/PRODUCT($AE$31:AE70),0)</f>
        <v>0.75421339161656087</v>
      </c>
      <c r="AG70" s="966"/>
      <c r="AH70" s="921">
        <f ca="1">IF(L70&lt;=LRat,Z70/((1+OE_wynikRRSO)^(SUM($AD$31:AD70))),0)</f>
        <v>586.78956865637656</v>
      </c>
      <c r="AI70" s="966"/>
      <c r="AO70" s="948">
        <f>IF(_NrRaty&gt;LRat,"",_NrRaty)</f>
        <v>40</v>
      </c>
      <c r="AP70" s="977">
        <f t="shared" ca="1" si="56"/>
        <v>47417</v>
      </c>
      <c r="AQ70" s="948">
        <f t="shared" ca="1" si="70"/>
        <v>764.1</v>
      </c>
      <c r="AR70" s="948">
        <f ca="1">IF(_NrRaty&lt;LRat,ROUND(AT69*$AN$20*(SUM(O70:P70)/365),2),0)+IF(_NrRaty=LRat,AQ70-AS70,0)</f>
        <v>46.34</v>
      </c>
      <c r="AS70" s="948">
        <f ca="1">IF(_NrRaty&lt;LRat,ROUND(AQ70-AR70,2),0)+IF(_NrRaty=LRat,AT69,0)</f>
        <v>717.76</v>
      </c>
      <c r="AT70" s="979">
        <f t="shared" ca="1" si="58"/>
        <v>5922.6100000000069</v>
      </c>
      <c r="AU70" s="979">
        <f t="shared" si="71"/>
        <v>0</v>
      </c>
      <c r="AV70" s="1005">
        <v>0</v>
      </c>
      <c r="AX70" s="948">
        <f t="shared" ca="1" si="72"/>
        <v>764.1</v>
      </c>
      <c r="AY70" s="948">
        <f ca="1">IF(_NrRaty&lt;=LRat,IF(MOD(YEAR(N70),4)=0,OE_RP_rrso,365),0)</f>
        <v>365</v>
      </c>
      <c r="AZ70" s="948">
        <f ca="1">IF(_NrRaty&lt;=LRat,O70/AY69,0)</f>
        <v>1.3698630136986301E-2</v>
      </c>
      <c r="BA70" s="1006">
        <f ca="1">IF(_NrRaty&lt;=LRat,P70/AY70,0)</f>
        <v>6.8493150684931503E-2</v>
      </c>
      <c r="BB70" s="1006">
        <f t="shared" ca="1" si="42"/>
        <v>8.2191780821917804E-2</v>
      </c>
      <c r="BC70" s="1006">
        <f ca="1">IF(_NrRaty&lt;=LRat,1+OE_oproc*BB70,0)</f>
        <v>1.0069780821917809</v>
      </c>
      <c r="BD70" s="1006">
        <f ca="1">IF(_NrRaty&lt;=LRat,1/PRODUCT($BC$31:BC70),0)</f>
        <v>0.75421339161656087</v>
      </c>
      <c r="BF70" s="948">
        <f ca="1">IF(_NrRaty&lt;=LRat,AX70/((1+SOWK_wynikRRSO)^(SUM($BB$31:BB70))),0)</f>
        <v>586.78458866125175</v>
      </c>
      <c r="BL70" s="1023">
        <f>IF(_NrRaty&gt;LRat,"",_NrRaty)</f>
        <v>40</v>
      </c>
      <c r="BM70" s="1024">
        <f ca="1">IF(_NrRaty&gt;LRat,"",D70)</f>
        <v>47417</v>
      </c>
      <c r="BN70" s="1025">
        <f t="shared" ca="1" si="73"/>
        <v>764.1</v>
      </c>
      <c r="BO70" s="1025">
        <f t="shared" ca="1" si="74"/>
        <v>46.33</v>
      </c>
      <c r="BP70" s="1025">
        <f t="shared" ca="1" si="75"/>
        <v>717.77</v>
      </c>
      <c r="BQ70" s="1025">
        <f t="shared" ca="1" si="76"/>
        <v>5922.58</v>
      </c>
      <c r="BR70" s="1124">
        <f t="shared" si="77"/>
        <v>0</v>
      </c>
      <c r="BT70" s="1113">
        <f>IF(_NrRaty&gt;LRat,"",_NrRaty)</f>
        <v>40</v>
      </c>
      <c r="BU70" s="1023">
        <f t="shared" si="27"/>
        <v>50</v>
      </c>
      <c r="BV70" s="1114">
        <f ca="1">IF(_NrRaty&gt;LRat,"",SUM($O$31:P70))</f>
        <v>1218</v>
      </c>
      <c r="BW70" s="1025">
        <f ca="1">IF(_NrRaty&gt;LRat,"",BV70/365)</f>
        <v>3.3369863013698629</v>
      </c>
      <c r="BX70" s="1025">
        <f ca="1">IF(_NrRaty&gt;LRat,"",BW70*BP70)</f>
        <v>2395.1886575342464</v>
      </c>
      <c r="BY70" s="1025">
        <f ca="1">IF(_NrRaty&gt;LRat,"",BU70*BX70)</f>
        <v>119759.43287671232</v>
      </c>
    </row>
    <row r="71" spans="1:77" x14ac:dyDescent="0.25">
      <c r="A71" s="973">
        <f t="shared" ca="1" si="78"/>
        <v>0</v>
      </c>
      <c r="B71" s="924">
        <f t="shared" ca="1" si="46"/>
        <v>47448</v>
      </c>
      <c r="C71" s="658">
        <f>IF(_NrRaty&gt;LRat,"",_NrRaty)</f>
        <v>41</v>
      </c>
      <c r="D71" s="659">
        <f t="shared" ca="1" si="47"/>
        <v>47448</v>
      </c>
      <c r="E71" s="940">
        <f t="shared" ca="1" si="62"/>
        <v>764.1</v>
      </c>
      <c r="F71" s="969">
        <f t="shared" ca="1" si="63"/>
        <v>42.705599999999997</v>
      </c>
      <c r="G71" s="940">
        <f ca="1">IF(C71&lt;=LRat,ROUND(ROUND(SUM($F$30:F71),2)-SUM($G$30:G70),2),"")</f>
        <v>42.71</v>
      </c>
      <c r="H71" s="940">
        <f t="shared" ca="1" si="64"/>
        <v>721.39</v>
      </c>
      <c r="I71" s="940">
        <f t="shared" ca="1" si="65"/>
        <v>5201.1899999999996</v>
      </c>
      <c r="J71" s="940">
        <f t="shared" si="66"/>
        <v>0</v>
      </c>
      <c r="L71" s="613">
        <f>IF(_NrRaty&gt;LRat,"",_NrRaty)</f>
        <v>41</v>
      </c>
      <c r="M71" s="913">
        <f t="shared" ca="1" si="48"/>
        <v>47452</v>
      </c>
      <c r="N71" s="913">
        <f t="shared" ca="1" si="49"/>
        <v>47448</v>
      </c>
      <c r="O71" s="921">
        <f t="shared" ca="1" si="50"/>
        <v>6</v>
      </c>
      <c r="P71" s="921">
        <f t="shared" ca="1" si="51"/>
        <v>25</v>
      </c>
      <c r="Q71" s="921">
        <f t="shared" ca="1" si="52"/>
        <v>365</v>
      </c>
      <c r="R71" s="921">
        <f t="shared" ca="1" si="53"/>
        <v>1.643835616438356E-2</v>
      </c>
      <c r="S71" s="921">
        <f t="shared" ca="1" si="54"/>
        <v>6.8493150684931503E-2</v>
      </c>
      <c r="T71" s="921">
        <f t="shared" ca="1" si="55"/>
        <v>8.4931506849315067E-2</v>
      </c>
      <c r="U71" s="921">
        <f t="shared" ca="1" si="67"/>
        <v>1.0072106849315068</v>
      </c>
      <c r="V71" s="921">
        <f ca="1">IF(C71&lt;&gt;"",1/PRODUCT($U$31:U71),0)</f>
        <v>0.74864099998192468</v>
      </c>
      <c r="Z71" s="921">
        <f t="shared" ca="1" si="68"/>
        <v>764.1</v>
      </c>
      <c r="AA71" s="949">
        <f t="shared" ca="1" si="59"/>
        <v>365</v>
      </c>
      <c r="AB71" s="949">
        <f t="shared" ca="1" si="60"/>
        <v>1.643835616438356E-2</v>
      </c>
      <c r="AC71" s="954">
        <f t="shared" ca="1" si="61"/>
        <v>6.8493150684931503E-2</v>
      </c>
      <c r="AD71" s="954">
        <f t="shared" ca="1" si="43"/>
        <v>8.4931506849315067E-2</v>
      </c>
      <c r="AE71" s="954">
        <f t="shared" ca="1" si="69"/>
        <v>1.0072106849315068</v>
      </c>
      <c r="AF71" s="954">
        <f ca="1">IF(L71&lt;=LRat,1/PRODUCT($AE$31:AE71),0)</f>
        <v>0.74881393029289556</v>
      </c>
      <c r="AG71" s="966"/>
      <c r="AH71" s="921">
        <f ca="1">IF(L71&lt;=LRat,Z71/((1+OE_wynikRRSO)^(SUM($AD$31:AD71))),0)</f>
        <v>582.85632267285837</v>
      </c>
      <c r="AI71" s="966"/>
      <c r="AO71" s="948">
        <f>IF(_NrRaty&gt;LRat,"",_NrRaty)</f>
        <v>41</v>
      </c>
      <c r="AP71" s="977">
        <f t="shared" ca="1" si="56"/>
        <v>47448</v>
      </c>
      <c r="AQ71" s="948">
        <f t="shared" ca="1" si="70"/>
        <v>764.1</v>
      </c>
      <c r="AR71" s="948">
        <f ca="1">IF(_NrRaty&lt;LRat,ROUND(AT70*$AN$20*(SUM(O71:P71)/365),2),0)+IF(_NrRaty=LRat,AQ71-AS71,0)</f>
        <v>42.71</v>
      </c>
      <c r="AS71" s="948">
        <f ca="1">IF(_NrRaty&lt;LRat,ROUND(AQ71-AR71,2),0)+IF(_NrRaty=LRat,AT70,0)</f>
        <v>721.39</v>
      </c>
      <c r="AT71" s="979">
        <f t="shared" ca="1" si="58"/>
        <v>5201.2200000000066</v>
      </c>
      <c r="AU71" s="979">
        <f t="shared" si="71"/>
        <v>0</v>
      </c>
      <c r="AV71" s="1005">
        <v>0</v>
      </c>
      <c r="AX71" s="948">
        <f t="shared" ca="1" si="72"/>
        <v>764.1</v>
      </c>
      <c r="AY71" s="948">
        <f ca="1">IF(_NrRaty&lt;=LRat,IF(MOD(YEAR(N71),4)=0,OE_RP_rrso,365),0)</f>
        <v>365</v>
      </c>
      <c r="AZ71" s="948">
        <f ca="1">IF(_NrRaty&lt;=LRat,O71/AY70,0)</f>
        <v>1.643835616438356E-2</v>
      </c>
      <c r="BA71" s="1006">
        <f ca="1">IF(_NrRaty&lt;=LRat,P71/AY71,0)</f>
        <v>6.8493150684931503E-2</v>
      </c>
      <c r="BB71" s="1006">
        <f t="shared" ca="1" si="42"/>
        <v>8.4931506849315067E-2</v>
      </c>
      <c r="BC71" s="1006">
        <f ca="1">IF(_NrRaty&lt;=LRat,1+OE_oproc*BB71,0)</f>
        <v>1.0072106849315068</v>
      </c>
      <c r="BD71" s="1006">
        <f ca="1">IF(_NrRaty&lt;=LRat,1/PRODUCT($BC$31:BC71),0)</f>
        <v>0.74881393029289556</v>
      </c>
      <c r="BF71" s="948">
        <f ca="1">IF(_NrRaty&lt;=LRat,AX71/((1+SOWK_wynikRRSO)^(SUM($BB$31:BB71))),0)</f>
        <v>582.85125005665157</v>
      </c>
      <c r="BL71" s="1023">
        <f>IF(_NrRaty&gt;LRat,"",_NrRaty)</f>
        <v>41</v>
      </c>
      <c r="BM71" s="1024">
        <f ca="1">IF(_NrRaty&gt;LRat,"",D71)</f>
        <v>47448</v>
      </c>
      <c r="BN71" s="1025">
        <f t="shared" ca="1" si="73"/>
        <v>764.1</v>
      </c>
      <c r="BO71" s="1025">
        <f t="shared" ca="1" si="74"/>
        <v>42.71</v>
      </c>
      <c r="BP71" s="1025">
        <f t="shared" ca="1" si="75"/>
        <v>721.39</v>
      </c>
      <c r="BQ71" s="1025">
        <f t="shared" ca="1" si="76"/>
        <v>5201.1899999999996</v>
      </c>
      <c r="BR71" s="1124">
        <f t="shared" si="77"/>
        <v>0</v>
      </c>
      <c r="BT71" s="1113">
        <f>IF(_NrRaty&gt;LRat,"",_NrRaty)</f>
        <v>41</v>
      </c>
      <c r="BU71" s="1023">
        <f t="shared" si="27"/>
        <v>50</v>
      </c>
      <c r="BV71" s="1114">
        <f ca="1">IF(_NrRaty&gt;LRat,"",SUM($O$31:P71))</f>
        <v>1249</v>
      </c>
      <c r="BW71" s="1025">
        <f ca="1">IF(_NrRaty&gt;LRat,"",BV71/365)</f>
        <v>3.4219178082191779</v>
      </c>
      <c r="BX71" s="1025">
        <f ca="1">IF(_NrRaty&gt;LRat,"",BW71*BP71)</f>
        <v>2468.5372876712327</v>
      </c>
      <c r="BY71" s="1025">
        <f ca="1">IF(_NrRaty&gt;LRat,"",BU71*BX71)</f>
        <v>123426.86438356164</v>
      </c>
    </row>
    <row r="72" spans="1:77" x14ac:dyDescent="0.25">
      <c r="A72" s="973">
        <f t="shared" ca="1" si="78"/>
        <v>0</v>
      </c>
      <c r="B72" s="924">
        <f t="shared" ca="1" si="46"/>
        <v>47478</v>
      </c>
      <c r="C72" s="660">
        <f>IF(_NrRaty&gt;LRat,"",_NrRaty)</f>
        <v>42</v>
      </c>
      <c r="D72" s="661">
        <f t="shared" ca="1" si="47"/>
        <v>47478</v>
      </c>
      <c r="E72" s="941">
        <f t="shared" ca="1" si="62"/>
        <v>764.1</v>
      </c>
      <c r="F72" s="970">
        <f t="shared" ca="1" si="63"/>
        <v>36.2943</v>
      </c>
      <c r="G72" s="941">
        <f ca="1">IF(C72&lt;=LRat,ROUND(ROUND(SUM($F$30:F72),2)-SUM($G$30:G71),2),"")</f>
        <v>36.29</v>
      </c>
      <c r="H72" s="941">
        <f t="shared" ca="1" si="64"/>
        <v>727.81</v>
      </c>
      <c r="I72" s="941">
        <f t="shared" ca="1" si="65"/>
        <v>4473.38</v>
      </c>
      <c r="J72" s="941">
        <f t="shared" si="66"/>
        <v>0</v>
      </c>
      <c r="L72" s="613">
        <f>IF(_NrRaty&gt;LRat,"",_NrRaty)</f>
        <v>42</v>
      </c>
      <c r="M72" s="913">
        <f t="shared" ca="1" si="48"/>
        <v>47483</v>
      </c>
      <c r="N72" s="913">
        <f t="shared" ca="1" si="49"/>
        <v>47478</v>
      </c>
      <c r="O72" s="921">
        <f t="shared" ca="1" si="50"/>
        <v>5</v>
      </c>
      <c r="P72" s="921">
        <f t="shared" ca="1" si="51"/>
        <v>25</v>
      </c>
      <c r="Q72" s="921">
        <f t="shared" ca="1" si="52"/>
        <v>365</v>
      </c>
      <c r="R72" s="921">
        <f t="shared" ca="1" si="53"/>
        <v>1.3698630136986301E-2</v>
      </c>
      <c r="S72" s="921">
        <f t="shared" ca="1" si="54"/>
        <v>6.8493150684931503E-2</v>
      </c>
      <c r="T72" s="921">
        <f t="shared" ca="1" si="55"/>
        <v>8.2191780821917804E-2</v>
      </c>
      <c r="U72" s="921">
        <f t="shared" ca="1" si="67"/>
        <v>1.0069780821917809</v>
      </c>
      <c r="V72" s="921">
        <f ca="1">IF(C72&lt;&gt;"",1/PRODUCT($U$31:U72),0)</f>
        <v>0.74345312298400612</v>
      </c>
      <c r="Z72" s="921">
        <f t="shared" ca="1" si="68"/>
        <v>764.1</v>
      </c>
      <c r="AA72" s="949">
        <f t="shared" ca="1" si="59"/>
        <v>365</v>
      </c>
      <c r="AB72" s="949">
        <f t="shared" ca="1" si="60"/>
        <v>1.3698630136986301E-2</v>
      </c>
      <c r="AC72" s="954">
        <f t="shared" ca="1" si="61"/>
        <v>6.8493150684931503E-2</v>
      </c>
      <c r="AD72" s="954">
        <f t="shared" ca="1" si="43"/>
        <v>8.2191780821917804E-2</v>
      </c>
      <c r="AE72" s="954">
        <f t="shared" ca="1" si="69"/>
        <v>1.0069780821917809</v>
      </c>
      <c r="AF72" s="954">
        <f ca="1">IF(L72&lt;=LRat,1/PRODUCT($AE$31:AE72),0)</f>
        <v>0.74362485493530595</v>
      </c>
      <c r="AG72" s="966"/>
      <c r="AH72" s="921">
        <f ca="1">IF(L72&lt;=LRat,Z72/((1+OE_wynikRRSO)^(SUM($AD$31:AD72))),0)</f>
        <v>579.07505993690029</v>
      </c>
      <c r="AI72" s="966"/>
      <c r="AO72" s="948">
        <f>IF(_NrRaty&gt;LRat,"",_NrRaty)</f>
        <v>42</v>
      </c>
      <c r="AP72" s="977">
        <f t="shared" ca="1" si="56"/>
        <v>47478</v>
      </c>
      <c r="AQ72" s="948">
        <f t="shared" ca="1" si="70"/>
        <v>764.1</v>
      </c>
      <c r="AR72" s="948">
        <f ca="1">IF(_NrRaty&lt;LRat,ROUND(AT71*$AN$20*(SUM(O72:P72)/365),2),0)+IF(_NrRaty=LRat,AQ72-AS72,0)</f>
        <v>36.29</v>
      </c>
      <c r="AS72" s="948">
        <f ca="1">IF(_NrRaty&lt;LRat,ROUND(AQ72-AR72,2),0)+IF(_NrRaty=LRat,AT71,0)</f>
        <v>727.81</v>
      </c>
      <c r="AT72" s="979">
        <f t="shared" ca="1" si="58"/>
        <v>4473.4100000000071</v>
      </c>
      <c r="AU72" s="979">
        <f t="shared" si="71"/>
        <v>0</v>
      </c>
      <c r="AV72" s="1005">
        <v>0</v>
      </c>
      <c r="AX72" s="948">
        <f t="shared" ca="1" si="72"/>
        <v>764.1</v>
      </c>
      <c r="AY72" s="948">
        <f ca="1">IF(_NrRaty&lt;=LRat,IF(MOD(YEAR(N72),4)=0,OE_RP_rrso,365),0)</f>
        <v>365</v>
      </c>
      <c r="AZ72" s="948">
        <f ca="1">IF(_NrRaty&lt;=LRat,O72/AY71,0)</f>
        <v>1.3698630136986301E-2</v>
      </c>
      <c r="BA72" s="1006">
        <f ca="1">IF(_NrRaty&lt;=LRat,P72/AY72,0)</f>
        <v>6.8493150684931503E-2</v>
      </c>
      <c r="BB72" s="1006">
        <f t="shared" ca="1" si="42"/>
        <v>8.2191780821917804E-2</v>
      </c>
      <c r="BC72" s="1006">
        <f ca="1">IF(_NrRaty&lt;=LRat,1+OE_oproc*BB72,0)</f>
        <v>1.0069780821917809</v>
      </c>
      <c r="BD72" s="1006">
        <f ca="1">IF(_NrRaty&lt;=LRat,1/PRODUCT($BC$31:BC72),0)</f>
        <v>0.74362485493530595</v>
      </c>
      <c r="BF72" s="948">
        <f ca="1">IF(_NrRaty&lt;=LRat,AX72/((1+SOWK_wynikRRSO)^(SUM($BB$31:BB72))),0)</f>
        <v>579.06989908285607</v>
      </c>
      <c r="BL72" s="1023">
        <f>IF(_NrRaty&gt;LRat,"",_NrRaty)</f>
        <v>42</v>
      </c>
      <c r="BM72" s="1024">
        <f ca="1">IF(_NrRaty&gt;LRat,"",D72)</f>
        <v>47478</v>
      </c>
      <c r="BN72" s="1025">
        <f t="shared" ca="1" si="73"/>
        <v>764.1</v>
      </c>
      <c r="BO72" s="1025">
        <f t="shared" ca="1" si="74"/>
        <v>36.29</v>
      </c>
      <c r="BP72" s="1025">
        <f t="shared" ca="1" si="75"/>
        <v>727.81</v>
      </c>
      <c r="BQ72" s="1025">
        <f t="shared" ca="1" si="76"/>
        <v>4473.38</v>
      </c>
      <c r="BR72" s="1124">
        <f t="shared" si="77"/>
        <v>0</v>
      </c>
      <c r="BT72" s="1113">
        <f>IF(_NrRaty&gt;LRat,"",_NrRaty)</f>
        <v>42</v>
      </c>
      <c r="BU72" s="1023">
        <f t="shared" si="27"/>
        <v>50</v>
      </c>
      <c r="BV72" s="1114">
        <f ca="1">IF(_NrRaty&gt;LRat,"",SUM($O$31:P72))</f>
        <v>1279</v>
      </c>
      <c r="BW72" s="1025">
        <f ca="1">IF(_NrRaty&gt;LRat,"",BV72/365)</f>
        <v>3.504109589041096</v>
      </c>
      <c r="BX72" s="1025">
        <f ca="1">IF(_NrRaty&gt;LRat,"",BW72*BP72)</f>
        <v>2550.326</v>
      </c>
      <c r="BY72" s="1025">
        <f ca="1">IF(_NrRaty&gt;LRat,"",BU72*BX72)</f>
        <v>127516.3</v>
      </c>
    </row>
    <row r="73" spans="1:77" x14ac:dyDescent="0.25">
      <c r="A73" s="973">
        <f t="shared" ca="1" si="78"/>
        <v>0</v>
      </c>
      <c r="B73" s="924">
        <f t="shared" ca="1" si="46"/>
        <v>47509</v>
      </c>
      <c r="C73" s="658">
        <f>IF(_NrRaty&gt;LRat,"",_NrRaty)</f>
        <v>43</v>
      </c>
      <c r="D73" s="659">
        <f t="shared" ca="1" si="47"/>
        <v>47509</v>
      </c>
      <c r="E73" s="940">
        <f t="shared" ca="1" si="62"/>
        <v>764.1</v>
      </c>
      <c r="F73" s="969">
        <f t="shared" ca="1" si="63"/>
        <v>32.256119999999996</v>
      </c>
      <c r="G73" s="940">
        <f ca="1">IF(C73&lt;=LRat,ROUND(ROUND(SUM($F$30:F73),2)-SUM($G$30:G72),2),"")</f>
        <v>32.26</v>
      </c>
      <c r="H73" s="940">
        <f t="shared" ca="1" si="64"/>
        <v>731.84</v>
      </c>
      <c r="I73" s="940">
        <f t="shared" ca="1" si="65"/>
        <v>3741.54</v>
      </c>
      <c r="J73" s="940">
        <f t="shared" si="66"/>
        <v>0</v>
      </c>
      <c r="L73" s="613">
        <f>IF(_NrRaty&gt;LRat,"",_NrRaty)</f>
        <v>43</v>
      </c>
      <c r="M73" s="913">
        <f t="shared" ca="1" si="48"/>
        <v>47514</v>
      </c>
      <c r="N73" s="913">
        <f t="shared" ca="1" si="49"/>
        <v>47509</v>
      </c>
      <c r="O73" s="921">
        <f t="shared" ca="1" si="50"/>
        <v>6</v>
      </c>
      <c r="P73" s="921">
        <f t="shared" ca="1" si="51"/>
        <v>25</v>
      </c>
      <c r="Q73" s="921">
        <f t="shared" ca="1" si="52"/>
        <v>365</v>
      </c>
      <c r="R73" s="921">
        <f t="shared" ca="1" si="53"/>
        <v>1.643835616438356E-2</v>
      </c>
      <c r="S73" s="921">
        <f t="shared" ca="1" si="54"/>
        <v>6.8493150684931503E-2</v>
      </c>
      <c r="T73" s="921">
        <f t="shared" ca="1" si="55"/>
        <v>8.4931506849315067E-2</v>
      </c>
      <c r="U73" s="921">
        <f t="shared" ca="1" si="67"/>
        <v>1.0072106849315068</v>
      </c>
      <c r="V73" s="921">
        <f ca="1">IF(C73&lt;&gt;"",1/PRODUCT($U$31:U73),0)</f>
        <v>0.73813069510334184</v>
      </c>
      <c r="Z73" s="921">
        <f t="shared" ca="1" si="68"/>
        <v>764.1</v>
      </c>
      <c r="AA73" s="949">
        <f t="shared" ca="1" si="59"/>
        <v>365</v>
      </c>
      <c r="AB73" s="949">
        <f t="shared" ca="1" si="60"/>
        <v>1.643835616438356E-2</v>
      </c>
      <c r="AC73" s="954">
        <f t="shared" ca="1" si="61"/>
        <v>6.8493150684931503E-2</v>
      </c>
      <c r="AD73" s="954">
        <f t="shared" ca="1" si="43"/>
        <v>8.4931506849315067E-2</v>
      </c>
      <c r="AE73" s="954">
        <f t="shared" ca="1" si="69"/>
        <v>1.0072106849315068</v>
      </c>
      <c r="AF73" s="954">
        <f ca="1">IF(L73&lt;=LRat,1/PRODUCT($AE$31:AE73),0)</f>
        <v>0.73830119761475188</v>
      </c>
      <c r="AG73" s="966"/>
      <c r="AH73" s="921">
        <f ca="1">IF(L73&lt;=LRat,Z73/((1+OE_wynikRRSO)^(SUM($AD$31:AD73))),0)</f>
        <v>575.1935242462306</v>
      </c>
      <c r="AI73" s="966"/>
      <c r="AO73" s="948">
        <f>IF(_NrRaty&gt;LRat,"",_NrRaty)</f>
        <v>43</v>
      </c>
      <c r="AP73" s="977">
        <f t="shared" ca="1" si="56"/>
        <v>47509</v>
      </c>
      <c r="AQ73" s="948">
        <f t="shared" ca="1" si="70"/>
        <v>764.1</v>
      </c>
      <c r="AR73" s="948">
        <f ca="1">IF(_NrRaty&lt;LRat,ROUND(AT72*$AN$20*(SUM(O73:P73)/365),2),0)+IF(_NrRaty=LRat,AQ73-AS73,0)</f>
        <v>32.26</v>
      </c>
      <c r="AS73" s="948">
        <f ca="1">IF(_NrRaty&lt;LRat,ROUND(AQ73-AR73,2),0)+IF(_NrRaty=LRat,AT72,0)</f>
        <v>731.84</v>
      </c>
      <c r="AT73" s="979">
        <f t="shared" ca="1" si="58"/>
        <v>3741.570000000007</v>
      </c>
      <c r="AU73" s="979">
        <f t="shared" si="71"/>
        <v>0</v>
      </c>
      <c r="AV73" s="1005">
        <v>0</v>
      </c>
      <c r="AX73" s="948">
        <f t="shared" ca="1" si="72"/>
        <v>764.1</v>
      </c>
      <c r="AY73" s="948">
        <f ca="1">IF(_NrRaty&lt;=LRat,IF(MOD(YEAR(N73),4)=0,OE_RP_rrso,365),0)</f>
        <v>365</v>
      </c>
      <c r="AZ73" s="948">
        <f ca="1">IF(_NrRaty&lt;=LRat,O73/AY72,0)</f>
        <v>1.643835616438356E-2</v>
      </c>
      <c r="BA73" s="1006">
        <f ca="1">IF(_NrRaty&lt;=LRat,P73/AY73,0)</f>
        <v>6.8493150684931503E-2</v>
      </c>
      <c r="BB73" s="1006">
        <f t="shared" ca="1" si="42"/>
        <v>8.4931506849315067E-2</v>
      </c>
      <c r="BC73" s="1006">
        <f ca="1">IF(_NrRaty&lt;=LRat,1+OE_oproc*BB73,0)</f>
        <v>1.0072106849315068</v>
      </c>
      <c r="BD73" s="1006">
        <f ca="1">IF(_NrRaty&lt;=LRat,1/PRODUCT($BC$31:BC73),0)</f>
        <v>0.73830119761475188</v>
      </c>
      <c r="BF73" s="948">
        <f ca="1">IF(_NrRaty&lt;=LRat,AX73/((1+SOWK_wynikRRSO)^(SUM($BB$31:BB73))),0)</f>
        <v>575.18827363999787</v>
      </c>
      <c r="BL73" s="1023">
        <f>IF(_NrRaty&gt;LRat,"",_NrRaty)</f>
        <v>43</v>
      </c>
      <c r="BM73" s="1024">
        <f ca="1">IF(_NrRaty&gt;LRat,"",D73)</f>
        <v>47509</v>
      </c>
      <c r="BN73" s="1025">
        <f t="shared" ca="1" si="73"/>
        <v>764.1</v>
      </c>
      <c r="BO73" s="1025">
        <f t="shared" ca="1" si="74"/>
        <v>32.26</v>
      </c>
      <c r="BP73" s="1025">
        <f t="shared" ca="1" si="75"/>
        <v>731.84</v>
      </c>
      <c r="BQ73" s="1025">
        <f t="shared" ca="1" si="76"/>
        <v>3741.54</v>
      </c>
      <c r="BR73" s="1124">
        <f t="shared" si="77"/>
        <v>0</v>
      </c>
      <c r="BT73" s="1113">
        <f>IF(_NrRaty&gt;LRat,"",_NrRaty)</f>
        <v>43</v>
      </c>
      <c r="BU73" s="1023">
        <f t="shared" si="27"/>
        <v>50</v>
      </c>
      <c r="BV73" s="1114">
        <f ca="1">IF(_NrRaty&gt;LRat,"",SUM($O$31:P73))</f>
        <v>1310</v>
      </c>
      <c r="BW73" s="1025">
        <f ca="1">IF(_NrRaty&gt;LRat,"",BV73/365)</f>
        <v>3.5890410958904111</v>
      </c>
      <c r="BX73" s="1025">
        <f ca="1">IF(_NrRaty&gt;LRat,"",BW73*BP73)</f>
        <v>2626.6038356164386</v>
      </c>
      <c r="BY73" s="1025">
        <f ca="1">IF(_NrRaty&gt;LRat,"",BU73*BX73)</f>
        <v>131330.19178082192</v>
      </c>
    </row>
    <row r="74" spans="1:77" x14ac:dyDescent="0.25">
      <c r="A74" s="973">
        <f t="shared" ca="1" si="78"/>
        <v>0</v>
      </c>
      <c r="B74" s="924">
        <f t="shared" ca="1" si="46"/>
        <v>47540</v>
      </c>
      <c r="C74" s="660">
        <f>IF(_NrRaty&gt;LRat,"",_NrRaty)</f>
        <v>44</v>
      </c>
      <c r="D74" s="661">
        <f t="shared" ca="1" si="47"/>
        <v>47540</v>
      </c>
      <c r="E74" s="941">
        <f t="shared" ca="1" si="62"/>
        <v>764.1</v>
      </c>
      <c r="F74" s="970">
        <f t="shared" ca="1" si="63"/>
        <v>26.97899</v>
      </c>
      <c r="G74" s="941">
        <f ca="1">IF(C74&lt;=LRat,ROUND(ROUND(SUM($F$30:F74),2)-SUM($G$30:G73),2),"")</f>
        <v>26.98</v>
      </c>
      <c r="H74" s="941">
        <f t="shared" ca="1" si="64"/>
        <v>737.12</v>
      </c>
      <c r="I74" s="941">
        <f t="shared" ca="1" si="65"/>
        <v>3004.42</v>
      </c>
      <c r="J74" s="941">
        <f t="shared" si="66"/>
        <v>0</v>
      </c>
      <c r="L74" s="613">
        <f>IF(_NrRaty&gt;LRat,"",_NrRaty)</f>
        <v>44</v>
      </c>
      <c r="M74" s="913">
        <f t="shared" ca="1" si="48"/>
        <v>47542</v>
      </c>
      <c r="N74" s="913">
        <f t="shared" ca="1" si="49"/>
        <v>47540</v>
      </c>
      <c r="O74" s="921">
        <f t="shared" ca="1" si="50"/>
        <v>6</v>
      </c>
      <c r="P74" s="921">
        <f t="shared" ca="1" si="51"/>
        <v>25</v>
      </c>
      <c r="Q74" s="921">
        <f t="shared" ca="1" si="52"/>
        <v>365</v>
      </c>
      <c r="R74" s="921">
        <f t="shared" ca="1" si="53"/>
        <v>1.643835616438356E-2</v>
      </c>
      <c r="S74" s="921">
        <f t="shared" ca="1" si="54"/>
        <v>6.8493150684931503E-2</v>
      </c>
      <c r="T74" s="921">
        <f t="shared" ca="1" si="55"/>
        <v>8.4931506849315067E-2</v>
      </c>
      <c r="U74" s="921">
        <f t="shared" ca="1" si="67"/>
        <v>1.0072106849315068</v>
      </c>
      <c r="V74" s="921">
        <f ca="1">IF(C74&lt;&gt;"",1/PRODUCT($U$31:U74),0)</f>
        <v>0.73284637082015958</v>
      </c>
      <c r="Z74" s="921">
        <f t="shared" ca="1" si="68"/>
        <v>764.1</v>
      </c>
      <c r="AA74" s="949">
        <f t="shared" ca="1" si="59"/>
        <v>365</v>
      </c>
      <c r="AB74" s="949">
        <f t="shared" ca="1" si="60"/>
        <v>1.643835616438356E-2</v>
      </c>
      <c r="AC74" s="954">
        <f t="shared" ca="1" si="61"/>
        <v>6.8493150684931503E-2</v>
      </c>
      <c r="AD74" s="954">
        <f t="shared" ca="1" si="43"/>
        <v>8.4931506849315067E-2</v>
      </c>
      <c r="AE74" s="954">
        <f t="shared" ca="1" si="69"/>
        <v>1.0072106849315068</v>
      </c>
      <c r="AF74" s="954">
        <f ca="1">IF(L74&lt;=LRat,1/PRODUCT($AE$31:AE74),0)</f>
        <v>0.73301565269331759</v>
      </c>
      <c r="AG74" s="966"/>
      <c r="AH74" s="921">
        <f ca="1">IF(L74&lt;=LRat,Z74/((1+OE_wynikRRSO)^(SUM($AD$31:AD74))),0)</f>
        <v>571.33800645956046</v>
      </c>
      <c r="AI74" s="966"/>
      <c r="AO74" s="948">
        <f>IF(_NrRaty&gt;LRat,"",_NrRaty)</f>
        <v>44</v>
      </c>
      <c r="AP74" s="977">
        <f t="shared" ca="1" si="56"/>
        <v>47540</v>
      </c>
      <c r="AQ74" s="948">
        <f t="shared" ca="1" si="70"/>
        <v>764.1</v>
      </c>
      <c r="AR74" s="948">
        <f ca="1">IF(_NrRaty&lt;LRat,ROUND(AT73*$AN$20*(SUM(O74:P74)/365),2),0)+IF(_NrRaty=LRat,AQ74-AS74,0)</f>
        <v>26.98</v>
      </c>
      <c r="AS74" s="948">
        <f ca="1">IF(_NrRaty&lt;LRat,ROUND(AQ74-AR74,2),0)+IF(_NrRaty=LRat,AT73,0)</f>
        <v>737.12</v>
      </c>
      <c r="AT74" s="979">
        <f t="shared" ca="1" si="58"/>
        <v>3004.4500000000071</v>
      </c>
      <c r="AU74" s="979">
        <f t="shared" si="71"/>
        <v>0</v>
      </c>
      <c r="AV74" s="1005">
        <v>0</v>
      </c>
      <c r="AX74" s="948">
        <f t="shared" ca="1" si="72"/>
        <v>764.1</v>
      </c>
      <c r="AY74" s="948">
        <f ca="1">IF(_NrRaty&lt;=LRat,IF(MOD(YEAR(N74),4)=0,OE_RP_rrso,365),0)</f>
        <v>365</v>
      </c>
      <c r="AZ74" s="948">
        <f ca="1">IF(_NrRaty&lt;=LRat,O74/AY73,0)</f>
        <v>1.643835616438356E-2</v>
      </c>
      <c r="BA74" s="1006">
        <f ca="1">IF(_NrRaty&lt;=LRat,P74/AY74,0)</f>
        <v>6.8493150684931503E-2</v>
      </c>
      <c r="BB74" s="1006">
        <f t="shared" ca="1" si="42"/>
        <v>8.4931506849315067E-2</v>
      </c>
      <c r="BC74" s="1006">
        <f ca="1">IF(_NrRaty&lt;=LRat,1+OE_oproc*BB74,0)</f>
        <v>1.0072106849315068</v>
      </c>
      <c r="BD74" s="1006">
        <f ca="1">IF(_NrRaty&lt;=LRat,1/PRODUCT($BC$31:BC74),0)</f>
        <v>0.73301565269331759</v>
      </c>
      <c r="BF74" s="948">
        <f ca="1">IF(_NrRaty&lt;=LRat,AX74/((1+SOWK_wynikRRSO)^(SUM($BB$31:BB74))),0)</f>
        <v>571.33266753626015</v>
      </c>
      <c r="BL74" s="1023">
        <f>IF(_NrRaty&gt;LRat,"",_NrRaty)</f>
        <v>44</v>
      </c>
      <c r="BM74" s="1024">
        <f ca="1">IF(_NrRaty&gt;LRat,"",D74)</f>
        <v>47540</v>
      </c>
      <c r="BN74" s="1025">
        <f t="shared" ca="1" si="73"/>
        <v>764.1</v>
      </c>
      <c r="BO74" s="1025">
        <f t="shared" ca="1" si="74"/>
        <v>26.98</v>
      </c>
      <c r="BP74" s="1025">
        <f t="shared" ca="1" si="75"/>
        <v>737.12</v>
      </c>
      <c r="BQ74" s="1025">
        <f t="shared" ca="1" si="76"/>
        <v>3004.42</v>
      </c>
      <c r="BR74" s="1124">
        <f t="shared" si="77"/>
        <v>0</v>
      </c>
      <c r="BT74" s="1113">
        <f>IF(_NrRaty&gt;LRat,"",_NrRaty)</f>
        <v>44</v>
      </c>
      <c r="BU74" s="1023">
        <f t="shared" si="27"/>
        <v>50</v>
      </c>
      <c r="BV74" s="1114">
        <f ca="1">IF(_NrRaty&gt;LRat,"",SUM($O$31:P74))</f>
        <v>1341</v>
      </c>
      <c r="BW74" s="1025">
        <f ca="1">IF(_NrRaty&gt;LRat,"",BV74/365)</f>
        <v>3.6739726027397261</v>
      </c>
      <c r="BX74" s="1025">
        <f ca="1">IF(_NrRaty&gt;LRat,"",BW74*BP74)</f>
        <v>2708.1586849315067</v>
      </c>
      <c r="BY74" s="1025">
        <f ca="1">IF(_NrRaty&gt;LRat,"",BU74*BX74)</f>
        <v>135407.93424657534</v>
      </c>
    </row>
    <row r="75" spans="1:77" x14ac:dyDescent="0.25">
      <c r="A75" s="973">
        <f t="shared" ca="1" si="78"/>
        <v>0</v>
      </c>
      <c r="B75" s="924">
        <f t="shared" ca="1" si="46"/>
        <v>47568</v>
      </c>
      <c r="C75" s="658">
        <f>IF(_NrRaty&gt;LRat,"",_NrRaty)</f>
        <v>45</v>
      </c>
      <c r="D75" s="659">
        <f t="shared" ca="1" si="47"/>
        <v>47568</v>
      </c>
      <c r="E75" s="940">
        <f t="shared" ca="1" si="62"/>
        <v>764.1</v>
      </c>
      <c r="F75" s="969">
        <f t="shared" ca="1" si="63"/>
        <v>19.567239999999998</v>
      </c>
      <c r="G75" s="940">
        <f ca="1">IF(C75&lt;=LRat,ROUND(ROUND(SUM($F$30:F75),2)-SUM($G$30:G74),2),"")</f>
        <v>19.57</v>
      </c>
      <c r="H75" s="940">
        <f t="shared" ca="1" si="64"/>
        <v>744.53</v>
      </c>
      <c r="I75" s="940">
        <f t="shared" ca="1" si="65"/>
        <v>2259.89</v>
      </c>
      <c r="J75" s="940">
        <f t="shared" si="66"/>
        <v>0</v>
      </c>
      <c r="L75" s="613">
        <f>IF(_NrRaty&gt;LRat,"",_NrRaty)</f>
        <v>45</v>
      </c>
      <c r="M75" s="913">
        <f t="shared" ca="1" si="48"/>
        <v>47573</v>
      </c>
      <c r="N75" s="913">
        <f t="shared" ca="1" si="49"/>
        <v>47568</v>
      </c>
      <c r="O75" s="921">
        <f t="shared" ca="1" si="50"/>
        <v>3</v>
      </c>
      <c r="P75" s="921">
        <f t="shared" ca="1" si="51"/>
        <v>25</v>
      </c>
      <c r="Q75" s="921">
        <f t="shared" ca="1" si="52"/>
        <v>365</v>
      </c>
      <c r="R75" s="921">
        <f t="shared" ca="1" si="53"/>
        <v>8.21917808219178E-3</v>
      </c>
      <c r="S75" s="921">
        <f t="shared" ca="1" si="54"/>
        <v>6.8493150684931503E-2</v>
      </c>
      <c r="T75" s="921">
        <f t="shared" ca="1" si="55"/>
        <v>7.6712328767123278E-2</v>
      </c>
      <c r="U75" s="921">
        <f t="shared" ca="1" si="67"/>
        <v>1.0065128767123288</v>
      </c>
      <c r="V75" s="921">
        <f ca="1">IF(C75&lt;&gt;"",1/PRODUCT($U$31:U75),0)</f>
        <v>0.72810431716872526</v>
      </c>
      <c r="Z75" s="921">
        <f t="shared" ca="1" si="68"/>
        <v>764.1</v>
      </c>
      <c r="AA75" s="949">
        <f t="shared" ca="1" si="59"/>
        <v>365</v>
      </c>
      <c r="AB75" s="949">
        <f t="shared" ca="1" si="60"/>
        <v>8.21917808219178E-3</v>
      </c>
      <c r="AC75" s="954">
        <f t="shared" ca="1" si="61"/>
        <v>6.8493150684931503E-2</v>
      </c>
      <c r="AD75" s="954">
        <f t="shared" ca="1" si="43"/>
        <v>7.6712328767123278E-2</v>
      </c>
      <c r="AE75" s="954">
        <f t="shared" ca="1" si="69"/>
        <v>1.0065128767123288</v>
      </c>
      <c r="AF75" s="954">
        <f ca="1">IF(L75&lt;=LRat,1/PRODUCT($AE$31:AE75),0)</f>
        <v>0.72827250366397511</v>
      </c>
      <c r="AG75" s="966"/>
      <c r="AH75" s="921">
        <f ca="1">IF(L75&lt;=LRat,Z75/((1+OE_wynikRRSO)^(SUM($AD$31:AD75))),0)</f>
        <v>567.87782115414848</v>
      </c>
      <c r="AI75" s="966"/>
      <c r="AO75" s="948">
        <f>IF(_NrRaty&gt;LRat,"",_NrRaty)</f>
        <v>45</v>
      </c>
      <c r="AP75" s="977">
        <f t="shared" ca="1" si="56"/>
        <v>47568</v>
      </c>
      <c r="AQ75" s="948">
        <f t="shared" ca="1" si="70"/>
        <v>764.1</v>
      </c>
      <c r="AR75" s="948">
        <f ca="1">IF(_NrRaty&lt;LRat,ROUND(AT74*$AN$20*(SUM(O75:P75)/365),2),0)+IF(_NrRaty=LRat,AQ75-AS75,0)</f>
        <v>19.57</v>
      </c>
      <c r="AS75" s="948">
        <f ca="1">IF(_NrRaty&lt;LRat,ROUND(AQ75-AR75,2),0)+IF(_NrRaty=LRat,AT74,0)</f>
        <v>744.53</v>
      </c>
      <c r="AT75" s="979">
        <f t="shared" ca="1" si="58"/>
        <v>2259.9200000000073</v>
      </c>
      <c r="AU75" s="979">
        <f t="shared" si="71"/>
        <v>0</v>
      </c>
      <c r="AV75" s="1005">
        <v>0</v>
      </c>
      <c r="AX75" s="948">
        <f t="shared" ca="1" si="72"/>
        <v>764.1</v>
      </c>
      <c r="AY75" s="948">
        <f ca="1">IF(_NrRaty&lt;=LRat,IF(MOD(YEAR(N75),4)=0,OE_RP_rrso,365),0)</f>
        <v>365</v>
      </c>
      <c r="AZ75" s="948">
        <f ca="1">IF(_NrRaty&lt;=LRat,O75/AY74,0)</f>
        <v>8.21917808219178E-3</v>
      </c>
      <c r="BA75" s="1006">
        <f ca="1">IF(_NrRaty&lt;=LRat,P75/AY75,0)</f>
        <v>6.8493150684931503E-2</v>
      </c>
      <c r="BB75" s="1006">
        <f t="shared" ca="1" si="42"/>
        <v>7.6712328767123278E-2</v>
      </c>
      <c r="BC75" s="1006">
        <f ca="1">IF(_NrRaty&lt;=LRat,1+OE_oproc*BB75,0)</f>
        <v>1.0065128767123288</v>
      </c>
      <c r="BD75" s="1006">
        <f ca="1">IF(_NrRaty&lt;=LRat,1/PRODUCT($BC$31:BC75),0)</f>
        <v>0.72827250366397511</v>
      </c>
      <c r="BF75" s="948">
        <f ca="1">IF(_NrRaty&lt;=LRat,AX75/((1+SOWK_wynikRRSO)^(SUM($BB$31:BB75))),0)</f>
        <v>567.87240368145876</v>
      </c>
      <c r="BL75" s="1023">
        <f>IF(_NrRaty&gt;LRat,"",_NrRaty)</f>
        <v>45</v>
      </c>
      <c r="BM75" s="1024">
        <f ca="1">IF(_NrRaty&gt;LRat,"",D75)</f>
        <v>47568</v>
      </c>
      <c r="BN75" s="1025">
        <f t="shared" ca="1" si="73"/>
        <v>764.1</v>
      </c>
      <c r="BO75" s="1025">
        <f t="shared" ca="1" si="74"/>
        <v>19.57</v>
      </c>
      <c r="BP75" s="1025">
        <f t="shared" ca="1" si="75"/>
        <v>744.53</v>
      </c>
      <c r="BQ75" s="1025">
        <f t="shared" ca="1" si="76"/>
        <v>2259.89</v>
      </c>
      <c r="BR75" s="1124">
        <f t="shared" si="77"/>
        <v>0</v>
      </c>
      <c r="BT75" s="1113">
        <f>IF(_NrRaty&gt;LRat,"",_NrRaty)</f>
        <v>45</v>
      </c>
      <c r="BU75" s="1023">
        <f t="shared" si="27"/>
        <v>50</v>
      </c>
      <c r="BV75" s="1114">
        <f ca="1">IF(_NrRaty&gt;LRat,"",SUM($O$31:P75))</f>
        <v>1369</v>
      </c>
      <c r="BW75" s="1025">
        <f ca="1">IF(_NrRaty&gt;LRat,"",BV75/365)</f>
        <v>3.7506849315068491</v>
      </c>
      <c r="BX75" s="1025">
        <f ca="1">IF(_NrRaty&gt;LRat,"",BW75*BP75)</f>
        <v>2792.4974520547944</v>
      </c>
      <c r="BY75" s="1025">
        <f ca="1">IF(_NrRaty&gt;LRat,"",BU75*BX75)</f>
        <v>139624.87260273972</v>
      </c>
    </row>
    <row r="76" spans="1:77" x14ac:dyDescent="0.25">
      <c r="A76" s="973">
        <f t="shared" ca="1" si="78"/>
        <v>0</v>
      </c>
      <c r="B76" s="924">
        <f t="shared" ca="1" si="46"/>
        <v>47599</v>
      </c>
      <c r="C76" s="660">
        <f>IF(_NrRaty&gt;LRat,"",_NrRaty)</f>
        <v>46</v>
      </c>
      <c r="D76" s="661">
        <f t="shared" ca="1" si="47"/>
        <v>47599</v>
      </c>
      <c r="E76" s="941">
        <f t="shared" ca="1" si="62"/>
        <v>764.1</v>
      </c>
      <c r="F76" s="970">
        <f t="shared" ca="1" si="63"/>
        <v>16.29515</v>
      </c>
      <c r="G76" s="941">
        <f ca="1">IF(C76&lt;=LRat,ROUND(ROUND(SUM($F$30:F76),2)-SUM($G$30:G75),2),"")</f>
        <v>16.29</v>
      </c>
      <c r="H76" s="941">
        <f t="shared" ca="1" si="64"/>
        <v>747.81</v>
      </c>
      <c r="I76" s="941">
        <f t="shared" ca="1" si="65"/>
        <v>1512.08</v>
      </c>
      <c r="J76" s="941">
        <f t="shared" si="66"/>
        <v>0</v>
      </c>
      <c r="L76" s="613">
        <f>IF(_NrRaty&gt;LRat,"",_NrRaty)</f>
        <v>46</v>
      </c>
      <c r="M76" s="913">
        <f t="shared" ca="1" si="48"/>
        <v>47603</v>
      </c>
      <c r="N76" s="913">
        <f t="shared" ca="1" si="49"/>
        <v>47599</v>
      </c>
      <c r="O76" s="921">
        <f t="shared" ca="1" si="50"/>
        <v>6</v>
      </c>
      <c r="P76" s="921">
        <f t="shared" ca="1" si="51"/>
        <v>25</v>
      </c>
      <c r="Q76" s="921">
        <f t="shared" ca="1" si="52"/>
        <v>365</v>
      </c>
      <c r="R76" s="921">
        <f t="shared" ca="1" si="53"/>
        <v>1.643835616438356E-2</v>
      </c>
      <c r="S76" s="921">
        <f t="shared" ca="1" si="54"/>
        <v>6.8493150684931503E-2</v>
      </c>
      <c r="T76" s="921">
        <f t="shared" ca="1" si="55"/>
        <v>8.4931506849315067E-2</v>
      </c>
      <c r="U76" s="921">
        <f t="shared" ca="1" si="67"/>
        <v>1.0072106849315068</v>
      </c>
      <c r="V76" s="921">
        <f ca="1">IF(C76&lt;&gt;"",1/PRODUCT($U$31:U76),0)</f>
        <v>0.72289177235866842</v>
      </c>
      <c r="Z76" s="921">
        <f t="shared" ca="1" si="68"/>
        <v>764.1</v>
      </c>
      <c r="AA76" s="949">
        <f t="shared" ca="1" si="59"/>
        <v>365</v>
      </c>
      <c r="AB76" s="949">
        <f t="shared" ca="1" si="60"/>
        <v>1.643835616438356E-2</v>
      </c>
      <c r="AC76" s="954">
        <f t="shared" ca="1" si="61"/>
        <v>6.8493150684931503E-2</v>
      </c>
      <c r="AD76" s="954">
        <f t="shared" ca="1" si="43"/>
        <v>8.4931506849315067E-2</v>
      </c>
      <c r="AE76" s="954">
        <f t="shared" ca="1" si="69"/>
        <v>1.0072106849315068</v>
      </c>
      <c r="AF76" s="954">
        <f ca="1">IF(L76&lt;=LRat,1/PRODUCT($AE$31:AE76),0)</f>
        <v>0.72305875479617221</v>
      </c>
      <c r="AG76" s="966"/>
      <c r="AH76" s="921">
        <f ca="1">IF(L76&lt;=LRat,Z76/((1+OE_wynikRRSO)^(SUM($AD$31:AD76))),0)</f>
        <v>564.0713404692616</v>
      </c>
      <c r="AI76" s="966"/>
      <c r="AO76" s="948">
        <f>IF(_NrRaty&gt;LRat,"",_NrRaty)</f>
        <v>46</v>
      </c>
      <c r="AP76" s="977">
        <f t="shared" ca="1" si="56"/>
        <v>47599</v>
      </c>
      <c r="AQ76" s="948">
        <f t="shared" ca="1" si="70"/>
        <v>764.1</v>
      </c>
      <c r="AR76" s="948">
        <f ca="1">IF(_NrRaty&lt;LRat,ROUND(AT75*$AN$20*(SUM(O76:P76)/365),2),0)+IF(_NrRaty=LRat,AQ76-AS76,0)</f>
        <v>16.3</v>
      </c>
      <c r="AS76" s="948">
        <f ca="1">IF(_NrRaty&lt;LRat,ROUND(AQ76-AR76,2),0)+IF(_NrRaty=LRat,AT75,0)</f>
        <v>747.8</v>
      </c>
      <c r="AT76" s="979">
        <f t="shared" ca="1" si="58"/>
        <v>1512.1200000000074</v>
      </c>
      <c r="AU76" s="979">
        <f t="shared" si="71"/>
        <v>0</v>
      </c>
      <c r="AV76" s="1005">
        <v>0</v>
      </c>
      <c r="AX76" s="948">
        <f t="shared" ca="1" si="72"/>
        <v>764.1</v>
      </c>
      <c r="AY76" s="948">
        <f ca="1">IF(_NrRaty&lt;=LRat,IF(MOD(YEAR(N76),4)=0,OE_RP_rrso,365),0)</f>
        <v>365</v>
      </c>
      <c r="AZ76" s="948">
        <f ca="1">IF(_NrRaty&lt;=LRat,O76/AY75,0)</f>
        <v>1.643835616438356E-2</v>
      </c>
      <c r="BA76" s="1006">
        <f ca="1">IF(_NrRaty&lt;=LRat,P76/AY76,0)</f>
        <v>6.8493150684931503E-2</v>
      </c>
      <c r="BB76" s="1006">
        <f t="shared" ca="1" si="42"/>
        <v>8.4931506849315067E-2</v>
      </c>
      <c r="BC76" s="1006">
        <f ca="1">IF(_NrRaty&lt;=LRat,1+OE_oproc*BB76,0)</f>
        <v>1.0072106849315068</v>
      </c>
      <c r="BD76" s="1006">
        <f ca="1">IF(_NrRaty&lt;=LRat,1/PRODUCT($BC$31:BC76),0)</f>
        <v>0.72305875479617221</v>
      </c>
      <c r="BF76" s="948">
        <f ca="1">IF(_NrRaty&lt;=LRat,AX76/((1+SOWK_wynikRRSO)^(SUM($BB$31:BB76))),0)</f>
        <v>564.06583736896675</v>
      </c>
      <c r="BL76" s="1023">
        <f>IF(_NrRaty&gt;LRat,"",_NrRaty)</f>
        <v>46</v>
      </c>
      <c r="BM76" s="1024">
        <f ca="1">IF(_NrRaty&gt;LRat,"",D76)</f>
        <v>47599</v>
      </c>
      <c r="BN76" s="1025">
        <f t="shared" ca="1" si="73"/>
        <v>764.1</v>
      </c>
      <c r="BO76" s="1025">
        <f t="shared" ca="1" si="74"/>
        <v>16.29</v>
      </c>
      <c r="BP76" s="1025">
        <f t="shared" ca="1" si="75"/>
        <v>747.81</v>
      </c>
      <c r="BQ76" s="1025">
        <f t="shared" ca="1" si="76"/>
        <v>1512.08</v>
      </c>
      <c r="BR76" s="1124">
        <f t="shared" si="77"/>
        <v>0</v>
      </c>
      <c r="BT76" s="1113">
        <f>IF(_NrRaty&gt;LRat,"",_NrRaty)</f>
        <v>46</v>
      </c>
      <c r="BU76" s="1023">
        <f t="shared" si="27"/>
        <v>50</v>
      </c>
      <c r="BV76" s="1114">
        <f ca="1">IF(_NrRaty&gt;LRat,"",SUM($O$31:P76))</f>
        <v>1400</v>
      </c>
      <c r="BW76" s="1025">
        <f ca="1">IF(_NrRaty&gt;LRat,"",BV76/365)</f>
        <v>3.8356164383561642</v>
      </c>
      <c r="BX76" s="1025">
        <f ca="1">IF(_NrRaty&gt;LRat,"",BW76*BP76)</f>
        <v>2868.3123287671228</v>
      </c>
      <c r="BY76" s="1025">
        <f ca="1">IF(_NrRaty&gt;LRat,"",BU76*BX76)</f>
        <v>143415.61643835614</v>
      </c>
    </row>
    <row r="77" spans="1:77" x14ac:dyDescent="0.25">
      <c r="A77" s="973">
        <f t="shared" ca="1" si="78"/>
        <v>0</v>
      </c>
      <c r="B77" s="924">
        <f t="shared" ca="1" si="46"/>
        <v>47629</v>
      </c>
      <c r="C77" s="658">
        <f>IF(_NrRaty&gt;LRat,"",_NrRaty)</f>
        <v>47</v>
      </c>
      <c r="D77" s="659">
        <f t="shared" ca="1" si="47"/>
        <v>47629</v>
      </c>
      <c r="E77" s="940">
        <f t="shared" ca="1" si="62"/>
        <v>764.1</v>
      </c>
      <c r="F77" s="969">
        <f t="shared" ca="1" si="63"/>
        <v>10.551300000000001</v>
      </c>
      <c r="G77" s="940">
        <f ca="1">IF(C77&lt;=LRat,ROUND(ROUND(SUM($F$30:F77),2)-SUM($G$30:G76),2),"")</f>
        <v>10.55</v>
      </c>
      <c r="H77" s="940">
        <f t="shared" ca="1" si="64"/>
        <v>753.55</v>
      </c>
      <c r="I77" s="940">
        <f t="shared" ca="1" si="65"/>
        <v>758.53</v>
      </c>
      <c r="J77" s="940">
        <f t="shared" si="66"/>
        <v>0</v>
      </c>
      <c r="L77" s="613">
        <f>IF(_NrRaty&gt;LRat,"",_NrRaty)</f>
        <v>47</v>
      </c>
      <c r="M77" s="913">
        <f t="shared" ca="1" si="48"/>
        <v>47634</v>
      </c>
      <c r="N77" s="913">
        <f t="shared" ca="1" si="49"/>
        <v>47629</v>
      </c>
      <c r="O77" s="921">
        <f t="shared" ca="1" si="50"/>
        <v>5</v>
      </c>
      <c r="P77" s="921">
        <f t="shared" ca="1" si="51"/>
        <v>25</v>
      </c>
      <c r="Q77" s="921">
        <f t="shared" ca="1" si="52"/>
        <v>365</v>
      </c>
      <c r="R77" s="921">
        <f t="shared" ca="1" si="53"/>
        <v>1.3698630136986301E-2</v>
      </c>
      <c r="S77" s="921">
        <f t="shared" ca="1" si="54"/>
        <v>6.8493150684931503E-2</v>
      </c>
      <c r="T77" s="921">
        <f t="shared" ca="1" si="55"/>
        <v>8.2191780821917804E-2</v>
      </c>
      <c r="U77" s="921">
        <f t="shared" ca="1" si="67"/>
        <v>1.0069780821917809</v>
      </c>
      <c r="V77" s="921">
        <f ca="1">IF(C77&lt;&gt;"",1/PRODUCT($U$31:U77),0)</f>
        <v>0.71788233045274208</v>
      </c>
      <c r="Z77" s="921">
        <f t="shared" ca="1" si="68"/>
        <v>764.1</v>
      </c>
      <c r="AA77" s="949">
        <f t="shared" ca="1" si="59"/>
        <v>365</v>
      </c>
      <c r="AB77" s="949">
        <f t="shared" ca="1" si="60"/>
        <v>1.3698630136986301E-2</v>
      </c>
      <c r="AC77" s="954">
        <f t="shared" ca="1" si="61"/>
        <v>6.8493150684931503E-2</v>
      </c>
      <c r="AD77" s="954">
        <f t="shared" ca="1" si="43"/>
        <v>8.2191780821917804E-2</v>
      </c>
      <c r="AE77" s="954">
        <f t="shared" ca="1" si="69"/>
        <v>1.0069780821917809</v>
      </c>
      <c r="AF77" s="954">
        <f ca="1">IF(L77&lt;=LRat,1/PRODUCT($AE$31:AE77),0)</f>
        <v>0.71804815574770808</v>
      </c>
      <c r="AG77" s="966"/>
      <c r="AH77" s="921">
        <f ca="1">IF(L77&lt;=LRat,Z77/((1+OE_wynikRRSO)^(SUM($AD$31:AD77))),0)</f>
        <v>560.41194473626638</v>
      </c>
      <c r="AI77" s="966"/>
      <c r="AO77" s="948">
        <f>IF(_NrRaty&gt;LRat,"",_NrRaty)</f>
        <v>47</v>
      </c>
      <c r="AP77" s="977">
        <f t="shared" ca="1" si="56"/>
        <v>47629</v>
      </c>
      <c r="AQ77" s="948">
        <f t="shared" ca="1" si="70"/>
        <v>764.1</v>
      </c>
      <c r="AR77" s="948">
        <f ca="1">IF(_NrRaty&lt;LRat,ROUND(AT76*$AN$20*(SUM(O77:P77)/365),2),0)+IF(_NrRaty=LRat,AQ77-AS77,0)</f>
        <v>10.55</v>
      </c>
      <c r="AS77" s="948">
        <f ca="1">IF(_NrRaty&lt;LRat,ROUND(AQ77-AR77,2),0)+IF(_NrRaty=LRat,AT76,0)</f>
        <v>753.55</v>
      </c>
      <c r="AT77" s="979">
        <f t="shared" ca="1" si="58"/>
        <v>758.57000000000744</v>
      </c>
      <c r="AU77" s="979">
        <f t="shared" si="71"/>
        <v>0</v>
      </c>
      <c r="AV77" s="1005">
        <v>0</v>
      </c>
      <c r="AX77" s="948">
        <f t="shared" ca="1" si="72"/>
        <v>764.1</v>
      </c>
      <c r="AY77" s="948">
        <f ca="1">IF(_NrRaty&lt;=LRat,IF(MOD(YEAR(N77),4)=0,OE_RP_rrso,365),0)</f>
        <v>365</v>
      </c>
      <c r="AZ77" s="948">
        <f ca="1">IF(_NrRaty&lt;=LRat,O77/AY76,0)</f>
        <v>1.3698630136986301E-2</v>
      </c>
      <c r="BA77" s="1006">
        <f ca="1">IF(_NrRaty&lt;=LRat,P77/AY77,0)</f>
        <v>6.8493150684931503E-2</v>
      </c>
      <c r="BB77" s="1006">
        <f t="shared" ca="1" si="42"/>
        <v>8.2191780821917804E-2</v>
      </c>
      <c r="BC77" s="1006">
        <f ca="1">IF(_NrRaty&lt;=LRat,1+OE_oproc*BB77,0)</f>
        <v>1.0069780821917809</v>
      </c>
      <c r="BD77" s="1006">
        <f ca="1">IF(_NrRaty&lt;=LRat,1/PRODUCT($BC$31:BC77),0)</f>
        <v>0.71804815574770808</v>
      </c>
      <c r="BF77" s="948">
        <f ca="1">IF(_NrRaty&lt;=LRat,AX77/((1+SOWK_wynikRRSO)^(SUM($BB$31:BB77))),0)</f>
        <v>560.40636009545551</v>
      </c>
      <c r="BL77" s="1023">
        <f>IF(_NrRaty&gt;LRat,"",_NrRaty)</f>
        <v>47</v>
      </c>
      <c r="BM77" s="1024">
        <f ca="1">IF(_NrRaty&gt;LRat,"",D77)</f>
        <v>47629</v>
      </c>
      <c r="BN77" s="1025">
        <f t="shared" ca="1" si="73"/>
        <v>764.1</v>
      </c>
      <c r="BO77" s="1025">
        <f t="shared" ca="1" si="74"/>
        <v>10.55</v>
      </c>
      <c r="BP77" s="1025">
        <f t="shared" ca="1" si="75"/>
        <v>753.55</v>
      </c>
      <c r="BQ77" s="1025">
        <f t="shared" ca="1" si="76"/>
        <v>758.53</v>
      </c>
      <c r="BR77" s="1124">
        <f t="shared" si="77"/>
        <v>0</v>
      </c>
      <c r="BT77" s="1113">
        <f>IF(_NrRaty&gt;LRat,"",_NrRaty)</f>
        <v>47</v>
      </c>
      <c r="BU77" s="1023">
        <f t="shared" si="27"/>
        <v>50</v>
      </c>
      <c r="BV77" s="1114">
        <f ca="1">IF(_NrRaty&gt;LRat,"",SUM($O$31:P77))</f>
        <v>1430</v>
      </c>
      <c r="BW77" s="1025">
        <f ca="1">IF(_NrRaty&gt;LRat,"",BV77/365)</f>
        <v>3.9178082191780823</v>
      </c>
      <c r="BX77" s="1025">
        <f ca="1">IF(_NrRaty&gt;LRat,"",BW77*BP77)</f>
        <v>2952.2643835616436</v>
      </c>
      <c r="BY77" s="1025">
        <f ca="1">IF(_NrRaty&gt;LRat,"",BU77*BX77)</f>
        <v>147613.21917808219</v>
      </c>
    </row>
    <row r="78" spans="1:77" x14ac:dyDescent="0.25">
      <c r="A78" s="973">
        <f t="shared" ca="1" si="78"/>
        <v>-0.10000000000002274</v>
      </c>
      <c r="B78" s="924">
        <f t="shared" ca="1" si="46"/>
        <v>47660</v>
      </c>
      <c r="C78" s="660">
        <f>IF(_NrRaty&gt;LRat,"",_NrRaty)</f>
        <v>48</v>
      </c>
      <c r="D78" s="661">
        <f t="shared" ca="1" si="47"/>
        <v>47660</v>
      </c>
      <c r="E78" s="941">
        <f t="shared" ca="1" si="62"/>
        <v>764</v>
      </c>
      <c r="F78" s="970">
        <f t="shared" ca="1" si="63"/>
        <v>5.4693300000000002</v>
      </c>
      <c r="G78" s="941">
        <f ca="1">IF(C78&lt;=LRat,ROUND(ROUND(SUM($F$30:F78),2)-SUM($G$30:G77),2),"")</f>
        <v>5.47</v>
      </c>
      <c r="H78" s="941">
        <f t="shared" ca="1" si="64"/>
        <v>758.53</v>
      </c>
      <c r="I78" s="941">
        <f t="shared" ca="1" si="65"/>
        <v>0</v>
      </c>
      <c r="J78" s="941">
        <f t="shared" si="66"/>
        <v>0</v>
      </c>
      <c r="L78" s="613">
        <f>IF(_NrRaty&gt;LRat,"",_NrRaty)</f>
        <v>48</v>
      </c>
      <c r="M78" s="913">
        <f t="shared" ca="1" si="48"/>
        <v>47664</v>
      </c>
      <c r="N78" s="913">
        <f t="shared" ca="1" si="49"/>
        <v>47660</v>
      </c>
      <c r="O78" s="921">
        <f t="shared" ca="1" si="50"/>
        <v>6</v>
      </c>
      <c r="P78" s="921">
        <f t="shared" ca="1" si="51"/>
        <v>25</v>
      </c>
      <c r="Q78" s="921">
        <f t="shared" ca="1" si="52"/>
        <v>365</v>
      </c>
      <c r="R78" s="921">
        <f t="shared" ca="1" si="53"/>
        <v>1.643835616438356E-2</v>
      </c>
      <c r="S78" s="921">
        <f t="shared" ca="1" si="54"/>
        <v>6.8493150684931503E-2</v>
      </c>
      <c r="T78" s="921">
        <f t="shared" ca="1" si="55"/>
        <v>8.4931506849315067E-2</v>
      </c>
      <c r="U78" s="921">
        <f t="shared" ca="1" si="67"/>
        <v>1.0072106849315068</v>
      </c>
      <c r="V78" s="921">
        <f ca="1">IF(C78&lt;&gt;"",1/PRODUCT($U$31:U78),0)</f>
        <v>0.71274296549143557</v>
      </c>
      <c r="Z78" s="921">
        <f t="shared" ca="1" si="68"/>
        <v>764</v>
      </c>
      <c r="AA78" s="949">
        <f t="shared" ca="1" si="59"/>
        <v>365</v>
      </c>
      <c r="AB78" s="949">
        <f t="shared" ca="1" si="60"/>
        <v>1.643835616438356E-2</v>
      </c>
      <c r="AC78" s="954">
        <f t="shared" ca="1" si="61"/>
        <v>6.8493150684931503E-2</v>
      </c>
      <c r="AD78" s="954">
        <f t="shared" ca="1" si="43"/>
        <v>8.4931506849315067E-2</v>
      </c>
      <c r="AE78" s="954">
        <f t="shared" ca="1" si="69"/>
        <v>1.0072106849315068</v>
      </c>
      <c r="AF78" s="954">
        <f ca="1">IF(L78&lt;=LRat,1/PRODUCT($AE$31:AE78),0)</f>
        <v>0.71290760363263761</v>
      </c>
      <c r="AG78" s="966"/>
      <c r="AH78" s="921">
        <f ca="1">IF(L78&lt;=LRat,Z78/((1+OE_wynikRRSO)^(SUM($AD$31:AD78))),0)</f>
        <v>556.58265663074826</v>
      </c>
      <c r="AI78" s="966"/>
      <c r="AO78" s="948">
        <f>IF(_NrRaty&gt;LRat,"",_NrRaty)</f>
        <v>48</v>
      </c>
      <c r="AP78" s="977">
        <f t="shared" ca="1" si="56"/>
        <v>47660</v>
      </c>
      <c r="AQ78" s="948">
        <f t="shared" ca="1" si="70"/>
        <v>764.1</v>
      </c>
      <c r="AR78" s="948">
        <f ca="1">IF(_NrRaty&lt;LRat,ROUND(AT77*$AN$20*(SUM(O78:P78)/365),2),0)+IF(_NrRaty=LRat,AQ78-AS78,0)</f>
        <v>5.5299999999925831</v>
      </c>
      <c r="AS78" s="948">
        <f ca="1">IF(_NrRaty&lt;LRat,ROUND(AQ78-AR78,2),0)+IF(_NrRaty=LRat,AT77,0)</f>
        <v>758.57000000000744</v>
      </c>
      <c r="AT78" s="979">
        <f t="shared" ca="1" si="58"/>
        <v>0</v>
      </c>
      <c r="AU78" s="979">
        <f t="shared" si="71"/>
        <v>0</v>
      </c>
      <c r="AV78" s="1005">
        <v>0</v>
      </c>
      <c r="AX78" s="948">
        <f t="shared" ca="1" si="72"/>
        <v>764.1</v>
      </c>
      <c r="AY78" s="948">
        <f ca="1">IF(_NrRaty&lt;=LRat,IF(MOD(YEAR(N78),4)=0,OE_RP_rrso,365),0)</f>
        <v>365</v>
      </c>
      <c r="AZ78" s="948">
        <f ca="1">IF(_NrRaty&lt;=LRat,O78/AY77,0)</f>
        <v>1.643835616438356E-2</v>
      </c>
      <c r="BA78" s="1006">
        <f ca="1">IF(_NrRaty&lt;=LRat,P78/AY78,0)</f>
        <v>6.8493150684931503E-2</v>
      </c>
      <c r="BB78" s="1006">
        <f t="shared" ca="1" si="42"/>
        <v>8.4931506849315067E-2</v>
      </c>
      <c r="BC78" s="1006">
        <f ca="1">IF(_NrRaty&lt;=LRat,1+OE_oproc*BB78,0)</f>
        <v>1.0072106849315068</v>
      </c>
      <c r="BD78" s="1006">
        <f ca="1">IF(_NrRaty&lt;=LRat,1/PRODUCT($BC$31:BC78),0)</f>
        <v>0.71290760363263761</v>
      </c>
      <c r="BF78" s="948">
        <f ca="1">IF(_NrRaty&lt;=LRat,AX78/((1+SOWK_wynikRRSO)^(SUM($BB$31:BB78))),0)</f>
        <v>556.64984021913097</v>
      </c>
      <c r="BL78" s="1023">
        <f>IF(_NrRaty&gt;LRat,"",_NrRaty)</f>
        <v>48</v>
      </c>
      <c r="BM78" s="1024">
        <f ca="1">IF(_NrRaty&gt;LRat,"",D78)</f>
        <v>47660</v>
      </c>
      <c r="BN78" s="1025">
        <f t="shared" ca="1" si="73"/>
        <v>764</v>
      </c>
      <c r="BO78" s="1025">
        <f t="shared" ca="1" si="74"/>
        <v>5.47</v>
      </c>
      <c r="BP78" s="1025">
        <f t="shared" ca="1" si="75"/>
        <v>758.53</v>
      </c>
      <c r="BQ78" s="1025">
        <f t="shared" ca="1" si="76"/>
        <v>0</v>
      </c>
      <c r="BR78" s="1124">
        <f t="shared" si="77"/>
        <v>0</v>
      </c>
      <c r="BT78" s="1113">
        <f>IF(_NrRaty&gt;LRat,"",_NrRaty)</f>
        <v>48</v>
      </c>
      <c r="BU78" s="1023">
        <f t="shared" si="27"/>
        <v>50</v>
      </c>
      <c r="BV78" s="1114">
        <f ca="1">IF(_NrRaty&gt;LRat,"",SUM($O$31:P78))</f>
        <v>1461</v>
      </c>
      <c r="BW78" s="1025">
        <f ca="1">IF(_NrRaty&gt;LRat,"",BV78/365)</f>
        <v>4.0027397260273974</v>
      </c>
      <c r="BX78" s="1025">
        <f ca="1">IF(_NrRaty&gt;LRat,"",BW78*BP78)</f>
        <v>3036.1981643835616</v>
      </c>
      <c r="BY78" s="1025">
        <f ca="1">IF(_NrRaty&gt;LRat,"",BU78*BX78)</f>
        <v>151809.90821917809</v>
      </c>
    </row>
    <row r="79" spans="1:77" x14ac:dyDescent="0.25">
      <c r="A79" s="973">
        <f t="shared" si="78"/>
        <v>0</v>
      </c>
      <c r="B79" s="924" t="str">
        <f t="shared" si="46"/>
        <v/>
      </c>
      <c r="C79" s="658" t="str">
        <f>IF(_NrRaty&gt;LRat,"",_NrRaty)</f>
        <v/>
      </c>
      <c r="D79" s="659" t="str">
        <f t="shared" si="47"/>
        <v/>
      </c>
      <c r="E79" s="940" t="str">
        <f t="shared" si="62"/>
        <v/>
      </c>
      <c r="F79" s="969" t="str">
        <f t="shared" si="63"/>
        <v/>
      </c>
      <c r="G79" s="940" t="str">
        <f>IF(C79&lt;=LRat,ROUND(ROUND(SUM($F$30:F79),2)-SUM($G$30:G78),2),"")</f>
        <v/>
      </c>
      <c r="H79" s="940" t="str">
        <f t="shared" si="64"/>
        <v/>
      </c>
      <c r="I79" s="940" t="str">
        <f t="shared" si="65"/>
        <v/>
      </c>
      <c r="J79" s="940" t="str">
        <f t="shared" si="66"/>
        <v/>
      </c>
      <c r="L79" s="613" t="str">
        <f>IF(_NrRaty&gt;LRat,"",_NrRaty)</f>
        <v/>
      </c>
      <c r="M79" s="913" t="str">
        <f t="shared" si="48"/>
        <v/>
      </c>
      <c r="N79" s="913" t="str">
        <f t="shared" si="49"/>
        <v/>
      </c>
      <c r="O79" s="921">
        <f t="shared" si="50"/>
        <v>0</v>
      </c>
      <c r="P79" s="921">
        <f t="shared" si="51"/>
        <v>0</v>
      </c>
      <c r="Q79" s="921">
        <f t="shared" si="52"/>
        <v>0</v>
      </c>
      <c r="R79" s="921">
        <f t="shared" si="53"/>
        <v>0</v>
      </c>
      <c r="S79" s="921">
        <f t="shared" si="54"/>
        <v>0</v>
      </c>
      <c r="T79" s="921">
        <f t="shared" si="55"/>
        <v>0</v>
      </c>
      <c r="U79" s="921">
        <f t="shared" si="67"/>
        <v>0</v>
      </c>
      <c r="V79" s="921">
        <f>IF(C79&lt;&gt;"",1/PRODUCT($U$31:U79),0)</f>
        <v>0</v>
      </c>
      <c r="Z79" s="921">
        <f t="shared" si="68"/>
        <v>0</v>
      </c>
      <c r="AA79" s="949">
        <f t="shared" si="59"/>
        <v>0</v>
      </c>
      <c r="AB79" s="949">
        <f t="shared" si="60"/>
        <v>0</v>
      </c>
      <c r="AC79" s="954">
        <f t="shared" si="61"/>
        <v>0</v>
      </c>
      <c r="AD79" s="954">
        <f t="shared" si="43"/>
        <v>0</v>
      </c>
      <c r="AE79" s="954">
        <f t="shared" si="69"/>
        <v>0</v>
      </c>
      <c r="AF79" s="954">
        <f>IF(L79&lt;=LRat,1/PRODUCT($AE$31:AE79),0)</f>
        <v>0</v>
      </c>
      <c r="AG79" s="966"/>
      <c r="AH79" s="921">
        <f>IF(L79&lt;=LRat,Z79/((1+OE_wynikRRSO)^(SUM($AD$31:AD79))),0)</f>
        <v>0</v>
      </c>
      <c r="AI79" s="966"/>
      <c r="AO79" s="948" t="str">
        <f>IF(_NrRaty&gt;LRat,"",_NrRaty)</f>
        <v/>
      </c>
      <c r="AP79" s="977" t="str">
        <f t="shared" si="56"/>
        <v/>
      </c>
      <c r="AQ79" s="948">
        <f t="shared" si="70"/>
        <v>0</v>
      </c>
      <c r="AR79" s="948">
        <f>IF(_NrRaty&lt;LRat,ROUND(AT78*$AN$20*(SUM(O79:P79)/365),2),0)+IF(_NrRaty=LRat,AQ79-AS79,0)</f>
        <v>0</v>
      </c>
      <c r="AS79" s="948">
        <f>IF(_NrRaty&lt;LRat,ROUND(AQ79-AR79,2),0)+IF(_NrRaty=LRat,AT78,0)</f>
        <v>0</v>
      </c>
      <c r="AT79" s="979">
        <f t="shared" ca="1" si="58"/>
        <v>0</v>
      </c>
      <c r="AU79" s="979" t="b">
        <f t="shared" si="71"/>
        <v>0</v>
      </c>
      <c r="AV79" s="1005">
        <v>0</v>
      </c>
      <c r="AX79" s="948">
        <f t="shared" si="72"/>
        <v>0</v>
      </c>
      <c r="AY79" s="948">
        <f>IF(_NrRaty&lt;=LRat,IF(MOD(YEAR(N79),4)=0,OE_RP_rrso,365),0)</f>
        <v>0</v>
      </c>
      <c r="AZ79" s="948">
        <f>IF(_NrRaty&lt;=LRat,O79/AY78,0)</f>
        <v>0</v>
      </c>
      <c r="BA79" s="1006">
        <f>IF(_NrRaty&lt;=LRat,P79/AY79,0)</f>
        <v>0</v>
      </c>
      <c r="BB79" s="1006">
        <f t="shared" si="42"/>
        <v>0</v>
      </c>
      <c r="BC79" s="1006">
        <f>IF(_NrRaty&lt;=LRat,1+OE_oproc*BB79,0)</f>
        <v>0</v>
      </c>
      <c r="BD79" s="1006">
        <f>IF(_NrRaty&lt;=LRat,1/PRODUCT($BC$31:BC79),0)</f>
        <v>0</v>
      </c>
      <c r="BF79" s="948">
        <f>IF(_NrRaty&lt;=LRat,AX79/((1+SOWK_wynikRRSO)^(SUM($BB$31:BB79))),0)</f>
        <v>0</v>
      </c>
      <c r="BL79" s="1023" t="str">
        <f>IF(_NrRaty&gt;LRat,"",_NrRaty)</f>
        <v/>
      </c>
      <c r="BM79" s="1024" t="str">
        <f>IF(_NrRaty&gt;LRat,"",D79)</f>
        <v/>
      </c>
      <c r="BN79" s="1025" t="str">
        <f t="shared" si="73"/>
        <v/>
      </c>
      <c r="BO79" s="1025" t="str">
        <f t="shared" si="74"/>
        <v/>
      </c>
      <c r="BP79" s="1025" t="str">
        <f t="shared" si="75"/>
        <v/>
      </c>
      <c r="BQ79" s="1025" t="str">
        <f t="shared" si="76"/>
        <v/>
      </c>
      <c r="BR79" s="1124" t="e">
        <f t="shared" si="77"/>
        <v>#VALUE!</v>
      </c>
      <c r="BT79" s="1113" t="str">
        <f>IF(_NrRaty&gt;LRat,"",_NrRaty)</f>
        <v/>
      </c>
      <c r="BU79" s="1023" t="str">
        <f t="shared" si="27"/>
        <v/>
      </c>
      <c r="BV79" s="1114" t="str">
        <f>IF(_NrRaty&gt;LRat,"",SUM($O$31:P79))</f>
        <v/>
      </c>
      <c r="BW79" s="1025" t="str">
        <f>IF(_NrRaty&gt;LRat,"",BV79/365)</f>
        <v/>
      </c>
      <c r="BX79" s="1025" t="str">
        <f>IF(_NrRaty&gt;LRat,"",BW79*BP79)</f>
        <v/>
      </c>
      <c r="BY79" s="1025" t="str">
        <f>IF(_NrRaty&gt;LRat,"",BU79*BX79)</f>
        <v/>
      </c>
    </row>
    <row r="80" spans="1:77" x14ac:dyDescent="0.25">
      <c r="A80" s="973">
        <f t="shared" si="78"/>
        <v>0</v>
      </c>
      <c r="B80" s="924" t="str">
        <f t="shared" si="46"/>
        <v/>
      </c>
      <c r="C80" s="660" t="str">
        <f>IF(_NrRaty&gt;LRat,"",_NrRaty)</f>
        <v/>
      </c>
      <c r="D80" s="661" t="str">
        <f t="shared" si="47"/>
        <v/>
      </c>
      <c r="E80" s="941" t="str">
        <f t="shared" si="62"/>
        <v/>
      </c>
      <c r="F80" s="970" t="str">
        <f t="shared" si="63"/>
        <v/>
      </c>
      <c r="G80" s="941" t="str">
        <f>IF(C80&lt;=LRat,ROUND(ROUND(SUM($F$30:F80),2)-SUM($G$30:G79),2),"")</f>
        <v/>
      </c>
      <c r="H80" s="941" t="str">
        <f t="shared" si="64"/>
        <v/>
      </c>
      <c r="I80" s="941" t="str">
        <f t="shared" si="65"/>
        <v/>
      </c>
      <c r="J80" s="941" t="str">
        <f t="shared" si="66"/>
        <v/>
      </c>
      <c r="L80" s="613" t="str">
        <f>IF(_NrRaty&gt;LRat,"",_NrRaty)</f>
        <v/>
      </c>
      <c r="M80" s="913" t="str">
        <f t="shared" si="48"/>
        <v/>
      </c>
      <c r="N80" s="913" t="str">
        <f t="shared" si="49"/>
        <v/>
      </c>
      <c r="O80" s="921">
        <f t="shared" si="50"/>
        <v>0</v>
      </c>
      <c r="P80" s="921">
        <f t="shared" si="51"/>
        <v>0</v>
      </c>
      <c r="Q80" s="921">
        <f t="shared" si="52"/>
        <v>0</v>
      </c>
      <c r="R80" s="921">
        <f t="shared" si="53"/>
        <v>0</v>
      </c>
      <c r="S80" s="921">
        <f t="shared" si="54"/>
        <v>0</v>
      </c>
      <c r="T80" s="921">
        <f t="shared" si="55"/>
        <v>0</v>
      </c>
      <c r="U80" s="921">
        <f t="shared" si="67"/>
        <v>0</v>
      </c>
      <c r="V80" s="921">
        <f>IF(C80&lt;&gt;"",1/PRODUCT($U$31:U80),0)</f>
        <v>0</v>
      </c>
      <c r="Z80" s="921">
        <f t="shared" si="68"/>
        <v>0</v>
      </c>
      <c r="AA80" s="949">
        <f t="shared" si="59"/>
        <v>0</v>
      </c>
      <c r="AB80" s="949">
        <f t="shared" si="60"/>
        <v>0</v>
      </c>
      <c r="AC80" s="954">
        <f t="shared" si="61"/>
        <v>0</v>
      </c>
      <c r="AD80" s="954">
        <f t="shared" si="43"/>
        <v>0</v>
      </c>
      <c r="AE80" s="954">
        <f t="shared" si="69"/>
        <v>0</v>
      </c>
      <c r="AF80" s="954">
        <f>IF(L80&lt;=LRat,1/PRODUCT($AE$31:AE80),0)</f>
        <v>0</v>
      </c>
      <c r="AG80" s="966"/>
      <c r="AH80" s="921">
        <f>IF(L80&lt;=LRat,Z80/((1+OE_wynikRRSO)^(SUM($AD$31:AD80))),0)</f>
        <v>0</v>
      </c>
      <c r="AI80" s="966"/>
      <c r="AO80" s="948" t="str">
        <f>IF(_NrRaty&gt;LRat,"",_NrRaty)</f>
        <v/>
      </c>
      <c r="AP80" s="977" t="str">
        <f t="shared" si="56"/>
        <v/>
      </c>
      <c r="AQ80" s="948">
        <f t="shared" si="70"/>
        <v>0</v>
      </c>
      <c r="AR80" s="948">
        <f>IF(_NrRaty&lt;LRat,ROUND(AT79*$AN$20*(SUM(O80:P80)/365),2),0)+IF(_NrRaty=LRat,AQ80-AS80,0)</f>
        <v>0</v>
      </c>
      <c r="AS80" s="948">
        <f>IF(_NrRaty&lt;LRat,ROUND(AQ80-AR80,2),0)+IF(_NrRaty=LRat,AT79,0)</f>
        <v>0</v>
      </c>
      <c r="AT80" s="979">
        <f t="shared" ca="1" si="58"/>
        <v>0</v>
      </c>
      <c r="AU80" s="979" t="b">
        <f t="shared" si="71"/>
        <v>0</v>
      </c>
      <c r="AV80" s="1005">
        <v>0</v>
      </c>
      <c r="AX80" s="948">
        <f t="shared" si="72"/>
        <v>0</v>
      </c>
      <c r="AY80" s="948">
        <f>IF(_NrRaty&lt;=LRat,IF(MOD(YEAR(N80),4)=0,OE_RP_rrso,365),0)</f>
        <v>0</v>
      </c>
      <c r="AZ80" s="948">
        <f>IF(_NrRaty&lt;=LRat,O80/AY79,0)</f>
        <v>0</v>
      </c>
      <c r="BA80" s="1006">
        <f>IF(_NrRaty&lt;=LRat,P80/AY80,0)</f>
        <v>0</v>
      </c>
      <c r="BB80" s="1006">
        <f t="shared" si="42"/>
        <v>0</v>
      </c>
      <c r="BC80" s="1006">
        <f>IF(_NrRaty&lt;=LRat,1+OE_oproc*BB80,0)</f>
        <v>0</v>
      </c>
      <c r="BD80" s="1006">
        <f>IF(_NrRaty&lt;=LRat,1/PRODUCT($BC$31:BC80),0)</f>
        <v>0</v>
      </c>
      <c r="BF80" s="948">
        <f>IF(_NrRaty&lt;=LRat,AX80/((1+SOWK_wynikRRSO)^(SUM($BB$31:BB80))),0)</f>
        <v>0</v>
      </c>
      <c r="BL80" s="1023" t="str">
        <f>IF(_NrRaty&gt;LRat,"",_NrRaty)</f>
        <v/>
      </c>
      <c r="BM80" s="1024" t="str">
        <f>IF(_NrRaty&gt;LRat,"",D80)</f>
        <v/>
      </c>
      <c r="BN80" s="1025" t="str">
        <f t="shared" si="73"/>
        <v/>
      </c>
      <c r="BO80" s="1025" t="str">
        <f t="shared" si="74"/>
        <v/>
      </c>
      <c r="BP80" s="1025" t="str">
        <f t="shared" si="75"/>
        <v/>
      </c>
      <c r="BQ80" s="1025" t="str">
        <f t="shared" si="76"/>
        <v/>
      </c>
      <c r="BR80" s="1124" t="e">
        <f t="shared" si="77"/>
        <v>#VALUE!</v>
      </c>
      <c r="BT80" s="1113" t="str">
        <f>IF(_NrRaty&gt;LRat,"",_NrRaty)</f>
        <v/>
      </c>
      <c r="BU80" s="1023" t="str">
        <f t="shared" si="27"/>
        <v/>
      </c>
      <c r="BV80" s="1114" t="str">
        <f>IF(_NrRaty&gt;LRat,"",SUM($O$31:P80))</f>
        <v/>
      </c>
      <c r="BW80" s="1025" t="str">
        <f>IF(_NrRaty&gt;LRat,"",BV80/365)</f>
        <v/>
      </c>
      <c r="BX80" s="1025" t="str">
        <f>IF(_NrRaty&gt;LRat,"",BW80*BP80)</f>
        <v/>
      </c>
      <c r="BY80" s="1025" t="str">
        <f>IF(_NrRaty&gt;LRat,"",BU80*BX80)</f>
        <v/>
      </c>
    </row>
    <row r="81" spans="1:77" x14ac:dyDescent="0.25">
      <c r="A81" s="973">
        <f t="shared" si="78"/>
        <v>0</v>
      </c>
      <c r="B81" s="924" t="str">
        <f t="shared" si="46"/>
        <v/>
      </c>
      <c r="C81" s="658" t="str">
        <f>IF(_NrRaty&gt;LRat,"",_NrRaty)</f>
        <v/>
      </c>
      <c r="D81" s="659" t="str">
        <f t="shared" si="47"/>
        <v/>
      </c>
      <c r="E81" s="940" t="str">
        <f t="shared" si="62"/>
        <v/>
      </c>
      <c r="F81" s="969" t="str">
        <f t="shared" si="63"/>
        <v/>
      </c>
      <c r="G81" s="940" t="str">
        <f>IF(C81&lt;=LRat,ROUND(ROUND(SUM($F$30:F81),2)-SUM($G$30:G80),2),"")</f>
        <v/>
      </c>
      <c r="H81" s="940" t="str">
        <f t="shared" si="64"/>
        <v/>
      </c>
      <c r="I81" s="940" t="str">
        <f t="shared" si="65"/>
        <v/>
      </c>
      <c r="J81" s="940" t="str">
        <f t="shared" si="66"/>
        <v/>
      </c>
      <c r="L81" s="613" t="str">
        <f>IF(_NrRaty&gt;LRat,"",_NrRaty)</f>
        <v/>
      </c>
      <c r="M81" s="913" t="str">
        <f t="shared" si="48"/>
        <v/>
      </c>
      <c r="N81" s="913" t="str">
        <f t="shared" si="49"/>
        <v/>
      </c>
      <c r="O81" s="921">
        <f t="shared" si="50"/>
        <v>0</v>
      </c>
      <c r="P81" s="921">
        <f t="shared" si="51"/>
        <v>0</v>
      </c>
      <c r="Q81" s="921">
        <f t="shared" si="52"/>
        <v>0</v>
      </c>
      <c r="R81" s="921">
        <f t="shared" si="53"/>
        <v>0</v>
      </c>
      <c r="S81" s="921">
        <f t="shared" si="54"/>
        <v>0</v>
      </c>
      <c r="T81" s="921">
        <f t="shared" si="55"/>
        <v>0</v>
      </c>
      <c r="U81" s="921">
        <f t="shared" si="67"/>
        <v>0</v>
      </c>
      <c r="V81" s="921">
        <f>IF(C81&lt;&gt;"",1/PRODUCT($U$31:U81),0)</f>
        <v>0</v>
      </c>
      <c r="Z81" s="921">
        <f t="shared" si="68"/>
        <v>0</v>
      </c>
      <c r="AA81" s="949">
        <f t="shared" si="59"/>
        <v>0</v>
      </c>
      <c r="AB81" s="949">
        <f t="shared" si="60"/>
        <v>0</v>
      </c>
      <c r="AC81" s="954">
        <f t="shared" si="61"/>
        <v>0</v>
      </c>
      <c r="AD81" s="954">
        <f t="shared" si="43"/>
        <v>0</v>
      </c>
      <c r="AE81" s="954">
        <f t="shared" si="69"/>
        <v>0</v>
      </c>
      <c r="AF81" s="954">
        <f>IF(L81&lt;=LRat,1/PRODUCT($AE$31:AE81),0)</f>
        <v>0</v>
      </c>
      <c r="AG81" s="966"/>
      <c r="AH81" s="921">
        <f>IF(L81&lt;=LRat,Z81/((1+OE_wynikRRSO)^(SUM($AD$31:AD81))),0)</f>
        <v>0</v>
      </c>
      <c r="AI81" s="966"/>
      <c r="AO81" s="948" t="str">
        <f>IF(_NrRaty&gt;LRat,"",_NrRaty)</f>
        <v/>
      </c>
      <c r="AP81" s="977" t="str">
        <f t="shared" si="56"/>
        <v/>
      </c>
      <c r="AQ81" s="948">
        <f t="shared" si="70"/>
        <v>0</v>
      </c>
      <c r="AR81" s="948">
        <f>IF(_NrRaty&lt;LRat,ROUND(AT80*$AN$20*(SUM(O81:P81)/365),2),0)+IF(_NrRaty=LRat,AQ81-AS81,0)</f>
        <v>0</v>
      </c>
      <c r="AS81" s="948">
        <f>IF(_NrRaty&lt;LRat,ROUND(AQ81-AR81,2),0)+IF(_NrRaty=LRat,AT80,0)</f>
        <v>0</v>
      </c>
      <c r="AT81" s="979">
        <f t="shared" ca="1" si="58"/>
        <v>0</v>
      </c>
      <c r="AU81" s="979" t="b">
        <f t="shared" si="71"/>
        <v>0</v>
      </c>
      <c r="AV81" s="1005">
        <v>0</v>
      </c>
      <c r="AX81" s="948">
        <f t="shared" si="72"/>
        <v>0</v>
      </c>
      <c r="AY81" s="948">
        <f>IF(_NrRaty&lt;=LRat,IF(MOD(YEAR(N81),4)=0,OE_RP_rrso,365),0)</f>
        <v>0</v>
      </c>
      <c r="AZ81" s="948">
        <f>IF(_NrRaty&lt;=LRat,O81/AY80,0)</f>
        <v>0</v>
      </c>
      <c r="BA81" s="1006">
        <f>IF(_NrRaty&lt;=LRat,P81/AY81,0)</f>
        <v>0</v>
      </c>
      <c r="BB81" s="1006">
        <f t="shared" si="42"/>
        <v>0</v>
      </c>
      <c r="BC81" s="1006">
        <f>IF(_NrRaty&lt;=LRat,1+OE_oproc*BB81,0)</f>
        <v>0</v>
      </c>
      <c r="BD81" s="1006">
        <f>IF(_NrRaty&lt;=LRat,1/PRODUCT($BC$31:BC81),0)</f>
        <v>0</v>
      </c>
      <c r="BF81" s="948">
        <f>IF(_NrRaty&lt;=LRat,AX81/((1+SOWK_wynikRRSO)^(SUM($BB$31:BB81))),0)</f>
        <v>0</v>
      </c>
      <c r="BL81" s="1023" t="str">
        <f>IF(_NrRaty&gt;LRat,"",_NrRaty)</f>
        <v/>
      </c>
      <c r="BM81" s="1024" t="str">
        <f>IF(_NrRaty&gt;LRat,"",D81)</f>
        <v/>
      </c>
      <c r="BN81" s="1025" t="str">
        <f t="shared" si="73"/>
        <v/>
      </c>
      <c r="BO81" s="1025" t="str">
        <f t="shared" si="74"/>
        <v/>
      </c>
      <c r="BP81" s="1025" t="str">
        <f t="shared" si="75"/>
        <v/>
      </c>
      <c r="BQ81" s="1025" t="str">
        <f t="shared" si="76"/>
        <v/>
      </c>
      <c r="BR81" s="1124" t="e">
        <f t="shared" si="77"/>
        <v>#VALUE!</v>
      </c>
      <c r="BT81" s="1113" t="str">
        <f>IF(_NrRaty&gt;LRat,"",_NrRaty)</f>
        <v/>
      </c>
      <c r="BU81" s="1023" t="str">
        <f t="shared" si="27"/>
        <v/>
      </c>
      <c r="BV81" s="1114" t="str">
        <f>IF(_NrRaty&gt;LRat,"",SUM($O$31:P81))</f>
        <v/>
      </c>
      <c r="BW81" s="1025" t="str">
        <f>IF(_NrRaty&gt;LRat,"",BV81/365)</f>
        <v/>
      </c>
      <c r="BX81" s="1025" t="str">
        <f>IF(_NrRaty&gt;LRat,"",BW81*BP81)</f>
        <v/>
      </c>
      <c r="BY81" s="1025" t="str">
        <f>IF(_NrRaty&gt;LRat,"",BU81*BX81)</f>
        <v/>
      </c>
    </row>
    <row r="82" spans="1:77" x14ac:dyDescent="0.25">
      <c r="A82" s="973">
        <f t="shared" si="78"/>
        <v>0</v>
      </c>
      <c r="B82" s="924" t="str">
        <f t="shared" si="46"/>
        <v/>
      </c>
      <c r="C82" s="660" t="str">
        <f>IF(_NrRaty&gt;LRat,"",_NrRaty)</f>
        <v/>
      </c>
      <c r="D82" s="661" t="str">
        <f t="shared" si="47"/>
        <v/>
      </c>
      <c r="E82" s="941" t="str">
        <f t="shared" si="62"/>
        <v/>
      </c>
      <c r="F82" s="970" t="str">
        <f t="shared" si="63"/>
        <v/>
      </c>
      <c r="G82" s="941" t="str">
        <f>IF(C82&lt;=LRat,ROUND(ROUND(SUM($F$30:F82),2)-SUM($G$30:G81),2),"")</f>
        <v/>
      </c>
      <c r="H82" s="941" t="str">
        <f t="shared" si="64"/>
        <v/>
      </c>
      <c r="I82" s="941" t="str">
        <f t="shared" si="65"/>
        <v/>
      </c>
      <c r="J82" s="941" t="str">
        <f t="shared" si="66"/>
        <v/>
      </c>
      <c r="L82" s="613" t="str">
        <f>IF(_NrRaty&gt;LRat,"",_NrRaty)</f>
        <v/>
      </c>
      <c r="M82" s="913" t="str">
        <f t="shared" si="48"/>
        <v/>
      </c>
      <c r="N82" s="913" t="str">
        <f t="shared" si="49"/>
        <v/>
      </c>
      <c r="O82" s="921">
        <f t="shared" si="50"/>
        <v>0</v>
      </c>
      <c r="P82" s="921">
        <f t="shared" si="51"/>
        <v>0</v>
      </c>
      <c r="Q82" s="921">
        <f t="shared" si="52"/>
        <v>0</v>
      </c>
      <c r="R82" s="921">
        <f t="shared" si="53"/>
        <v>0</v>
      </c>
      <c r="S82" s="921">
        <f t="shared" si="54"/>
        <v>0</v>
      </c>
      <c r="T82" s="921">
        <f t="shared" si="55"/>
        <v>0</v>
      </c>
      <c r="U82" s="921">
        <f t="shared" si="67"/>
        <v>0</v>
      </c>
      <c r="V82" s="921">
        <f>IF(C82&lt;&gt;"",1/PRODUCT($U$31:U82),0)</f>
        <v>0</v>
      </c>
      <c r="Z82" s="921">
        <f t="shared" si="68"/>
        <v>0</v>
      </c>
      <c r="AA82" s="949">
        <f t="shared" si="59"/>
        <v>0</v>
      </c>
      <c r="AB82" s="949">
        <f t="shared" si="60"/>
        <v>0</v>
      </c>
      <c r="AC82" s="954">
        <f t="shared" si="61"/>
        <v>0</v>
      </c>
      <c r="AD82" s="954">
        <f t="shared" si="43"/>
        <v>0</v>
      </c>
      <c r="AE82" s="954">
        <f t="shared" si="69"/>
        <v>0</v>
      </c>
      <c r="AF82" s="954">
        <f>IF(L82&lt;=LRat,1/PRODUCT($AE$31:AE82),0)</f>
        <v>0</v>
      </c>
      <c r="AG82" s="966"/>
      <c r="AH82" s="921">
        <f>IF(L82&lt;=LRat,Z82/((1+OE_wynikRRSO)^(SUM($AD$31:AD82))),0)</f>
        <v>0</v>
      </c>
      <c r="AI82" s="966"/>
      <c r="AO82" s="948" t="str">
        <f>IF(_NrRaty&gt;LRat,"",_NrRaty)</f>
        <v/>
      </c>
      <c r="AP82" s="977" t="str">
        <f t="shared" si="56"/>
        <v/>
      </c>
      <c r="AQ82" s="948">
        <f t="shared" si="70"/>
        <v>0</v>
      </c>
      <c r="AR82" s="948">
        <f>IF(_NrRaty&lt;LRat,ROUND(AT81*$AN$20*(SUM(O82:P82)/365),2),0)+IF(_NrRaty=LRat,AQ82-AS82,0)</f>
        <v>0</v>
      </c>
      <c r="AS82" s="948">
        <f>IF(_NrRaty&lt;LRat,ROUND(AQ82-AR82,2),0)+IF(_NrRaty=LRat,AT81,0)</f>
        <v>0</v>
      </c>
      <c r="AT82" s="979">
        <f t="shared" ca="1" si="58"/>
        <v>0</v>
      </c>
      <c r="AU82" s="979" t="b">
        <f t="shared" si="71"/>
        <v>0</v>
      </c>
      <c r="AV82" s="1005">
        <v>0</v>
      </c>
      <c r="AX82" s="948">
        <f t="shared" si="72"/>
        <v>0</v>
      </c>
      <c r="AY82" s="948">
        <f>IF(_NrRaty&lt;=LRat,IF(MOD(YEAR(N82),4)=0,OE_RP_rrso,365),0)</f>
        <v>0</v>
      </c>
      <c r="AZ82" s="948">
        <f>IF(_NrRaty&lt;=LRat,O82/AY81,0)</f>
        <v>0</v>
      </c>
      <c r="BA82" s="1006">
        <f>IF(_NrRaty&lt;=LRat,P82/AY82,0)</f>
        <v>0</v>
      </c>
      <c r="BB82" s="1006">
        <f t="shared" si="42"/>
        <v>0</v>
      </c>
      <c r="BC82" s="1006">
        <f>IF(_NrRaty&lt;=LRat,1+OE_oproc*BB82,0)</f>
        <v>0</v>
      </c>
      <c r="BD82" s="1006">
        <f>IF(_NrRaty&lt;=LRat,1/PRODUCT($BC$31:BC82),0)</f>
        <v>0</v>
      </c>
      <c r="BF82" s="948">
        <f>IF(_NrRaty&lt;=LRat,AX82/((1+SOWK_wynikRRSO)^(SUM($BB$31:BB82))),0)</f>
        <v>0</v>
      </c>
      <c r="BL82" s="1023" t="str">
        <f>IF(_NrRaty&gt;LRat,"",_NrRaty)</f>
        <v/>
      </c>
      <c r="BM82" s="1024" t="str">
        <f>IF(_NrRaty&gt;LRat,"",D82)</f>
        <v/>
      </c>
      <c r="BN82" s="1025" t="str">
        <f t="shared" si="73"/>
        <v/>
      </c>
      <c r="BO82" s="1025" t="str">
        <f t="shared" si="74"/>
        <v/>
      </c>
      <c r="BP82" s="1025" t="str">
        <f t="shared" si="75"/>
        <v/>
      </c>
      <c r="BQ82" s="1025" t="str">
        <f t="shared" si="76"/>
        <v/>
      </c>
      <c r="BR82" s="1124" t="e">
        <f t="shared" si="77"/>
        <v>#VALUE!</v>
      </c>
      <c r="BT82" s="1113" t="str">
        <f>IF(_NrRaty&gt;LRat,"",_NrRaty)</f>
        <v/>
      </c>
      <c r="BU82" s="1023" t="str">
        <f t="shared" si="27"/>
        <v/>
      </c>
      <c r="BV82" s="1114" t="str">
        <f>IF(_NrRaty&gt;LRat,"",SUM($O$31:P82))</f>
        <v/>
      </c>
      <c r="BW82" s="1025" t="str">
        <f>IF(_NrRaty&gt;LRat,"",BV82/365)</f>
        <v/>
      </c>
      <c r="BX82" s="1025" t="str">
        <f>IF(_NrRaty&gt;LRat,"",BW82*BP82)</f>
        <v/>
      </c>
      <c r="BY82" s="1025" t="str">
        <f>IF(_NrRaty&gt;LRat,"",BU82*BX82)</f>
        <v/>
      </c>
    </row>
    <row r="83" spans="1:77" x14ac:dyDescent="0.25">
      <c r="A83" s="973">
        <f t="shared" si="78"/>
        <v>0</v>
      </c>
      <c r="B83" s="924" t="str">
        <f t="shared" si="46"/>
        <v/>
      </c>
      <c r="C83" s="658" t="str">
        <f>IF(_NrRaty&gt;LRat,"",_NrRaty)</f>
        <v/>
      </c>
      <c r="D83" s="659" t="str">
        <f t="shared" si="47"/>
        <v/>
      </c>
      <c r="E83" s="940" t="str">
        <f t="shared" si="62"/>
        <v/>
      </c>
      <c r="F83" s="969" t="str">
        <f t="shared" si="63"/>
        <v/>
      </c>
      <c r="G83" s="940" t="str">
        <f>IF(C83&lt;=LRat,ROUND(ROUND(SUM($F$30:F83),2)-SUM($G$30:G82),2),"")</f>
        <v/>
      </c>
      <c r="H83" s="940" t="str">
        <f t="shared" si="64"/>
        <v/>
      </c>
      <c r="I83" s="940" t="str">
        <f t="shared" si="65"/>
        <v/>
      </c>
      <c r="J83" s="940" t="str">
        <f t="shared" si="66"/>
        <v/>
      </c>
      <c r="L83" s="613" t="str">
        <f>IF(_NrRaty&gt;LRat,"",_NrRaty)</f>
        <v/>
      </c>
      <c r="M83" s="913" t="str">
        <f t="shared" si="48"/>
        <v/>
      </c>
      <c r="N83" s="913" t="str">
        <f t="shared" si="49"/>
        <v/>
      </c>
      <c r="O83" s="921">
        <f t="shared" si="50"/>
        <v>0</v>
      </c>
      <c r="P83" s="921">
        <f t="shared" si="51"/>
        <v>0</v>
      </c>
      <c r="Q83" s="921">
        <f t="shared" si="52"/>
        <v>0</v>
      </c>
      <c r="R83" s="921">
        <f t="shared" si="53"/>
        <v>0</v>
      </c>
      <c r="S83" s="921">
        <f t="shared" si="54"/>
        <v>0</v>
      </c>
      <c r="T83" s="921">
        <f t="shared" si="55"/>
        <v>0</v>
      </c>
      <c r="U83" s="921">
        <f t="shared" si="67"/>
        <v>0</v>
      </c>
      <c r="V83" s="921">
        <f>IF(C83&lt;&gt;"",1/PRODUCT($U$31:U83),0)</f>
        <v>0</v>
      </c>
      <c r="Z83" s="921">
        <f t="shared" si="68"/>
        <v>0</v>
      </c>
      <c r="AA83" s="949">
        <f t="shared" si="59"/>
        <v>0</v>
      </c>
      <c r="AB83" s="949">
        <f t="shared" si="60"/>
        <v>0</v>
      </c>
      <c r="AC83" s="954">
        <f t="shared" si="61"/>
        <v>0</v>
      </c>
      <c r="AD83" s="954">
        <f t="shared" si="43"/>
        <v>0</v>
      </c>
      <c r="AE83" s="954">
        <f t="shared" si="69"/>
        <v>0</v>
      </c>
      <c r="AF83" s="954">
        <f>IF(L83&lt;=LRat,1/PRODUCT($AE$31:AE83),0)</f>
        <v>0</v>
      </c>
      <c r="AG83" s="966"/>
      <c r="AH83" s="921">
        <f>IF(L83&lt;=LRat,Z83/((1+OE_wynikRRSO)^(SUM($AD$31:AD83))),0)</f>
        <v>0</v>
      </c>
      <c r="AI83" s="966"/>
      <c r="AO83" s="948" t="str">
        <f>IF(_NrRaty&gt;LRat,"",_NrRaty)</f>
        <v/>
      </c>
      <c r="AP83" s="977" t="str">
        <f t="shared" si="56"/>
        <v/>
      </c>
      <c r="AQ83" s="948">
        <f t="shared" si="70"/>
        <v>0</v>
      </c>
      <c r="AR83" s="948">
        <f>IF(_NrRaty&lt;LRat,ROUND(AT82*$AN$20*(SUM(O83:P83)/365),2),0)+IF(_NrRaty=LRat,AQ83-AS83,0)</f>
        <v>0</v>
      </c>
      <c r="AS83" s="948">
        <f>IF(_NrRaty&lt;LRat,ROUND(AQ83-AR83,2),0)+IF(_NrRaty=LRat,AT82,0)</f>
        <v>0</v>
      </c>
      <c r="AT83" s="979">
        <f t="shared" ca="1" si="58"/>
        <v>0</v>
      </c>
      <c r="AU83" s="979" t="b">
        <f t="shared" si="71"/>
        <v>0</v>
      </c>
      <c r="AV83" s="1005">
        <v>0</v>
      </c>
      <c r="AX83" s="948">
        <f t="shared" si="72"/>
        <v>0</v>
      </c>
      <c r="AY83" s="948">
        <f>IF(_NrRaty&lt;=LRat,IF(MOD(YEAR(N83),4)=0,OE_RP_rrso,365),0)</f>
        <v>0</v>
      </c>
      <c r="AZ83" s="948">
        <f>IF(_NrRaty&lt;=LRat,O83/AY82,0)</f>
        <v>0</v>
      </c>
      <c r="BA83" s="1006">
        <f>IF(_NrRaty&lt;=LRat,P83/AY83,0)</f>
        <v>0</v>
      </c>
      <c r="BB83" s="1006">
        <f t="shared" si="42"/>
        <v>0</v>
      </c>
      <c r="BC83" s="1006">
        <f>IF(_NrRaty&lt;=LRat,1+OE_oproc*BB83,0)</f>
        <v>0</v>
      </c>
      <c r="BD83" s="1006">
        <f>IF(_NrRaty&lt;=LRat,1/PRODUCT($BC$31:BC83),0)</f>
        <v>0</v>
      </c>
      <c r="BF83" s="948">
        <f>IF(_NrRaty&lt;=LRat,AX83/((1+SOWK_wynikRRSO)^(SUM($BB$31:BB83))),0)</f>
        <v>0</v>
      </c>
      <c r="BL83" s="1023" t="str">
        <f>IF(_NrRaty&gt;LRat,"",_NrRaty)</f>
        <v/>
      </c>
      <c r="BM83" s="1024" t="str">
        <f>IF(_NrRaty&gt;LRat,"",D83)</f>
        <v/>
      </c>
      <c r="BN83" s="1025" t="str">
        <f t="shared" si="73"/>
        <v/>
      </c>
      <c r="BO83" s="1025" t="str">
        <f t="shared" si="74"/>
        <v/>
      </c>
      <c r="BP83" s="1025" t="str">
        <f t="shared" si="75"/>
        <v/>
      </c>
      <c r="BQ83" s="1025" t="str">
        <f t="shared" si="76"/>
        <v/>
      </c>
      <c r="BR83" s="1124" t="e">
        <f t="shared" si="77"/>
        <v>#VALUE!</v>
      </c>
      <c r="BT83" s="1113" t="str">
        <f>IF(_NrRaty&gt;LRat,"",_NrRaty)</f>
        <v/>
      </c>
      <c r="BU83" s="1023" t="str">
        <f t="shared" si="27"/>
        <v/>
      </c>
      <c r="BV83" s="1114" t="str">
        <f>IF(_NrRaty&gt;LRat,"",SUM($O$31:P83))</f>
        <v/>
      </c>
      <c r="BW83" s="1025" t="str">
        <f>IF(_NrRaty&gt;LRat,"",BV83/365)</f>
        <v/>
      </c>
      <c r="BX83" s="1025" t="str">
        <f>IF(_NrRaty&gt;LRat,"",BW83*BP83)</f>
        <v/>
      </c>
      <c r="BY83" s="1025" t="str">
        <f>IF(_NrRaty&gt;LRat,"",BU83*BX83)</f>
        <v/>
      </c>
    </row>
    <row r="84" spans="1:77" x14ac:dyDescent="0.25">
      <c r="A84" s="973">
        <f t="shared" si="78"/>
        <v>0</v>
      </c>
      <c r="B84" s="924" t="str">
        <f t="shared" si="46"/>
        <v/>
      </c>
      <c r="C84" s="660" t="str">
        <f>IF(_NrRaty&gt;LRat,"",_NrRaty)</f>
        <v/>
      </c>
      <c r="D84" s="661" t="str">
        <f t="shared" si="47"/>
        <v/>
      </c>
      <c r="E84" s="941" t="str">
        <f t="shared" si="62"/>
        <v/>
      </c>
      <c r="F84" s="970" t="str">
        <f t="shared" si="63"/>
        <v/>
      </c>
      <c r="G84" s="941" t="str">
        <f>IF(C84&lt;=LRat,ROUND(ROUND(SUM($F$30:F84),2)-SUM($G$30:G83),2),"")</f>
        <v/>
      </c>
      <c r="H84" s="941" t="str">
        <f t="shared" si="64"/>
        <v/>
      </c>
      <c r="I84" s="941" t="str">
        <f t="shared" si="65"/>
        <v/>
      </c>
      <c r="J84" s="941" t="str">
        <f t="shared" si="66"/>
        <v/>
      </c>
      <c r="L84" s="613" t="str">
        <f>IF(_NrRaty&gt;LRat,"",_NrRaty)</f>
        <v/>
      </c>
      <c r="M84" s="913" t="str">
        <f t="shared" si="48"/>
        <v/>
      </c>
      <c r="N84" s="913" t="str">
        <f t="shared" si="49"/>
        <v/>
      </c>
      <c r="O84" s="921">
        <f t="shared" si="50"/>
        <v>0</v>
      </c>
      <c r="P84" s="921">
        <f t="shared" si="51"/>
        <v>0</v>
      </c>
      <c r="Q84" s="921">
        <f t="shared" si="52"/>
        <v>0</v>
      </c>
      <c r="R84" s="921">
        <f t="shared" si="53"/>
        <v>0</v>
      </c>
      <c r="S84" s="921">
        <f t="shared" si="54"/>
        <v>0</v>
      </c>
      <c r="T84" s="921">
        <f t="shared" si="55"/>
        <v>0</v>
      </c>
      <c r="U84" s="921">
        <f t="shared" si="67"/>
        <v>0</v>
      </c>
      <c r="V84" s="921">
        <f>IF(C84&lt;&gt;"",1/PRODUCT($U$31:U84),0)</f>
        <v>0</v>
      </c>
      <c r="Z84" s="921">
        <f t="shared" si="68"/>
        <v>0</v>
      </c>
      <c r="AA84" s="949">
        <f t="shared" si="59"/>
        <v>0</v>
      </c>
      <c r="AB84" s="949">
        <f t="shared" si="60"/>
        <v>0</v>
      </c>
      <c r="AC84" s="954">
        <f t="shared" si="61"/>
        <v>0</v>
      </c>
      <c r="AD84" s="954">
        <f t="shared" si="43"/>
        <v>0</v>
      </c>
      <c r="AE84" s="954">
        <f t="shared" si="69"/>
        <v>0</v>
      </c>
      <c r="AF84" s="954">
        <f>IF(L84&lt;=LRat,1/PRODUCT($AE$31:AE84),0)</f>
        <v>0</v>
      </c>
      <c r="AG84" s="966"/>
      <c r="AH84" s="921">
        <f>IF(L84&lt;=LRat,Z84/((1+OE_wynikRRSO)^(SUM($AD$31:AD84))),0)</f>
        <v>0</v>
      </c>
      <c r="AI84" s="966"/>
      <c r="AO84" s="948" t="str">
        <f>IF(_NrRaty&gt;LRat,"",_NrRaty)</f>
        <v/>
      </c>
      <c r="AP84" s="977" t="str">
        <f t="shared" si="56"/>
        <v/>
      </c>
      <c r="AQ84" s="948">
        <f t="shared" si="70"/>
        <v>0</v>
      </c>
      <c r="AR84" s="948">
        <f>IF(_NrRaty&lt;LRat,ROUND(AT83*$AN$20*(SUM(O84:P84)/365),2),0)+IF(_NrRaty=LRat,AQ84-AS84,0)</f>
        <v>0</v>
      </c>
      <c r="AS84" s="948">
        <f>IF(_NrRaty&lt;LRat,ROUND(AQ84-AR84,2),0)+IF(_NrRaty=LRat,AT83,0)</f>
        <v>0</v>
      </c>
      <c r="AT84" s="979">
        <f t="shared" ca="1" si="58"/>
        <v>0</v>
      </c>
      <c r="AU84" s="979" t="b">
        <f t="shared" si="71"/>
        <v>0</v>
      </c>
      <c r="AV84" s="1005">
        <v>0</v>
      </c>
      <c r="AX84" s="948">
        <f t="shared" si="72"/>
        <v>0</v>
      </c>
      <c r="AY84" s="948">
        <f>IF(_NrRaty&lt;=LRat,IF(MOD(YEAR(N84),4)=0,OE_RP_rrso,365),0)</f>
        <v>0</v>
      </c>
      <c r="AZ84" s="948">
        <f>IF(_NrRaty&lt;=LRat,O84/AY83,0)</f>
        <v>0</v>
      </c>
      <c r="BA84" s="1006">
        <f>IF(_NrRaty&lt;=LRat,P84/AY84,0)</f>
        <v>0</v>
      </c>
      <c r="BB84" s="1006">
        <f t="shared" si="42"/>
        <v>0</v>
      </c>
      <c r="BC84" s="1006">
        <f>IF(_NrRaty&lt;=LRat,1+OE_oproc*BB84,0)</f>
        <v>0</v>
      </c>
      <c r="BD84" s="1006">
        <f>IF(_NrRaty&lt;=LRat,1/PRODUCT($BC$31:BC84),0)</f>
        <v>0</v>
      </c>
      <c r="BF84" s="948">
        <f>IF(_NrRaty&lt;=LRat,AX84/((1+SOWK_wynikRRSO)^(SUM($BB$31:BB84))),0)</f>
        <v>0</v>
      </c>
      <c r="BL84" s="1023" t="str">
        <f>IF(_NrRaty&gt;LRat,"",_NrRaty)</f>
        <v/>
      </c>
      <c r="BM84" s="1024" t="str">
        <f>IF(_NrRaty&gt;LRat,"",D84)</f>
        <v/>
      </c>
      <c r="BN84" s="1025" t="str">
        <f t="shared" si="73"/>
        <v/>
      </c>
      <c r="BO84" s="1025" t="str">
        <f t="shared" si="74"/>
        <v/>
      </c>
      <c r="BP84" s="1025" t="str">
        <f t="shared" si="75"/>
        <v/>
      </c>
      <c r="BQ84" s="1025" t="str">
        <f t="shared" si="76"/>
        <v/>
      </c>
      <c r="BR84" s="1124" t="e">
        <f t="shared" si="77"/>
        <v>#VALUE!</v>
      </c>
      <c r="BT84" s="1113" t="str">
        <f>IF(_NrRaty&gt;LRat,"",_NrRaty)</f>
        <v/>
      </c>
      <c r="BU84" s="1023" t="str">
        <f t="shared" si="27"/>
        <v/>
      </c>
      <c r="BV84" s="1114" t="str">
        <f>IF(_NrRaty&gt;LRat,"",SUM($O$31:P84))</f>
        <v/>
      </c>
      <c r="BW84" s="1025" t="str">
        <f>IF(_NrRaty&gt;LRat,"",BV84/365)</f>
        <v/>
      </c>
      <c r="BX84" s="1025" t="str">
        <f>IF(_NrRaty&gt;LRat,"",BW84*BP84)</f>
        <v/>
      </c>
      <c r="BY84" s="1025" t="str">
        <f>IF(_NrRaty&gt;LRat,"",BU84*BX84)</f>
        <v/>
      </c>
    </row>
    <row r="85" spans="1:77" x14ac:dyDescent="0.25">
      <c r="A85" s="973">
        <f t="shared" si="78"/>
        <v>0</v>
      </c>
      <c r="B85" s="924" t="str">
        <f t="shared" si="46"/>
        <v/>
      </c>
      <c r="C85" s="658" t="str">
        <f>IF(_NrRaty&gt;LRat,"",_NrRaty)</f>
        <v/>
      </c>
      <c r="D85" s="659" t="str">
        <f t="shared" si="47"/>
        <v/>
      </c>
      <c r="E85" s="940" t="str">
        <f t="shared" si="62"/>
        <v/>
      </c>
      <c r="F85" s="969" t="str">
        <f t="shared" si="63"/>
        <v/>
      </c>
      <c r="G85" s="940" t="str">
        <f>IF(C85&lt;=LRat,ROUND(ROUND(SUM($F$30:F85),2)-SUM($G$30:G84),2),"")</f>
        <v/>
      </c>
      <c r="H85" s="940" t="str">
        <f t="shared" si="64"/>
        <v/>
      </c>
      <c r="I85" s="940" t="str">
        <f t="shared" si="65"/>
        <v/>
      </c>
      <c r="J85" s="940" t="str">
        <f t="shared" si="66"/>
        <v/>
      </c>
      <c r="L85" s="613" t="str">
        <f>IF(_NrRaty&gt;LRat,"",_NrRaty)</f>
        <v/>
      </c>
      <c r="M85" s="913" t="str">
        <f t="shared" si="48"/>
        <v/>
      </c>
      <c r="N85" s="913" t="str">
        <f t="shared" si="49"/>
        <v/>
      </c>
      <c r="O85" s="921">
        <f t="shared" si="50"/>
        <v>0</v>
      </c>
      <c r="P85" s="921">
        <f t="shared" si="51"/>
        <v>0</v>
      </c>
      <c r="Q85" s="921">
        <f t="shared" si="52"/>
        <v>0</v>
      </c>
      <c r="R85" s="921">
        <f t="shared" si="53"/>
        <v>0</v>
      </c>
      <c r="S85" s="921">
        <f t="shared" si="54"/>
        <v>0</v>
      </c>
      <c r="T85" s="921">
        <f t="shared" si="55"/>
        <v>0</v>
      </c>
      <c r="U85" s="921">
        <f t="shared" si="67"/>
        <v>0</v>
      </c>
      <c r="V85" s="921">
        <f>IF(C85&lt;&gt;"",1/PRODUCT($U$31:U85),0)</f>
        <v>0</v>
      </c>
      <c r="Z85" s="921">
        <f t="shared" si="68"/>
        <v>0</v>
      </c>
      <c r="AA85" s="949">
        <f t="shared" si="59"/>
        <v>0</v>
      </c>
      <c r="AB85" s="949">
        <f t="shared" si="60"/>
        <v>0</v>
      </c>
      <c r="AC85" s="954">
        <f t="shared" si="61"/>
        <v>0</v>
      </c>
      <c r="AD85" s="954">
        <f t="shared" si="43"/>
        <v>0</v>
      </c>
      <c r="AE85" s="954">
        <f t="shared" si="69"/>
        <v>0</v>
      </c>
      <c r="AF85" s="954">
        <f>IF(L85&lt;=LRat,1/PRODUCT($AE$31:AE85),0)</f>
        <v>0</v>
      </c>
      <c r="AG85" s="966"/>
      <c r="AH85" s="921">
        <f>IF(L85&lt;=LRat,Z85/((1+OE_wynikRRSO)^(SUM($AD$31:AD85))),0)</f>
        <v>0</v>
      </c>
      <c r="AI85" s="966"/>
      <c r="AO85" s="948" t="str">
        <f>IF(_NrRaty&gt;LRat,"",_NrRaty)</f>
        <v/>
      </c>
      <c r="AP85" s="977" t="str">
        <f t="shared" si="56"/>
        <v/>
      </c>
      <c r="AQ85" s="948">
        <f t="shared" si="70"/>
        <v>0</v>
      </c>
      <c r="AR85" s="948">
        <f>IF(_NrRaty&lt;LRat,ROUND(AT84*$AN$20*(SUM(O85:P85)/365),2),0)+IF(_NrRaty=LRat,AQ85-AS85,0)</f>
        <v>0</v>
      </c>
      <c r="AS85" s="948">
        <f>IF(_NrRaty&lt;LRat,ROUND(AQ85-AR85,2),0)+IF(_NrRaty=LRat,AT84,0)</f>
        <v>0</v>
      </c>
      <c r="AT85" s="979">
        <f t="shared" ca="1" si="58"/>
        <v>0</v>
      </c>
      <c r="AU85" s="979" t="b">
        <f t="shared" si="71"/>
        <v>0</v>
      </c>
      <c r="AV85" s="1005">
        <v>0</v>
      </c>
      <c r="AX85" s="948">
        <f t="shared" si="72"/>
        <v>0</v>
      </c>
      <c r="AY85" s="948">
        <f>IF(_NrRaty&lt;=LRat,IF(MOD(YEAR(N85),4)=0,OE_RP_rrso,365),0)</f>
        <v>0</v>
      </c>
      <c r="AZ85" s="948">
        <f>IF(_NrRaty&lt;=LRat,O85/AY84,0)</f>
        <v>0</v>
      </c>
      <c r="BA85" s="1006">
        <f>IF(_NrRaty&lt;=LRat,P85/AY85,0)</f>
        <v>0</v>
      </c>
      <c r="BB85" s="1006">
        <f t="shared" si="42"/>
        <v>0</v>
      </c>
      <c r="BC85" s="1006">
        <f>IF(_NrRaty&lt;=LRat,1+OE_oproc*BB85,0)</f>
        <v>0</v>
      </c>
      <c r="BD85" s="1006">
        <f>IF(_NrRaty&lt;=LRat,1/PRODUCT($BC$31:BC85),0)</f>
        <v>0</v>
      </c>
      <c r="BF85" s="948">
        <f>IF(_NrRaty&lt;=LRat,AX85/((1+SOWK_wynikRRSO)^(SUM($BB$31:BB85))),0)</f>
        <v>0</v>
      </c>
      <c r="BL85" s="1023" t="str">
        <f>IF(_NrRaty&gt;LRat,"",_NrRaty)</f>
        <v/>
      </c>
      <c r="BM85" s="1024" t="str">
        <f>IF(_NrRaty&gt;LRat,"",D85)</f>
        <v/>
      </c>
      <c r="BN85" s="1025" t="str">
        <f t="shared" si="73"/>
        <v/>
      </c>
      <c r="BO85" s="1025" t="str">
        <f t="shared" si="74"/>
        <v/>
      </c>
      <c r="BP85" s="1025" t="str">
        <f t="shared" si="75"/>
        <v/>
      </c>
      <c r="BQ85" s="1025" t="str">
        <f t="shared" si="76"/>
        <v/>
      </c>
      <c r="BR85" s="1124" t="e">
        <f t="shared" si="77"/>
        <v>#VALUE!</v>
      </c>
      <c r="BT85" s="1113" t="str">
        <f>IF(_NrRaty&gt;LRat,"",_NrRaty)</f>
        <v/>
      </c>
      <c r="BU85" s="1023" t="str">
        <f t="shared" si="27"/>
        <v/>
      </c>
      <c r="BV85" s="1114" t="str">
        <f>IF(_NrRaty&gt;LRat,"",SUM($O$31:P85))</f>
        <v/>
      </c>
      <c r="BW85" s="1025" t="str">
        <f>IF(_NrRaty&gt;LRat,"",BV85/365)</f>
        <v/>
      </c>
      <c r="BX85" s="1025" t="str">
        <f>IF(_NrRaty&gt;LRat,"",BW85*BP85)</f>
        <v/>
      </c>
      <c r="BY85" s="1025" t="str">
        <f>IF(_NrRaty&gt;LRat,"",BU85*BX85)</f>
        <v/>
      </c>
    </row>
    <row r="86" spans="1:77" x14ac:dyDescent="0.25">
      <c r="A86" s="973">
        <f t="shared" si="78"/>
        <v>0</v>
      </c>
      <c r="B86" s="924" t="str">
        <f t="shared" si="46"/>
        <v/>
      </c>
      <c r="C86" s="660" t="str">
        <f>IF(_NrRaty&gt;LRat,"",_NrRaty)</f>
        <v/>
      </c>
      <c r="D86" s="661" t="str">
        <f t="shared" si="47"/>
        <v/>
      </c>
      <c r="E86" s="941" t="str">
        <f t="shared" si="62"/>
        <v/>
      </c>
      <c r="F86" s="970" t="str">
        <f t="shared" si="63"/>
        <v/>
      </c>
      <c r="G86" s="941" t="str">
        <f>IF(C86&lt;=LRat,ROUND(ROUND(SUM($F$30:F86),2)-SUM($G$30:G85),2),"")</f>
        <v/>
      </c>
      <c r="H86" s="941" t="str">
        <f t="shared" si="64"/>
        <v/>
      </c>
      <c r="I86" s="941" t="str">
        <f t="shared" si="65"/>
        <v/>
      </c>
      <c r="J86" s="941" t="str">
        <f t="shared" si="66"/>
        <v/>
      </c>
      <c r="L86" s="613" t="str">
        <f>IF(_NrRaty&gt;LRat,"",_NrRaty)</f>
        <v/>
      </c>
      <c r="M86" s="913" t="str">
        <f t="shared" si="48"/>
        <v/>
      </c>
      <c r="N86" s="913" t="str">
        <f t="shared" si="49"/>
        <v/>
      </c>
      <c r="O86" s="921">
        <f t="shared" si="50"/>
        <v>0</v>
      </c>
      <c r="P86" s="921">
        <f t="shared" si="51"/>
        <v>0</v>
      </c>
      <c r="Q86" s="921">
        <f t="shared" si="52"/>
        <v>0</v>
      </c>
      <c r="R86" s="921">
        <f t="shared" si="53"/>
        <v>0</v>
      </c>
      <c r="S86" s="921">
        <f t="shared" si="54"/>
        <v>0</v>
      </c>
      <c r="T86" s="921">
        <f t="shared" si="55"/>
        <v>0</v>
      </c>
      <c r="U86" s="921">
        <f t="shared" si="67"/>
        <v>0</v>
      </c>
      <c r="V86" s="921">
        <f>IF(C86&lt;&gt;"",1/PRODUCT($U$31:U86),0)</f>
        <v>0</v>
      </c>
      <c r="Z86" s="921">
        <f t="shared" si="68"/>
        <v>0</v>
      </c>
      <c r="AA86" s="949">
        <f t="shared" si="59"/>
        <v>0</v>
      </c>
      <c r="AB86" s="949">
        <f t="shared" si="60"/>
        <v>0</v>
      </c>
      <c r="AC86" s="954">
        <f t="shared" si="61"/>
        <v>0</v>
      </c>
      <c r="AD86" s="954">
        <f t="shared" si="43"/>
        <v>0</v>
      </c>
      <c r="AE86" s="954">
        <f t="shared" si="69"/>
        <v>0</v>
      </c>
      <c r="AF86" s="954">
        <f>IF(L86&lt;=LRat,1/PRODUCT($AE$31:AE86),0)</f>
        <v>0</v>
      </c>
      <c r="AG86" s="966"/>
      <c r="AH86" s="921">
        <f>IF(L86&lt;=LRat,Z86/((1+OE_wynikRRSO)^(SUM($AD$31:AD86))),0)</f>
        <v>0</v>
      </c>
      <c r="AI86" s="966"/>
      <c r="AO86" s="948" t="str">
        <f>IF(_NrRaty&gt;LRat,"",_NrRaty)</f>
        <v/>
      </c>
      <c r="AP86" s="977" t="str">
        <f t="shared" si="56"/>
        <v/>
      </c>
      <c r="AQ86" s="948">
        <f t="shared" si="70"/>
        <v>0</v>
      </c>
      <c r="AR86" s="948">
        <f>IF(_NrRaty&lt;LRat,ROUND(AT85*$AN$20*(SUM(O86:P86)/365),2),0)+IF(_NrRaty=LRat,AQ86-AS86,0)</f>
        <v>0</v>
      </c>
      <c r="AS86" s="948">
        <f>IF(_NrRaty&lt;LRat,ROUND(AQ86-AR86,2),0)+IF(_NrRaty=LRat,AT85,0)</f>
        <v>0</v>
      </c>
      <c r="AT86" s="979">
        <f t="shared" ca="1" si="58"/>
        <v>0</v>
      </c>
      <c r="AU86" s="979" t="b">
        <f t="shared" si="71"/>
        <v>0</v>
      </c>
      <c r="AV86" s="1005">
        <v>0</v>
      </c>
      <c r="AX86" s="948">
        <f t="shared" si="72"/>
        <v>0</v>
      </c>
      <c r="AY86" s="948">
        <f>IF(_NrRaty&lt;=LRat,IF(MOD(YEAR(N86),4)=0,OE_RP_rrso,365),0)</f>
        <v>0</v>
      </c>
      <c r="AZ86" s="948">
        <f>IF(_NrRaty&lt;=LRat,O86/AY85,0)</f>
        <v>0</v>
      </c>
      <c r="BA86" s="1006">
        <f>IF(_NrRaty&lt;=LRat,P86/AY86,0)</f>
        <v>0</v>
      </c>
      <c r="BB86" s="1006">
        <f t="shared" si="42"/>
        <v>0</v>
      </c>
      <c r="BC86" s="1006">
        <f>IF(_NrRaty&lt;=LRat,1+OE_oproc*BB86,0)</f>
        <v>0</v>
      </c>
      <c r="BD86" s="1006">
        <f>IF(_NrRaty&lt;=LRat,1/PRODUCT($BC$31:BC86),0)</f>
        <v>0</v>
      </c>
      <c r="BF86" s="948">
        <f>IF(_NrRaty&lt;=LRat,AX86/((1+SOWK_wynikRRSO)^(SUM($BB$31:BB86))),0)</f>
        <v>0</v>
      </c>
      <c r="BL86" s="1023" t="str">
        <f>IF(_NrRaty&gt;LRat,"",_NrRaty)</f>
        <v/>
      </c>
      <c r="BM86" s="1024" t="str">
        <f>IF(_NrRaty&gt;LRat,"",D86)</f>
        <v/>
      </c>
      <c r="BN86" s="1025" t="str">
        <f t="shared" si="73"/>
        <v/>
      </c>
      <c r="BO86" s="1025" t="str">
        <f t="shared" si="74"/>
        <v/>
      </c>
      <c r="BP86" s="1025" t="str">
        <f t="shared" si="75"/>
        <v/>
      </c>
      <c r="BQ86" s="1025" t="str">
        <f t="shared" si="76"/>
        <v/>
      </c>
      <c r="BR86" s="1124" t="e">
        <f t="shared" si="77"/>
        <v>#VALUE!</v>
      </c>
      <c r="BT86" s="1113" t="str">
        <f>IF(_NrRaty&gt;LRat,"",_NrRaty)</f>
        <v/>
      </c>
      <c r="BU86" s="1023" t="str">
        <f t="shared" si="27"/>
        <v/>
      </c>
      <c r="BV86" s="1114" t="str">
        <f>IF(_NrRaty&gt;LRat,"",SUM($O$31:P86))</f>
        <v/>
      </c>
      <c r="BW86" s="1025" t="str">
        <f>IF(_NrRaty&gt;LRat,"",BV86/365)</f>
        <v/>
      </c>
      <c r="BX86" s="1025" t="str">
        <f>IF(_NrRaty&gt;LRat,"",BW86*BP86)</f>
        <v/>
      </c>
      <c r="BY86" s="1025" t="str">
        <f>IF(_NrRaty&gt;LRat,"",BU86*BX86)</f>
        <v/>
      </c>
    </row>
    <row r="87" spans="1:77" x14ac:dyDescent="0.25">
      <c r="A87" s="973">
        <f t="shared" si="78"/>
        <v>0</v>
      </c>
      <c r="B87" s="924" t="str">
        <f t="shared" si="46"/>
        <v/>
      </c>
      <c r="C87" s="658" t="str">
        <f>IF(_NrRaty&gt;LRat,"",_NrRaty)</f>
        <v/>
      </c>
      <c r="D87" s="659" t="str">
        <f t="shared" si="47"/>
        <v/>
      </c>
      <c r="E87" s="940" t="str">
        <f t="shared" si="62"/>
        <v/>
      </c>
      <c r="F87" s="969" t="str">
        <f t="shared" si="63"/>
        <v/>
      </c>
      <c r="G87" s="940" t="str">
        <f>IF(C87&lt;=LRat,ROUND(ROUND(SUM($F$30:F87),2)-SUM($G$30:G86),2),"")</f>
        <v/>
      </c>
      <c r="H87" s="940" t="str">
        <f t="shared" si="64"/>
        <v/>
      </c>
      <c r="I87" s="940" t="str">
        <f t="shared" si="65"/>
        <v/>
      </c>
      <c r="J87" s="940" t="str">
        <f t="shared" si="66"/>
        <v/>
      </c>
      <c r="L87" s="613" t="str">
        <f>IF(_NrRaty&gt;LRat,"",_NrRaty)</f>
        <v/>
      </c>
      <c r="M87" s="913" t="str">
        <f t="shared" si="48"/>
        <v/>
      </c>
      <c r="N87" s="913" t="str">
        <f t="shared" si="49"/>
        <v/>
      </c>
      <c r="O87" s="921">
        <f t="shared" si="50"/>
        <v>0</v>
      </c>
      <c r="P87" s="921">
        <f t="shared" si="51"/>
        <v>0</v>
      </c>
      <c r="Q87" s="921">
        <f t="shared" si="52"/>
        <v>0</v>
      </c>
      <c r="R87" s="921">
        <f t="shared" si="53"/>
        <v>0</v>
      </c>
      <c r="S87" s="921">
        <f t="shared" si="54"/>
        <v>0</v>
      </c>
      <c r="T87" s="921">
        <f t="shared" si="55"/>
        <v>0</v>
      </c>
      <c r="U87" s="921">
        <f t="shared" si="67"/>
        <v>0</v>
      </c>
      <c r="V87" s="921">
        <f>IF(C87&lt;&gt;"",1/PRODUCT($U$31:U87),0)</f>
        <v>0</v>
      </c>
      <c r="Z87" s="921">
        <f t="shared" si="68"/>
        <v>0</v>
      </c>
      <c r="AA87" s="949">
        <f t="shared" si="59"/>
        <v>0</v>
      </c>
      <c r="AB87" s="949">
        <f t="shared" si="60"/>
        <v>0</v>
      </c>
      <c r="AC87" s="954">
        <f t="shared" si="61"/>
        <v>0</v>
      </c>
      <c r="AD87" s="954">
        <f t="shared" si="43"/>
        <v>0</v>
      </c>
      <c r="AE87" s="954">
        <f t="shared" si="69"/>
        <v>0</v>
      </c>
      <c r="AF87" s="954">
        <f>IF(L87&lt;=LRat,1/PRODUCT($AE$31:AE87),0)</f>
        <v>0</v>
      </c>
      <c r="AG87" s="966"/>
      <c r="AH87" s="921">
        <f>IF(L87&lt;=LRat,Z87/((1+OE_wynikRRSO)^(SUM($AD$31:AD87))),0)</f>
        <v>0</v>
      </c>
      <c r="AI87" s="966"/>
      <c r="AO87" s="948" t="str">
        <f>IF(_NrRaty&gt;LRat,"",_NrRaty)</f>
        <v/>
      </c>
      <c r="AP87" s="977" t="str">
        <f t="shared" si="56"/>
        <v/>
      </c>
      <c r="AQ87" s="948">
        <f t="shared" si="70"/>
        <v>0</v>
      </c>
      <c r="AR87" s="948">
        <f>IF(_NrRaty&lt;LRat,ROUND(AT86*$AN$20*(SUM(O87:P87)/365),2),0)+IF(_NrRaty=LRat,AQ87-AS87,0)</f>
        <v>0</v>
      </c>
      <c r="AS87" s="948">
        <f>IF(_NrRaty&lt;LRat,ROUND(AQ87-AR87,2),0)+IF(_NrRaty=LRat,AT86,0)</f>
        <v>0</v>
      </c>
      <c r="AT87" s="979">
        <f t="shared" ca="1" si="58"/>
        <v>0</v>
      </c>
      <c r="AU87" s="979" t="b">
        <f t="shared" si="71"/>
        <v>0</v>
      </c>
      <c r="AV87" s="1005">
        <v>0</v>
      </c>
      <c r="AX87" s="948">
        <f t="shared" si="72"/>
        <v>0</v>
      </c>
      <c r="AY87" s="948">
        <f>IF(_NrRaty&lt;=LRat,IF(MOD(YEAR(N87),4)=0,OE_RP_rrso,365),0)</f>
        <v>0</v>
      </c>
      <c r="AZ87" s="948">
        <f>IF(_NrRaty&lt;=LRat,O87/AY86,0)</f>
        <v>0</v>
      </c>
      <c r="BA87" s="1006">
        <f>IF(_NrRaty&lt;=LRat,P87/AY87,0)</f>
        <v>0</v>
      </c>
      <c r="BB87" s="1006">
        <f t="shared" si="42"/>
        <v>0</v>
      </c>
      <c r="BC87" s="1006">
        <f>IF(_NrRaty&lt;=LRat,1+OE_oproc*BB87,0)</f>
        <v>0</v>
      </c>
      <c r="BD87" s="1006">
        <f>IF(_NrRaty&lt;=LRat,1/PRODUCT($BC$31:BC87),0)</f>
        <v>0</v>
      </c>
      <c r="BF87" s="948">
        <f>IF(_NrRaty&lt;=LRat,AX87/((1+SOWK_wynikRRSO)^(SUM($BB$31:BB87))),0)</f>
        <v>0</v>
      </c>
      <c r="BL87" s="1023" t="str">
        <f>IF(_NrRaty&gt;LRat,"",_NrRaty)</f>
        <v/>
      </c>
      <c r="BM87" s="1024" t="str">
        <f>IF(_NrRaty&gt;LRat,"",D87)</f>
        <v/>
      </c>
      <c r="BN87" s="1025" t="str">
        <f t="shared" si="73"/>
        <v/>
      </c>
      <c r="BO87" s="1025" t="str">
        <f t="shared" si="74"/>
        <v/>
      </c>
      <c r="BP87" s="1025" t="str">
        <f t="shared" si="75"/>
        <v/>
      </c>
      <c r="BQ87" s="1025" t="str">
        <f t="shared" si="76"/>
        <v/>
      </c>
      <c r="BR87" s="1124" t="e">
        <f t="shared" si="77"/>
        <v>#VALUE!</v>
      </c>
      <c r="BT87" s="1113" t="str">
        <f>IF(_NrRaty&gt;LRat,"",_NrRaty)</f>
        <v/>
      </c>
      <c r="BU87" s="1023" t="str">
        <f t="shared" si="27"/>
        <v/>
      </c>
      <c r="BV87" s="1114" t="str">
        <f>IF(_NrRaty&gt;LRat,"",SUM($O$31:P87))</f>
        <v/>
      </c>
      <c r="BW87" s="1025" t="str">
        <f>IF(_NrRaty&gt;LRat,"",BV87/365)</f>
        <v/>
      </c>
      <c r="BX87" s="1025" t="str">
        <f>IF(_NrRaty&gt;LRat,"",BW87*BP87)</f>
        <v/>
      </c>
      <c r="BY87" s="1025" t="str">
        <f>IF(_NrRaty&gt;LRat,"",BU87*BX87)</f>
        <v/>
      </c>
    </row>
    <row r="88" spans="1:77" x14ac:dyDescent="0.25">
      <c r="A88" s="973">
        <f t="shared" si="78"/>
        <v>0</v>
      </c>
      <c r="B88" s="924" t="str">
        <f t="shared" si="46"/>
        <v/>
      </c>
      <c r="C88" s="660" t="str">
        <f>IF(_NrRaty&gt;LRat,"",_NrRaty)</f>
        <v/>
      </c>
      <c r="D88" s="661" t="str">
        <f t="shared" si="47"/>
        <v/>
      </c>
      <c r="E88" s="941" t="str">
        <f t="shared" si="62"/>
        <v/>
      </c>
      <c r="F88" s="970" t="str">
        <f t="shared" si="63"/>
        <v/>
      </c>
      <c r="G88" s="941" t="str">
        <f>IF(C88&lt;=LRat,ROUND(ROUND(SUM($F$30:F88),2)-SUM($G$30:G87),2),"")</f>
        <v/>
      </c>
      <c r="H88" s="941" t="str">
        <f t="shared" si="64"/>
        <v/>
      </c>
      <c r="I88" s="941" t="str">
        <f t="shared" si="65"/>
        <v/>
      </c>
      <c r="J88" s="941" t="str">
        <f t="shared" si="66"/>
        <v/>
      </c>
      <c r="L88" s="613" t="str">
        <f>IF(_NrRaty&gt;LRat,"",_NrRaty)</f>
        <v/>
      </c>
      <c r="M88" s="913" t="str">
        <f t="shared" si="48"/>
        <v/>
      </c>
      <c r="N88" s="913" t="str">
        <f t="shared" si="49"/>
        <v/>
      </c>
      <c r="O88" s="921">
        <f t="shared" si="50"/>
        <v>0</v>
      </c>
      <c r="P88" s="921">
        <f t="shared" si="51"/>
        <v>0</v>
      </c>
      <c r="Q88" s="921">
        <f t="shared" si="52"/>
        <v>0</v>
      </c>
      <c r="R88" s="921">
        <f t="shared" si="53"/>
        <v>0</v>
      </c>
      <c r="S88" s="921">
        <f t="shared" si="54"/>
        <v>0</v>
      </c>
      <c r="T88" s="921">
        <f t="shared" si="55"/>
        <v>0</v>
      </c>
      <c r="U88" s="921">
        <f t="shared" si="67"/>
        <v>0</v>
      </c>
      <c r="V88" s="921">
        <f>IF(C88&lt;&gt;"",1/PRODUCT($U$31:U88),0)</f>
        <v>0</v>
      </c>
      <c r="Z88" s="921">
        <f t="shared" si="68"/>
        <v>0</v>
      </c>
      <c r="AA88" s="949">
        <f t="shared" si="59"/>
        <v>0</v>
      </c>
      <c r="AB88" s="949">
        <f t="shared" si="60"/>
        <v>0</v>
      </c>
      <c r="AC88" s="954">
        <f t="shared" si="61"/>
        <v>0</v>
      </c>
      <c r="AD88" s="954">
        <f t="shared" si="43"/>
        <v>0</v>
      </c>
      <c r="AE88" s="954">
        <f t="shared" si="69"/>
        <v>0</v>
      </c>
      <c r="AF88" s="954">
        <f>IF(L88&lt;=LRat,1/PRODUCT($AE$31:AE88),0)</f>
        <v>0</v>
      </c>
      <c r="AG88" s="966"/>
      <c r="AH88" s="921">
        <f>IF(L88&lt;=LRat,Z88/((1+OE_wynikRRSO)^(SUM($AD$31:AD88))),0)</f>
        <v>0</v>
      </c>
      <c r="AI88" s="966"/>
      <c r="AO88" s="948" t="str">
        <f>IF(_NrRaty&gt;LRat,"",_NrRaty)</f>
        <v/>
      </c>
      <c r="AP88" s="977" t="str">
        <f t="shared" si="56"/>
        <v/>
      </c>
      <c r="AQ88" s="948">
        <f t="shared" si="70"/>
        <v>0</v>
      </c>
      <c r="AR88" s="948">
        <f>IF(_NrRaty&lt;LRat,ROUND(AT87*$AN$20*(SUM(O88:P88)/365),2),0)+IF(_NrRaty=LRat,AQ88-AS88,0)</f>
        <v>0</v>
      </c>
      <c r="AS88" s="948">
        <f>IF(_NrRaty&lt;LRat,ROUND(AQ88-AR88,2),0)+IF(_NrRaty=LRat,AT87,0)</f>
        <v>0</v>
      </c>
      <c r="AT88" s="979">
        <f t="shared" ca="1" si="58"/>
        <v>0</v>
      </c>
      <c r="AU88" s="979" t="b">
        <f t="shared" si="71"/>
        <v>0</v>
      </c>
      <c r="AV88" s="1005">
        <v>0</v>
      </c>
      <c r="AX88" s="948">
        <f t="shared" si="72"/>
        <v>0</v>
      </c>
      <c r="AY88" s="948">
        <f>IF(_NrRaty&lt;=LRat,IF(MOD(YEAR(N88),4)=0,OE_RP_rrso,365),0)</f>
        <v>0</v>
      </c>
      <c r="AZ88" s="948">
        <f>IF(_NrRaty&lt;=LRat,O88/AY87,0)</f>
        <v>0</v>
      </c>
      <c r="BA88" s="1006">
        <f>IF(_NrRaty&lt;=LRat,P88/AY88,0)</f>
        <v>0</v>
      </c>
      <c r="BB88" s="1006">
        <f t="shared" si="42"/>
        <v>0</v>
      </c>
      <c r="BC88" s="1006">
        <f>IF(_NrRaty&lt;=LRat,1+OE_oproc*BB88,0)</f>
        <v>0</v>
      </c>
      <c r="BD88" s="1006">
        <f>IF(_NrRaty&lt;=LRat,1/PRODUCT($BC$31:BC88),0)</f>
        <v>0</v>
      </c>
      <c r="BF88" s="948">
        <f>IF(_NrRaty&lt;=LRat,AX88/((1+SOWK_wynikRRSO)^(SUM($BB$31:BB88))),0)</f>
        <v>0</v>
      </c>
      <c r="BL88" s="1023" t="str">
        <f>IF(_NrRaty&gt;LRat,"",_NrRaty)</f>
        <v/>
      </c>
      <c r="BM88" s="1024" t="str">
        <f>IF(_NrRaty&gt;LRat,"",D88)</f>
        <v/>
      </c>
      <c r="BN88" s="1025" t="str">
        <f t="shared" si="73"/>
        <v/>
      </c>
      <c r="BO88" s="1025" t="str">
        <f t="shared" si="74"/>
        <v/>
      </c>
      <c r="BP88" s="1025" t="str">
        <f t="shared" si="75"/>
        <v/>
      </c>
      <c r="BQ88" s="1025" t="str">
        <f t="shared" si="76"/>
        <v/>
      </c>
      <c r="BR88" s="1124" t="e">
        <f t="shared" si="77"/>
        <v>#VALUE!</v>
      </c>
      <c r="BT88" s="1113" t="str">
        <f>IF(_NrRaty&gt;LRat,"",_NrRaty)</f>
        <v/>
      </c>
      <c r="BU88" s="1023" t="str">
        <f t="shared" si="27"/>
        <v/>
      </c>
      <c r="BV88" s="1114" t="str">
        <f>IF(_NrRaty&gt;LRat,"",SUM($O$31:P88))</f>
        <v/>
      </c>
      <c r="BW88" s="1025" t="str">
        <f>IF(_NrRaty&gt;LRat,"",BV88/365)</f>
        <v/>
      </c>
      <c r="BX88" s="1025" t="str">
        <f>IF(_NrRaty&gt;LRat,"",BW88*BP88)</f>
        <v/>
      </c>
      <c r="BY88" s="1025" t="str">
        <f>IF(_NrRaty&gt;LRat,"",BU88*BX88)</f>
        <v/>
      </c>
    </row>
    <row r="89" spans="1:77" x14ac:dyDescent="0.25">
      <c r="A89" s="973">
        <f t="shared" si="78"/>
        <v>0</v>
      </c>
      <c r="B89" s="924" t="str">
        <f t="shared" si="46"/>
        <v/>
      </c>
      <c r="C89" s="658" t="str">
        <f>IF(_NrRaty&gt;LRat,"",_NrRaty)</f>
        <v/>
      </c>
      <c r="D89" s="659" t="str">
        <f t="shared" si="47"/>
        <v/>
      </c>
      <c r="E89" s="940" t="str">
        <f t="shared" si="62"/>
        <v/>
      </c>
      <c r="F89" s="969" t="str">
        <f t="shared" si="63"/>
        <v/>
      </c>
      <c r="G89" s="940" t="str">
        <f>IF(C89&lt;=LRat,ROUND(ROUND(SUM($F$30:F89),2)-SUM($G$30:G88),2),"")</f>
        <v/>
      </c>
      <c r="H89" s="940" t="str">
        <f t="shared" si="64"/>
        <v/>
      </c>
      <c r="I89" s="940" t="str">
        <f t="shared" si="65"/>
        <v/>
      </c>
      <c r="J89" s="940" t="str">
        <f t="shared" si="66"/>
        <v/>
      </c>
      <c r="L89" s="613" t="str">
        <f>IF(_NrRaty&gt;LRat,"",_NrRaty)</f>
        <v/>
      </c>
      <c r="M89" s="913" t="str">
        <f t="shared" si="48"/>
        <v/>
      </c>
      <c r="N89" s="913" t="str">
        <f t="shared" si="49"/>
        <v/>
      </c>
      <c r="O89" s="921">
        <f t="shared" si="50"/>
        <v>0</v>
      </c>
      <c r="P89" s="921">
        <f t="shared" si="51"/>
        <v>0</v>
      </c>
      <c r="Q89" s="921">
        <f t="shared" si="52"/>
        <v>0</v>
      </c>
      <c r="R89" s="921">
        <f t="shared" si="53"/>
        <v>0</v>
      </c>
      <c r="S89" s="921">
        <f t="shared" si="54"/>
        <v>0</v>
      </c>
      <c r="T89" s="921">
        <f t="shared" si="55"/>
        <v>0</v>
      </c>
      <c r="U89" s="921">
        <f t="shared" si="67"/>
        <v>0</v>
      </c>
      <c r="V89" s="921">
        <f>IF(C89&lt;&gt;"",1/PRODUCT($U$31:U89),0)</f>
        <v>0</v>
      </c>
      <c r="Z89" s="921">
        <f t="shared" si="68"/>
        <v>0</v>
      </c>
      <c r="AA89" s="949">
        <f t="shared" si="59"/>
        <v>0</v>
      </c>
      <c r="AB89" s="949">
        <f t="shared" si="60"/>
        <v>0</v>
      </c>
      <c r="AC89" s="954">
        <f t="shared" si="61"/>
        <v>0</v>
      </c>
      <c r="AD89" s="954">
        <f t="shared" si="43"/>
        <v>0</v>
      </c>
      <c r="AE89" s="954">
        <f t="shared" si="69"/>
        <v>0</v>
      </c>
      <c r="AF89" s="954">
        <f>IF(L89&lt;=LRat,1/PRODUCT($AE$31:AE89),0)</f>
        <v>0</v>
      </c>
      <c r="AG89" s="966"/>
      <c r="AH89" s="921">
        <f>IF(L89&lt;=LRat,Z89/((1+OE_wynikRRSO)^(SUM($AD$31:AD89))),0)</f>
        <v>0</v>
      </c>
      <c r="AI89" s="966"/>
      <c r="AO89" s="948" t="str">
        <f>IF(_NrRaty&gt;LRat,"",_NrRaty)</f>
        <v/>
      </c>
      <c r="AP89" s="977" t="str">
        <f t="shared" si="56"/>
        <v/>
      </c>
      <c r="AQ89" s="948">
        <f t="shared" si="70"/>
        <v>0</v>
      </c>
      <c r="AR89" s="948">
        <f>IF(_NrRaty&lt;LRat,ROUND(AT88*$AN$20*(SUM(O89:P89)/365),2),0)+IF(_NrRaty=LRat,AQ89-AS89,0)</f>
        <v>0</v>
      </c>
      <c r="AS89" s="948">
        <f>IF(_NrRaty&lt;LRat,ROUND(AQ89-AR89,2),0)+IF(_NrRaty=LRat,AT88,0)</f>
        <v>0</v>
      </c>
      <c r="AT89" s="979">
        <f t="shared" ca="1" si="58"/>
        <v>0</v>
      </c>
      <c r="AU89" s="979" t="b">
        <f t="shared" si="71"/>
        <v>0</v>
      </c>
      <c r="AV89" s="1005">
        <v>0</v>
      </c>
      <c r="AX89" s="948">
        <f t="shared" si="72"/>
        <v>0</v>
      </c>
      <c r="AY89" s="948">
        <f>IF(_NrRaty&lt;=LRat,IF(MOD(YEAR(N89),4)=0,OE_RP_rrso,365),0)</f>
        <v>0</v>
      </c>
      <c r="AZ89" s="948">
        <f>IF(_NrRaty&lt;=LRat,O89/AY88,0)</f>
        <v>0</v>
      </c>
      <c r="BA89" s="1006">
        <f>IF(_NrRaty&lt;=LRat,P89/AY89,0)</f>
        <v>0</v>
      </c>
      <c r="BB89" s="1006">
        <f t="shared" si="42"/>
        <v>0</v>
      </c>
      <c r="BC89" s="1006">
        <f>IF(_NrRaty&lt;=LRat,1+OE_oproc*BB89,0)</f>
        <v>0</v>
      </c>
      <c r="BD89" s="1006">
        <f>IF(_NrRaty&lt;=LRat,1/PRODUCT($BC$31:BC89),0)</f>
        <v>0</v>
      </c>
      <c r="BF89" s="948">
        <f>IF(_NrRaty&lt;=LRat,AX89/((1+SOWK_wynikRRSO)^(SUM($BB$31:BB89))),0)</f>
        <v>0</v>
      </c>
      <c r="BL89" s="1023" t="str">
        <f>IF(_NrRaty&gt;LRat,"",_NrRaty)</f>
        <v/>
      </c>
      <c r="BM89" s="1024" t="str">
        <f>IF(_NrRaty&gt;LRat,"",D89)</f>
        <v/>
      </c>
      <c r="BN89" s="1025" t="str">
        <f t="shared" si="73"/>
        <v/>
      </c>
      <c r="BO89" s="1025" t="str">
        <f t="shared" si="74"/>
        <v/>
      </c>
      <c r="BP89" s="1025" t="str">
        <f t="shared" si="75"/>
        <v/>
      </c>
      <c r="BQ89" s="1025" t="str">
        <f t="shared" si="76"/>
        <v/>
      </c>
      <c r="BR89" s="1124" t="e">
        <f t="shared" si="77"/>
        <v>#VALUE!</v>
      </c>
      <c r="BT89" s="1113" t="str">
        <f>IF(_NrRaty&gt;LRat,"",_NrRaty)</f>
        <v/>
      </c>
      <c r="BU89" s="1023" t="str">
        <f t="shared" si="27"/>
        <v/>
      </c>
      <c r="BV89" s="1114" t="str">
        <f>IF(_NrRaty&gt;LRat,"",SUM($O$31:P89))</f>
        <v/>
      </c>
      <c r="BW89" s="1025" t="str">
        <f>IF(_NrRaty&gt;LRat,"",BV89/365)</f>
        <v/>
      </c>
      <c r="BX89" s="1025" t="str">
        <f>IF(_NrRaty&gt;LRat,"",BW89*BP89)</f>
        <v/>
      </c>
      <c r="BY89" s="1025" t="str">
        <f>IF(_NrRaty&gt;LRat,"",BU89*BX89)</f>
        <v/>
      </c>
    </row>
    <row r="90" spans="1:77" x14ac:dyDescent="0.25">
      <c r="A90" s="973">
        <f t="shared" si="78"/>
        <v>0</v>
      </c>
      <c r="B90" s="924" t="str">
        <f t="shared" si="46"/>
        <v/>
      </c>
      <c r="C90" s="660" t="str">
        <f>IF(_NrRaty&gt;LRat,"",_NrRaty)</f>
        <v/>
      </c>
      <c r="D90" s="661" t="str">
        <f t="shared" si="47"/>
        <v/>
      </c>
      <c r="E90" s="941" t="str">
        <f t="shared" si="62"/>
        <v/>
      </c>
      <c r="F90" s="970" t="str">
        <f t="shared" si="63"/>
        <v/>
      </c>
      <c r="G90" s="941" t="str">
        <f>IF(C90&lt;=LRat,ROUND(ROUND(SUM($F$30:F90),2)-SUM($G$30:G89),2),"")</f>
        <v/>
      </c>
      <c r="H90" s="941" t="str">
        <f t="shared" si="64"/>
        <v/>
      </c>
      <c r="I90" s="941" t="str">
        <f t="shared" si="65"/>
        <v/>
      </c>
      <c r="J90" s="941" t="str">
        <f t="shared" si="66"/>
        <v/>
      </c>
      <c r="L90" s="613" t="str">
        <f>IF(_NrRaty&gt;LRat,"",_NrRaty)</f>
        <v/>
      </c>
      <c r="M90" s="913" t="str">
        <f t="shared" si="48"/>
        <v/>
      </c>
      <c r="N90" s="913" t="str">
        <f t="shared" si="49"/>
        <v/>
      </c>
      <c r="O90" s="921">
        <f t="shared" si="50"/>
        <v>0</v>
      </c>
      <c r="P90" s="921">
        <f t="shared" si="51"/>
        <v>0</v>
      </c>
      <c r="Q90" s="921">
        <f t="shared" si="52"/>
        <v>0</v>
      </c>
      <c r="R90" s="921">
        <f t="shared" si="53"/>
        <v>0</v>
      </c>
      <c r="S90" s="921">
        <f t="shared" si="54"/>
        <v>0</v>
      </c>
      <c r="T90" s="921">
        <f t="shared" si="55"/>
        <v>0</v>
      </c>
      <c r="U90" s="921">
        <f t="shared" si="67"/>
        <v>0</v>
      </c>
      <c r="V90" s="921">
        <f>IF(C90&lt;&gt;"",1/PRODUCT($U$31:U90),0)</f>
        <v>0</v>
      </c>
      <c r="Z90" s="921">
        <f t="shared" si="68"/>
        <v>0</v>
      </c>
      <c r="AA90" s="949">
        <f t="shared" si="59"/>
        <v>0</v>
      </c>
      <c r="AB90" s="949">
        <f t="shared" si="60"/>
        <v>0</v>
      </c>
      <c r="AC90" s="954">
        <f t="shared" si="61"/>
        <v>0</v>
      </c>
      <c r="AD90" s="954">
        <f t="shared" si="43"/>
        <v>0</v>
      </c>
      <c r="AE90" s="954">
        <f t="shared" si="69"/>
        <v>0</v>
      </c>
      <c r="AF90" s="954">
        <f>IF(L90&lt;=LRat,1/PRODUCT($AE$31:AE90),0)</f>
        <v>0</v>
      </c>
      <c r="AG90" s="966"/>
      <c r="AH90" s="921">
        <f>IF(L90&lt;=LRat,Z90/((1+OE_wynikRRSO)^(SUM($AD$31:AD90))),0)</f>
        <v>0</v>
      </c>
      <c r="AI90" s="966"/>
      <c r="AO90" s="948" t="str">
        <f>IF(_NrRaty&gt;LRat,"",_NrRaty)</f>
        <v/>
      </c>
      <c r="AP90" s="977" t="str">
        <f t="shared" si="56"/>
        <v/>
      </c>
      <c r="AQ90" s="948">
        <f t="shared" si="70"/>
        <v>0</v>
      </c>
      <c r="AR90" s="948">
        <f>IF(_NrRaty&lt;LRat,ROUND(AT89*$AN$20*(SUM(O90:P90)/365),2),0)+IF(_NrRaty=LRat,AQ90-AS90,0)</f>
        <v>0</v>
      </c>
      <c r="AS90" s="948">
        <f>IF(_NrRaty&lt;LRat,ROUND(AQ90-AR90,2),0)+IF(_NrRaty=LRat,AT89,0)</f>
        <v>0</v>
      </c>
      <c r="AT90" s="979">
        <f t="shared" ca="1" si="58"/>
        <v>0</v>
      </c>
      <c r="AU90" s="979" t="b">
        <f t="shared" si="71"/>
        <v>0</v>
      </c>
      <c r="AV90" s="1005">
        <v>0</v>
      </c>
      <c r="AX90" s="948">
        <f t="shared" si="72"/>
        <v>0</v>
      </c>
      <c r="AY90" s="948">
        <f>IF(_NrRaty&lt;=LRat,IF(MOD(YEAR(N90),4)=0,OE_RP_rrso,365),0)</f>
        <v>0</v>
      </c>
      <c r="AZ90" s="948">
        <f>IF(_NrRaty&lt;=LRat,O90/AY89,0)</f>
        <v>0</v>
      </c>
      <c r="BA90" s="1006">
        <f>IF(_NrRaty&lt;=LRat,P90/AY90,0)</f>
        <v>0</v>
      </c>
      <c r="BB90" s="1006">
        <f t="shared" si="42"/>
        <v>0</v>
      </c>
      <c r="BC90" s="1006">
        <f>IF(_NrRaty&lt;=LRat,1+OE_oproc*BB90,0)</f>
        <v>0</v>
      </c>
      <c r="BD90" s="1006">
        <f>IF(_NrRaty&lt;=LRat,1/PRODUCT($BC$31:BC90),0)</f>
        <v>0</v>
      </c>
      <c r="BF90" s="948">
        <f>IF(_NrRaty&lt;=LRat,AX90/((1+SOWK_wynikRRSO)^(SUM($BB$31:BB90))),0)</f>
        <v>0</v>
      </c>
      <c r="BL90" s="1023" t="str">
        <f>IF(_NrRaty&gt;LRat,"",_NrRaty)</f>
        <v/>
      </c>
      <c r="BM90" s="1024" t="str">
        <f>IF(_NrRaty&gt;LRat,"",D90)</f>
        <v/>
      </c>
      <c r="BN90" s="1025" t="str">
        <f t="shared" si="73"/>
        <v/>
      </c>
      <c r="BO90" s="1025" t="str">
        <f t="shared" si="74"/>
        <v/>
      </c>
      <c r="BP90" s="1025" t="str">
        <f t="shared" si="75"/>
        <v/>
      </c>
      <c r="BQ90" s="1025" t="str">
        <f t="shared" si="76"/>
        <v/>
      </c>
      <c r="BR90" s="1124" t="e">
        <f t="shared" si="77"/>
        <v>#VALUE!</v>
      </c>
      <c r="BT90" s="1113" t="str">
        <f>IF(_NrRaty&gt;LRat,"",_NrRaty)</f>
        <v/>
      </c>
      <c r="BU90" s="1023" t="str">
        <f t="shared" si="27"/>
        <v/>
      </c>
      <c r="BV90" s="1114" t="str">
        <f>IF(_NrRaty&gt;LRat,"",SUM($O$31:P90))</f>
        <v/>
      </c>
      <c r="BW90" s="1025" t="str">
        <f>IF(_NrRaty&gt;LRat,"",BV90/365)</f>
        <v/>
      </c>
      <c r="BX90" s="1025" t="str">
        <f>IF(_NrRaty&gt;LRat,"",BW90*BP90)</f>
        <v/>
      </c>
      <c r="BY90" s="1025" t="str">
        <f>IF(_NrRaty&gt;LRat,"",BU90*BX90)</f>
        <v/>
      </c>
    </row>
    <row r="91" spans="1:77" x14ac:dyDescent="0.25">
      <c r="A91" s="973">
        <f t="shared" si="78"/>
        <v>0</v>
      </c>
      <c r="B91" s="924" t="str">
        <f t="shared" si="46"/>
        <v/>
      </c>
      <c r="C91" s="658" t="str">
        <f>IF(_NrRaty&gt;LRat,"",_NrRaty)</f>
        <v/>
      </c>
      <c r="D91" s="659" t="str">
        <f t="shared" si="47"/>
        <v/>
      </c>
      <c r="E91" s="940" t="str">
        <f t="shared" si="62"/>
        <v/>
      </c>
      <c r="F91" s="969" t="str">
        <f t="shared" si="63"/>
        <v/>
      </c>
      <c r="G91" s="940" t="str">
        <f>IF(C91&lt;=LRat,ROUND(ROUND(SUM($F$30:F91),2)-SUM($G$30:G90),2),"")</f>
        <v/>
      </c>
      <c r="H91" s="940" t="str">
        <f t="shared" si="64"/>
        <v/>
      </c>
      <c r="I91" s="940" t="str">
        <f t="shared" si="65"/>
        <v/>
      </c>
      <c r="J91" s="940" t="str">
        <f t="shared" si="66"/>
        <v/>
      </c>
      <c r="L91" s="613" t="str">
        <f>IF(_NrRaty&gt;LRat,"",_NrRaty)</f>
        <v/>
      </c>
      <c r="M91" s="913" t="str">
        <f t="shared" si="48"/>
        <v/>
      </c>
      <c r="N91" s="913" t="str">
        <f t="shared" si="49"/>
        <v/>
      </c>
      <c r="O91" s="921">
        <f t="shared" si="50"/>
        <v>0</v>
      </c>
      <c r="P91" s="921">
        <f t="shared" si="51"/>
        <v>0</v>
      </c>
      <c r="Q91" s="921">
        <f t="shared" si="52"/>
        <v>0</v>
      </c>
      <c r="R91" s="921">
        <f t="shared" si="53"/>
        <v>0</v>
      </c>
      <c r="S91" s="921">
        <f t="shared" si="54"/>
        <v>0</v>
      </c>
      <c r="T91" s="921">
        <f t="shared" si="55"/>
        <v>0</v>
      </c>
      <c r="U91" s="921">
        <f t="shared" si="67"/>
        <v>0</v>
      </c>
      <c r="V91" s="921">
        <f>IF(C91&lt;&gt;"",1/PRODUCT($U$31:U91),0)</f>
        <v>0</v>
      </c>
      <c r="Z91" s="921">
        <f t="shared" si="68"/>
        <v>0</v>
      </c>
      <c r="AA91" s="949">
        <f t="shared" si="59"/>
        <v>0</v>
      </c>
      <c r="AB91" s="949">
        <f t="shared" si="60"/>
        <v>0</v>
      </c>
      <c r="AC91" s="954">
        <f t="shared" si="61"/>
        <v>0</v>
      </c>
      <c r="AD91" s="954">
        <f t="shared" si="43"/>
        <v>0</v>
      </c>
      <c r="AE91" s="954">
        <f t="shared" si="69"/>
        <v>0</v>
      </c>
      <c r="AF91" s="954">
        <f>IF(L91&lt;=LRat,1/PRODUCT($AE$31:AE91),0)</f>
        <v>0</v>
      </c>
      <c r="AG91" s="966"/>
      <c r="AH91" s="921">
        <f>IF(L91&lt;=LRat,Z91/((1+OE_wynikRRSO)^(SUM($AD$31:AD91))),0)</f>
        <v>0</v>
      </c>
      <c r="AI91" s="966"/>
      <c r="AO91" s="948" t="str">
        <f>IF(_NrRaty&gt;LRat,"",_NrRaty)</f>
        <v/>
      </c>
      <c r="AP91" s="977" t="str">
        <f t="shared" si="56"/>
        <v/>
      </c>
      <c r="AQ91" s="948">
        <f t="shared" si="70"/>
        <v>0</v>
      </c>
      <c r="AR91" s="948">
        <f>IF(_NrRaty&lt;LRat,ROUND(AT90*$AN$20*(SUM(O91:P91)/365),2),0)+IF(_NrRaty=LRat,AQ91-AS91,0)</f>
        <v>0</v>
      </c>
      <c r="AS91" s="948">
        <f>IF(_NrRaty&lt;LRat,ROUND(AQ91-AR91,2),0)+IF(_NrRaty=LRat,AT90,0)</f>
        <v>0</v>
      </c>
      <c r="AT91" s="979">
        <f t="shared" ca="1" si="58"/>
        <v>0</v>
      </c>
      <c r="AU91" s="979" t="b">
        <f t="shared" si="71"/>
        <v>0</v>
      </c>
      <c r="AV91" s="1005">
        <v>0</v>
      </c>
      <c r="AX91" s="948">
        <f t="shared" si="72"/>
        <v>0</v>
      </c>
      <c r="AY91" s="948">
        <f>IF(_NrRaty&lt;=LRat,IF(MOD(YEAR(N91),4)=0,OE_RP_rrso,365),0)</f>
        <v>0</v>
      </c>
      <c r="AZ91" s="948">
        <f>IF(_NrRaty&lt;=LRat,O91/AY90,0)</f>
        <v>0</v>
      </c>
      <c r="BA91" s="1006">
        <f>IF(_NrRaty&lt;=LRat,P91/AY91,0)</f>
        <v>0</v>
      </c>
      <c r="BB91" s="1006">
        <f t="shared" si="42"/>
        <v>0</v>
      </c>
      <c r="BC91" s="1006">
        <f>IF(_NrRaty&lt;=LRat,1+OE_oproc*BB91,0)</f>
        <v>0</v>
      </c>
      <c r="BD91" s="1006">
        <f>IF(_NrRaty&lt;=LRat,1/PRODUCT($BC$31:BC91),0)</f>
        <v>0</v>
      </c>
      <c r="BF91" s="948">
        <f>IF(_NrRaty&lt;=LRat,AX91/((1+SOWK_wynikRRSO)^(SUM($BB$31:BB91))),0)</f>
        <v>0</v>
      </c>
      <c r="BL91" s="1023" t="str">
        <f>IF(_NrRaty&gt;LRat,"",_NrRaty)</f>
        <v/>
      </c>
      <c r="BM91" s="1024" t="str">
        <f>IF(_NrRaty&gt;LRat,"",D91)</f>
        <v/>
      </c>
      <c r="BN91" s="1025" t="str">
        <f t="shared" si="73"/>
        <v/>
      </c>
      <c r="BO91" s="1025" t="str">
        <f t="shared" si="74"/>
        <v/>
      </c>
      <c r="BP91" s="1025" t="str">
        <f t="shared" si="75"/>
        <v/>
      </c>
      <c r="BQ91" s="1025" t="str">
        <f t="shared" si="76"/>
        <v/>
      </c>
      <c r="BR91" s="1124" t="e">
        <f t="shared" si="77"/>
        <v>#VALUE!</v>
      </c>
      <c r="BT91" s="1113" t="str">
        <f>IF(_NrRaty&gt;LRat,"",_NrRaty)</f>
        <v/>
      </c>
      <c r="BU91" s="1023" t="str">
        <f t="shared" si="27"/>
        <v/>
      </c>
      <c r="BV91" s="1114" t="str">
        <f>IF(_NrRaty&gt;LRat,"",SUM($O$31:P91))</f>
        <v/>
      </c>
      <c r="BW91" s="1025" t="str">
        <f>IF(_NrRaty&gt;LRat,"",BV91/365)</f>
        <v/>
      </c>
      <c r="BX91" s="1025" t="str">
        <f>IF(_NrRaty&gt;LRat,"",BW91*BP91)</f>
        <v/>
      </c>
      <c r="BY91" s="1025" t="str">
        <f>IF(_NrRaty&gt;LRat,"",BU91*BX91)</f>
        <v/>
      </c>
    </row>
    <row r="92" spans="1:77" x14ac:dyDescent="0.25">
      <c r="A92" s="973">
        <f t="shared" si="78"/>
        <v>0</v>
      </c>
      <c r="B92" s="924" t="str">
        <f t="shared" si="46"/>
        <v/>
      </c>
      <c r="C92" s="660" t="str">
        <f>IF(_NrRaty&gt;LRat,"",_NrRaty)</f>
        <v/>
      </c>
      <c r="D92" s="661" t="str">
        <f t="shared" si="47"/>
        <v/>
      </c>
      <c r="E92" s="941" t="str">
        <f t="shared" si="62"/>
        <v/>
      </c>
      <c r="F92" s="970" t="str">
        <f t="shared" si="63"/>
        <v/>
      </c>
      <c r="G92" s="941" t="str">
        <f>IF(C92&lt;=LRat,ROUND(ROUND(SUM($F$30:F92),2)-SUM($G$30:G91),2),"")</f>
        <v/>
      </c>
      <c r="H92" s="941" t="str">
        <f t="shared" si="64"/>
        <v/>
      </c>
      <c r="I92" s="941" t="str">
        <f t="shared" si="65"/>
        <v/>
      </c>
      <c r="J92" s="941" t="str">
        <f t="shared" si="66"/>
        <v/>
      </c>
      <c r="L92" s="613" t="str">
        <f>IF(_NrRaty&gt;LRat,"",_NrRaty)</f>
        <v/>
      </c>
      <c r="M92" s="913" t="str">
        <f t="shared" si="48"/>
        <v/>
      </c>
      <c r="N92" s="913" t="str">
        <f t="shared" si="49"/>
        <v/>
      </c>
      <c r="O92" s="921">
        <f t="shared" si="50"/>
        <v>0</v>
      </c>
      <c r="P92" s="921">
        <f t="shared" si="51"/>
        <v>0</v>
      </c>
      <c r="Q92" s="921">
        <f t="shared" si="52"/>
        <v>0</v>
      </c>
      <c r="R92" s="921">
        <f t="shared" si="53"/>
        <v>0</v>
      </c>
      <c r="S92" s="921">
        <f t="shared" si="54"/>
        <v>0</v>
      </c>
      <c r="T92" s="921">
        <f t="shared" si="55"/>
        <v>0</v>
      </c>
      <c r="U92" s="921">
        <f t="shared" si="67"/>
        <v>0</v>
      </c>
      <c r="V92" s="921">
        <f>IF(C92&lt;&gt;"",1/PRODUCT($U$31:U92),0)</f>
        <v>0</v>
      </c>
      <c r="Z92" s="921">
        <f t="shared" si="68"/>
        <v>0</v>
      </c>
      <c r="AA92" s="949">
        <f t="shared" si="59"/>
        <v>0</v>
      </c>
      <c r="AB92" s="949">
        <f t="shared" si="60"/>
        <v>0</v>
      </c>
      <c r="AC92" s="954">
        <f t="shared" si="61"/>
        <v>0</v>
      </c>
      <c r="AD92" s="954">
        <f t="shared" si="43"/>
        <v>0</v>
      </c>
      <c r="AE92" s="954">
        <f t="shared" si="69"/>
        <v>0</v>
      </c>
      <c r="AF92" s="954">
        <f>IF(L92&lt;=LRat,1/PRODUCT($AE$31:AE92),0)</f>
        <v>0</v>
      </c>
      <c r="AG92" s="966"/>
      <c r="AH92" s="921">
        <f>IF(L92&lt;=LRat,Z92/((1+OE_wynikRRSO)^(SUM($AD$31:AD92))),0)</f>
        <v>0</v>
      </c>
      <c r="AI92" s="966"/>
      <c r="AO92" s="948" t="str">
        <f>IF(_NrRaty&gt;LRat,"",_NrRaty)</f>
        <v/>
      </c>
      <c r="AP92" s="977" t="str">
        <f t="shared" si="56"/>
        <v/>
      </c>
      <c r="AQ92" s="948">
        <f t="shared" si="70"/>
        <v>0</v>
      </c>
      <c r="AR92" s="948">
        <f>IF(_NrRaty&lt;LRat,ROUND(AT91*$AN$20*(SUM(O92:P92)/365),2),0)+IF(_NrRaty=LRat,AQ92-AS92,0)</f>
        <v>0</v>
      </c>
      <c r="AS92" s="948">
        <f>IF(_NrRaty&lt;LRat,ROUND(AQ92-AR92,2),0)+IF(_NrRaty=LRat,AT91,0)</f>
        <v>0</v>
      </c>
      <c r="AT92" s="979">
        <f t="shared" ca="1" si="58"/>
        <v>0</v>
      </c>
      <c r="AU92" s="979" t="b">
        <f t="shared" si="71"/>
        <v>0</v>
      </c>
      <c r="AV92" s="1005">
        <v>0</v>
      </c>
      <c r="AX92" s="948">
        <f t="shared" si="72"/>
        <v>0</v>
      </c>
      <c r="AY92" s="948">
        <f>IF(_NrRaty&lt;=LRat,IF(MOD(YEAR(N92),4)=0,OE_RP_rrso,365),0)</f>
        <v>0</v>
      </c>
      <c r="AZ92" s="948">
        <f>IF(_NrRaty&lt;=LRat,O92/AY91,0)</f>
        <v>0</v>
      </c>
      <c r="BA92" s="1006">
        <f>IF(_NrRaty&lt;=LRat,P92/AY92,0)</f>
        <v>0</v>
      </c>
      <c r="BB92" s="1006">
        <f t="shared" si="42"/>
        <v>0</v>
      </c>
      <c r="BC92" s="1006">
        <f>IF(_NrRaty&lt;=LRat,1+OE_oproc*BB92,0)</f>
        <v>0</v>
      </c>
      <c r="BD92" s="1006">
        <f>IF(_NrRaty&lt;=LRat,1/PRODUCT($BC$31:BC92),0)</f>
        <v>0</v>
      </c>
      <c r="BF92" s="948">
        <f>IF(_NrRaty&lt;=LRat,AX92/((1+SOWK_wynikRRSO)^(SUM($BB$31:BB92))),0)</f>
        <v>0</v>
      </c>
      <c r="BL92" s="1023" t="str">
        <f>IF(_NrRaty&gt;LRat,"",_NrRaty)</f>
        <v/>
      </c>
      <c r="BM92" s="1024" t="str">
        <f>IF(_NrRaty&gt;LRat,"",D92)</f>
        <v/>
      </c>
      <c r="BN92" s="1025" t="str">
        <f t="shared" si="73"/>
        <v/>
      </c>
      <c r="BO92" s="1025" t="str">
        <f t="shared" si="74"/>
        <v/>
      </c>
      <c r="BP92" s="1025" t="str">
        <f t="shared" si="75"/>
        <v/>
      </c>
      <c r="BQ92" s="1025" t="str">
        <f t="shared" si="76"/>
        <v/>
      </c>
      <c r="BR92" s="1124" t="e">
        <f t="shared" si="77"/>
        <v>#VALUE!</v>
      </c>
      <c r="BT92" s="1113" t="str">
        <f>IF(_NrRaty&gt;LRat,"",_NrRaty)</f>
        <v/>
      </c>
      <c r="BU92" s="1023" t="str">
        <f t="shared" si="27"/>
        <v/>
      </c>
      <c r="BV92" s="1114" t="str">
        <f>IF(_NrRaty&gt;LRat,"",SUM($O$31:P92))</f>
        <v/>
      </c>
      <c r="BW92" s="1025" t="str">
        <f>IF(_NrRaty&gt;LRat,"",BV92/365)</f>
        <v/>
      </c>
      <c r="BX92" s="1025" t="str">
        <f>IF(_NrRaty&gt;LRat,"",BW92*BP92)</f>
        <v/>
      </c>
      <c r="BY92" s="1025" t="str">
        <f>IF(_NrRaty&gt;LRat,"",BU92*BX92)</f>
        <v/>
      </c>
    </row>
    <row r="93" spans="1:77" x14ac:dyDescent="0.25">
      <c r="A93" s="973">
        <f t="shared" si="78"/>
        <v>0</v>
      </c>
      <c r="B93" s="924" t="str">
        <f t="shared" si="46"/>
        <v/>
      </c>
      <c r="C93" s="658" t="str">
        <f>IF(_NrRaty&gt;LRat,"",_NrRaty)</f>
        <v/>
      </c>
      <c r="D93" s="659" t="str">
        <f t="shared" si="47"/>
        <v/>
      </c>
      <c r="E93" s="940" t="str">
        <f t="shared" si="62"/>
        <v/>
      </c>
      <c r="F93" s="969" t="str">
        <f t="shared" si="63"/>
        <v/>
      </c>
      <c r="G93" s="940" t="str">
        <f>IF(C93&lt;=LRat,ROUND(ROUND(SUM($F$30:F93),2)-SUM($G$30:G92),2),"")</f>
        <v/>
      </c>
      <c r="H93" s="940" t="str">
        <f t="shared" si="64"/>
        <v/>
      </c>
      <c r="I93" s="940" t="str">
        <f t="shared" si="65"/>
        <v/>
      </c>
      <c r="J93" s="940" t="str">
        <f t="shared" si="66"/>
        <v/>
      </c>
      <c r="L93" s="613" t="str">
        <f>IF(_NrRaty&gt;LRat,"",_NrRaty)</f>
        <v/>
      </c>
      <c r="M93" s="913" t="str">
        <f t="shared" si="48"/>
        <v/>
      </c>
      <c r="N93" s="913" t="str">
        <f t="shared" si="49"/>
        <v/>
      </c>
      <c r="O93" s="921">
        <f t="shared" si="50"/>
        <v>0</v>
      </c>
      <c r="P93" s="921">
        <f t="shared" si="51"/>
        <v>0</v>
      </c>
      <c r="Q93" s="921">
        <f t="shared" si="52"/>
        <v>0</v>
      </c>
      <c r="R93" s="921">
        <f t="shared" si="53"/>
        <v>0</v>
      </c>
      <c r="S93" s="921">
        <f t="shared" si="54"/>
        <v>0</v>
      </c>
      <c r="T93" s="921">
        <f t="shared" si="55"/>
        <v>0</v>
      </c>
      <c r="U93" s="921">
        <f t="shared" si="67"/>
        <v>0</v>
      </c>
      <c r="V93" s="921">
        <f>IF(C93&lt;&gt;"",1/PRODUCT($U$31:U93),0)</f>
        <v>0</v>
      </c>
      <c r="Z93" s="921">
        <f t="shared" si="68"/>
        <v>0</v>
      </c>
      <c r="AA93" s="949">
        <f t="shared" ref="AA93:AA124" si="79">IF(L93&lt;=LRat,IF(MOD(YEAR(N93),4)=0,OE_RP_rrso,365),0)</f>
        <v>0</v>
      </c>
      <c r="AB93" s="949">
        <f t="shared" si="60"/>
        <v>0</v>
      </c>
      <c r="AC93" s="954">
        <f t="shared" si="61"/>
        <v>0</v>
      </c>
      <c r="AD93" s="954">
        <f t="shared" si="43"/>
        <v>0</v>
      </c>
      <c r="AE93" s="954">
        <f t="shared" si="69"/>
        <v>0</v>
      </c>
      <c r="AF93" s="954">
        <f>IF(L93&lt;=LRat,1/PRODUCT($AE$31:AE93),0)</f>
        <v>0</v>
      </c>
      <c r="AG93" s="966"/>
      <c r="AH93" s="921">
        <f>IF(L93&lt;=LRat,Z93/((1+OE_wynikRRSO)^(SUM($AD$31:AD93))),0)</f>
        <v>0</v>
      </c>
      <c r="AI93" s="966"/>
      <c r="AO93" s="948" t="str">
        <f>IF(_NrRaty&gt;LRat,"",_NrRaty)</f>
        <v/>
      </c>
      <c r="AP93" s="977" t="str">
        <f t="shared" si="56"/>
        <v/>
      </c>
      <c r="AQ93" s="948">
        <f t="shared" si="70"/>
        <v>0</v>
      </c>
      <c r="AR93" s="948">
        <f>IF(_NrRaty&lt;LRat,ROUND(AT92*$AN$20*(SUM(O93:P93)/365),2),0)+IF(_NrRaty=LRat,AQ93-AS93,0)</f>
        <v>0</v>
      </c>
      <c r="AS93" s="948">
        <f>IF(_NrRaty&lt;LRat,ROUND(AQ93-AR93,2),0)+IF(_NrRaty=LRat,AT92,0)</f>
        <v>0</v>
      </c>
      <c r="AT93" s="979">
        <f t="shared" ca="1" si="58"/>
        <v>0</v>
      </c>
      <c r="AU93" s="979" t="b">
        <f t="shared" si="71"/>
        <v>0</v>
      </c>
      <c r="AV93" s="1005">
        <v>0</v>
      </c>
      <c r="AX93" s="948">
        <f t="shared" si="72"/>
        <v>0</v>
      </c>
      <c r="AY93" s="948">
        <f>IF(_NrRaty&lt;=LRat,IF(MOD(YEAR(N93),4)=0,OE_RP_rrso,365),0)</f>
        <v>0</v>
      </c>
      <c r="AZ93" s="948">
        <f>IF(_NrRaty&lt;=LRat,O93/AY92,0)</f>
        <v>0</v>
      </c>
      <c r="BA93" s="1006">
        <f>IF(_NrRaty&lt;=LRat,P93/AY93,0)</f>
        <v>0</v>
      </c>
      <c r="BB93" s="1006">
        <f t="shared" si="42"/>
        <v>0</v>
      </c>
      <c r="BC93" s="1006">
        <f>IF(_NrRaty&lt;=LRat,1+OE_oproc*BB93,0)</f>
        <v>0</v>
      </c>
      <c r="BD93" s="1006">
        <f>IF(_NrRaty&lt;=LRat,1/PRODUCT($BC$31:BC93),0)</f>
        <v>0</v>
      </c>
      <c r="BF93" s="948">
        <f>IF(_NrRaty&lt;=LRat,AX93/((1+SOWK_wynikRRSO)^(SUM($BB$31:BB93))),0)</f>
        <v>0</v>
      </c>
      <c r="BL93" s="1023" t="str">
        <f>IF(_NrRaty&gt;LRat,"",_NrRaty)</f>
        <v/>
      </c>
      <c r="BM93" s="1024" t="str">
        <f>IF(_NrRaty&gt;LRat,"",D93)</f>
        <v/>
      </c>
      <c r="BN93" s="1025" t="str">
        <f t="shared" si="73"/>
        <v/>
      </c>
      <c r="BO93" s="1025" t="str">
        <f t="shared" si="74"/>
        <v/>
      </c>
      <c r="BP93" s="1025" t="str">
        <f t="shared" si="75"/>
        <v/>
      </c>
      <c r="BQ93" s="1025" t="str">
        <f t="shared" si="76"/>
        <v/>
      </c>
      <c r="BR93" s="1124" t="e">
        <f t="shared" si="77"/>
        <v>#VALUE!</v>
      </c>
      <c r="BT93" s="1113" t="str">
        <f>IF(_NrRaty&gt;LRat,"",_NrRaty)</f>
        <v/>
      </c>
      <c r="BU93" s="1023" t="str">
        <f t="shared" si="27"/>
        <v/>
      </c>
      <c r="BV93" s="1114" t="str">
        <f>IF(_NrRaty&gt;LRat,"",SUM($O$31:P93))</f>
        <v/>
      </c>
      <c r="BW93" s="1025" t="str">
        <f>IF(_NrRaty&gt;LRat,"",BV93/365)</f>
        <v/>
      </c>
      <c r="BX93" s="1025" t="str">
        <f>IF(_NrRaty&gt;LRat,"",BW93*BP93)</f>
        <v/>
      </c>
      <c r="BY93" s="1025" t="str">
        <f>IF(_NrRaty&gt;LRat,"",BU93*BX93)</f>
        <v/>
      </c>
    </row>
    <row r="94" spans="1:77" x14ac:dyDescent="0.25">
      <c r="A94" s="973">
        <f t="shared" si="78"/>
        <v>0</v>
      </c>
      <c r="B94" s="924" t="str">
        <f t="shared" si="46"/>
        <v/>
      </c>
      <c r="C94" s="660" t="str">
        <f>IF(_NrRaty&gt;LRat,"",_NrRaty)</f>
        <v/>
      </c>
      <c r="D94" s="661" t="str">
        <f t="shared" si="47"/>
        <v/>
      </c>
      <c r="E94" s="941" t="str">
        <f t="shared" si="62"/>
        <v/>
      </c>
      <c r="F94" s="970" t="str">
        <f t="shared" si="63"/>
        <v/>
      </c>
      <c r="G94" s="941" t="str">
        <f>IF(C94&lt;=LRat,ROUND(ROUND(SUM($F$30:F94),2)-SUM($G$30:G93),2),"")</f>
        <v/>
      </c>
      <c r="H94" s="941" t="str">
        <f t="shared" si="64"/>
        <v/>
      </c>
      <c r="I94" s="941" t="str">
        <f t="shared" si="65"/>
        <v/>
      </c>
      <c r="J94" s="941" t="str">
        <f t="shared" si="66"/>
        <v/>
      </c>
      <c r="L94" s="613" t="str">
        <f>IF(_NrRaty&gt;LRat,"",_NrRaty)</f>
        <v/>
      </c>
      <c r="M94" s="913" t="str">
        <f t="shared" si="48"/>
        <v/>
      </c>
      <c r="N94" s="913" t="str">
        <f t="shared" si="49"/>
        <v/>
      </c>
      <c r="O94" s="921">
        <f t="shared" si="50"/>
        <v>0</v>
      </c>
      <c r="P94" s="921">
        <f t="shared" si="51"/>
        <v>0</v>
      </c>
      <c r="Q94" s="921">
        <f t="shared" si="52"/>
        <v>0</v>
      </c>
      <c r="R94" s="921">
        <f t="shared" si="53"/>
        <v>0</v>
      </c>
      <c r="S94" s="921">
        <f t="shared" si="54"/>
        <v>0</v>
      </c>
      <c r="T94" s="921">
        <f t="shared" si="55"/>
        <v>0</v>
      </c>
      <c r="U94" s="921">
        <f t="shared" si="67"/>
        <v>0</v>
      </c>
      <c r="V94" s="921">
        <f>IF(C94&lt;&gt;"",1/PRODUCT($U$31:U94),0)</f>
        <v>0</v>
      </c>
      <c r="Z94" s="921">
        <f t="shared" si="68"/>
        <v>0</v>
      </c>
      <c r="AA94" s="949">
        <f t="shared" si="79"/>
        <v>0</v>
      </c>
      <c r="AB94" s="949">
        <f t="shared" ref="AB94:AB125" si="80">IF(L94&lt;=LRat,O94/AA93,0)</f>
        <v>0</v>
      </c>
      <c r="AC94" s="954">
        <f t="shared" ref="AC94:AC125" si="81">IF(L94&lt;=LRat,P94/AA94,0)</f>
        <v>0</v>
      </c>
      <c r="AD94" s="954">
        <f t="shared" si="43"/>
        <v>0</v>
      </c>
      <c r="AE94" s="954">
        <f t="shared" si="69"/>
        <v>0</v>
      </c>
      <c r="AF94" s="954">
        <f>IF(L94&lt;=LRat,1/PRODUCT($AE$31:AE94),0)</f>
        <v>0</v>
      </c>
      <c r="AG94" s="966"/>
      <c r="AH94" s="921">
        <f>IF(L94&lt;=LRat,Z94/((1+OE_wynikRRSO)^(SUM($AD$31:AD94))),0)</f>
        <v>0</v>
      </c>
      <c r="AI94" s="966"/>
      <c r="AO94" s="948" t="str">
        <f>IF(_NrRaty&gt;LRat,"",_NrRaty)</f>
        <v/>
      </c>
      <c r="AP94" s="977" t="str">
        <f t="shared" si="56"/>
        <v/>
      </c>
      <c r="AQ94" s="948">
        <f t="shared" si="70"/>
        <v>0</v>
      </c>
      <c r="AR94" s="948">
        <f>IF(_NrRaty&lt;LRat,ROUND(AT93*$AN$20*(SUM(O94:P94)/365),2),0)+IF(_NrRaty=LRat,AQ94-AS94,0)</f>
        <v>0</v>
      </c>
      <c r="AS94" s="948">
        <f>IF(_NrRaty&lt;LRat,ROUND(AQ94-AR94,2),0)+IF(_NrRaty=LRat,AT93,0)</f>
        <v>0</v>
      </c>
      <c r="AT94" s="979">
        <f t="shared" ca="1" si="58"/>
        <v>0</v>
      </c>
      <c r="AU94" s="979" t="b">
        <f t="shared" si="71"/>
        <v>0</v>
      </c>
      <c r="AV94" s="1005">
        <v>0</v>
      </c>
      <c r="AX94" s="948">
        <f t="shared" si="72"/>
        <v>0</v>
      </c>
      <c r="AY94" s="948">
        <f>IF(_NrRaty&lt;=LRat,IF(MOD(YEAR(N94),4)=0,OE_RP_rrso,365),0)</f>
        <v>0</v>
      </c>
      <c r="AZ94" s="948">
        <f>IF(_NrRaty&lt;=LRat,O94/AY93,0)</f>
        <v>0</v>
      </c>
      <c r="BA94" s="1006">
        <f>IF(_NrRaty&lt;=LRat,P94/AY94,0)</f>
        <v>0</v>
      </c>
      <c r="BB94" s="1006">
        <f t="shared" si="42"/>
        <v>0</v>
      </c>
      <c r="BC94" s="1006">
        <f>IF(_NrRaty&lt;=LRat,1+OE_oproc*BB94,0)</f>
        <v>0</v>
      </c>
      <c r="BD94" s="1006">
        <f>IF(_NrRaty&lt;=LRat,1/PRODUCT($BC$31:BC94),0)</f>
        <v>0</v>
      </c>
      <c r="BF94" s="948">
        <f>IF(_NrRaty&lt;=LRat,AX94/((1+SOWK_wynikRRSO)^(SUM($BB$31:BB94))),0)</f>
        <v>0</v>
      </c>
      <c r="BL94" s="1023" t="str">
        <f>IF(_NrRaty&gt;LRat,"",_NrRaty)</f>
        <v/>
      </c>
      <c r="BM94" s="1024" t="str">
        <f>IF(_NrRaty&gt;LRat,"",D94)</f>
        <v/>
      </c>
      <c r="BN94" s="1025" t="str">
        <f t="shared" si="73"/>
        <v/>
      </c>
      <c r="BO94" s="1025" t="str">
        <f t="shared" si="74"/>
        <v/>
      </c>
      <c r="BP94" s="1025" t="str">
        <f t="shared" si="75"/>
        <v/>
      </c>
      <c r="BQ94" s="1025" t="str">
        <f t="shared" si="76"/>
        <v/>
      </c>
      <c r="BR94" s="1124" t="e">
        <f t="shared" si="77"/>
        <v>#VALUE!</v>
      </c>
      <c r="BT94" s="1113" t="str">
        <f>IF(_NrRaty&gt;LRat,"",_NrRaty)</f>
        <v/>
      </c>
      <c r="BU94" s="1023" t="str">
        <f t="shared" si="27"/>
        <v/>
      </c>
      <c r="BV94" s="1114" t="str">
        <f>IF(_NrRaty&gt;LRat,"",SUM($O$31:P94))</f>
        <v/>
      </c>
      <c r="BW94" s="1025" t="str">
        <f>IF(_NrRaty&gt;LRat,"",BV94/365)</f>
        <v/>
      </c>
      <c r="BX94" s="1025" t="str">
        <f>IF(_NrRaty&gt;LRat,"",BW94*BP94)</f>
        <v/>
      </c>
      <c r="BY94" s="1025" t="str">
        <f>IF(_NrRaty&gt;LRat,"",BU94*BX94)</f>
        <v/>
      </c>
    </row>
    <row r="95" spans="1:77" x14ac:dyDescent="0.25">
      <c r="A95" s="973">
        <f t="shared" si="78"/>
        <v>0</v>
      </c>
      <c r="B95" s="924" t="str">
        <f t="shared" si="46"/>
        <v/>
      </c>
      <c r="C95" s="658" t="str">
        <f>IF(_NrRaty&gt;LRat,"",_NrRaty)</f>
        <v/>
      </c>
      <c r="D95" s="659" t="str">
        <f t="shared" si="47"/>
        <v/>
      </c>
      <c r="E95" s="940" t="str">
        <f t="shared" ref="E95:E126" si="82">IF(C95&lt;=LRat,(IF(C95&lt;LRat,PMT_,0)+IF(C95=LRat,I94+G95,0)),"")</f>
        <v/>
      </c>
      <c r="F95" s="969" t="str">
        <f t="shared" ref="F95:F126" si="83">IF(C95&lt;=LRat,ROUNDDOWN(OE_oproc/365*I94,5)*(D95-D94),"")</f>
        <v/>
      </c>
      <c r="G95" s="940" t="str">
        <f>IF(C95&lt;=LRat,ROUND(ROUND(SUM($F$30:F95),2)-SUM($G$30:G94),2),"")</f>
        <v/>
      </c>
      <c r="H95" s="940" t="str">
        <f t="shared" ref="H95:H126" si="84">IF(C95&lt;=LRat,IF(C95=LRat,I94,ROUND(E95-G95,2)),"")</f>
        <v/>
      </c>
      <c r="I95" s="940" t="str">
        <f t="shared" ref="I95:I126" si="85">IF(C95&lt;=LRat,ROUND(I94-H95,2),"")</f>
        <v/>
      </c>
      <c r="J95" s="940" t="str">
        <f t="shared" ref="J95:J126" si="86">IF(C95&lt;=LRat,(IF(PLATNOSC_UBEZPIECZ="JEDNORAZOWO",0,$C$16)),"")</f>
        <v/>
      </c>
      <c r="L95" s="613" t="str">
        <f>IF(_NrRaty&gt;LRat,"",_NrRaty)</f>
        <v/>
      </c>
      <c r="M95" s="913" t="str">
        <f t="shared" si="48"/>
        <v/>
      </c>
      <c r="N95" s="913" t="str">
        <f t="shared" si="49"/>
        <v/>
      </c>
      <c r="O95" s="921">
        <f t="shared" si="50"/>
        <v>0</v>
      </c>
      <c r="P95" s="921">
        <f t="shared" si="51"/>
        <v>0</v>
      </c>
      <c r="Q95" s="921">
        <f t="shared" si="52"/>
        <v>0</v>
      </c>
      <c r="R95" s="921">
        <f t="shared" si="53"/>
        <v>0</v>
      </c>
      <c r="S95" s="921">
        <f t="shared" si="54"/>
        <v>0</v>
      </c>
      <c r="T95" s="921">
        <f t="shared" si="55"/>
        <v>0</v>
      </c>
      <c r="U95" s="921">
        <f t="shared" ref="U95:U126" si="87">IF(C95&lt;&gt;"",1+OE_oproc*T95,0)</f>
        <v>0</v>
      </c>
      <c r="V95" s="921">
        <f>IF(C95&lt;&gt;"",1/PRODUCT($U$31:U95),0)</f>
        <v>0</v>
      </c>
      <c r="Z95" s="921">
        <f t="shared" ref="Z95:Z126" si="88">IF(C95&lt;=LRat,SUM(E95,J95,K95),0)</f>
        <v>0</v>
      </c>
      <c r="AA95" s="949">
        <f t="shared" si="79"/>
        <v>0</v>
      </c>
      <c r="AB95" s="949">
        <f t="shared" si="80"/>
        <v>0</v>
      </c>
      <c r="AC95" s="954">
        <f t="shared" si="81"/>
        <v>0</v>
      </c>
      <c r="AD95" s="954">
        <f t="shared" si="43"/>
        <v>0</v>
      </c>
      <c r="AE95" s="954">
        <f t="shared" ref="AE95:AE126" si="89">IF(L95&lt;=LRat,1+OE_oproc*AD95,0)</f>
        <v>0</v>
      </c>
      <c r="AF95" s="954">
        <f>IF(L95&lt;=LRat,1/PRODUCT($AE$31:AE95),0)</f>
        <v>0</v>
      </c>
      <c r="AG95" s="966"/>
      <c r="AH95" s="921">
        <f>IF(L95&lt;=LRat,Z95/((1+OE_wynikRRSO)^(SUM($AD$31:AD95))),0)</f>
        <v>0</v>
      </c>
      <c r="AI95" s="966"/>
      <c r="AO95" s="948" t="str">
        <f>IF(_NrRaty&gt;LRat,"",_NrRaty)</f>
        <v/>
      </c>
      <c r="AP95" s="977" t="str">
        <f t="shared" si="56"/>
        <v/>
      </c>
      <c r="AQ95" s="948">
        <f t="shared" ref="AQ95:AQ126" si="90">IF(AO95&lt;=LRat,PMT_,0)</f>
        <v>0</v>
      </c>
      <c r="AR95" s="948">
        <f>IF(_NrRaty&lt;LRat,ROUND(AT94*$AN$20*(SUM(O95:P95)/365),2),0)+IF(_NrRaty=LRat,AQ95-AS95,0)</f>
        <v>0</v>
      </c>
      <c r="AS95" s="948">
        <f>IF(_NrRaty&lt;LRat,ROUND(AQ95-AR95,2),0)+IF(_NrRaty=LRat,AT94,0)</f>
        <v>0</v>
      </c>
      <c r="AT95" s="979">
        <f t="shared" ca="1" si="58"/>
        <v>0</v>
      </c>
      <c r="AU95" s="979" t="b">
        <f t="shared" ref="AU95:AU126" si="91">IF(C95&lt;=LRat,(IF(PLATNOSC_UBEZPIECZ="JEDNORAZOWO",0,$AO$16)))</f>
        <v>0</v>
      </c>
      <c r="AV95" s="1005">
        <v>0</v>
      </c>
      <c r="AX95" s="948">
        <f t="shared" ref="AX95:AX126" si="92">IF(AO95&lt;=LRat,SUM(AQ95,AU95,AV95),0)</f>
        <v>0</v>
      </c>
      <c r="AY95" s="948">
        <f>IF(_NrRaty&lt;=LRat,IF(MOD(YEAR(N95),4)=0,OE_RP_rrso,365),0)</f>
        <v>0</v>
      </c>
      <c r="AZ95" s="948">
        <f>IF(_NrRaty&lt;=LRat,O95/AY94,0)</f>
        <v>0</v>
      </c>
      <c r="BA95" s="1006">
        <f>IF(_NrRaty&lt;=LRat,P95/AY95,0)</f>
        <v>0</v>
      </c>
      <c r="BB95" s="1006">
        <f t="shared" si="42"/>
        <v>0</v>
      </c>
      <c r="BC95" s="1006">
        <f>IF(_NrRaty&lt;=LRat,1+OE_oproc*BB95,0)</f>
        <v>0</v>
      </c>
      <c r="BD95" s="1006">
        <f>IF(_NrRaty&lt;=LRat,1/PRODUCT($BC$31:BC95),0)</f>
        <v>0</v>
      </c>
      <c r="BF95" s="948">
        <f>IF(_NrRaty&lt;=LRat,AX95/((1+SOWK_wynikRRSO)^(SUM($BB$31:BB95))),0)</f>
        <v>0</v>
      </c>
      <c r="BL95" s="1023" t="str">
        <f>IF(_NrRaty&gt;LRat,"",_NrRaty)</f>
        <v/>
      </c>
      <c r="BM95" s="1024" t="str">
        <f>IF(_NrRaty&gt;LRat,"",D95)</f>
        <v/>
      </c>
      <c r="BN95" s="1025" t="str">
        <f t="shared" ref="BN95:BN126" si="93">IF(APLIKACJA="SOWK",AQ95,E95)</f>
        <v/>
      </c>
      <c r="BO95" s="1025" t="str">
        <f t="shared" ref="BO95:BO126" si="94">IF(APLIKACJA="SOWK",AR95,G95)</f>
        <v/>
      </c>
      <c r="BP95" s="1025" t="str">
        <f t="shared" ref="BP95:BP126" si="95">IF(APLIKACJA="SOWK",AS95,H95)</f>
        <v/>
      </c>
      <c r="BQ95" s="1025" t="str">
        <f t="shared" ref="BQ95:BQ126" si="96">IF(APLIKACJA="SOWK",AT95,I95)</f>
        <v/>
      </c>
      <c r="BR95" s="1124" t="e">
        <f t="shared" ref="BR95:BR126" si="97">IF(APLIKACJA="SOWK",AU95,J95)*1</f>
        <v>#VALUE!</v>
      </c>
      <c r="BT95" s="1113" t="str">
        <f>IF(_NrRaty&gt;LRat,"",_NrRaty)</f>
        <v/>
      </c>
      <c r="BU95" s="1023" t="str">
        <f t="shared" si="27"/>
        <v/>
      </c>
      <c r="BV95" s="1114" t="str">
        <f>IF(_NrRaty&gt;LRat,"",SUM($O$31:P95))</f>
        <v/>
      </c>
      <c r="BW95" s="1025" t="str">
        <f>IF(_NrRaty&gt;LRat,"",BV95/365)</f>
        <v/>
      </c>
      <c r="BX95" s="1025" t="str">
        <f>IF(_NrRaty&gt;LRat,"",BW95*BP95)</f>
        <v/>
      </c>
      <c r="BY95" s="1025" t="str">
        <f>IF(_NrRaty&gt;LRat,"",BU95*BX95)</f>
        <v/>
      </c>
    </row>
    <row r="96" spans="1:77" x14ac:dyDescent="0.25">
      <c r="A96" s="973">
        <f t="shared" ref="A96:A127" si="98">IF(C96&lt;=LRat,E96-E95,0)</f>
        <v>0</v>
      </c>
      <c r="B96" s="924" t="str">
        <f t="shared" si="46"/>
        <v/>
      </c>
      <c r="C96" s="660" t="str">
        <f>IF(_NrRaty&gt;LRat,"",_NrRaty)</f>
        <v/>
      </c>
      <c r="D96" s="661" t="str">
        <f t="shared" si="47"/>
        <v/>
      </c>
      <c r="E96" s="941" t="str">
        <f t="shared" si="82"/>
        <v/>
      </c>
      <c r="F96" s="970" t="str">
        <f t="shared" si="83"/>
        <v/>
      </c>
      <c r="G96" s="941" t="str">
        <f>IF(C96&lt;=LRat,ROUND(ROUND(SUM($F$30:F96),2)-SUM($G$30:G95),2),"")</f>
        <v/>
      </c>
      <c r="H96" s="941" t="str">
        <f t="shared" si="84"/>
        <v/>
      </c>
      <c r="I96" s="941" t="str">
        <f t="shared" si="85"/>
        <v/>
      </c>
      <c r="J96" s="941" t="str">
        <f t="shared" si="86"/>
        <v/>
      </c>
      <c r="L96" s="613" t="str">
        <f>IF(_NrRaty&gt;LRat,"",_NrRaty)</f>
        <v/>
      </c>
      <c r="M96" s="913" t="str">
        <f t="shared" si="48"/>
        <v/>
      </c>
      <c r="N96" s="913" t="str">
        <f t="shared" si="49"/>
        <v/>
      </c>
      <c r="O96" s="921">
        <f t="shared" si="50"/>
        <v>0</v>
      </c>
      <c r="P96" s="921">
        <f t="shared" si="51"/>
        <v>0</v>
      </c>
      <c r="Q96" s="921">
        <f t="shared" si="52"/>
        <v>0</v>
      </c>
      <c r="R96" s="921">
        <f t="shared" si="53"/>
        <v>0</v>
      </c>
      <c r="S96" s="921">
        <f t="shared" si="54"/>
        <v>0</v>
      </c>
      <c r="T96" s="921">
        <f t="shared" si="55"/>
        <v>0</v>
      </c>
      <c r="U96" s="921">
        <f t="shared" si="87"/>
        <v>0</v>
      </c>
      <c r="V96" s="921">
        <f>IF(C96&lt;&gt;"",1/PRODUCT($U$31:U96),0)</f>
        <v>0</v>
      </c>
      <c r="Z96" s="921">
        <f t="shared" si="88"/>
        <v>0</v>
      </c>
      <c r="AA96" s="949">
        <f t="shared" si="79"/>
        <v>0</v>
      </c>
      <c r="AB96" s="949">
        <f t="shared" si="80"/>
        <v>0</v>
      </c>
      <c r="AC96" s="954">
        <f t="shared" si="81"/>
        <v>0</v>
      </c>
      <c r="AD96" s="954">
        <f t="shared" si="43"/>
        <v>0</v>
      </c>
      <c r="AE96" s="954">
        <f t="shared" si="89"/>
        <v>0</v>
      </c>
      <c r="AF96" s="954">
        <f>IF(L96&lt;=LRat,1/PRODUCT($AE$31:AE96),0)</f>
        <v>0</v>
      </c>
      <c r="AG96" s="966"/>
      <c r="AH96" s="921">
        <f>IF(L96&lt;=LRat,Z96/((1+OE_wynikRRSO)^(SUM($AD$31:AD96))),0)</f>
        <v>0</v>
      </c>
      <c r="AI96" s="966"/>
      <c r="AO96" s="948" t="str">
        <f>IF(_NrRaty&gt;LRat,"",_NrRaty)</f>
        <v/>
      </c>
      <c r="AP96" s="977" t="str">
        <f t="shared" si="56"/>
        <v/>
      </c>
      <c r="AQ96" s="948">
        <f t="shared" si="90"/>
        <v>0</v>
      </c>
      <c r="AR96" s="948">
        <f>IF(_NrRaty&lt;LRat,ROUND(AT95*$AN$20*(SUM(O96:P96)/365),2),0)+IF(_NrRaty=LRat,AQ96-AS96,0)</f>
        <v>0</v>
      </c>
      <c r="AS96" s="948">
        <f>IF(_NrRaty&lt;LRat,ROUND(AQ96-AR96,2),0)+IF(_NrRaty=LRat,AT95,0)</f>
        <v>0</v>
      </c>
      <c r="AT96" s="979">
        <f t="shared" ca="1" si="58"/>
        <v>0</v>
      </c>
      <c r="AU96" s="979" t="b">
        <f t="shared" si="91"/>
        <v>0</v>
      </c>
      <c r="AV96" s="1005">
        <v>0</v>
      </c>
      <c r="AX96" s="948">
        <f t="shared" si="92"/>
        <v>0</v>
      </c>
      <c r="AY96" s="948">
        <f>IF(_NrRaty&lt;=LRat,IF(MOD(YEAR(N96),4)=0,OE_RP_rrso,365),0)</f>
        <v>0</v>
      </c>
      <c r="AZ96" s="948">
        <f>IF(_NrRaty&lt;=LRat,O96/AY95,0)</f>
        <v>0</v>
      </c>
      <c r="BA96" s="1006">
        <f>IF(_NrRaty&lt;=LRat,P96/AY96,0)</f>
        <v>0</v>
      </c>
      <c r="BB96" s="1006">
        <f t="shared" si="42"/>
        <v>0</v>
      </c>
      <c r="BC96" s="1006">
        <f>IF(_NrRaty&lt;=LRat,1+OE_oproc*BB96,0)</f>
        <v>0</v>
      </c>
      <c r="BD96" s="1006">
        <f>IF(_NrRaty&lt;=LRat,1/PRODUCT($BC$31:BC96),0)</f>
        <v>0</v>
      </c>
      <c r="BF96" s="948">
        <f>IF(_NrRaty&lt;=LRat,AX96/((1+SOWK_wynikRRSO)^(SUM($BB$31:BB96))),0)</f>
        <v>0</v>
      </c>
      <c r="BL96" s="1023" t="str">
        <f>IF(_NrRaty&gt;LRat,"",_NrRaty)</f>
        <v/>
      </c>
      <c r="BM96" s="1024" t="str">
        <f>IF(_NrRaty&gt;LRat,"",D96)</f>
        <v/>
      </c>
      <c r="BN96" s="1025" t="str">
        <f t="shared" si="93"/>
        <v/>
      </c>
      <c r="BO96" s="1025" t="str">
        <f t="shared" si="94"/>
        <v/>
      </c>
      <c r="BP96" s="1025" t="str">
        <f t="shared" si="95"/>
        <v/>
      </c>
      <c r="BQ96" s="1025" t="str">
        <f t="shared" si="96"/>
        <v/>
      </c>
      <c r="BR96" s="1124" t="e">
        <f t="shared" si="97"/>
        <v>#VALUE!</v>
      </c>
      <c r="BT96" s="1113" t="str">
        <f>IF(_NrRaty&gt;LRat,"",_NrRaty)</f>
        <v/>
      </c>
      <c r="BU96" s="1023" t="str">
        <f t="shared" ref="BU96:BU151" si="99">IFERROR(VLOOKUP(BT96,$BV$16:$BX$20,3,TRUE),"")</f>
        <v/>
      </c>
      <c r="BV96" s="1114" t="str">
        <f>IF(_NrRaty&gt;LRat,"",SUM($O$31:P96))</f>
        <v/>
      </c>
      <c r="BW96" s="1025" t="str">
        <f>IF(_NrRaty&gt;LRat,"",BV96/365)</f>
        <v/>
      </c>
      <c r="BX96" s="1025" t="str">
        <f>IF(_NrRaty&gt;LRat,"",BW96*BP96)</f>
        <v/>
      </c>
      <c r="BY96" s="1025" t="str">
        <f>IF(_NrRaty&gt;LRat,"",BU96*BX96)</f>
        <v/>
      </c>
    </row>
    <row r="97" spans="1:77" x14ac:dyDescent="0.25">
      <c r="A97" s="973">
        <f t="shared" si="98"/>
        <v>0</v>
      </c>
      <c r="B97" s="924" t="str">
        <f t="shared" si="46"/>
        <v/>
      </c>
      <c r="C97" s="658" t="str">
        <f>IF(_NrRaty&gt;LRat,"",_NrRaty)</f>
        <v/>
      </c>
      <c r="D97" s="659" t="str">
        <f t="shared" si="47"/>
        <v/>
      </c>
      <c r="E97" s="940" t="str">
        <f t="shared" si="82"/>
        <v/>
      </c>
      <c r="F97" s="969" t="str">
        <f t="shared" si="83"/>
        <v/>
      </c>
      <c r="G97" s="940" t="str">
        <f>IF(C97&lt;=LRat,ROUND(ROUND(SUM($F$30:F97),2)-SUM($G$30:G96),2),"")</f>
        <v/>
      </c>
      <c r="H97" s="940" t="str">
        <f t="shared" si="84"/>
        <v/>
      </c>
      <c r="I97" s="940" t="str">
        <f t="shared" si="85"/>
        <v/>
      </c>
      <c r="J97" s="940" t="str">
        <f t="shared" si="86"/>
        <v/>
      </c>
      <c r="L97" s="613" t="str">
        <f>IF(_NrRaty&gt;LRat,"",_NrRaty)</f>
        <v/>
      </c>
      <c r="M97" s="913" t="str">
        <f t="shared" si="48"/>
        <v/>
      </c>
      <c r="N97" s="913" t="str">
        <f t="shared" si="49"/>
        <v/>
      </c>
      <c r="O97" s="921">
        <f t="shared" si="50"/>
        <v>0</v>
      </c>
      <c r="P97" s="921">
        <f t="shared" si="51"/>
        <v>0</v>
      </c>
      <c r="Q97" s="921">
        <f t="shared" si="52"/>
        <v>0</v>
      </c>
      <c r="R97" s="921">
        <f t="shared" si="53"/>
        <v>0</v>
      </c>
      <c r="S97" s="921">
        <f t="shared" si="54"/>
        <v>0</v>
      </c>
      <c r="T97" s="921">
        <f t="shared" si="55"/>
        <v>0</v>
      </c>
      <c r="U97" s="921">
        <f t="shared" si="87"/>
        <v>0</v>
      </c>
      <c r="V97" s="921">
        <f>IF(C97&lt;&gt;"",1/PRODUCT($U$31:U97),0)</f>
        <v>0</v>
      </c>
      <c r="Z97" s="921">
        <f t="shared" si="88"/>
        <v>0</v>
      </c>
      <c r="AA97" s="949">
        <f t="shared" si="79"/>
        <v>0</v>
      </c>
      <c r="AB97" s="949">
        <f t="shared" si="80"/>
        <v>0</v>
      </c>
      <c r="AC97" s="954">
        <f t="shared" si="81"/>
        <v>0</v>
      </c>
      <c r="AD97" s="954">
        <f t="shared" si="43"/>
        <v>0</v>
      </c>
      <c r="AE97" s="954">
        <f t="shared" si="89"/>
        <v>0</v>
      </c>
      <c r="AF97" s="954">
        <f>IF(L97&lt;=LRat,1/PRODUCT($AE$31:AE97),0)</f>
        <v>0</v>
      </c>
      <c r="AG97" s="966"/>
      <c r="AH97" s="921">
        <f>IF(L97&lt;=LRat,Z97/((1+OE_wynikRRSO)^(SUM($AD$31:AD97))),0)</f>
        <v>0</v>
      </c>
      <c r="AI97" s="966"/>
      <c r="AO97" s="948" t="str">
        <f>IF(_NrRaty&gt;LRat,"",_NrRaty)</f>
        <v/>
      </c>
      <c r="AP97" s="977" t="str">
        <f t="shared" si="56"/>
        <v/>
      </c>
      <c r="AQ97" s="948">
        <f t="shared" si="90"/>
        <v>0</v>
      </c>
      <c r="AR97" s="948">
        <f>IF(_NrRaty&lt;LRat,ROUND(AT96*$AN$20*(SUM(O97:P97)/365),2),0)+IF(_NrRaty=LRat,AQ97-AS97,0)</f>
        <v>0</v>
      </c>
      <c r="AS97" s="948">
        <f>IF(_NrRaty&lt;LRat,ROUND(AQ97-AR97,2),0)+IF(_NrRaty=LRat,AT96,0)</f>
        <v>0</v>
      </c>
      <c r="AT97" s="979">
        <f t="shared" ca="1" si="58"/>
        <v>0</v>
      </c>
      <c r="AU97" s="979" t="b">
        <f t="shared" si="91"/>
        <v>0</v>
      </c>
      <c r="AV97" s="1005">
        <v>0</v>
      </c>
      <c r="AX97" s="948">
        <f t="shared" si="92"/>
        <v>0</v>
      </c>
      <c r="AY97" s="948">
        <f>IF(_NrRaty&lt;=LRat,IF(MOD(YEAR(N97),4)=0,OE_RP_rrso,365),0)</f>
        <v>0</v>
      </c>
      <c r="AZ97" s="948">
        <f>IF(_NrRaty&lt;=LRat,O97/AY96,0)</f>
        <v>0</v>
      </c>
      <c r="BA97" s="1006">
        <f>IF(_NrRaty&lt;=LRat,P97/AY97,0)</f>
        <v>0</v>
      </c>
      <c r="BB97" s="1006">
        <f t="shared" si="42"/>
        <v>0</v>
      </c>
      <c r="BC97" s="1006">
        <f>IF(_NrRaty&lt;=LRat,1+OE_oproc*BB97,0)</f>
        <v>0</v>
      </c>
      <c r="BD97" s="1006">
        <f>IF(_NrRaty&lt;=LRat,1/PRODUCT($BC$31:BC97),0)</f>
        <v>0</v>
      </c>
      <c r="BF97" s="948">
        <f>IF(_NrRaty&lt;=LRat,AX97/((1+SOWK_wynikRRSO)^(SUM($BB$31:BB97))),0)</f>
        <v>0</v>
      </c>
      <c r="BL97" s="1023" t="str">
        <f>IF(_NrRaty&gt;LRat,"",_NrRaty)</f>
        <v/>
      </c>
      <c r="BM97" s="1024" t="str">
        <f>IF(_NrRaty&gt;LRat,"",D97)</f>
        <v/>
      </c>
      <c r="BN97" s="1025" t="str">
        <f t="shared" si="93"/>
        <v/>
      </c>
      <c r="BO97" s="1025" t="str">
        <f t="shared" si="94"/>
        <v/>
      </c>
      <c r="BP97" s="1025" t="str">
        <f t="shared" si="95"/>
        <v/>
      </c>
      <c r="BQ97" s="1025" t="str">
        <f t="shared" si="96"/>
        <v/>
      </c>
      <c r="BR97" s="1124" t="e">
        <f t="shared" si="97"/>
        <v>#VALUE!</v>
      </c>
      <c r="BT97" s="1113" t="str">
        <f>IF(_NrRaty&gt;LRat,"",_NrRaty)</f>
        <v/>
      </c>
      <c r="BU97" s="1023" t="str">
        <f t="shared" si="99"/>
        <v/>
      </c>
      <c r="BV97" s="1114" t="str">
        <f>IF(_NrRaty&gt;LRat,"",SUM($O$31:P97))</f>
        <v/>
      </c>
      <c r="BW97" s="1025" t="str">
        <f>IF(_NrRaty&gt;LRat,"",BV97/365)</f>
        <v/>
      </c>
      <c r="BX97" s="1025" t="str">
        <f>IF(_NrRaty&gt;LRat,"",BW97*BP97)</f>
        <v/>
      </c>
      <c r="BY97" s="1025" t="str">
        <f>IF(_NrRaty&gt;LRat,"",BU97*BX97)</f>
        <v/>
      </c>
    </row>
    <row r="98" spans="1:77" x14ac:dyDescent="0.25">
      <c r="A98" s="973">
        <f t="shared" si="98"/>
        <v>0</v>
      </c>
      <c r="B98" s="924" t="str">
        <f t="shared" si="46"/>
        <v/>
      </c>
      <c r="C98" s="660" t="str">
        <f>IF(_NrRaty&gt;LRat,"",_NrRaty)</f>
        <v/>
      </c>
      <c r="D98" s="661" t="str">
        <f t="shared" si="47"/>
        <v/>
      </c>
      <c r="E98" s="941" t="str">
        <f t="shared" si="82"/>
        <v/>
      </c>
      <c r="F98" s="970" t="str">
        <f t="shared" si="83"/>
        <v/>
      </c>
      <c r="G98" s="941" t="str">
        <f>IF(C98&lt;=LRat,ROUND(ROUND(SUM($F$30:F98),2)-SUM($G$30:G97),2),"")</f>
        <v/>
      </c>
      <c r="H98" s="941" t="str">
        <f t="shared" si="84"/>
        <v/>
      </c>
      <c r="I98" s="941" t="str">
        <f t="shared" si="85"/>
        <v/>
      </c>
      <c r="J98" s="941" t="str">
        <f t="shared" si="86"/>
        <v/>
      </c>
      <c r="L98" s="613" t="str">
        <f>IF(_NrRaty&gt;LRat,"",_NrRaty)</f>
        <v/>
      </c>
      <c r="M98" s="913" t="str">
        <f t="shared" si="48"/>
        <v/>
      </c>
      <c r="N98" s="913" t="str">
        <f t="shared" si="49"/>
        <v/>
      </c>
      <c r="O98" s="921">
        <f t="shared" si="50"/>
        <v>0</v>
      </c>
      <c r="P98" s="921">
        <f t="shared" si="51"/>
        <v>0</v>
      </c>
      <c r="Q98" s="921">
        <f t="shared" si="52"/>
        <v>0</v>
      </c>
      <c r="R98" s="921">
        <f t="shared" si="53"/>
        <v>0</v>
      </c>
      <c r="S98" s="921">
        <f t="shared" si="54"/>
        <v>0</v>
      </c>
      <c r="T98" s="921">
        <f t="shared" si="55"/>
        <v>0</v>
      </c>
      <c r="U98" s="921">
        <f t="shared" si="87"/>
        <v>0</v>
      </c>
      <c r="V98" s="921">
        <f>IF(C98&lt;&gt;"",1/PRODUCT($U$31:U98),0)</f>
        <v>0</v>
      </c>
      <c r="Z98" s="921">
        <f t="shared" si="88"/>
        <v>0</v>
      </c>
      <c r="AA98" s="949">
        <f t="shared" si="79"/>
        <v>0</v>
      </c>
      <c r="AB98" s="949">
        <f t="shared" si="80"/>
        <v>0</v>
      </c>
      <c r="AC98" s="954">
        <f t="shared" si="81"/>
        <v>0</v>
      </c>
      <c r="AD98" s="954">
        <f t="shared" si="43"/>
        <v>0</v>
      </c>
      <c r="AE98" s="954">
        <f t="shared" si="89"/>
        <v>0</v>
      </c>
      <c r="AF98" s="954">
        <f>IF(L98&lt;=LRat,1/PRODUCT($AE$31:AE98),0)</f>
        <v>0</v>
      </c>
      <c r="AG98" s="966"/>
      <c r="AH98" s="921">
        <f>IF(L98&lt;=LRat,Z98/((1+OE_wynikRRSO)^(SUM($AD$31:AD98))),0)</f>
        <v>0</v>
      </c>
      <c r="AI98" s="966"/>
      <c r="AO98" s="948" t="str">
        <f>IF(_NrRaty&gt;LRat,"",_NrRaty)</f>
        <v/>
      </c>
      <c r="AP98" s="977" t="str">
        <f t="shared" si="56"/>
        <v/>
      </c>
      <c r="AQ98" s="948">
        <f t="shared" si="90"/>
        <v>0</v>
      </c>
      <c r="AR98" s="948">
        <f>IF(_NrRaty&lt;LRat,ROUND(AT97*$AN$20*(SUM(O98:P98)/365),2),0)+IF(_NrRaty=LRat,AQ98-AS98,0)</f>
        <v>0</v>
      </c>
      <c r="AS98" s="948">
        <f>IF(_NrRaty&lt;LRat,ROUND(AQ98-AR98,2),0)+IF(_NrRaty=LRat,AT97,0)</f>
        <v>0</v>
      </c>
      <c r="AT98" s="979">
        <f t="shared" ca="1" si="58"/>
        <v>0</v>
      </c>
      <c r="AU98" s="979" t="b">
        <f t="shared" si="91"/>
        <v>0</v>
      </c>
      <c r="AV98" s="1005">
        <v>0</v>
      </c>
      <c r="AX98" s="948">
        <f t="shared" si="92"/>
        <v>0</v>
      </c>
      <c r="AY98" s="948">
        <f>IF(_NrRaty&lt;=LRat,IF(MOD(YEAR(N98),4)=0,OE_RP_rrso,365),0)</f>
        <v>0</v>
      </c>
      <c r="AZ98" s="948">
        <f>IF(_NrRaty&lt;=LRat,O98/AY97,0)</f>
        <v>0</v>
      </c>
      <c r="BA98" s="1006">
        <f>IF(_NrRaty&lt;=LRat,P98/AY98,0)</f>
        <v>0</v>
      </c>
      <c r="BB98" s="1006">
        <f t="shared" si="42"/>
        <v>0</v>
      </c>
      <c r="BC98" s="1006">
        <f>IF(_NrRaty&lt;=LRat,1+OE_oproc*BB98,0)</f>
        <v>0</v>
      </c>
      <c r="BD98" s="1006">
        <f>IF(_NrRaty&lt;=LRat,1/PRODUCT($BC$31:BC98),0)</f>
        <v>0</v>
      </c>
      <c r="BF98" s="948">
        <f>IF(_NrRaty&lt;=LRat,AX98/((1+SOWK_wynikRRSO)^(SUM($BB$31:BB98))),0)</f>
        <v>0</v>
      </c>
      <c r="BL98" s="1023" t="str">
        <f>IF(_NrRaty&gt;LRat,"",_NrRaty)</f>
        <v/>
      </c>
      <c r="BM98" s="1024" t="str">
        <f>IF(_NrRaty&gt;LRat,"",D98)</f>
        <v/>
      </c>
      <c r="BN98" s="1025" t="str">
        <f t="shared" si="93"/>
        <v/>
      </c>
      <c r="BO98" s="1025" t="str">
        <f t="shared" si="94"/>
        <v/>
      </c>
      <c r="BP98" s="1025" t="str">
        <f t="shared" si="95"/>
        <v/>
      </c>
      <c r="BQ98" s="1025" t="str">
        <f t="shared" si="96"/>
        <v/>
      </c>
      <c r="BR98" s="1124" t="e">
        <f t="shared" si="97"/>
        <v>#VALUE!</v>
      </c>
      <c r="BT98" s="1113" t="str">
        <f>IF(_NrRaty&gt;LRat,"",_NrRaty)</f>
        <v/>
      </c>
      <c r="BU98" s="1023" t="str">
        <f t="shared" si="99"/>
        <v/>
      </c>
      <c r="BV98" s="1114" t="str">
        <f>IF(_NrRaty&gt;LRat,"",SUM($O$31:P98))</f>
        <v/>
      </c>
      <c r="BW98" s="1025" t="str">
        <f>IF(_NrRaty&gt;LRat,"",BV98/365)</f>
        <v/>
      </c>
      <c r="BX98" s="1025" t="str">
        <f>IF(_NrRaty&gt;LRat,"",BW98*BP98)</f>
        <v/>
      </c>
      <c r="BY98" s="1025" t="str">
        <f>IF(_NrRaty&gt;LRat,"",BU98*BX98)</f>
        <v/>
      </c>
    </row>
    <row r="99" spans="1:77" x14ac:dyDescent="0.25">
      <c r="A99" s="973">
        <f t="shared" si="98"/>
        <v>0</v>
      </c>
      <c r="B99" s="924" t="str">
        <f t="shared" si="46"/>
        <v/>
      </c>
      <c r="C99" s="658" t="str">
        <f>IF(_NrRaty&gt;LRat,"",_NrRaty)</f>
        <v/>
      </c>
      <c r="D99" s="659" t="str">
        <f t="shared" si="47"/>
        <v/>
      </c>
      <c r="E99" s="940" t="str">
        <f t="shared" si="82"/>
        <v/>
      </c>
      <c r="F99" s="969" t="str">
        <f t="shared" si="83"/>
        <v/>
      </c>
      <c r="G99" s="940" t="str">
        <f>IF(C99&lt;=LRat,ROUND(ROUND(SUM($F$30:F99),2)-SUM($G$30:G98),2),"")</f>
        <v/>
      </c>
      <c r="H99" s="940" t="str">
        <f t="shared" si="84"/>
        <v/>
      </c>
      <c r="I99" s="940" t="str">
        <f t="shared" si="85"/>
        <v/>
      </c>
      <c r="J99" s="940" t="str">
        <f t="shared" si="86"/>
        <v/>
      </c>
      <c r="L99" s="613" t="str">
        <f>IF(_NrRaty&gt;LRat,"",_NrRaty)</f>
        <v/>
      </c>
      <c r="M99" s="913" t="str">
        <f t="shared" si="48"/>
        <v/>
      </c>
      <c r="N99" s="913" t="str">
        <f t="shared" si="49"/>
        <v/>
      </c>
      <c r="O99" s="921">
        <f t="shared" si="50"/>
        <v>0</v>
      </c>
      <c r="P99" s="921">
        <f t="shared" si="51"/>
        <v>0</v>
      </c>
      <c r="Q99" s="921">
        <f t="shared" si="52"/>
        <v>0</v>
      </c>
      <c r="R99" s="921">
        <f t="shared" si="53"/>
        <v>0</v>
      </c>
      <c r="S99" s="921">
        <f t="shared" si="54"/>
        <v>0</v>
      </c>
      <c r="T99" s="921">
        <f t="shared" si="55"/>
        <v>0</v>
      </c>
      <c r="U99" s="921">
        <f t="shared" si="87"/>
        <v>0</v>
      </c>
      <c r="V99" s="921">
        <f>IF(C99&lt;&gt;"",1/PRODUCT($U$31:U99),0)</f>
        <v>0</v>
      </c>
      <c r="Z99" s="921">
        <f t="shared" si="88"/>
        <v>0</v>
      </c>
      <c r="AA99" s="949">
        <f t="shared" si="79"/>
        <v>0</v>
      </c>
      <c r="AB99" s="949">
        <f t="shared" si="80"/>
        <v>0</v>
      </c>
      <c r="AC99" s="954">
        <f t="shared" si="81"/>
        <v>0</v>
      </c>
      <c r="AD99" s="954">
        <f t="shared" si="43"/>
        <v>0</v>
      </c>
      <c r="AE99" s="954">
        <f t="shared" si="89"/>
        <v>0</v>
      </c>
      <c r="AF99" s="954">
        <f>IF(L99&lt;=LRat,1/PRODUCT($AE$31:AE99),0)</f>
        <v>0</v>
      </c>
      <c r="AG99" s="966"/>
      <c r="AH99" s="921">
        <f>IF(L99&lt;=LRat,Z99/((1+OE_wynikRRSO)^(SUM($AD$31:AD99))),0)</f>
        <v>0</v>
      </c>
      <c r="AI99" s="966"/>
      <c r="AO99" s="948" t="str">
        <f>IF(_NrRaty&gt;LRat,"",_NrRaty)</f>
        <v/>
      </c>
      <c r="AP99" s="977" t="str">
        <f t="shared" si="56"/>
        <v/>
      </c>
      <c r="AQ99" s="948">
        <f t="shared" si="90"/>
        <v>0</v>
      </c>
      <c r="AR99" s="948">
        <f>IF(_NrRaty&lt;LRat,ROUND(AT98*$AN$20*(SUM(O99:P99)/365),2),0)+IF(_NrRaty=LRat,AQ99-AS99,0)</f>
        <v>0</v>
      </c>
      <c r="AS99" s="948">
        <f>IF(_NrRaty&lt;LRat,ROUND(AQ99-AR99,2),0)+IF(_NrRaty=LRat,AT98,0)</f>
        <v>0</v>
      </c>
      <c r="AT99" s="979">
        <f t="shared" ca="1" si="58"/>
        <v>0</v>
      </c>
      <c r="AU99" s="979" t="b">
        <f t="shared" si="91"/>
        <v>0</v>
      </c>
      <c r="AV99" s="1005">
        <v>0</v>
      </c>
      <c r="AX99" s="948">
        <f t="shared" si="92"/>
        <v>0</v>
      </c>
      <c r="AY99" s="948">
        <f>IF(_NrRaty&lt;=LRat,IF(MOD(YEAR(N99),4)=0,OE_RP_rrso,365),0)</f>
        <v>0</v>
      </c>
      <c r="AZ99" s="948">
        <f>IF(_NrRaty&lt;=LRat,O99/AY98,0)</f>
        <v>0</v>
      </c>
      <c r="BA99" s="1006">
        <f>IF(_NrRaty&lt;=LRat,P99/AY99,0)</f>
        <v>0</v>
      </c>
      <c r="BB99" s="1006">
        <f t="shared" si="42"/>
        <v>0</v>
      </c>
      <c r="BC99" s="1006">
        <f>IF(_NrRaty&lt;=LRat,1+OE_oproc*BB99,0)</f>
        <v>0</v>
      </c>
      <c r="BD99" s="1006">
        <f>IF(_NrRaty&lt;=LRat,1/PRODUCT($BC$31:BC99),0)</f>
        <v>0</v>
      </c>
      <c r="BF99" s="948">
        <f>IF(_NrRaty&lt;=LRat,AX99/((1+SOWK_wynikRRSO)^(SUM($BB$31:BB99))),0)</f>
        <v>0</v>
      </c>
      <c r="BL99" s="1023" t="str">
        <f>IF(_NrRaty&gt;LRat,"",_NrRaty)</f>
        <v/>
      </c>
      <c r="BM99" s="1024" t="str">
        <f>IF(_NrRaty&gt;LRat,"",D99)</f>
        <v/>
      </c>
      <c r="BN99" s="1025" t="str">
        <f t="shared" si="93"/>
        <v/>
      </c>
      <c r="BO99" s="1025" t="str">
        <f t="shared" si="94"/>
        <v/>
      </c>
      <c r="BP99" s="1025" t="str">
        <f t="shared" si="95"/>
        <v/>
      </c>
      <c r="BQ99" s="1025" t="str">
        <f t="shared" si="96"/>
        <v/>
      </c>
      <c r="BR99" s="1124" t="e">
        <f t="shared" si="97"/>
        <v>#VALUE!</v>
      </c>
      <c r="BT99" s="1113" t="str">
        <f>IF(_NrRaty&gt;LRat,"",_NrRaty)</f>
        <v/>
      </c>
      <c r="BU99" s="1023" t="str">
        <f t="shared" si="99"/>
        <v/>
      </c>
      <c r="BV99" s="1114" t="str">
        <f>IF(_NrRaty&gt;LRat,"",SUM($O$31:P99))</f>
        <v/>
      </c>
      <c r="BW99" s="1025" t="str">
        <f>IF(_NrRaty&gt;LRat,"",BV99/365)</f>
        <v/>
      </c>
      <c r="BX99" s="1025" t="str">
        <f>IF(_NrRaty&gt;LRat,"",BW99*BP99)</f>
        <v/>
      </c>
      <c r="BY99" s="1025" t="str">
        <f>IF(_NrRaty&gt;LRat,"",BU99*BX99)</f>
        <v/>
      </c>
    </row>
    <row r="100" spans="1:77" x14ac:dyDescent="0.25">
      <c r="A100" s="973">
        <f t="shared" si="98"/>
        <v>0</v>
      </c>
      <c r="B100" s="924" t="str">
        <f t="shared" si="46"/>
        <v/>
      </c>
      <c r="C100" s="660" t="str">
        <f>IF(_NrRaty&gt;LRat,"",_NrRaty)</f>
        <v/>
      </c>
      <c r="D100" s="661" t="str">
        <f t="shared" si="47"/>
        <v/>
      </c>
      <c r="E100" s="941" t="str">
        <f t="shared" si="82"/>
        <v/>
      </c>
      <c r="F100" s="970" t="str">
        <f t="shared" si="83"/>
        <v/>
      </c>
      <c r="G100" s="941" t="str">
        <f>IF(C100&lt;=LRat,ROUND(ROUND(SUM($F$30:F100),2)-SUM($G$30:G99),2),"")</f>
        <v/>
      </c>
      <c r="H100" s="941" t="str">
        <f t="shared" si="84"/>
        <v/>
      </c>
      <c r="I100" s="941" t="str">
        <f t="shared" si="85"/>
        <v/>
      </c>
      <c r="J100" s="941" t="str">
        <f t="shared" si="86"/>
        <v/>
      </c>
      <c r="L100" s="613" t="str">
        <f>IF(_NrRaty&gt;LRat,"",_NrRaty)</f>
        <v/>
      </c>
      <c r="M100" s="913" t="str">
        <f t="shared" si="48"/>
        <v/>
      </c>
      <c r="N100" s="913" t="str">
        <f t="shared" si="49"/>
        <v/>
      </c>
      <c r="O100" s="921">
        <f t="shared" si="50"/>
        <v>0</v>
      </c>
      <c r="P100" s="921">
        <f t="shared" si="51"/>
        <v>0</v>
      </c>
      <c r="Q100" s="921">
        <f t="shared" si="52"/>
        <v>0</v>
      </c>
      <c r="R100" s="921">
        <f t="shared" si="53"/>
        <v>0</v>
      </c>
      <c r="S100" s="921">
        <f t="shared" si="54"/>
        <v>0</v>
      </c>
      <c r="T100" s="921">
        <f t="shared" si="55"/>
        <v>0</v>
      </c>
      <c r="U100" s="921">
        <f t="shared" si="87"/>
        <v>0</v>
      </c>
      <c r="V100" s="921">
        <f>IF(C100&lt;&gt;"",1/PRODUCT($U$31:U100),0)</f>
        <v>0</v>
      </c>
      <c r="Z100" s="921">
        <f t="shared" si="88"/>
        <v>0</v>
      </c>
      <c r="AA100" s="949">
        <f t="shared" si="79"/>
        <v>0</v>
      </c>
      <c r="AB100" s="949">
        <f t="shared" si="80"/>
        <v>0</v>
      </c>
      <c r="AC100" s="954">
        <f t="shared" si="81"/>
        <v>0</v>
      </c>
      <c r="AD100" s="954">
        <f t="shared" si="43"/>
        <v>0</v>
      </c>
      <c r="AE100" s="954">
        <f t="shared" si="89"/>
        <v>0</v>
      </c>
      <c r="AF100" s="954">
        <f>IF(L100&lt;=LRat,1/PRODUCT($AE$31:AE100),0)</f>
        <v>0</v>
      </c>
      <c r="AG100" s="966"/>
      <c r="AH100" s="921">
        <f>IF(L100&lt;=LRat,Z100/((1+OE_wynikRRSO)^(SUM($AD$31:AD100))),0)</f>
        <v>0</v>
      </c>
      <c r="AI100" s="966"/>
      <c r="AO100" s="948" t="str">
        <f>IF(_NrRaty&gt;LRat,"",_NrRaty)</f>
        <v/>
      </c>
      <c r="AP100" s="977" t="str">
        <f t="shared" si="56"/>
        <v/>
      </c>
      <c r="AQ100" s="948">
        <f t="shared" si="90"/>
        <v>0</v>
      </c>
      <c r="AR100" s="948">
        <f>IF(_NrRaty&lt;LRat,ROUND(AT99*$AN$20*(SUM(O100:P100)/365),2),0)+IF(_NrRaty=LRat,AQ100-AS100,0)</f>
        <v>0</v>
      </c>
      <c r="AS100" s="948">
        <f>IF(_NrRaty&lt;LRat,ROUND(AQ100-AR100,2),0)+IF(_NrRaty=LRat,AT99,0)</f>
        <v>0</v>
      </c>
      <c r="AT100" s="979">
        <f t="shared" ca="1" si="58"/>
        <v>0</v>
      </c>
      <c r="AU100" s="979" t="b">
        <f t="shared" si="91"/>
        <v>0</v>
      </c>
      <c r="AV100" s="1005">
        <v>0</v>
      </c>
      <c r="AX100" s="948">
        <f t="shared" si="92"/>
        <v>0</v>
      </c>
      <c r="AY100" s="948">
        <f>IF(_NrRaty&lt;=LRat,IF(MOD(YEAR(N100),4)=0,OE_RP_rrso,365),0)</f>
        <v>0</v>
      </c>
      <c r="AZ100" s="948">
        <f>IF(_NrRaty&lt;=LRat,O100/AY99,0)</f>
        <v>0</v>
      </c>
      <c r="BA100" s="1006">
        <f>IF(_NrRaty&lt;=LRat,P100/AY100,0)</f>
        <v>0</v>
      </c>
      <c r="BB100" s="1006">
        <f t="shared" ref="BB100:BB150" si="100">AZ100+BA100</f>
        <v>0</v>
      </c>
      <c r="BC100" s="1006">
        <f>IF(_NrRaty&lt;=LRat,1+OE_oproc*BB100,0)</f>
        <v>0</v>
      </c>
      <c r="BD100" s="1006">
        <f>IF(_NrRaty&lt;=LRat,1/PRODUCT($BC$31:BC100),0)</f>
        <v>0</v>
      </c>
      <c r="BF100" s="948">
        <f>IF(_NrRaty&lt;=LRat,AX100/((1+SOWK_wynikRRSO)^(SUM($BB$31:BB100))),0)</f>
        <v>0</v>
      </c>
      <c r="BL100" s="1023" t="str">
        <f>IF(_NrRaty&gt;LRat,"",_NrRaty)</f>
        <v/>
      </c>
      <c r="BM100" s="1024" t="str">
        <f>IF(_NrRaty&gt;LRat,"",D100)</f>
        <v/>
      </c>
      <c r="BN100" s="1025" t="str">
        <f t="shared" si="93"/>
        <v/>
      </c>
      <c r="BO100" s="1025" t="str">
        <f t="shared" si="94"/>
        <v/>
      </c>
      <c r="BP100" s="1025" t="str">
        <f t="shared" si="95"/>
        <v/>
      </c>
      <c r="BQ100" s="1025" t="str">
        <f t="shared" si="96"/>
        <v/>
      </c>
      <c r="BR100" s="1124" t="e">
        <f t="shared" si="97"/>
        <v>#VALUE!</v>
      </c>
      <c r="BT100" s="1113" t="str">
        <f>IF(_NrRaty&gt;LRat,"",_NrRaty)</f>
        <v/>
      </c>
      <c r="BU100" s="1023" t="str">
        <f t="shared" si="99"/>
        <v/>
      </c>
      <c r="BV100" s="1114" t="str">
        <f>IF(_NrRaty&gt;LRat,"",SUM($O$31:P100))</f>
        <v/>
      </c>
      <c r="BW100" s="1025" t="str">
        <f>IF(_NrRaty&gt;LRat,"",BV100/365)</f>
        <v/>
      </c>
      <c r="BX100" s="1025" t="str">
        <f>IF(_NrRaty&gt;LRat,"",BW100*BP100)</f>
        <v/>
      </c>
      <c r="BY100" s="1025" t="str">
        <f>IF(_NrRaty&gt;LRat,"",BU100*BX100)</f>
        <v/>
      </c>
    </row>
    <row r="101" spans="1:77" x14ac:dyDescent="0.25">
      <c r="A101" s="973">
        <f t="shared" si="98"/>
        <v>0</v>
      </c>
      <c r="B101" s="924" t="str">
        <f t="shared" si="46"/>
        <v/>
      </c>
      <c r="C101" s="658" t="str">
        <f>IF(_NrRaty&gt;LRat,"",_NrRaty)</f>
        <v/>
      </c>
      <c r="D101" s="659" t="str">
        <f t="shared" si="47"/>
        <v/>
      </c>
      <c r="E101" s="940" t="str">
        <f t="shared" si="82"/>
        <v/>
      </c>
      <c r="F101" s="969" t="str">
        <f t="shared" si="83"/>
        <v/>
      </c>
      <c r="G101" s="940" t="str">
        <f>IF(C101&lt;=LRat,ROUND(ROUND(SUM($F$30:F101),2)-SUM($G$30:G100),2),"")</f>
        <v/>
      </c>
      <c r="H101" s="940" t="str">
        <f t="shared" si="84"/>
        <v/>
      </c>
      <c r="I101" s="940" t="str">
        <f t="shared" si="85"/>
        <v/>
      </c>
      <c r="J101" s="940" t="str">
        <f t="shared" si="86"/>
        <v/>
      </c>
      <c r="L101" s="613" t="str">
        <f>IF(_NrRaty&gt;LRat,"",_NrRaty)</f>
        <v/>
      </c>
      <c r="M101" s="913" t="str">
        <f t="shared" si="48"/>
        <v/>
      </c>
      <c r="N101" s="913" t="str">
        <f t="shared" si="49"/>
        <v/>
      </c>
      <c r="O101" s="921">
        <f t="shared" si="50"/>
        <v>0</v>
      </c>
      <c r="P101" s="921">
        <f t="shared" si="51"/>
        <v>0</v>
      </c>
      <c r="Q101" s="921">
        <f t="shared" si="52"/>
        <v>0</v>
      </c>
      <c r="R101" s="921">
        <f t="shared" si="53"/>
        <v>0</v>
      </c>
      <c r="S101" s="921">
        <f t="shared" si="54"/>
        <v>0</v>
      </c>
      <c r="T101" s="921">
        <f t="shared" si="55"/>
        <v>0</v>
      </c>
      <c r="U101" s="921">
        <f t="shared" si="87"/>
        <v>0</v>
      </c>
      <c r="V101" s="921">
        <f>IF(C101&lt;&gt;"",1/PRODUCT($U$31:U101),0)</f>
        <v>0</v>
      </c>
      <c r="Z101" s="921">
        <f t="shared" si="88"/>
        <v>0</v>
      </c>
      <c r="AA101" s="949">
        <f t="shared" si="79"/>
        <v>0</v>
      </c>
      <c r="AB101" s="949">
        <f t="shared" si="80"/>
        <v>0</v>
      </c>
      <c r="AC101" s="954">
        <f t="shared" si="81"/>
        <v>0</v>
      </c>
      <c r="AD101" s="954">
        <f t="shared" si="43"/>
        <v>0</v>
      </c>
      <c r="AE101" s="954">
        <f t="shared" si="89"/>
        <v>0</v>
      </c>
      <c r="AF101" s="954">
        <f>IF(L101&lt;=LRat,1/PRODUCT($AE$31:AE101),0)</f>
        <v>0</v>
      </c>
      <c r="AG101" s="966"/>
      <c r="AH101" s="921">
        <f>IF(L101&lt;=LRat,Z101/((1+OE_wynikRRSO)^(SUM($AD$31:AD101))),0)</f>
        <v>0</v>
      </c>
      <c r="AI101" s="966"/>
      <c r="AO101" s="948" t="str">
        <f>IF(_NrRaty&gt;LRat,"",_NrRaty)</f>
        <v/>
      </c>
      <c r="AP101" s="977" t="str">
        <f t="shared" si="56"/>
        <v/>
      </c>
      <c r="AQ101" s="948">
        <f t="shared" si="90"/>
        <v>0</v>
      </c>
      <c r="AR101" s="948">
        <f>IF(_NrRaty&lt;LRat,ROUND(AT100*$AN$20*(SUM(O101:P101)/365),2),0)+IF(_NrRaty=LRat,AQ101-AS101,0)</f>
        <v>0</v>
      </c>
      <c r="AS101" s="948">
        <f>IF(_NrRaty&lt;LRat,ROUND(AQ101-AR101,2),0)+IF(_NrRaty=LRat,AT100,0)</f>
        <v>0</v>
      </c>
      <c r="AT101" s="979">
        <f t="shared" ca="1" si="58"/>
        <v>0</v>
      </c>
      <c r="AU101" s="979" t="b">
        <f t="shared" si="91"/>
        <v>0</v>
      </c>
      <c r="AV101" s="1005">
        <v>0</v>
      </c>
      <c r="AX101" s="948">
        <f t="shared" si="92"/>
        <v>0</v>
      </c>
      <c r="AY101" s="948">
        <f>IF(_NrRaty&lt;=LRat,IF(MOD(YEAR(N101),4)=0,OE_RP_rrso,365),0)</f>
        <v>0</v>
      </c>
      <c r="AZ101" s="948">
        <f>IF(_NrRaty&lt;=LRat,O101/AY100,0)</f>
        <v>0</v>
      </c>
      <c r="BA101" s="1006">
        <f>IF(_NrRaty&lt;=LRat,P101/AY101,0)</f>
        <v>0</v>
      </c>
      <c r="BB101" s="1006">
        <f t="shared" si="100"/>
        <v>0</v>
      </c>
      <c r="BC101" s="1006">
        <f>IF(_NrRaty&lt;=LRat,1+OE_oproc*BB101,0)</f>
        <v>0</v>
      </c>
      <c r="BD101" s="1006">
        <f>IF(_NrRaty&lt;=LRat,1/PRODUCT($BC$31:BC101),0)</f>
        <v>0</v>
      </c>
      <c r="BF101" s="948">
        <f>IF(_NrRaty&lt;=LRat,AX101/((1+SOWK_wynikRRSO)^(SUM($BB$31:BB101))),0)</f>
        <v>0</v>
      </c>
      <c r="BL101" s="1023" t="str">
        <f>IF(_NrRaty&gt;LRat,"",_NrRaty)</f>
        <v/>
      </c>
      <c r="BM101" s="1024" t="str">
        <f>IF(_NrRaty&gt;LRat,"",D101)</f>
        <v/>
      </c>
      <c r="BN101" s="1025" t="str">
        <f t="shared" si="93"/>
        <v/>
      </c>
      <c r="BO101" s="1025" t="str">
        <f t="shared" si="94"/>
        <v/>
      </c>
      <c r="BP101" s="1025" t="str">
        <f t="shared" si="95"/>
        <v/>
      </c>
      <c r="BQ101" s="1025" t="str">
        <f t="shared" si="96"/>
        <v/>
      </c>
      <c r="BR101" s="1124" t="e">
        <f t="shared" si="97"/>
        <v>#VALUE!</v>
      </c>
      <c r="BT101" s="1113" t="str">
        <f>IF(_NrRaty&gt;LRat,"",_NrRaty)</f>
        <v/>
      </c>
      <c r="BU101" s="1023" t="str">
        <f t="shared" si="99"/>
        <v/>
      </c>
      <c r="BV101" s="1114" t="str">
        <f>IF(_NrRaty&gt;LRat,"",SUM($O$31:P101))</f>
        <v/>
      </c>
      <c r="BW101" s="1025" t="str">
        <f>IF(_NrRaty&gt;LRat,"",BV101/365)</f>
        <v/>
      </c>
      <c r="BX101" s="1025" t="str">
        <f>IF(_NrRaty&gt;LRat,"",BW101*BP101)</f>
        <v/>
      </c>
      <c r="BY101" s="1025" t="str">
        <f>IF(_NrRaty&gt;LRat,"",BU101*BX101)</f>
        <v/>
      </c>
    </row>
    <row r="102" spans="1:77" x14ac:dyDescent="0.25">
      <c r="A102" s="973">
        <f t="shared" si="98"/>
        <v>0</v>
      </c>
      <c r="B102" s="924" t="str">
        <f t="shared" si="46"/>
        <v/>
      </c>
      <c r="C102" s="660" t="str">
        <f>IF(_NrRaty&gt;LRat,"",_NrRaty)</f>
        <v/>
      </c>
      <c r="D102" s="661" t="str">
        <f t="shared" si="47"/>
        <v/>
      </c>
      <c r="E102" s="941" t="str">
        <f t="shared" si="82"/>
        <v/>
      </c>
      <c r="F102" s="970" t="str">
        <f t="shared" si="83"/>
        <v/>
      </c>
      <c r="G102" s="941" t="str">
        <f>IF(C102&lt;=LRat,ROUND(ROUND(SUM($F$30:F102),2)-SUM($G$30:G101),2),"")</f>
        <v/>
      </c>
      <c r="H102" s="941" t="str">
        <f t="shared" si="84"/>
        <v/>
      </c>
      <c r="I102" s="941" t="str">
        <f t="shared" si="85"/>
        <v/>
      </c>
      <c r="J102" s="941" t="str">
        <f t="shared" si="86"/>
        <v/>
      </c>
      <c r="L102" s="613" t="str">
        <f>IF(_NrRaty&gt;LRat,"",_NrRaty)</f>
        <v/>
      </c>
      <c r="M102" s="913" t="str">
        <f t="shared" si="48"/>
        <v/>
      </c>
      <c r="N102" s="913" t="str">
        <f t="shared" si="49"/>
        <v/>
      </c>
      <c r="O102" s="921">
        <f t="shared" si="50"/>
        <v>0</v>
      </c>
      <c r="P102" s="921">
        <f t="shared" si="51"/>
        <v>0</v>
      </c>
      <c r="Q102" s="921">
        <f t="shared" si="52"/>
        <v>0</v>
      </c>
      <c r="R102" s="921">
        <f t="shared" si="53"/>
        <v>0</v>
      </c>
      <c r="S102" s="921">
        <f t="shared" si="54"/>
        <v>0</v>
      </c>
      <c r="T102" s="921">
        <f t="shared" si="55"/>
        <v>0</v>
      </c>
      <c r="U102" s="921">
        <f t="shared" si="87"/>
        <v>0</v>
      </c>
      <c r="V102" s="921">
        <f>IF(C102&lt;&gt;"",1/PRODUCT($U$31:U102),0)</f>
        <v>0</v>
      </c>
      <c r="Z102" s="921">
        <f t="shared" si="88"/>
        <v>0</v>
      </c>
      <c r="AA102" s="949">
        <f t="shared" si="79"/>
        <v>0</v>
      </c>
      <c r="AB102" s="949">
        <f t="shared" si="80"/>
        <v>0</v>
      </c>
      <c r="AC102" s="954">
        <f t="shared" si="81"/>
        <v>0</v>
      </c>
      <c r="AD102" s="954">
        <f t="shared" ref="AD102:AD150" si="101">AB102+AC102</f>
        <v>0</v>
      </c>
      <c r="AE102" s="954">
        <f t="shared" si="89"/>
        <v>0</v>
      </c>
      <c r="AF102" s="954">
        <f>IF(L102&lt;=LRat,1/PRODUCT($AE$31:AE102),0)</f>
        <v>0</v>
      </c>
      <c r="AG102" s="966"/>
      <c r="AH102" s="921">
        <f>IF(L102&lt;=LRat,Z102/((1+OE_wynikRRSO)^(SUM($AD$31:AD102))),0)</f>
        <v>0</v>
      </c>
      <c r="AI102" s="966"/>
      <c r="AO102" s="948" t="str">
        <f>IF(_NrRaty&gt;LRat,"",_NrRaty)</f>
        <v/>
      </c>
      <c r="AP102" s="977" t="str">
        <f t="shared" si="56"/>
        <v/>
      </c>
      <c r="AQ102" s="948">
        <f t="shared" si="90"/>
        <v>0</v>
      </c>
      <c r="AR102" s="948">
        <f>IF(_NrRaty&lt;LRat,ROUND(AT101*$AN$20*(SUM(O102:P102)/365),2),0)+IF(_NrRaty=LRat,AQ102-AS102,0)</f>
        <v>0</v>
      </c>
      <c r="AS102" s="948">
        <f>IF(_NrRaty&lt;LRat,ROUND(AQ102-AR102,2),0)+IF(_NrRaty=LRat,AT101,0)</f>
        <v>0</v>
      </c>
      <c r="AT102" s="979">
        <f t="shared" ca="1" si="58"/>
        <v>0</v>
      </c>
      <c r="AU102" s="979" t="b">
        <f t="shared" si="91"/>
        <v>0</v>
      </c>
      <c r="AV102" s="1005">
        <v>0</v>
      </c>
      <c r="AX102" s="948">
        <f t="shared" si="92"/>
        <v>0</v>
      </c>
      <c r="AY102" s="948">
        <f>IF(_NrRaty&lt;=LRat,IF(MOD(YEAR(N102),4)=0,OE_RP_rrso,365),0)</f>
        <v>0</v>
      </c>
      <c r="AZ102" s="948">
        <f>IF(_NrRaty&lt;=LRat,O102/AY101,0)</f>
        <v>0</v>
      </c>
      <c r="BA102" s="1006">
        <f>IF(_NrRaty&lt;=LRat,P102/AY102,0)</f>
        <v>0</v>
      </c>
      <c r="BB102" s="1006">
        <f t="shared" si="100"/>
        <v>0</v>
      </c>
      <c r="BC102" s="1006">
        <f>IF(_NrRaty&lt;=LRat,1+OE_oproc*BB102,0)</f>
        <v>0</v>
      </c>
      <c r="BD102" s="1006">
        <f>IF(_NrRaty&lt;=LRat,1/PRODUCT($BC$31:BC102),0)</f>
        <v>0</v>
      </c>
      <c r="BF102" s="948">
        <f>IF(_NrRaty&lt;=LRat,AX102/((1+SOWK_wynikRRSO)^(SUM($BB$31:BB102))),0)</f>
        <v>0</v>
      </c>
      <c r="BL102" s="1023" t="str">
        <f>IF(_NrRaty&gt;LRat,"",_NrRaty)</f>
        <v/>
      </c>
      <c r="BM102" s="1024" t="str">
        <f>IF(_NrRaty&gt;LRat,"",D102)</f>
        <v/>
      </c>
      <c r="BN102" s="1025" t="str">
        <f t="shared" si="93"/>
        <v/>
      </c>
      <c r="BO102" s="1025" t="str">
        <f t="shared" si="94"/>
        <v/>
      </c>
      <c r="BP102" s="1025" t="str">
        <f t="shared" si="95"/>
        <v/>
      </c>
      <c r="BQ102" s="1025" t="str">
        <f t="shared" si="96"/>
        <v/>
      </c>
      <c r="BR102" s="1124" t="e">
        <f t="shared" si="97"/>
        <v>#VALUE!</v>
      </c>
      <c r="BT102" s="1113" t="str">
        <f>IF(_NrRaty&gt;LRat,"",_NrRaty)</f>
        <v/>
      </c>
      <c r="BU102" s="1023" t="str">
        <f t="shared" si="99"/>
        <v/>
      </c>
      <c r="BV102" s="1114" t="str">
        <f>IF(_NrRaty&gt;LRat,"",SUM($O$31:P102))</f>
        <v/>
      </c>
      <c r="BW102" s="1025" t="str">
        <f>IF(_NrRaty&gt;LRat,"",BV102/365)</f>
        <v/>
      </c>
      <c r="BX102" s="1025" t="str">
        <f>IF(_NrRaty&gt;LRat,"",BW102*BP102)</f>
        <v/>
      </c>
      <c r="BY102" s="1025" t="str">
        <f>IF(_NrRaty&gt;LRat,"",BU102*BX102)</f>
        <v/>
      </c>
    </row>
    <row r="103" spans="1:77" x14ac:dyDescent="0.25">
      <c r="A103" s="973">
        <f t="shared" si="98"/>
        <v>0</v>
      </c>
      <c r="B103" s="924" t="str">
        <f t="shared" si="46"/>
        <v/>
      </c>
      <c r="C103" s="658" t="str">
        <f>IF(_NrRaty&gt;LRat,"",_NrRaty)</f>
        <v/>
      </c>
      <c r="D103" s="659" t="str">
        <f t="shared" si="47"/>
        <v/>
      </c>
      <c r="E103" s="940" t="str">
        <f t="shared" si="82"/>
        <v/>
      </c>
      <c r="F103" s="969" t="str">
        <f t="shared" si="83"/>
        <v/>
      </c>
      <c r="G103" s="940" t="str">
        <f>IF(C103&lt;=LRat,ROUND(ROUND(SUM($F$30:F103),2)-SUM($G$30:G102),2),"")</f>
        <v/>
      </c>
      <c r="H103" s="940" t="str">
        <f t="shared" si="84"/>
        <v/>
      </c>
      <c r="I103" s="940" t="str">
        <f t="shared" si="85"/>
        <v/>
      </c>
      <c r="J103" s="940" t="str">
        <f t="shared" si="86"/>
        <v/>
      </c>
      <c r="L103" s="613" t="str">
        <f>IF(_NrRaty&gt;LRat,"",_NrRaty)</f>
        <v/>
      </c>
      <c r="M103" s="913" t="str">
        <f t="shared" si="48"/>
        <v/>
      </c>
      <c r="N103" s="913" t="str">
        <f t="shared" si="49"/>
        <v/>
      </c>
      <c r="O103" s="921">
        <f t="shared" si="50"/>
        <v>0</v>
      </c>
      <c r="P103" s="921">
        <f t="shared" si="51"/>
        <v>0</v>
      </c>
      <c r="Q103" s="921">
        <f t="shared" si="52"/>
        <v>0</v>
      </c>
      <c r="R103" s="921">
        <f t="shared" si="53"/>
        <v>0</v>
      </c>
      <c r="S103" s="921">
        <f t="shared" si="54"/>
        <v>0</v>
      </c>
      <c r="T103" s="921">
        <f t="shared" si="55"/>
        <v>0</v>
      </c>
      <c r="U103" s="921">
        <f t="shared" si="87"/>
        <v>0</v>
      </c>
      <c r="V103" s="921">
        <f>IF(C103&lt;&gt;"",1/PRODUCT($U$31:U103),0)</f>
        <v>0</v>
      </c>
      <c r="Z103" s="921">
        <f t="shared" si="88"/>
        <v>0</v>
      </c>
      <c r="AA103" s="949">
        <f t="shared" si="79"/>
        <v>0</v>
      </c>
      <c r="AB103" s="949">
        <f t="shared" si="80"/>
        <v>0</v>
      </c>
      <c r="AC103" s="954">
        <f t="shared" si="81"/>
        <v>0</v>
      </c>
      <c r="AD103" s="954">
        <f t="shared" si="101"/>
        <v>0</v>
      </c>
      <c r="AE103" s="954">
        <f t="shared" si="89"/>
        <v>0</v>
      </c>
      <c r="AF103" s="954">
        <f>IF(L103&lt;=LRat,1/PRODUCT($AE$31:AE103),0)</f>
        <v>0</v>
      </c>
      <c r="AG103" s="966"/>
      <c r="AH103" s="921">
        <f>IF(L103&lt;=LRat,Z103/((1+OE_wynikRRSO)^(SUM($AD$31:AD103))),0)</f>
        <v>0</v>
      </c>
      <c r="AI103" s="966"/>
      <c r="AO103" s="948" t="str">
        <f>IF(_NrRaty&gt;LRat,"",_NrRaty)</f>
        <v/>
      </c>
      <c r="AP103" s="977" t="str">
        <f t="shared" si="56"/>
        <v/>
      </c>
      <c r="AQ103" s="948">
        <f t="shared" si="90"/>
        <v>0</v>
      </c>
      <c r="AR103" s="948">
        <f>IF(_NrRaty&lt;LRat,ROUND(AT102*$AN$20*(SUM(O103:P103)/365),2),0)+IF(_NrRaty=LRat,AQ103-AS103,0)</f>
        <v>0</v>
      </c>
      <c r="AS103" s="948">
        <f>IF(_NrRaty&lt;LRat,ROUND(AQ103-AR103,2),0)+IF(_NrRaty=LRat,AT102,0)</f>
        <v>0</v>
      </c>
      <c r="AT103" s="979">
        <f t="shared" ca="1" si="58"/>
        <v>0</v>
      </c>
      <c r="AU103" s="979" t="b">
        <f t="shared" si="91"/>
        <v>0</v>
      </c>
      <c r="AV103" s="1005">
        <v>0</v>
      </c>
      <c r="AX103" s="948">
        <f t="shared" si="92"/>
        <v>0</v>
      </c>
      <c r="AY103" s="948">
        <f>IF(_NrRaty&lt;=LRat,IF(MOD(YEAR(N103),4)=0,OE_RP_rrso,365),0)</f>
        <v>0</v>
      </c>
      <c r="AZ103" s="948">
        <f>IF(_NrRaty&lt;=LRat,O103/AY102,0)</f>
        <v>0</v>
      </c>
      <c r="BA103" s="1006">
        <f>IF(_NrRaty&lt;=LRat,P103/AY103,0)</f>
        <v>0</v>
      </c>
      <c r="BB103" s="1006">
        <f t="shared" si="100"/>
        <v>0</v>
      </c>
      <c r="BC103" s="1006">
        <f>IF(_NrRaty&lt;=LRat,1+OE_oproc*BB103,0)</f>
        <v>0</v>
      </c>
      <c r="BD103" s="1006">
        <f>IF(_NrRaty&lt;=LRat,1/PRODUCT($BC$31:BC103),0)</f>
        <v>0</v>
      </c>
      <c r="BF103" s="948">
        <f>IF(_NrRaty&lt;=LRat,AX103/((1+SOWK_wynikRRSO)^(SUM($BB$31:BB103))),0)</f>
        <v>0</v>
      </c>
      <c r="BL103" s="1023" t="str">
        <f>IF(_NrRaty&gt;LRat,"",_NrRaty)</f>
        <v/>
      </c>
      <c r="BM103" s="1024" t="str">
        <f>IF(_NrRaty&gt;LRat,"",D103)</f>
        <v/>
      </c>
      <c r="BN103" s="1025" t="str">
        <f t="shared" si="93"/>
        <v/>
      </c>
      <c r="BO103" s="1025" t="str">
        <f t="shared" si="94"/>
        <v/>
      </c>
      <c r="BP103" s="1025" t="str">
        <f t="shared" si="95"/>
        <v/>
      </c>
      <c r="BQ103" s="1025" t="str">
        <f t="shared" si="96"/>
        <v/>
      </c>
      <c r="BR103" s="1124" t="e">
        <f t="shared" si="97"/>
        <v>#VALUE!</v>
      </c>
      <c r="BT103" s="1113" t="str">
        <f>IF(_NrRaty&gt;LRat,"",_NrRaty)</f>
        <v/>
      </c>
      <c r="BU103" s="1023" t="str">
        <f t="shared" si="99"/>
        <v/>
      </c>
      <c r="BV103" s="1114" t="str">
        <f>IF(_NrRaty&gt;LRat,"",SUM($O$31:P103))</f>
        <v/>
      </c>
      <c r="BW103" s="1025" t="str">
        <f>IF(_NrRaty&gt;LRat,"",BV103/365)</f>
        <v/>
      </c>
      <c r="BX103" s="1025" t="str">
        <f>IF(_NrRaty&gt;LRat,"",BW103*BP103)</f>
        <v/>
      </c>
      <c r="BY103" s="1025" t="str">
        <f>IF(_NrRaty&gt;LRat,"",BU103*BX103)</f>
        <v/>
      </c>
    </row>
    <row r="104" spans="1:77" x14ac:dyDescent="0.25">
      <c r="A104" s="973">
        <f t="shared" si="98"/>
        <v>0</v>
      </c>
      <c r="B104" s="924" t="str">
        <f t="shared" si="46"/>
        <v/>
      </c>
      <c r="C104" s="660" t="str">
        <f>IF(_NrRaty&gt;LRat,"",_NrRaty)</f>
        <v/>
      </c>
      <c r="D104" s="661" t="str">
        <f t="shared" si="47"/>
        <v/>
      </c>
      <c r="E104" s="941" t="str">
        <f t="shared" si="82"/>
        <v/>
      </c>
      <c r="F104" s="970" t="str">
        <f t="shared" si="83"/>
        <v/>
      </c>
      <c r="G104" s="941" t="str">
        <f>IF(C104&lt;=LRat,ROUND(ROUND(SUM($F$30:F104),2)-SUM($G$30:G103),2),"")</f>
        <v/>
      </c>
      <c r="H104" s="941" t="str">
        <f t="shared" si="84"/>
        <v/>
      </c>
      <c r="I104" s="941" t="str">
        <f t="shared" si="85"/>
        <v/>
      </c>
      <c r="J104" s="941" t="str">
        <f t="shared" si="86"/>
        <v/>
      </c>
      <c r="L104" s="613" t="str">
        <f>IF(_NrRaty&gt;LRat,"",_NrRaty)</f>
        <v/>
      </c>
      <c r="M104" s="913" t="str">
        <f t="shared" si="48"/>
        <v/>
      </c>
      <c r="N104" s="913" t="str">
        <f t="shared" si="49"/>
        <v/>
      </c>
      <c r="O104" s="921">
        <f t="shared" si="50"/>
        <v>0</v>
      </c>
      <c r="P104" s="921">
        <f t="shared" si="51"/>
        <v>0</v>
      </c>
      <c r="Q104" s="921">
        <f t="shared" si="52"/>
        <v>0</v>
      </c>
      <c r="R104" s="921">
        <f t="shared" si="53"/>
        <v>0</v>
      </c>
      <c r="S104" s="921">
        <f t="shared" si="54"/>
        <v>0</v>
      </c>
      <c r="T104" s="921">
        <f t="shared" si="55"/>
        <v>0</v>
      </c>
      <c r="U104" s="921">
        <f t="shared" si="87"/>
        <v>0</v>
      </c>
      <c r="V104" s="921">
        <f>IF(C104&lt;&gt;"",1/PRODUCT($U$31:U104),0)</f>
        <v>0</v>
      </c>
      <c r="Z104" s="921">
        <f t="shared" si="88"/>
        <v>0</v>
      </c>
      <c r="AA104" s="949">
        <f t="shared" si="79"/>
        <v>0</v>
      </c>
      <c r="AB104" s="949">
        <f t="shared" si="80"/>
        <v>0</v>
      </c>
      <c r="AC104" s="954">
        <f t="shared" si="81"/>
        <v>0</v>
      </c>
      <c r="AD104" s="954">
        <f t="shared" si="101"/>
        <v>0</v>
      </c>
      <c r="AE104" s="954">
        <f t="shared" si="89"/>
        <v>0</v>
      </c>
      <c r="AF104" s="954">
        <f>IF(L104&lt;=LRat,1/PRODUCT($AE$31:AE104),0)</f>
        <v>0</v>
      </c>
      <c r="AG104" s="966"/>
      <c r="AH104" s="921">
        <f>IF(L104&lt;=LRat,Z104/((1+OE_wynikRRSO)^(SUM($AD$31:AD104))),0)</f>
        <v>0</v>
      </c>
      <c r="AI104" s="966"/>
      <c r="AO104" s="948" t="str">
        <f>IF(_NrRaty&gt;LRat,"",_NrRaty)</f>
        <v/>
      </c>
      <c r="AP104" s="977" t="str">
        <f t="shared" si="56"/>
        <v/>
      </c>
      <c r="AQ104" s="948">
        <f t="shared" si="90"/>
        <v>0</v>
      </c>
      <c r="AR104" s="948">
        <f>IF(_NrRaty&lt;LRat,ROUND(AT103*$AN$20*(SUM(O104:P104)/365),2),0)+IF(_NrRaty=LRat,AQ104-AS104,0)</f>
        <v>0</v>
      </c>
      <c r="AS104" s="948">
        <f>IF(_NrRaty&lt;LRat,ROUND(AQ104-AR104,2),0)+IF(_NrRaty=LRat,AT103,0)</f>
        <v>0</v>
      </c>
      <c r="AT104" s="979">
        <f t="shared" ca="1" si="58"/>
        <v>0</v>
      </c>
      <c r="AU104" s="979" t="b">
        <f t="shared" si="91"/>
        <v>0</v>
      </c>
      <c r="AV104" s="1005">
        <v>0</v>
      </c>
      <c r="AX104" s="948">
        <f t="shared" si="92"/>
        <v>0</v>
      </c>
      <c r="AY104" s="948">
        <f>IF(_NrRaty&lt;=LRat,IF(MOD(YEAR(N104),4)=0,OE_RP_rrso,365),0)</f>
        <v>0</v>
      </c>
      <c r="AZ104" s="948">
        <f>IF(_NrRaty&lt;=LRat,O104/AY103,0)</f>
        <v>0</v>
      </c>
      <c r="BA104" s="1006">
        <f>IF(_NrRaty&lt;=LRat,P104/AY104,0)</f>
        <v>0</v>
      </c>
      <c r="BB104" s="1006">
        <f t="shared" si="100"/>
        <v>0</v>
      </c>
      <c r="BC104" s="1006">
        <f>IF(_NrRaty&lt;=LRat,1+OE_oproc*BB104,0)</f>
        <v>0</v>
      </c>
      <c r="BD104" s="1006">
        <f>IF(_NrRaty&lt;=LRat,1/PRODUCT($BC$31:BC104),0)</f>
        <v>0</v>
      </c>
      <c r="BF104" s="948">
        <f>IF(_NrRaty&lt;=LRat,AX104/((1+SOWK_wynikRRSO)^(SUM($BB$31:BB104))),0)</f>
        <v>0</v>
      </c>
      <c r="BL104" s="1023" t="str">
        <f>IF(_NrRaty&gt;LRat,"",_NrRaty)</f>
        <v/>
      </c>
      <c r="BM104" s="1024" t="str">
        <f>IF(_NrRaty&gt;LRat,"",D104)</f>
        <v/>
      </c>
      <c r="BN104" s="1025" t="str">
        <f t="shared" si="93"/>
        <v/>
      </c>
      <c r="BO104" s="1025" t="str">
        <f t="shared" si="94"/>
        <v/>
      </c>
      <c r="BP104" s="1025" t="str">
        <f t="shared" si="95"/>
        <v/>
      </c>
      <c r="BQ104" s="1025" t="str">
        <f t="shared" si="96"/>
        <v/>
      </c>
      <c r="BR104" s="1124" t="e">
        <f t="shared" si="97"/>
        <v>#VALUE!</v>
      </c>
      <c r="BT104" s="1113" t="str">
        <f>IF(_NrRaty&gt;LRat,"",_NrRaty)</f>
        <v/>
      </c>
      <c r="BU104" s="1023" t="str">
        <f t="shared" si="99"/>
        <v/>
      </c>
      <c r="BV104" s="1114" t="str">
        <f>IF(_NrRaty&gt;LRat,"",SUM($O$31:P104))</f>
        <v/>
      </c>
      <c r="BW104" s="1025" t="str">
        <f>IF(_NrRaty&gt;LRat,"",BV104/365)</f>
        <v/>
      </c>
      <c r="BX104" s="1025" t="str">
        <f>IF(_NrRaty&gt;LRat,"",BW104*BP104)</f>
        <v/>
      </c>
      <c r="BY104" s="1025" t="str">
        <f>IF(_NrRaty&gt;LRat,"",BU104*BX104)</f>
        <v/>
      </c>
    </row>
    <row r="105" spans="1:77" x14ac:dyDescent="0.25">
      <c r="A105" s="973">
        <f t="shared" si="98"/>
        <v>0</v>
      </c>
      <c r="B105" s="924" t="str">
        <f t="shared" si="46"/>
        <v/>
      </c>
      <c r="C105" s="658" t="str">
        <f>IF(_NrRaty&gt;LRat,"",_NrRaty)</f>
        <v/>
      </c>
      <c r="D105" s="659" t="str">
        <f t="shared" si="47"/>
        <v/>
      </c>
      <c r="E105" s="940" t="str">
        <f t="shared" si="82"/>
        <v/>
      </c>
      <c r="F105" s="969" t="str">
        <f t="shared" si="83"/>
        <v/>
      </c>
      <c r="G105" s="940" t="str">
        <f>IF(C105&lt;=LRat,ROUND(ROUND(SUM($F$30:F105),2)-SUM($G$30:G104),2),"")</f>
        <v/>
      </c>
      <c r="H105" s="940" t="str">
        <f t="shared" si="84"/>
        <v/>
      </c>
      <c r="I105" s="940" t="str">
        <f t="shared" si="85"/>
        <v/>
      </c>
      <c r="J105" s="940" t="str">
        <f t="shared" si="86"/>
        <v/>
      </c>
      <c r="L105" s="613" t="str">
        <f>IF(_NrRaty&gt;LRat,"",_NrRaty)</f>
        <v/>
      </c>
      <c r="M105" s="913" t="str">
        <f t="shared" si="48"/>
        <v/>
      </c>
      <c r="N105" s="913" t="str">
        <f t="shared" si="49"/>
        <v/>
      </c>
      <c r="O105" s="921">
        <f t="shared" si="50"/>
        <v>0</v>
      </c>
      <c r="P105" s="921">
        <f t="shared" si="51"/>
        <v>0</v>
      </c>
      <c r="Q105" s="921">
        <f t="shared" si="52"/>
        <v>0</v>
      </c>
      <c r="R105" s="921">
        <f t="shared" si="53"/>
        <v>0</v>
      </c>
      <c r="S105" s="921">
        <f t="shared" si="54"/>
        <v>0</v>
      </c>
      <c r="T105" s="921">
        <f t="shared" si="55"/>
        <v>0</v>
      </c>
      <c r="U105" s="921">
        <f t="shared" si="87"/>
        <v>0</v>
      </c>
      <c r="V105" s="921">
        <f>IF(C105&lt;&gt;"",1/PRODUCT($U$31:U105),0)</f>
        <v>0</v>
      </c>
      <c r="Z105" s="921">
        <f t="shared" si="88"/>
        <v>0</v>
      </c>
      <c r="AA105" s="949">
        <f t="shared" si="79"/>
        <v>0</v>
      </c>
      <c r="AB105" s="949">
        <f t="shared" si="80"/>
        <v>0</v>
      </c>
      <c r="AC105" s="954">
        <f t="shared" si="81"/>
        <v>0</v>
      </c>
      <c r="AD105" s="954">
        <f t="shared" si="101"/>
        <v>0</v>
      </c>
      <c r="AE105" s="954">
        <f t="shared" si="89"/>
        <v>0</v>
      </c>
      <c r="AF105" s="954">
        <f>IF(L105&lt;=LRat,1/PRODUCT($AE$31:AE105),0)</f>
        <v>0</v>
      </c>
      <c r="AG105" s="966"/>
      <c r="AH105" s="921">
        <f>IF(L105&lt;=LRat,Z105/((1+OE_wynikRRSO)^(SUM($AD$31:AD105))),0)</f>
        <v>0</v>
      </c>
      <c r="AI105" s="966"/>
      <c r="AO105" s="948" t="str">
        <f>IF(_NrRaty&gt;LRat,"",_NrRaty)</f>
        <v/>
      </c>
      <c r="AP105" s="977" t="str">
        <f t="shared" si="56"/>
        <v/>
      </c>
      <c r="AQ105" s="948">
        <f t="shared" si="90"/>
        <v>0</v>
      </c>
      <c r="AR105" s="948">
        <f>IF(_NrRaty&lt;LRat,ROUND(AT104*$AN$20*(SUM(O105:P105)/365),2),0)+IF(_NrRaty=LRat,AQ105-AS105,0)</f>
        <v>0</v>
      </c>
      <c r="AS105" s="948">
        <f>IF(_NrRaty&lt;LRat,ROUND(AQ105-AR105,2),0)+IF(_NrRaty=LRat,AT104,0)</f>
        <v>0</v>
      </c>
      <c r="AT105" s="979">
        <f t="shared" ca="1" si="58"/>
        <v>0</v>
      </c>
      <c r="AU105" s="979" t="b">
        <f t="shared" si="91"/>
        <v>0</v>
      </c>
      <c r="AV105" s="1005">
        <v>0</v>
      </c>
      <c r="AX105" s="948">
        <f t="shared" si="92"/>
        <v>0</v>
      </c>
      <c r="AY105" s="948">
        <f>IF(_NrRaty&lt;=LRat,IF(MOD(YEAR(N105),4)=0,OE_RP_rrso,365),0)</f>
        <v>0</v>
      </c>
      <c r="AZ105" s="948">
        <f>IF(_NrRaty&lt;=LRat,O105/AY104,0)</f>
        <v>0</v>
      </c>
      <c r="BA105" s="1006">
        <f>IF(_NrRaty&lt;=LRat,P105/AY105,0)</f>
        <v>0</v>
      </c>
      <c r="BB105" s="1006">
        <f t="shared" si="100"/>
        <v>0</v>
      </c>
      <c r="BC105" s="1006">
        <f>IF(_NrRaty&lt;=LRat,1+OE_oproc*BB105,0)</f>
        <v>0</v>
      </c>
      <c r="BD105" s="1006">
        <f>IF(_NrRaty&lt;=LRat,1/PRODUCT($BC$31:BC105),0)</f>
        <v>0</v>
      </c>
      <c r="BF105" s="948">
        <f>IF(_NrRaty&lt;=LRat,AX105/((1+SOWK_wynikRRSO)^(SUM($BB$31:BB105))),0)</f>
        <v>0</v>
      </c>
      <c r="BL105" s="1023" t="str">
        <f>IF(_NrRaty&gt;LRat,"",_NrRaty)</f>
        <v/>
      </c>
      <c r="BM105" s="1024" t="str">
        <f>IF(_NrRaty&gt;LRat,"",D105)</f>
        <v/>
      </c>
      <c r="BN105" s="1025" t="str">
        <f t="shared" si="93"/>
        <v/>
      </c>
      <c r="BO105" s="1025" t="str">
        <f t="shared" si="94"/>
        <v/>
      </c>
      <c r="BP105" s="1025" t="str">
        <f t="shared" si="95"/>
        <v/>
      </c>
      <c r="BQ105" s="1025" t="str">
        <f t="shared" si="96"/>
        <v/>
      </c>
      <c r="BR105" s="1124" t="e">
        <f t="shared" si="97"/>
        <v>#VALUE!</v>
      </c>
      <c r="BT105" s="1113" t="str">
        <f>IF(_NrRaty&gt;LRat,"",_NrRaty)</f>
        <v/>
      </c>
      <c r="BU105" s="1023" t="str">
        <f t="shared" si="99"/>
        <v/>
      </c>
      <c r="BV105" s="1114" t="str">
        <f>IF(_NrRaty&gt;LRat,"",SUM($O$31:P105))</f>
        <v/>
      </c>
      <c r="BW105" s="1025" t="str">
        <f>IF(_NrRaty&gt;LRat,"",BV105/365)</f>
        <v/>
      </c>
      <c r="BX105" s="1025" t="str">
        <f>IF(_NrRaty&gt;LRat,"",BW105*BP105)</f>
        <v/>
      </c>
      <c r="BY105" s="1025" t="str">
        <f>IF(_NrRaty&gt;LRat,"",BU105*BX105)</f>
        <v/>
      </c>
    </row>
    <row r="106" spans="1:77" x14ac:dyDescent="0.25">
      <c r="A106" s="973">
        <f t="shared" si="98"/>
        <v>0</v>
      </c>
      <c r="B106" s="924" t="str">
        <f t="shared" si="46"/>
        <v/>
      </c>
      <c r="C106" s="660" t="str">
        <f>IF(_NrRaty&gt;LRat,"",_NrRaty)</f>
        <v/>
      </c>
      <c r="D106" s="661" t="str">
        <f t="shared" si="47"/>
        <v/>
      </c>
      <c r="E106" s="941" t="str">
        <f t="shared" si="82"/>
        <v/>
      </c>
      <c r="F106" s="970" t="str">
        <f t="shared" si="83"/>
        <v/>
      </c>
      <c r="G106" s="941" t="str">
        <f>IF(C106&lt;=LRat,ROUND(ROUND(SUM($F$30:F106),2)-SUM($G$30:G105),2),"")</f>
        <v/>
      </c>
      <c r="H106" s="941" t="str">
        <f t="shared" si="84"/>
        <v/>
      </c>
      <c r="I106" s="941" t="str">
        <f t="shared" si="85"/>
        <v/>
      </c>
      <c r="J106" s="941" t="str">
        <f t="shared" si="86"/>
        <v/>
      </c>
      <c r="L106" s="613" t="str">
        <f>IF(_NrRaty&gt;LRat,"",_NrRaty)</f>
        <v/>
      </c>
      <c r="M106" s="913" t="str">
        <f t="shared" si="48"/>
        <v/>
      </c>
      <c r="N106" s="913" t="str">
        <f t="shared" si="49"/>
        <v/>
      </c>
      <c r="O106" s="921">
        <f t="shared" si="50"/>
        <v>0</v>
      </c>
      <c r="P106" s="921">
        <f t="shared" si="51"/>
        <v>0</v>
      </c>
      <c r="Q106" s="921">
        <f t="shared" si="52"/>
        <v>0</v>
      </c>
      <c r="R106" s="921">
        <f t="shared" si="53"/>
        <v>0</v>
      </c>
      <c r="S106" s="921">
        <f t="shared" si="54"/>
        <v>0</v>
      </c>
      <c r="T106" s="921">
        <f t="shared" si="55"/>
        <v>0</v>
      </c>
      <c r="U106" s="921">
        <f t="shared" si="87"/>
        <v>0</v>
      </c>
      <c r="V106" s="921">
        <f>IF(C106&lt;&gt;"",1/PRODUCT($U$31:U106),0)</f>
        <v>0</v>
      </c>
      <c r="Z106" s="921">
        <f t="shared" si="88"/>
        <v>0</v>
      </c>
      <c r="AA106" s="949">
        <f t="shared" si="79"/>
        <v>0</v>
      </c>
      <c r="AB106" s="949">
        <f t="shared" si="80"/>
        <v>0</v>
      </c>
      <c r="AC106" s="954">
        <f t="shared" si="81"/>
        <v>0</v>
      </c>
      <c r="AD106" s="954">
        <f t="shared" si="101"/>
        <v>0</v>
      </c>
      <c r="AE106" s="954">
        <f t="shared" si="89"/>
        <v>0</v>
      </c>
      <c r="AF106" s="954">
        <f>IF(L106&lt;=LRat,1/PRODUCT($AE$31:AE106),0)</f>
        <v>0</v>
      </c>
      <c r="AG106" s="966"/>
      <c r="AH106" s="921">
        <f>IF(L106&lt;=LRat,Z106/((1+OE_wynikRRSO)^(SUM($AD$31:AD106))),0)</f>
        <v>0</v>
      </c>
      <c r="AI106" s="966"/>
      <c r="AO106" s="948" t="str">
        <f>IF(_NrRaty&gt;LRat,"",_NrRaty)</f>
        <v/>
      </c>
      <c r="AP106" s="977" t="str">
        <f t="shared" si="56"/>
        <v/>
      </c>
      <c r="AQ106" s="948">
        <f t="shared" si="90"/>
        <v>0</v>
      </c>
      <c r="AR106" s="948">
        <f>IF(_NrRaty&lt;LRat,ROUND(AT105*$AN$20*(SUM(O106:P106)/365),2),0)+IF(_NrRaty=LRat,AQ106-AS106,0)</f>
        <v>0</v>
      </c>
      <c r="AS106" s="948">
        <f>IF(_NrRaty&lt;LRat,ROUND(AQ106-AR106,2),0)+IF(_NrRaty=LRat,AT105,0)</f>
        <v>0</v>
      </c>
      <c r="AT106" s="979">
        <f t="shared" ca="1" si="58"/>
        <v>0</v>
      </c>
      <c r="AU106" s="979" t="b">
        <f t="shared" si="91"/>
        <v>0</v>
      </c>
      <c r="AV106" s="1005">
        <v>0</v>
      </c>
      <c r="AX106" s="948">
        <f t="shared" si="92"/>
        <v>0</v>
      </c>
      <c r="AY106" s="948">
        <f>IF(_NrRaty&lt;=LRat,IF(MOD(YEAR(N106),4)=0,OE_RP_rrso,365),0)</f>
        <v>0</v>
      </c>
      <c r="AZ106" s="948">
        <f>IF(_NrRaty&lt;=LRat,O106/AY105,0)</f>
        <v>0</v>
      </c>
      <c r="BA106" s="1006">
        <f>IF(_NrRaty&lt;=LRat,P106/AY106,0)</f>
        <v>0</v>
      </c>
      <c r="BB106" s="1006">
        <f t="shared" si="100"/>
        <v>0</v>
      </c>
      <c r="BC106" s="1006">
        <f>IF(_NrRaty&lt;=LRat,1+OE_oproc*BB106,0)</f>
        <v>0</v>
      </c>
      <c r="BD106" s="1006">
        <f>IF(_NrRaty&lt;=LRat,1/PRODUCT($BC$31:BC106),0)</f>
        <v>0</v>
      </c>
      <c r="BF106" s="948">
        <f>IF(_NrRaty&lt;=LRat,AX106/((1+SOWK_wynikRRSO)^(SUM($BB$31:BB106))),0)</f>
        <v>0</v>
      </c>
      <c r="BL106" s="1023" t="str">
        <f>IF(_NrRaty&gt;LRat,"",_NrRaty)</f>
        <v/>
      </c>
      <c r="BM106" s="1024" t="str">
        <f>IF(_NrRaty&gt;LRat,"",D106)</f>
        <v/>
      </c>
      <c r="BN106" s="1025" t="str">
        <f t="shared" si="93"/>
        <v/>
      </c>
      <c r="BO106" s="1025" t="str">
        <f t="shared" si="94"/>
        <v/>
      </c>
      <c r="BP106" s="1025" t="str">
        <f t="shared" si="95"/>
        <v/>
      </c>
      <c r="BQ106" s="1025" t="str">
        <f t="shared" si="96"/>
        <v/>
      </c>
      <c r="BR106" s="1124" t="e">
        <f t="shared" si="97"/>
        <v>#VALUE!</v>
      </c>
      <c r="BT106" s="1113" t="str">
        <f>IF(_NrRaty&gt;LRat,"",_NrRaty)</f>
        <v/>
      </c>
      <c r="BU106" s="1023" t="str">
        <f t="shared" si="99"/>
        <v/>
      </c>
      <c r="BV106" s="1114" t="str">
        <f>IF(_NrRaty&gt;LRat,"",SUM($O$31:P106))</f>
        <v/>
      </c>
      <c r="BW106" s="1025" t="str">
        <f>IF(_NrRaty&gt;LRat,"",BV106/365)</f>
        <v/>
      </c>
      <c r="BX106" s="1025" t="str">
        <f>IF(_NrRaty&gt;LRat,"",BW106*BP106)</f>
        <v/>
      </c>
      <c r="BY106" s="1025" t="str">
        <f>IF(_NrRaty&gt;LRat,"",BU106*BX106)</f>
        <v/>
      </c>
    </row>
    <row r="107" spans="1:77" x14ac:dyDescent="0.25">
      <c r="A107" s="973">
        <f t="shared" si="98"/>
        <v>0</v>
      </c>
      <c r="B107" s="924" t="str">
        <f t="shared" ref="B107:B150" si="102">IF(C107&lt;&gt;"",
DATE(YEAR(D106),MONTH(D106)+1,DzNietySpl),"")</f>
        <v/>
      </c>
      <c r="C107" s="658" t="str">
        <f>IF(_NrRaty&gt;LRat,"",_NrRaty)</f>
        <v/>
      </c>
      <c r="D107" s="659" t="str">
        <f t="shared" ref="D107:D150" si="103">IF(C107&lt;&gt;"",
IF(MOD(MONTH(B107)-MONTH(B106),12)&gt;1,DATE(YEAR(B107),MONTH(B107),DAY(B107)-DAY(B107)),B107),"")</f>
        <v/>
      </c>
      <c r="E107" s="940" t="str">
        <f t="shared" si="82"/>
        <v/>
      </c>
      <c r="F107" s="969" t="str">
        <f t="shared" si="83"/>
        <v/>
      </c>
      <c r="G107" s="940" t="str">
        <f>IF(C107&lt;=LRat,ROUND(ROUND(SUM($F$30:F107),2)-SUM($G$30:G106),2),"")</f>
        <v/>
      </c>
      <c r="H107" s="940" t="str">
        <f t="shared" si="84"/>
        <v/>
      </c>
      <c r="I107" s="940" t="str">
        <f t="shared" si="85"/>
        <v/>
      </c>
      <c r="J107" s="940" t="str">
        <f t="shared" si="86"/>
        <v/>
      </c>
      <c r="L107" s="613" t="str">
        <f>IF(_NrRaty&gt;LRat,"",_NrRaty)</f>
        <v/>
      </c>
      <c r="M107" s="913" t="str">
        <f t="shared" ref="M107:M150" si="104">IF(C107&lt;&gt;"",DATE(YEAR((D107)),MONTH((D107))+1,1)-1,"")</f>
        <v/>
      </c>
      <c r="N107" s="913" t="str">
        <f t="shared" ref="N107:N150" si="105">D107</f>
        <v/>
      </c>
      <c r="O107" s="921">
        <f t="shared" ref="O107:O150" si="106">IF(C107&lt;&gt;"",M106-N106+1,0)</f>
        <v>0</v>
      </c>
      <c r="P107" s="921">
        <f t="shared" ref="P107:P150" si="107">IF(C107&lt;&gt;"",N107-M106-1,0)</f>
        <v>0</v>
      </c>
      <c r="Q107" s="921">
        <f t="shared" ref="Q107:Q150" si="108">IF(C107&lt;&gt;"",IF(MOD(YEAR(N107),4)=0,OE_RP_raty,365),0)</f>
        <v>0</v>
      </c>
      <c r="R107" s="921">
        <f t="shared" ref="R107:R150" si="109">IF(C107&lt;&gt;"",O107/Q106,0)</f>
        <v>0</v>
      </c>
      <c r="S107" s="921">
        <f t="shared" ref="S107:S150" si="110">IF(C107&lt;&gt;"",P107/Q107,0)</f>
        <v>0</v>
      </c>
      <c r="T107" s="921">
        <f t="shared" ref="T107:T150" si="111">R107+S107</f>
        <v>0</v>
      </c>
      <c r="U107" s="921">
        <f t="shared" si="87"/>
        <v>0</v>
      </c>
      <c r="V107" s="921">
        <f>IF(C107&lt;&gt;"",1/PRODUCT($U$31:U107),0)</f>
        <v>0</v>
      </c>
      <c r="Z107" s="921">
        <f t="shared" si="88"/>
        <v>0</v>
      </c>
      <c r="AA107" s="949">
        <f t="shared" si="79"/>
        <v>0</v>
      </c>
      <c r="AB107" s="949">
        <f t="shared" si="80"/>
        <v>0</v>
      </c>
      <c r="AC107" s="954">
        <f t="shared" si="81"/>
        <v>0</v>
      </c>
      <c r="AD107" s="954">
        <f t="shared" si="101"/>
        <v>0</v>
      </c>
      <c r="AE107" s="954">
        <f t="shared" si="89"/>
        <v>0</v>
      </c>
      <c r="AF107" s="954">
        <f>IF(L107&lt;=LRat,1/PRODUCT($AE$31:AE107),0)</f>
        <v>0</v>
      </c>
      <c r="AG107" s="966"/>
      <c r="AH107" s="921">
        <f>IF(L107&lt;=LRat,Z107/((1+OE_wynikRRSO)^(SUM($AD$31:AD107))),0)</f>
        <v>0</v>
      </c>
      <c r="AI107" s="966"/>
      <c r="AO107" s="948" t="str">
        <f>IF(_NrRaty&gt;LRat,"",_NrRaty)</f>
        <v/>
      </c>
      <c r="AP107" s="977" t="str">
        <f t="shared" ref="AP107:AP150" si="112">D107</f>
        <v/>
      </c>
      <c r="AQ107" s="948">
        <f t="shared" si="90"/>
        <v>0</v>
      </c>
      <c r="AR107" s="948">
        <f>IF(_NrRaty&lt;LRat,ROUND(AT106*$AN$20*(SUM(O107:P107)/365),2),0)+IF(_NrRaty=LRat,AQ107-AS107,0)</f>
        <v>0</v>
      </c>
      <c r="AS107" s="948">
        <f>IF(_NrRaty&lt;LRat,ROUND(AQ107-AR107,2),0)+IF(_NrRaty=LRat,AT106,0)</f>
        <v>0</v>
      </c>
      <c r="AT107" s="979">
        <f t="shared" ca="1" si="58"/>
        <v>0</v>
      </c>
      <c r="AU107" s="979" t="b">
        <f t="shared" si="91"/>
        <v>0</v>
      </c>
      <c r="AV107" s="1005">
        <v>0</v>
      </c>
      <c r="AX107" s="948">
        <f t="shared" si="92"/>
        <v>0</v>
      </c>
      <c r="AY107" s="948">
        <f>IF(_NrRaty&lt;=LRat,IF(MOD(YEAR(N107),4)=0,OE_RP_rrso,365),0)</f>
        <v>0</v>
      </c>
      <c r="AZ107" s="948">
        <f>IF(_NrRaty&lt;=LRat,O107/AY106,0)</f>
        <v>0</v>
      </c>
      <c r="BA107" s="1006">
        <f>IF(_NrRaty&lt;=LRat,P107/AY107,0)</f>
        <v>0</v>
      </c>
      <c r="BB107" s="1006">
        <f t="shared" si="100"/>
        <v>0</v>
      </c>
      <c r="BC107" s="1006">
        <f>IF(_NrRaty&lt;=LRat,1+OE_oproc*BB107,0)</f>
        <v>0</v>
      </c>
      <c r="BD107" s="1006">
        <f>IF(_NrRaty&lt;=LRat,1/PRODUCT($BC$31:BC107),0)</f>
        <v>0</v>
      </c>
      <c r="BF107" s="948">
        <f>IF(_NrRaty&lt;=LRat,AX107/((1+SOWK_wynikRRSO)^(SUM($BB$31:BB107))),0)</f>
        <v>0</v>
      </c>
      <c r="BL107" s="1023" t="str">
        <f>IF(_NrRaty&gt;LRat,"",_NrRaty)</f>
        <v/>
      </c>
      <c r="BM107" s="1024" t="str">
        <f>IF(_NrRaty&gt;LRat,"",D107)</f>
        <v/>
      </c>
      <c r="BN107" s="1025" t="str">
        <f t="shared" si="93"/>
        <v/>
      </c>
      <c r="BO107" s="1025" t="str">
        <f t="shared" si="94"/>
        <v/>
      </c>
      <c r="BP107" s="1025" t="str">
        <f t="shared" si="95"/>
        <v/>
      </c>
      <c r="BQ107" s="1025" t="str">
        <f t="shared" si="96"/>
        <v/>
      </c>
      <c r="BR107" s="1124" t="e">
        <f t="shared" si="97"/>
        <v>#VALUE!</v>
      </c>
      <c r="BT107" s="1113" t="str">
        <f>IF(_NrRaty&gt;LRat,"",_NrRaty)</f>
        <v/>
      </c>
      <c r="BU107" s="1023" t="str">
        <f t="shared" si="99"/>
        <v/>
      </c>
      <c r="BV107" s="1114" t="str">
        <f>IF(_NrRaty&gt;LRat,"",SUM($O$31:P107))</f>
        <v/>
      </c>
      <c r="BW107" s="1025" t="str">
        <f>IF(_NrRaty&gt;LRat,"",BV107/365)</f>
        <v/>
      </c>
      <c r="BX107" s="1025" t="str">
        <f>IF(_NrRaty&gt;LRat,"",BW107*BP107)</f>
        <v/>
      </c>
      <c r="BY107" s="1025" t="str">
        <f>IF(_NrRaty&gt;LRat,"",BU107*BX107)</f>
        <v/>
      </c>
    </row>
    <row r="108" spans="1:77" x14ac:dyDescent="0.25">
      <c r="A108" s="973">
        <f t="shared" si="98"/>
        <v>0</v>
      </c>
      <c r="B108" s="924" t="str">
        <f t="shared" si="102"/>
        <v/>
      </c>
      <c r="C108" s="660" t="str">
        <f>IF(_NrRaty&gt;LRat,"",_NrRaty)</f>
        <v/>
      </c>
      <c r="D108" s="661" t="str">
        <f t="shared" si="103"/>
        <v/>
      </c>
      <c r="E108" s="941" t="str">
        <f t="shared" si="82"/>
        <v/>
      </c>
      <c r="F108" s="970" t="str">
        <f t="shared" si="83"/>
        <v/>
      </c>
      <c r="G108" s="941" t="str">
        <f>IF(C108&lt;=LRat,ROUND(ROUND(SUM($F$30:F108),2)-SUM($G$30:G107),2),"")</f>
        <v/>
      </c>
      <c r="H108" s="941" t="str">
        <f t="shared" si="84"/>
        <v/>
      </c>
      <c r="I108" s="941" t="str">
        <f t="shared" si="85"/>
        <v/>
      </c>
      <c r="J108" s="941" t="str">
        <f t="shared" si="86"/>
        <v/>
      </c>
      <c r="L108" s="613" t="str">
        <f>IF(_NrRaty&gt;LRat,"",_NrRaty)</f>
        <v/>
      </c>
      <c r="M108" s="913" t="str">
        <f t="shared" si="104"/>
        <v/>
      </c>
      <c r="N108" s="913" t="str">
        <f t="shared" si="105"/>
        <v/>
      </c>
      <c r="O108" s="921">
        <f t="shared" si="106"/>
        <v>0</v>
      </c>
      <c r="P108" s="921">
        <f t="shared" si="107"/>
        <v>0</v>
      </c>
      <c r="Q108" s="921">
        <f t="shared" si="108"/>
        <v>0</v>
      </c>
      <c r="R108" s="921">
        <f t="shared" si="109"/>
        <v>0</v>
      </c>
      <c r="S108" s="921">
        <f t="shared" si="110"/>
        <v>0</v>
      </c>
      <c r="T108" s="921">
        <f t="shared" si="111"/>
        <v>0</v>
      </c>
      <c r="U108" s="921">
        <f t="shared" si="87"/>
        <v>0</v>
      </c>
      <c r="V108" s="921">
        <f>IF(C108&lt;&gt;"",1/PRODUCT($U$31:U108),0)</f>
        <v>0</v>
      </c>
      <c r="Z108" s="921">
        <f t="shared" si="88"/>
        <v>0</v>
      </c>
      <c r="AA108" s="949">
        <f t="shared" si="79"/>
        <v>0</v>
      </c>
      <c r="AB108" s="949">
        <f t="shared" si="80"/>
        <v>0</v>
      </c>
      <c r="AC108" s="954">
        <f t="shared" si="81"/>
        <v>0</v>
      </c>
      <c r="AD108" s="954">
        <f t="shared" si="101"/>
        <v>0</v>
      </c>
      <c r="AE108" s="954">
        <f t="shared" si="89"/>
        <v>0</v>
      </c>
      <c r="AF108" s="954">
        <f>IF(L108&lt;=LRat,1/PRODUCT($AE$31:AE108),0)</f>
        <v>0</v>
      </c>
      <c r="AG108" s="966"/>
      <c r="AH108" s="921">
        <f>IF(L108&lt;=LRat,Z108/((1+OE_wynikRRSO)^(SUM($AD$31:AD108))),0)</f>
        <v>0</v>
      </c>
      <c r="AI108" s="966"/>
      <c r="AO108" s="948" t="str">
        <f>IF(_NrRaty&gt;LRat,"",_NrRaty)</f>
        <v/>
      </c>
      <c r="AP108" s="977" t="str">
        <f t="shared" si="112"/>
        <v/>
      </c>
      <c r="AQ108" s="948">
        <f t="shared" si="90"/>
        <v>0</v>
      </c>
      <c r="AR108" s="948">
        <f>IF(_NrRaty&lt;LRat,ROUND(AT107*$AN$20*(SUM(O108:P108)/365),2),0)+IF(_NrRaty=LRat,AQ108-AS108,0)</f>
        <v>0</v>
      </c>
      <c r="AS108" s="948">
        <f>IF(_NrRaty&lt;LRat,ROUND(AQ108-AR108,2),0)+IF(_NrRaty=LRat,AT107,0)</f>
        <v>0</v>
      </c>
      <c r="AT108" s="979">
        <f t="shared" ca="1" si="58"/>
        <v>0</v>
      </c>
      <c r="AU108" s="979" t="b">
        <f t="shared" si="91"/>
        <v>0</v>
      </c>
      <c r="AV108" s="1005">
        <v>0</v>
      </c>
      <c r="AX108" s="948">
        <f t="shared" si="92"/>
        <v>0</v>
      </c>
      <c r="AY108" s="948">
        <f>IF(_NrRaty&lt;=LRat,IF(MOD(YEAR(N108),4)=0,OE_RP_rrso,365),0)</f>
        <v>0</v>
      </c>
      <c r="AZ108" s="948">
        <f>IF(_NrRaty&lt;=LRat,O108/AY107,0)</f>
        <v>0</v>
      </c>
      <c r="BA108" s="1006">
        <f>IF(_NrRaty&lt;=LRat,P108/AY108,0)</f>
        <v>0</v>
      </c>
      <c r="BB108" s="1006">
        <f t="shared" si="100"/>
        <v>0</v>
      </c>
      <c r="BC108" s="1006">
        <f>IF(_NrRaty&lt;=LRat,1+OE_oproc*BB108,0)</f>
        <v>0</v>
      </c>
      <c r="BD108" s="1006">
        <f>IF(_NrRaty&lt;=LRat,1/PRODUCT($BC$31:BC108),0)</f>
        <v>0</v>
      </c>
      <c r="BF108" s="948">
        <f>IF(_NrRaty&lt;=LRat,AX108/((1+SOWK_wynikRRSO)^(SUM($BB$31:BB108))),0)</f>
        <v>0</v>
      </c>
      <c r="BL108" s="1023" t="str">
        <f>IF(_NrRaty&gt;LRat,"",_NrRaty)</f>
        <v/>
      </c>
      <c r="BM108" s="1024" t="str">
        <f>IF(_NrRaty&gt;LRat,"",D108)</f>
        <v/>
      </c>
      <c r="BN108" s="1025" t="str">
        <f t="shared" si="93"/>
        <v/>
      </c>
      <c r="BO108" s="1025" t="str">
        <f t="shared" si="94"/>
        <v/>
      </c>
      <c r="BP108" s="1025" t="str">
        <f t="shared" si="95"/>
        <v/>
      </c>
      <c r="BQ108" s="1025" t="str">
        <f t="shared" si="96"/>
        <v/>
      </c>
      <c r="BR108" s="1124" t="e">
        <f t="shared" si="97"/>
        <v>#VALUE!</v>
      </c>
      <c r="BT108" s="1113" t="str">
        <f>IF(_NrRaty&gt;LRat,"",_NrRaty)</f>
        <v/>
      </c>
      <c r="BU108" s="1023" t="str">
        <f t="shared" si="99"/>
        <v/>
      </c>
      <c r="BV108" s="1114" t="str">
        <f>IF(_NrRaty&gt;LRat,"",SUM($O$31:P108))</f>
        <v/>
      </c>
      <c r="BW108" s="1025" t="str">
        <f>IF(_NrRaty&gt;LRat,"",BV108/365)</f>
        <v/>
      </c>
      <c r="BX108" s="1025" t="str">
        <f>IF(_NrRaty&gt;LRat,"",BW108*BP108)</f>
        <v/>
      </c>
      <c r="BY108" s="1025" t="str">
        <f>IF(_NrRaty&gt;LRat,"",BU108*BX108)</f>
        <v/>
      </c>
    </row>
    <row r="109" spans="1:77" x14ac:dyDescent="0.25">
      <c r="A109" s="973">
        <f t="shared" si="98"/>
        <v>0</v>
      </c>
      <c r="B109" s="924" t="str">
        <f t="shared" si="102"/>
        <v/>
      </c>
      <c r="C109" s="658" t="str">
        <f>IF(_NrRaty&gt;LRat,"",_NrRaty)</f>
        <v/>
      </c>
      <c r="D109" s="659" t="str">
        <f t="shared" si="103"/>
        <v/>
      </c>
      <c r="E109" s="940" t="str">
        <f t="shared" si="82"/>
        <v/>
      </c>
      <c r="F109" s="969" t="str">
        <f t="shared" si="83"/>
        <v/>
      </c>
      <c r="G109" s="940" t="str">
        <f>IF(C109&lt;=LRat,ROUND(ROUND(SUM($F$30:F109),2)-SUM($G$30:G108),2),"")</f>
        <v/>
      </c>
      <c r="H109" s="940" t="str">
        <f t="shared" si="84"/>
        <v/>
      </c>
      <c r="I109" s="940" t="str">
        <f t="shared" si="85"/>
        <v/>
      </c>
      <c r="J109" s="940" t="str">
        <f t="shared" si="86"/>
        <v/>
      </c>
      <c r="L109" s="613" t="str">
        <f>IF(_NrRaty&gt;LRat,"",_NrRaty)</f>
        <v/>
      </c>
      <c r="M109" s="913" t="str">
        <f t="shared" si="104"/>
        <v/>
      </c>
      <c r="N109" s="913" t="str">
        <f t="shared" si="105"/>
        <v/>
      </c>
      <c r="O109" s="921">
        <f t="shared" si="106"/>
        <v>0</v>
      </c>
      <c r="P109" s="921">
        <f t="shared" si="107"/>
        <v>0</v>
      </c>
      <c r="Q109" s="921">
        <f t="shared" si="108"/>
        <v>0</v>
      </c>
      <c r="R109" s="921">
        <f t="shared" si="109"/>
        <v>0</v>
      </c>
      <c r="S109" s="921">
        <f t="shared" si="110"/>
        <v>0</v>
      </c>
      <c r="T109" s="921">
        <f t="shared" si="111"/>
        <v>0</v>
      </c>
      <c r="U109" s="921">
        <f t="shared" si="87"/>
        <v>0</v>
      </c>
      <c r="V109" s="921">
        <f>IF(C109&lt;&gt;"",1/PRODUCT($U$31:U109),0)</f>
        <v>0</v>
      </c>
      <c r="Z109" s="921">
        <f t="shared" si="88"/>
        <v>0</v>
      </c>
      <c r="AA109" s="949">
        <f t="shared" si="79"/>
        <v>0</v>
      </c>
      <c r="AB109" s="949">
        <f t="shared" si="80"/>
        <v>0</v>
      </c>
      <c r="AC109" s="954">
        <f t="shared" si="81"/>
        <v>0</v>
      </c>
      <c r="AD109" s="954">
        <f t="shared" si="101"/>
        <v>0</v>
      </c>
      <c r="AE109" s="954">
        <f t="shared" si="89"/>
        <v>0</v>
      </c>
      <c r="AF109" s="954">
        <f>IF(L109&lt;=LRat,1/PRODUCT($AE$31:AE109),0)</f>
        <v>0</v>
      </c>
      <c r="AG109" s="966"/>
      <c r="AH109" s="921">
        <f>IF(L109&lt;=LRat,Z109/((1+OE_wynikRRSO)^(SUM($AD$31:AD109))),0)</f>
        <v>0</v>
      </c>
      <c r="AI109" s="966"/>
      <c r="AO109" s="948" t="str">
        <f>IF(_NrRaty&gt;LRat,"",_NrRaty)</f>
        <v/>
      </c>
      <c r="AP109" s="977" t="str">
        <f t="shared" si="112"/>
        <v/>
      </c>
      <c r="AQ109" s="948">
        <f t="shared" si="90"/>
        <v>0</v>
      </c>
      <c r="AR109" s="948">
        <f>IF(_NrRaty&lt;LRat,ROUND(AT108*$AN$20*(SUM(O109:P109)/365),2),0)+IF(_NrRaty=LRat,AQ109-AS109,0)</f>
        <v>0</v>
      </c>
      <c r="AS109" s="948">
        <f>IF(_NrRaty&lt;LRat,ROUND(AQ109-AR109,2),0)+IF(_NrRaty=LRat,AT108,0)</f>
        <v>0</v>
      </c>
      <c r="AT109" s="979">
        <f t="shared" ca="1" si="58"/>
        <v>0</v>
      </c>
      <c r="AU109" s="979" t="b">
        <f t="shared" si="91"/>
        <v>0</v>
      </c>
      <c r="AV109" s="1005">
        <v>0</v>
      </c>
      <c r="AX109" s="948">
        <f t="shared" si="92"/>
        <v>0</v>
      </c>
      <c r="AY109" s="948">
        <f>IF(_NrRaty&lt;=LRat,IF(MOD(YEAR(N109),4)=0,OE_RP_rrso,365),0)</f>
        <v>0</v>
      </c>
      <c r="AZ109" s="948">
        <f>IF(_NrRaty&lt;=LRat,O109/AY108,0)</f>
        <v>0</v>
      </c>
      <c r="BA109" s="1006">
        <f>IF(_NrRaty&lt;=LRat,P109/AY109,0)</f>
        <v>0</v>
      </c>
      <c r="BB109" s="1006">
        <f t="shared" si="100"/>
        <v>0</v>
      </c>
      <c r="BC109" s="1006">
        <f>IF(_NrRaty&lt;=LRat,1+OE_oproc*BB109,0)</f>
        <v>0</v>
      </c>
      <c r="BD109" s="1006">
        <f>IF(_NrRaty&lt;=LRat,1/PRODUCT($BC$31:BC109),0)</f>
        <v>0</v>
      </c>
      <c r="BF109" s="948">
        <f>IF(_NrRaty&lt;=LRat,AX109/((1+SOWK_wynikRRSO)^(SUM($BB$31:BB109))),0)</f>
        <v>0</v>
      </c>
      <c r="BL109" s="1023" t="str">
        <f>IF(_NrRaty&gt;LRat,"",_NrRaty)</f>
        <v/>
      </c>
      <c r="BM109" s="1024" t="str">
        <f>IF(_NrRaty&gt;LRat,"",D109)</f>
        <v/>
      </c>
      <c r="BN109" s="1025" t="str">
        <f t="shared" si="93"/>
        <v/>
      </c>
      <c r="BO109" s="1025" t="str">
        <f t="shared" si="94"/>
        <v/>
      </c>
      <c r="BP109" s="1025" t="str">
        <f t="shared" si="95"/>
        <v/>
      </c>
      <c r="BQ109" s="1025" t="str">
        <f t="shared" si="96"/>
        <v/>
      </c>
      <c r="BR109" s="1124" t="e">
        <f t="shared" si="97"/>
        <v>#VALUE!</v>
      </c>
      <c r="BT109" s="1113" t="str">
        <f>IF(_NrRaty&gt;LRat,"",_NrRaty)</f>
        <v/>
      </c>
      <c r="BU109" s="1023" t="str">
        <f t="shared" si="99"/>
        <v/>
      </c>
      <c r="BV109" s="1114" t="str">
        <f>IF(_NrRaty&gt;LRat,"",SUM($O$31:P109))</f>
        <v/>
      </c>
      <c r="BW109" s="1025" t="str">
        <f>IF(_NrRaty&gt;LRat,"",BV109/365)</f>
        <v/>
      </c>
      <c r="BX109" s="1025" t="str">
        <f>IF(_NrRaty&gt;LRat,"",BW109*BP109)</f>
        <v/>
      </c>
      <c r="BY109" s="1025" t="str">
        <f>IF(_NrRaty&gt;LRat,"",BU109*BX109)</f>
        <v/>
      </c>
    </row>
    <row r="110" spans="1:77" x14ac:dyDescent="0.25">
      <c r="A110" s="973">
        <f t="shared" si="98"/>
        <v>0</v>
      </c>
      <c r="B110" s="924" t="str">
        <f t="shared" si="102"/>
        <v/>
      </c>
      <c r="C110" s="660" t="str">
        <f>IF(_NrRaty&gt;LRat,"",_NrRaty)</f>
        <v/>
      </c>
      <c r="D110" s="661" t="str">
        <f t="shared" si="103"/>
        <v/>
      </c>
      <c r="E110" s="941" t="str">
        <f t="shared" si="82"/>
        <v/>
      </c>
      <c r="F110" s="970" t="str">
        <f t="shared" si="83"/>
        <v/>
      </c>
      <c r="G110" s="941" t="str">
        <f>IF(C110&lt;=LRat,ROUND(ROUND(SUM($F$30:F110),2)-SUM($G$30:G109),2),"")</f>
        <v/>
      </c>
      <c r="H110" s="941" t="str">
        <f t="shared" si="84"/>
        <v/>
      </c>
      <c r="I110" s="941" t="str">
        <f t="shared" si="85"/>
        <v/>
      </c>
      <c r="J110" s="941" t="str">
        <f t="shared" si="86"/>
        <v/>
      </c>
      <c r="L110" s="613" t="str">
        <f>IF(_NrRaty&gt;LRat,"",_NrRaty)</f>
        <v/>
      </c>
      <c r="M110" s="913" t="str">
        <f t="shared" si="104"/>
        <v/>
      </c>
      <c r="N110" s="913" t="str">
        <f t="shared" si="105"/>
        <v/>
      </c>
      <c r="O110" s="921">
        <f t="shared" si="106"/>
        <v>0</v>
      </c>
      <c r="P110" s="921">
        <f t="shared" si="107"/>
        <v>0</v>
      </c>
      <c r="Q110" s="921">
        <f t="shared" si="108"/>
        <v>0</v>
      </c>
      <c r="R110" s="921">
        <f t="shared" si="109"/>
        <v>0</v>
      </c>
      <c r="S110" s="921">
        <f t="shared" si="110"/>
        <v>0</v>
      </c>
      <c r="T110" s="921">
        <f t="shared" si="111"/>
        <v>0</v>
      </c>
      <c r="U110" s="921">
        <f t="shared" si="87"/>
        <v>0</v>
      </c>
      <c r="V110" s="921">
        <f>IF(C110&lt;&gt;"",1/PRODUCT($U$31:U110),0)</f>
        <v>0</v>
      </c>
      <c r="Z110" s="921">
        <f t="shared" si="88"/>
        <v>0</v>
      </c>
      <c r="AA110" s="949">
        <f t="shared" si="79"/>
        <v>0</v>
      </c>
      <c r="AB110" s="949">
        <f t="shared" si="80"/>
        <v>0</v>
      </c>
      <c r="AC110" s="954">
        <f t="shared" si="81"/>
        <v>0</v>
      </c>
      <c r="AD110" s="954">
        <f t="shared" si="101"/>
        <v>0</v>
      </c>
      <c r="AE110" s="954">
        <f t="shared" si="89"/>
        <v>0</v>
      </c>
      <c r="AF110" s="954">
        <f>IF(L110&lt;=LRat,1/PRODUCT($AE$31:AE110),0)</f>
        <v>0</v>
      </c>
      <c r="AG110" s="966"/>
      <c r="AH110" s="921">
        <f>IF(L110&lt;=LRat,Z110/((1+OE_wynikRRSO)^(SUM($AD$31:AD110))),0)</f>
        <v>0</v>
      </c>
      <c r="AI110" s="966"/>
      <c r="AO110" s="948" t="str">
        <f>IF(_NrRaty&gt;LRat,"",_NrRaty)</f>
        <v/>
      </c>
      <c r="AP110" s="977" t="str">
        <f t="shared" si="112"/>
        <v/>
      </c>
      <c r="AQ110" s="948">
        <f t="shared" si="90"/>
        <v>0</v>
      </c>
      <c r="AR110" s="948">
        <f>IF(_NrRaty&lt;LRat,ROUND(AT109*$AN$20*(SUM(O110:P110)/365),2),0)+IF(_NrRaty=LRat,AQ110-AS110,0)</f>
        <v>0</v>
      </c>
      <c r="AS110" s="948">
        <f>IF(_NrRaty&lt;LRat,ROUND(AQ110-AR110,2),0)+IF(_NrRaty=LRat,AT109,0)</f>
        <v>0</v>
      </c>
      <c r="AT110" s="979">
        <f t="shared" ca="1" si="58"/>
        <v>0</v>
      </c>
      <c r="AU110" s="979" t="b">
        <f t="shared" si="91"/>
        <v>0</v>
      </c>
      <c r="AV110" s="1005">
        <v>0</v>
      </c>
      <c r="AX110" s="948">
        <f t="shared" si="92"/>
        <v>0</v>
      </c>
      <c r="AY110" s="948">
        <f>IF(_NrRaty&lt;=LRat,IF(MOD(YEAR(N110),4)=0,OE_RP_rrso,365),0)</f>
        <v>0</v>
      </c>
      <c r="AZ110" s="948">
        <f>IF(_NrRaty&lt;=LRat,O110/AY109,0)</f>
        <v>0</v>
      </c>
      <c r="BA110" s="1006">
        <f>IF(_NrRaty&lt;=LRat,P110/AY110,0)</f>
        <v>0</v>
      </c>
      <c r="BB110" s="1006">
        <f t="shared" si="100"/>
        <v>0</v>
      </c>
      <c r="BC110" s="1006">
        <f>IF(_NrRaty&lt;=LRat,1+OE_oproc*BB110,0)</f>
        <v>0</v>
      </c>
      <c r="BD110" s="1006">
        <f>IF(_NrRaty&lt;=LRat,1/PRODUCT($BC$31:BC110),0)</f>
        <v>0</v>
      </c>
      <c r="BF110" s="948">
        <f>IF(_NrRaty&lt;=LRat,AX110/((1+SOWK_wynikRRSO)^(SUM($BB$31:BB110))),0)</f>
        <v>0</v>
      </c>
      <c r="BL110" s="1023" t="str">
        <f>IF(_NrRaty&gt;LRat,"",_NrRaty)</f>
        <v/>
      </c>
      <c r="BM110" s="1024" t="str">
        <f>IF(_NrRaty&gt;LRat,"",D110)</f>
        <v/>
      </c>
      <c r="BN110" s="1025" t="str">
        <f t="shared" si="93"/>
        <v/>
      </c>
      <c r="BO110" s="1025" t="str">
        <f t="shared" si="94"/>
        <v/>
      </c>
      <c r="BP110" s="1025" t="str">
        <f t="shared" si="95"/>
        <v/>
      </c>
      <c r="BQ110" s="1025" t="str">
        <f t="shared" si="96"/>
        <v/>
      </c>
      <c r="BR110" s="1124" t="e">
        <f t="shared" si="97"/>
        <v>#VALUE!</v>
      </c>
      <c r="BT110" s="1113" t="str">
        <f>IF(_NrRaty&gt;LRat,"",_NrRaty)</f>
        <v/>
      </c>
      <c r="BU110" s="1023" t="str">
        <f t="shared" si="99"/>
        <v/>
      </c>
      <c r="BV110" s="1114" t="str">
        <f>IF(_NrRaty&gt;LRat,"",SUM($O$31:P110))</f>
        <v/>
      </c>
      <c r="BW110" s="1025" t="str">
        <f>IF(_NrRaty&gt;LRat,"",BV110/365)</f>
        <v/>
      </c>
      <c r="BX110" s="1025" t="str">
        <f>IF(_NrRaty&gt;LRat,"",BW110*BP110)</f>
        <v/>
      </c>
      <c r="BY110" s="1025" t="str">
        <f>IF(_NrRaty&gt;LRat,"",BU110*BX110)</f>
        <v/>
      </c>
    </row>
    <row r="111" spans="1:77" x14ac:dyDescent="0.25">
      <c r="A111" s="973">
        <f t="shared" si="98"/>
        <v>0</v>
      </c>
      <c r="B111" s="924" t="str">
        <f t="shared" si="102"/>
        <v/>
      </c>
      <c r="C111" s="658" t="str">
        <f>IF(_NrRaty&gt;LRat,"",_NrRaty)</f>
        <v/>
      </c>
      <c r="D111" s="659" t="str">
        <f t="shared" si="103"/>
        <v/>
      </c>
      <c r="E111" s="940" t="str">
        <f t="shared" si="82"/>
        <v/>
      </c>
      <c r="F111" s="969" t="str">
        <f t="shared" si="83"/>
        <v/>
      </c>
      <c r="G111" s="940" t="str">
        <f>IF(C111&lt;=LRat,ROUND(ROUND(SUM($F$30:F111),2)-SUM($G$30:G110),2),"")</f>
        <v/>
      </c>
      <c r="H111" s="940" t="str">
        <f t="shared" si="84"/>
        <v/>
      </c>
      <c r="I111" s="940" t="str">
        <f t="shared" si="85"/>
        <v/>
      </c>
      <c r="J111" s="940" t="str">
        <f t="shared" si="86"/>
        <v/>
      </c>
      <c r="L111" s="613" t="str">
        <f>IF(_NrRaty&gt;LRat,"",_NrRaty)</f>
        <v/>
      </c>
      <c r="M111" s="913" t="str">
        <f t="shared" si="104"/>
        <v/>
      </c>
      <c r="N111" s="913" t="str">
        <f t="shared" si="105"/>
        <v/>
      </c>
      <c r="O111" s="921">
        <f t="shared" si="106"/>
        <v>0</v>
      </c>
      <c r="P111" s="921">
        <f t="shared" si="107"/>
        <v>0</v>
      </c>
      <c r="Q111" s="921">
        <f t="shared" si="108"/>
        <v>0</v>
      </c>
      <c r="R111" s="921">
        <f t="shared" si="109"/>
        <v>0</v>
      </c>
      <c r="S111" s="921">
        <f t="shared" si="110"/>
        <v>0</v>
      </c>
      <c r="T111" s="921">
        <f t="shared" si="111"/>
        <v>0</v>
      </c>
      <c r="U111" s="921">
        <f t="shared" si="87"/>
        <v>0</v>
      </c>
      <c r="V111" s="921">
        <f>IF(C111&lt;&gt;"",1/PRODUCT($U$31:U111),0)</f>
        <v>0</v>
      </c>
      <c r="Z111" s="921">
        <f t="shared" si="88"/>
        <v>0</v>
      </c>
      <c r="AA111" s="949">
        <f t="shared" si="79"/>
        <v>0</v>
      </c>
      <c r="AB111" s="949">
        <f t="shared" si="80"/>
        <v>0</v>
      </c>
      <c r="AC111" s="954">
        <f t="shared" si="81"/>
        <v>0</v>
      </c>
      <c r="AD111" s="954">
        <f t="shared" si="101"/>
        <v>0</v>
      </c>
      <c r="AE111" s="954">
        <f t="shared" si="89"/>
        <v>0</v>
      </c>
      <c r="AF111" s="954">
        <f>IF(L111&lt;=LRat,1/PRODUCT($AE$31:AE111),0)</f>
        <v>0</v>
      </c>
      <c r="AG111" s="966"/>
      <c r="AH111" s="921">
        <f>IF(L111&lt;=LRat,Z111/((1+OE_wynikRRSO)^(SUM($AD$31:AD111))),0)</f>
        <v>0</v>
      </c>
      <c r="AI111" s="966"/>
      <c r="AO111" s="948" t="str">
        <f>IF(_NrRaty&gt;LRat,"",_NrRaty)</f>
        <v/>
      </c>
      <c r="AP111" s="977" t="str">
        <f t="shared" si="112"/>
        <v/>
      </c>
      <c r="AQ111" s="948">
        <f t="shared" si="90"/>
        <v>0</v>
      </c>
      <c r="AR111" s="948">
        <f>IF(_NrRaty&lt;LRat,ROUND(AT110*$AN$20*(SUM(O111:P111)/365),2),0)+IF(_NrRaty=LRat,AQ111-AS111,0)</f>
        <v>0</v>
      </c>
      <c r="AS111" s="948">
        <f>IF(_NrRaty&lt;LRat,ROUND(AQ111-AR111,2),0)+IF(_NrRaty=LRat,AT110,0)</f>
        <v>0</v>
      </c>
      <c r="AT111" s="979">
        <f t="shared" ca="1" si="58"/>
        <v>0</v>
      </c>
      <c r="AU111" s="979" t="b">
        <f t="shared" si="91"/>
        <v>0</v>
      </c>
      <c r="AV111" s="1005">
        <v>0</v>
      </c>
      <c r="AX111" s="948">
        <f t="shared" si="92"/>
        <v>0</v>
      </c>
      <c r="AY111" s="948">
        <f>IF(_NrRaty&lt;=LRat,IF(MOD(YEAR(N111),4)=0,OE_RP_rrso,365),0)</f>
        <v>0</v>
      </c>
      <c r="AZ111" s="948">
        <f>IF(_NrRaty&lt;=LRat,O111/AY110,0)</f>
        <v>0</v>
      </c>
      <c r="BA111" s="1006">
        <f>IF(_NrRaty&lt;=LRat,P111/AY111,0)</f>
        <v>0</v>
      </c>
      <c r="BB111" s="1006">
        <f t="shared" si="100"/>
        <v>0</v>
      </c>
      <c r="BC111" s="1006">
        <f>IF(_NrRaty&lt;=LRat,1+OE_oproc*BB111,0)</f>
        <v>0</v>
      </c>
      <c r="BD111" s="1006">
        <f>IF(_NrRaty&lt;=LRat,1/PRODUCT($BC$31:BC111),0)</f>
        <v>0</v>
      </c>
      <c r="BF111" s="948">
        <f>IF(_NrRaty&lt;=LRat,AX111/((1+SOWK_wynikRRSO)^(SUM($BB$31:BB111))),0)</f>
        <v>0</v>
      </c>
      <c r="BL111" s="1023" t="str">
        <f>IF(_NrRaty&gt;LRat,"",_NrRaty)</f>
        <v/>
      </c>
      <c r="BM111" s="1024" t="str">
        <f>IF(_NrRaty&gt;LRat,"",D111)</f>
        <v/>
      </c>
      <c r="BN111" s="1025" t="str">
        <f t="shared" si="93"/>
        <v/>
      </c>
      <c r="BO111" s="1025" t="str">
        <f t="shared" si="94"/>
        <v/>
      </c>
      <c r="BP111" s="1025" t="str">
        <f t="shared" si="95"/>
        <v/>
      </c>
      <c r="BQ111" s="1025" t="str">
        <f t="shared" si="96"/>
        <v/>
      </c>
      <c r="BR111" s="1124" t="e">
        <f t="shared" si="97"/>
        <v>#VALUE!</v>
      </c>
      <c r="BT111" s="1113" t="str">
        <f>IF(_NrRaty&gt;LRat,"",_NrRaty)</f>
        <v/>
      </c>
      <c r="BU111" s="1023" t="str">
        <f t="shared" si="99"/>
        <v/>
      </c>
      <c r="BV111" s="1114" t="str">
        <f>IF(_NrRaty&gt;LRat,"",SUM($O$31:P111))</f>
        <v/>
      </c>
      <c r="BW111" s="1025" t="str">
        <f>IF(_NrRaty&gt;LRat,"",BV111/365)</f>
        <v/>
      </c>
      <c r="BX111" s="1025" t="str">
        <f>IF(_NrRaty&gt;LRat,"",BW111*BP111)</f>
        <v/>
      </c>
      <c r="BY111" s="1025" t="str">
        <f>IF(_NrRaty&gt;LRat,"",BU111*BX111)</f>
        <v/>
      </c>
    </row>
    <row r="112" spans="1:77" x14ac:dyDescent="0.25">
      <c r="A112" s="973">
        <f t="shared" si="98"/>
        <v>0</v>
      </c>
      <c r="B112" s="924" t="str">
        <f t="shared" si="102"/>
        <v/>
      </c>
      <c r="C112" s="660" t="str">
        <f>IF(_NrRaty&gt;LRat,"",_NrRaty)</f>
        <v/>
      </c>
      <c r="D112" s="661" t="str">
        <f t="shared" si="103"/>
        <v/>
      </c>
      <c r="E112" s="941" t="str">
        <f t="shared" si="82"/>
        <v/>
      </c>
      <c r="F112" s="970" t="str">
        <f t="shared" si="83"/>
        <v/>
      </c>
      <c r="G112" s="941" t="str">
        <f>IF(C112&lt;=LRat,ROUND(ROUND(SUM($F$30:F112),2)-SUM($G$30:G111),2),"")</f>
        <v/>
      </c>
      <c r="H112" s="941" t="str">
        <f t="shared" si="84"/>
        <v/>
      </c>
      <c r="I112" s="941" t="str">
        <f t="shared" si="85"/>
        <v/>
      </c>
      <c r="J112" s="941" t="str">
        <f t="shared" si="86"/>
        <v/>
      </c>
      <c r="L112" s="613" t="str">
        <f>IF(_NrRaty&gt;LRat,"",_NrRaty)</f>
        <v/>
      </c>
      <c r="M112" s="913" t="str">
        <f t="shared" si="104"/>
        <v/>
      </c>
      <c r="N112" s="913" t="str">
        <f t="shared" si="105"/>
        <v/>
      </c>
      <c r="O112" s="921">
        <f t="shared" si="106"/>
        <v>0</v>
      </c>
      <c r="P112" s="921">
        <f t="shared" si="107"/>
        <v>0</v>
      </c>
      <c r="Q112" s="921">
        <f t="shared" si="108"/>
        <v>0</v>
      </c>
      <c r="R112" s="921">
        <f t="shared" si="109"/>
        <v>0</v>
      </c>
      <c r="S112" s="921">
        <f t="shared" si="110"/>
        <v>0</v>
      </c>
      <c r="T112" s="921">
        <f t="shared" si="111"/>
        <v>0</v>
      </c>
      <c r="U112" s="921">
        <f t="shared" si="87"/>
        <v>0</v>
      </c>
      <c r="V112" s="921">
        <f>IF(C112&lt;&gt;"",1/PRODUCT($U$31:U112),0)</f>
        <v>0</v>
      </c>
      <c r="Z112" s="921">
        <f t="shared" si="88"/>
        <v>0</v>
      </c>
      <c r="AA112" s="949">
        <f t="shared" si="79"/>
        <v>0</v>
      </c>
      <c r="AB112" s="949">
        <f t="shared" si="80"/>
        <v>0</v>
      </c>
      <c r="AC112" s="954">
        <f t="shared" si="81"/>
        <v>0</v>
      </c>
      <c r="AD112" s="954">
        <f t="shared" si="101"/>
        <v>0</v>
      </c>
      <c r="AE112" s="954">
        <f t="shared" si="89"/>
        <v>0</v>
      </c>
      <c r="AF112" s="954">
        <f>IF(L112&lt;=LRat,1/PRODUCT($AE$31:AE112),0)</f>
        <v>0</v>
      </c>
      <c r="AG112" s="966"/>
      <c r="AH112" s="921">
        <f>IF(L112&lt;=LRat,Z112/((1+OE_wynikRRSO)^(SUM($AD$31:AD112))),0)</f>
        <v>0</v>
      </c>
      <c r="AI112" s="966"/>
      <c r="AO112" s="948" t="str">
        <f>IF(_NrRaty&gt;LRat,"",_NrRaty)</f>
        <v/>
      </c>
      <c r="AP112" s="977" t="str">
        <f t="shared" si="112"/>
        <v/>
      </c>
      <c r="AQ112" s="948">
        <f t="shared" si="90"/>
        <v>0</v>
      </c>
      <c r="AR112" s="948">
        <f>IF(_NrRaty&lt;LRat,ROUND(AT111*$AN$20*(SUM(O112:P112)/365),2),0)+IF(_NrRaty=LRat,AQ112-AS112,0)</f>
        <v>0</v>
      </c>
      <c r="AS112" s="948">
        <f>IF(_NrRaty&lt;LRat,ROUND(AQ112-AR112,2),0)+IF(_NrRaty=LRat,AT111,0)</f>
        <v>0</v>
      </c>
      <c r="AT112" s="979">
        <f t="shared" ref="AT112:AT150" ca="1" si="113">AT111-AS112</f>
        <v>0</v>
      </c>
      <c r="AU112" s="979" t="b">
        <f t="shared" si="91"/>
        <v>0</v>
      </c>
      <c r="AV112" s="1005">
        <v>0</v>
      </c>
      <c r="AX112" s="948">
        <f t="shared" si="92"/>
        <v>0</v>
      </c>
      <c r="AY112" s="948">
        <f>IF(_NrRaty&lt;=LRat,IF(MOD(YEAR(N112),4)=0,OE_RP_rrso,365),0)</f>
        <v>0</v>
      </c>
      <c r="AZ112" s="948">
        <f>IF(_NrRaty&lt;=LRat,O112/AY111,0)</f>
        <v>0</v>
      </c>
      <c r="BA112" s="1006">
        <f>IF(_NrRaty&lt;=LRat,P112/AY112,0)</f>
        <v>0</v>
      </c>
      <c r="BB112" s="1006">
        <f t="shared" si="100"/>
        <v>0</v>
      </c>
      <c r="BC112" s="1006">
        <f>IF(_NrRaty&lt;=LRat,1+OE_oproc*BB112,0)</f>
        <v>0</v>
      </c>
      <c r="BD112" s="1006">
        <f>IF(_NrRaty&lt;=LRat,1/PRODUCT($BC$31:BC112),0)</f>
        <v>0</v>
      </c>
      <c r="BF112" s="948">
        <f>IF(_NrRaty&lt;=LRat,AX112/((1+SOWK_wynikRRSO)^(SUM($BB$31:BB112))),0)</f>
        <v>0</v>
      </c>
      <c r="BL112" s="1023" t="str">
        <f>IF(_NrRaty&gt;LRat,"",_NrRaty)</f>
        <v/>
      </c>
      <c r="BM112" s="1024" t="str">
        <f>IF(_NrRaty&gt;LRat,"",D112)</f>
        <v/>
      </c>
      <c r="BN112" s="1025" t="str">
        <f t="shared" si="93"/>
        <v/>
      </c>
      <c r="BO112" s="1025" t="str">
        <f t="shared" si="94"/>
        <v/>
      </c>
      <c r="BP112" s="1025" t="str">
        <f t="shared" si="95"/>
        <v/>
      </c>
      <c r="BQ112" s="1025" t="str">
        <f t="shared" si="96"/>
        <v/>
      </c>
      <c r="BR112" s="1124" t="e">
        <f t="shared" si="97"/>
        <v>#VALUE!</v>
      </c>
      <c r="BT112" s="1113" t="str">
        <f>IF(_NrRaty&gt;LRat,"",_NrRaty)</f>
        <v/>
      </c>
      <c r="BU112" s="1023" t="str">
        <f t="shared" si="99"/>
        <v/>
      </c>
      <c r="BV112" s="1114" t="str">
        <f>IF(_NrRaty&gt;LRat,"",SUM($O$31:P112))</f>
        <v/>
      </c>
      <c r="BW112" s="1025" t="str">
        <f>IF(_NrRaty&gt;LRat,"",BV112/365)</f>
        <v/>
      </c>
      <c r="BX112" s="1025" t="str">
        <f>IF(_NrRaty&gt;LRat,"",BW112*BP112)</f>
        <v/>
      </c>
      <c r="BY112" s="1025" t="str">
        <f>IF(_NrRaty&gt;LRat,"",BU112*BX112)</f>
        <v/>
      </c>
    </row>
    <row r="113" spans="1:77" x14ac:dyDescent="0.25">
      <c r="A113" s="973">
        <f t="shared" si="98"/>
        <v>0</v>
      </c>
      <c r="B113" s="924" t="str">
        <f t="shared" si="102"/>
        <v/>
      </c>
      <c r="C113" s="658" t="str">
        <f>IF(_NrRaty&gt;LRat,"",_NrRaty)</f>
        <v/>
      </c>
      <c r="D113" s="659" t="str">
        <f t="shared" si="103"/>
        <v/>
      </c>
      <c r="E113" s="940" t="str">
        <f t="shared" si="82"/>
        <v/>
      </c>
      <c r="F113" s="969" t="str">
        <f t="shared" si="83"/>
        <v/>
      </c>
      <c r="G113" s="940" t="str">
        <f>IF(C113&lt;=LRat,ROUND(ROUND(SUM($F$30:F113),2)-SUM($G$30:G112),2),"")</f>
        <v/>
      </c>
      <c r="H113" s="940" t="str">
        <f t="shared" si="84"/>
        <v/>
      </c>
      <c r="I113" s="940" t="str">
        <f t="shared" si="85"/>
        <v/>
      </c>
      <c r="J113" s="940" t="str">
        <f t="shared" si="86"/>
        <v/>
      </c>
      <c r="L113" s="613" t="str">
        <f>IF(_NrRaty&gt;LRat,"",_NrRaty)</f>
        <v/>
      </c>
      <c r="M113" s="913" t="str">
        <f t="shared" si="104"/>
        <v/>
      </c>
      <c r="N113" s="913" t="str">
        <f t="shared" si="105"/>
        <v/>
      </c>
      <c r="O113" s="921">
        <f t="shared" si="106"/>
        <v>0</v>
      </c>
      <c r="P113" s="921">
        <f t="shared" si="107"/>
        <v>0</v>
      </c>
      <c r="Q113" s="921">
        <f t="shared" si="108"/>
        <v>0</v>
      </c>
      <c r="R113" s="921">
        <f t="shared" si="109"/>
        <v>0</v>
      </c>
      <c r="S113" s="921">
        <f t="shared" si="110"/>
        <v>0</v>
      </c>
      <c r="T113" s="921">
        <f t="shared" si="111"/>
        <v>0</v>
      </c>
      <c r="U113" s="921">
        <f t="shared" si="87"/>
        <v>0</v>
      </c>
      <c r="V113" s="921">
        <f>IF(C113&lt;&gt;"",1/PRODUCT($U$31:U113),0)</f>
        <v>0</v>
      </c>
      <c r="Z113" s="921">
        <f t="shared" si="88"/>
        <v>0</v>
      </c>
      <c r="AA113" s="949">
        <f t="shared" si="79"/>
        <v>0</v>
      </c>
      <c r="AB113" s="949">
        <f t="shared" si="80"/>
        <v>0</v>
      </c>
      <c r="AC113" s="954">
        <f t="shared" si="81"/>
        <v>0</v>
      </c>
      <c r="AD113" s="954">
        <f t="shared" si="101"/>
        <v>0</v>
      </c>
      <c r="AE113" s="954">
        <f t="shared" si="89"/>
        <v>0</v>
      </c>
      <c r="AF113" s="954">
        <f>IF(L113&lt;=LRat,1/PRODUCT($AE$31:AE113),0)</f>
        <v>0</v>
      </c>
      <c r="AG113" s="966"/>
      <c r="AH113" s="921">
        <f>IF(L113&lt;=LRat,Z113/((1+OE_wynikRRSO)^(SUM($AD$31:AD113))),0)</f>
        <v>0</v>
      </c>
      <c r="AI113" s="966"/>
      <c r="AO113" s="948" t="str">
        <f>IF(_NrRaty&gt;LRat,"",_NrRaty)</f>
        <v/>
      </c>
      <c r="AP113" s="977" t="str">
        <f t="shared" si="112"/>
        <v/>
      </c>
      <c r="AQ113" s="948">
        <f t="shared" si="90"/>
        <v>0</v>
      </c>
      <c r="AR113" s="948">
        <f>IF(_NrRaty&lt;LRat,ROUND(AT112*$AN$20*(SUM(O113:P113)/365),2),0)+IF(_NrRaty=LRat,AQ113-AS113,0)</f>
        <v>0</v>
      </c>
      <c r="AS113" s="948">
        <f>IF(_NrRaty&lt;LRat,ROUND(AQ113-AR113,2),0)+IF(_NrRaty=LRat,AT112,0)</f>
        <v>0</v>
      </c>
      <c r="AT113" s="979">
        <f t="shared" ca="1" si="113"/>
        <v>0</v>
      </c>
      <c r="AU113" s="979" t="b">
        <f t="shared" si="91"/>
        <v>0</v>
      </c>
      <c r="AV113" s="1005">
        <v>0</v>
      </c>
      <c r="AX113" s="948">
        <f t="shared" si="92"/>
        <v>0</v>
      </c>
      <c r="AY113" s="948">
        <f>IF(_NrRaty&lt;=LRat,IF(MOD(YEAR(N113),4)=0,OE_RP_rrso,365),0)</f>
        <v>0</v>
      </c>
      <c r="AZ113" s="948">
        <f>IF(_NrRaty&lt;=LRat,O113/AY112,0)</f>
        <v>0</v>
      </c>
      <c r="BA113" s="1006">
        <f>IF(_NrRaty&lt;=LRat,P113/AY113,0)</f>
        <v>0</v>
      </c>
      <c r="BB113" s="1006">
        <f t="shared" si="100"/>
        <v>0</v>
      </c>
      <c r="BC113" s="1006">
        <f>IF(_NrRaty&lt;=LRat,1+OE_oproc*BB113,0)</f>
        <v>0</v>
      </c>
      <c r="BD113" s="1006">
        <f>IF(_NrRaty&lt;=LRat,1/PRODUCT($BC$31:BC113),0)</f>
        <v>0</v>
      </c>
      <c r="BF113" s="948">
        <f>IF(_NrRaty&lt;=LRat,AX113/((1+SOWK_wynikRRSO)^(SUM($BB$31:BB113))),0)</f>
        <v>0</v>
      </c>
      <c r="BL113" s="1023" t="str">
        <f>IF(_NrRaty&gt;LRat,"",_NrRaty)</f>
        <v/>
      </c>
      <c r="BM113" s="1024" t="str">
        <f>IF(_NrRaty&gt;LRat,"",D113)</f>
        <v/>
      </c>
      <c r="BN113" s="1025" t="str">
        <f t="shared" si="93"/>
        <v/>
      </c>
      <c r="BO113" s="1025" t="str">
        <f t="shared" si="94"/>
        <v/>
      </c>
      <c r="BP113" s="1025" t="str">
        <f t="shared" si="95"/>
        <v/>
      </c>
      <c r="BQ113" s="1025" t="str">
        <f t="shared" si="96"/>
        <v/>
      </c>
      <c r="BR113" s="1124" t="e">
        <f t="shared" si="97"/>
        <v>#VALUE!</v>
      </c>
      <c r="BT113" s="1113" t="str">
        <f>IF(_NrRaty&gt;LRat,"",_NrRaty)</f>
        <v/>
      </c>
      <c r="BU113" s="1023" t="str">
        <f t="shared" si="99"/>
        <v/>
      </c>
      <c r="BV113" s="1114" t="str">
        <f>IF(_NrRaty&gt;LRat,"",SUM($O$31:P113))</f>
        <v/>
      </c>
      <c r="BW113" s="1025" t="str">
        <f>IF(_NrRaty&gt;LRat,"",BV113/365)</f>
        <v/>
      </c>
      <c r="BX113" s="1025" t="str">
        <f>IF(_NrRaty&gt;LRat,"",BW113*BP113)</f>
        <v/>
      </c>
      <c r="BY113" s="1025" t="str">
        <f>IF(_NrRaty&gt;LRat,"",BU113*BX113)</f>
        <v/>
      </c>
    </row>
    <row r="114" spans="1:77" x14ac:dyDescent="0.25">
      <c r="A114" s="973">
        <f t="shared" si="98"/>
        <v>0</v>
      </c>
      <c r="B114" s="924" t="str">
        <f t="shared" si="102"/>
        <v/>
      </c>
      <c r="C114" s="660" t="str">
        <f>IF(_NrRaty&gt;LRat,"",_NrRaty)</f>
        <v/>
      </c>
      <c r="D114" s="661" t="str">
        <f t="shared" si="103"/>
        <v/>
      </c>
      <c r="E114" s="941" t="str">
        <f t="shared" si="82"/>
        <v/>
      </c>
      <c r="F114" s="970" t="str">
        <f t="shared" si="83"/>
        <v/>
      </c>
      <c r="G114" s="941" t="str">
        <f>IF(C114&lt;=LRat,ROUND(ROUND(SUM($F$30:F114),2)-SUM($G$30:G113),2),"")</f>
        <v/>
      </c>
      <c r="H114" s="941" t="str">
        <f t="shared" si="84"/>
        <v/>
      </c>
      <c r="I114" s="941" t="str">
        <f t="shared" si="85"/>
        <v/>
      </c>
      <c r="J114" s="941" t="str">
        <f t="shared" si="86"/>
        <v/>
      </c>
      <c r="L114" s="613" t="str">
        <f>IF(_NrRaty&gt;LRat,"",_NrRaty)</f>
        <v/>
      </c>
      <c r="M114" s="913" t="str">
        <f t="shared" si="104"/>
        <v/>
      </c>
      <c r="N114" s="913" t="str">
        <f t="shared" si="105"/>
        <v/>
      </c>
      <c r="O114" s="921">
        <f t="shared" si="106"/>
        <v>0</v>
      </c>
      <c r="P114" s="921">
        <f t="shared" si="107"/>
        <v>0</v>
      </c>
      <c r="Q114" s="921">
        <f t="shared" si="108"/>
        <v>0</v>
      </c>
      <c r="R114" s="921">
        <f t="shared" si="109"/>
        <v>0</v>
      </c>
      <c r="S114" s="921">
        <f t="shared" si="110"/>
        <v>0</v>
      </c>
      <c r="T114" s="921">
        <f t="shared" si="111"/>
        <v>0</v>
      </c>
      <c r="U114" s="921">
        <f t="shared" si="87"/>
        <v>0</v>
      </c>
      <c r="V114" s="921">
        <f>IF(C114&lt;&gt;"",1/PRODUCT($U$31:U114),0)</f>
        <v>0</v>
      </c>
      <c r="Z114" s="921">
        <f t="shared" si="88"/>
        <v>0</v>
      </c>
      <c r="AA114" s="949">
        <f t="shared" si="79"/>
        <v>0</v>
      </c>
      <c r="AB114" s="949">
        <f t="shared" si="80"/>
        <v>0</v>
      </c>
      <c r="AC114" s="954">
        <f t="shared" si="81"/>
        <v>0</v>
      </c>
      <c r="AD114" s="954">
        <f t="shared" si="101"/>
        <v>0</v>
      </c>
      <c r="AE114" s="954">
        <f t="shared" si="89"/>
        <v>0</v>
      </c>
      <c r="AF114" s="954">
        <f>IF(L114&lt;=LRat,1/PRODUCT($AE$31:AE114),0)</f>
        <v>0</v>
      </c>
      <c r="AG114" s="966"/>
      <c r="AH114" s="921">
        <f>IF(L114&lt;=LRat,Z114/((1+OE_wynikRRSO)^(SUM($AD$31:AD114))),0)</f>
        <v>0</v>
      </c>
      <c r="AI114" s="966"/>
      <c r="AO114" s="948" t="str">
        <f>IF(_NrRaty&gt;LRat,"",_NrRaty)</f>
        <v/>
      </c>
      <c r="AP114" s="977" t="str">
        <f t="shared" si="112"/>
        <v/>
      </c>
      <c r="AQ114" s="948">
        <f t="shared" si="90"/>
        <v>0</v>
      </c>
      <c r="AR114" s="948">
        <f>IF(_NrRaty&lt;LRat,ROUND(AT113*$AN$20*(SUM(O114:P114)/365),2),0)+IF(_NrRaty=LRat,AQ114-AS114,0)</f>
        <v>0</v>
      </c>
      <c r="AS114" s="948">
        <f>IF(_NrRaty&lt;LRat,ROUND(AQ114-AR114,2),0)+IF(_NrRaty=LRat,AT113,0)</f>
        <v>0</v>
      </c>
      <c r="AT114" s="979">
        <f t="shared" ca="1" si="113"/>
        <v>0</v>
      </c>
      <c r="AU114" s="979" t="b">
        <f t="shared" si="91"/>
        <v>0</v>
      </c>
      <c r="AV114" s="1005">
        <v>0</v>
      </c>
      <c r="AX114" s="948">
        <f t="shared" si="92"/>
        <v>0</v>
      </c>
      <c r="AY114" s="948">
        <f>IF(_NrRaty&lt;=LRat,IF(MOD(YEAR(N114),4)=0,OE_RP_rrso,365),0)</f>
        <v>0</v>
      </c>
      <c r="AZ114" s="948">
        <f>IF(_NrRaty&lt;=LRat,O114/AY113,0)</f>
        <v>0</v>
      </c>
      <c r="BA114" s="1006">
        <f>IF(_NrRaty&lt;=LRat,P114/AY114,0)</f>
        <v>0</v>
      </c>
      <c r="BB114" s="1006">
        <f t="shared" si="100"/>
        <v>0</v>
      </c>
      <c r="BC114" s="1006">
        <f>IF(_NrRaty&lt;=LRat,1+OE_oproc*BB114,0)</f>
        <v>0</v>
      </c>
      <c r="BD114" s="1006">
        <f>IF(_NrRaty&lt;=LRat,1/PRODUCT($BC$31:BC114),0)</f>
        <v>0</v>
      </c>
      <c r="BF114" s="948">
        <f>IF(_NrRaty&lt;=LRat,AX114/((1+SOWK_wynikRRSO)^(SUM($BB$31:BB114))),0)</f>
        <v>0</v>
      </c>
      <c r="BL114" s="1023" t="str">
        <f>IF(_NrRaty&gt;LRat,"",_NrRaty)</f>
        <v/>
      </c>
      <c r="BM114" s="1024" t="str">
        <f>IF(_NrRaty&gt;LRat,"",D114)</f>
        <v/>
      </c>
      <c r="BN114" s="1025" t="str">
        <f t="shared" si="93"/>
        <v/>
      </c>
      <c r="BO114" s="1025" t="str">
        <f t="shared" si="94"/>
        <v/>
      </c>
      <c r="BP114" s="1025" t="str">
        <f t="shared" si="95"/>
        <v/>
      </c>
      <c r="BQ114" s="1025" t="str">
        <f t="shared" si="96"/>
        <v/>
      </c>
      <c r="BR114" s="1124" t="e">
        <f t="shared" si="97"/>
        <v>#VALUE!</v>
      </c>
      <c r="BT114" s="1113" t="str">
        <f>IF(_NrRaty&gt;LRat,"",_NrRaty)</f>
        <v/>
      </c>
      <c r="BU114" s="1023" t="str">
        <f t="shared" si="99"/>
        <v/>
      </c>
      <c r="BV114" s="1114" t="str">
        <f>IF(_NrRaty&gt;LRat,"",SUM($O$31:P114))</f>
        <v/>
      </c>
      <c r="BW114" s="1025" t="str">
        <f>IF(_NrRaty&gt;LRat,"",BV114/365)</f>
        <v/>
      </c>
      <c r="BX114" s="1025" t="str">
        <f>IF(_NrRaty&gt;LRat,"",BW114*BP114)</f>
        <v/>
      </c>
      <c r="BY114" s="1025" t="str">
        <f>IF(_NrRaty&gt;LRat,"",BU114*BX114)</f>
        <v/>
      </c>
    </row>
    <row r="115" spans="1:77" x14ac:dyDescent="0.25">
      <c r="A115" s="973">
        <f t="shared" si="98"/>
        <v>0</v>
      </c>
      <c r="B115" s="924" t="str">
        <f t="shared" si="102"/>
        <v/>
      </c>
      <c r="C115" s="658" t="str">
        <f>IF(_NrRaty&gt;LRat,"",_NrRaty)</f>
        <v/>
      </c>
      <c r="D115" s="659" t="str">
        <f t="shared" si="103"/>
        <v/>
      </c>
      <c r="E115" s="940" t="str">
        <f t="shared" si="82"/>
        <v/>
      </c>
      <c r="F115" s="969" t="str">
        <f t="shared" si="83"/>
        <v/>
      </c>
      <c r="G115" s="940" t="str">
        <f>IF(C115&lt;=LRat,ROUND(ROUND(SUM($F$30:F115),2)-SUM($G$30:G114),2),"")</f>
        <v/>
      </c>
      <c r="H115" s="940" t="str">
        <f t="shared" si="84"/>
        <v/>
      </c>
      <c r="I115" s="940" t="str">
        <f t="shared" si="85"/>
        <v/>
      </c>
      <c r="J115" s="940" t="str">
        <f t="shared" si="86"/>
        <v/>
      </c>
      <c r="L115" s="613" t="str">
        <f>IF(_NrRaty&gt;LRat,"",_NrRaty)</f>
        <v/>
      </c>
      <c r="M115" s="913" t="str">
        <f t="shared" si="104"/>
        <v/>
      </c>
      <c r="N115" s="913" t="str">
        <f t="shared" si="105"/>
        <v/>
      </c>
      <c r="O115" s="921">
        <f t="shared" si="106"/>
        <v>0</v>
      </c>
      <c r="P115" s="921">
        <f t="shared" si="107"/>
        <v>0</v>
      </c>
      <c r="Q115" s="921">
        <f t="shared" si="108"/>
        <v>0</v>
      </c>
      <c r="R115" s="921">
        <f t="shared" si="109"/>
        <v>0</v>
      </c>
      <c r="S115" s="921">
        <f t="shared" si="110"/>
        <v>0</v>
      </c>
      <c r="T115" s="921">
        <f t="shared" si="111"/>
        <v>0</v>
      </c>
      <c r="U115" s="921">
        <f t="shared" si="87"/>
        <v>0</v>
      </c>
      <c r="V115" s="921">
        <f>IF(C115&lt;&gt;"",1/PRODUCT($U$31:U115),0)</f>
        <v>0</v>
      </c>
      <c r="Z115" s="921">
        <f t="shared" si="88"/>
        <v>0</v>
      </c>
      <c r="AA115" s="949">
        <f t="shared" si="79"/>
        <v>0</v>
      </c>
      <c r="AB115" s="949">
        <f t="shared" si="80"/>
        <v>0</v>
      </c>
      <c r="AC115" s="954">
        <f t="shared" si="81"/>
        <v>0</v>
      </c>
      <c r="AD115" s="954">
        <f t="shared" si="101"/>
        <v>0</v>
      </c>
      <c r="AE115" s="954">
        <f t="shared" si="89"/>
        <v>0</v>
      </c>
      <c r="AF115" s="954">
        <f>IF(L115&lt;=LRat,1/PRODUCT($AE$31:AE115),0)</f>
        <v>0</v>
      </c>
      <c r="AG115" s="966"/>
      <c r="AH115" s="921">
        <f>IF(L115&lt;=LRat,Z115/((1+OE_wynikRRSO)^(SUM($AD$31:AD115))),0)</f>
        <v>0</v>
      </c>
      <c r="AI115" s="966"/>
      <c r="AO115" s="948" t="str">
        <f>IF(_NrRaty&gt;LRat,"",_NrRaty)</f>
        <v/>
      </c>
      <c r="AP115" s="977" t="str">
        <f t="shared" si="112"/>
        <v/>
      </c>
      <c r="AQ115" s="948">
        <f t="shared" si="90"/>
        <v>0</v>
      </c>
      <c r="AR115" s="948">
        <f>IF(_NrRaty&lt;LRat,ROUND(AT114*$AN$20*(SUM(O115:P115)/365),2),0)+IF(_NrRaty=LRat,AQ115-AS115,0)</f>
        <v>0</v>
      </c>
      <c r="AS115" s="948">
        <f>IF(_NrRaty&lt;LRat,ROUND(AQ115-AR115,2),0)+IF(_NrRaty=LRat,AT114,0)</f>
        <v>0</v>
      </c>
      <c r="AT115" s="979">
        <f t="shared" ca="1" si="113"/>
        <v>0</v>
      </c>
      <c r="AU115" s="979" t="b">
        <f t="shared" si="91"/>
        <v>0</v>
      </c>
      <c r="AV115" s="1005">
        <v>0</v>
      </c>
      <c r="AX115" s="948">
        <f t="shared" si="92"/>
        <v>0</v>
      </c>
      <c r="AY115" s="948">
        <f>IF(_NrRaty&lt;=LRat,IF(MOD(YEAR(N115),4)=0,OE_RP_rrso,365),0)</f>
        <v>0</v>
      </c>
      <c r="AZ115" s="948">
        <f>IF(_NrRaty&lt;=LRat,O115/AY114,0)</f>
        <v>0</v>
      </c>
      <c r="BA115" s="1006">
        <f>IF(_NrRaty&lt;=LRat,P115/AY115,0)</f>
        <v>0</v>
      </c>
      <c r="BB115" s="1006">
        <f t="shared" si="100"/>
        <v>0</v>
      </c>
      <c r="BC115" s="1006">
        <f>IF(_NrRaty&lt;=LRat,1+OE_oproc*BB115,0)</f>
        <v>0</v>
      </c>
      <c r="BD115" s="1006">
        <f>IF(_NrRaty&lt;=LRat,1/PRODUCT($BC$31:BC115),0)</f>
        <v>0</v>
      </c>
      <c r="BF115" s="948">
        <f>IF(_NrRaty&lt;=LRat,AX115/((1+SOWK_wynikRRSO)^(SUM($BB$31:BB115))),0)</f>
        <v>0</v>
      </c>
      <c r="BL115" s="1023" t="str">
        <f>IF(_NrRaty&gt;LRat,"",_NrRaty)</f>
        <v/>
      </c>
      <c r="BM115" s="1024" t="str">
        <f>IF(_NrRaty&gt;LRat,"",D115)</f>
        <v/>
      </c>
      <c r="BN115" s="1025" t="str">
        <f t="shared" si="93"/>
        <v/>
      </c>
      <c r="BO115" s="1025" t="str">
        <f t="shared" si="94"/>
        <v/>
      </c>
      <c r="BP115" s="1025" t="str">
        <f t="shared" si="95"/>
        <v/>
      </c>
      <c r="BQ115" s="1025" t="str">
        <f t="shared" si="96"/>
        <v/>
      </c>
      <c r="BR115" s="1124" t="e">
        <f t="shared" si="97"/>
        <v>#VALUE!</v>
      </c>
      <c r="BT115" s="1113" t="str">
        <f>IF(_NrRaty&gt;LRat,"",_NrRaty)</f>
        <v/>
      </c>
      <c r="BU115" s="1023" t="str">
        <f t="shared" si="99"/>
        <v/>
      </c>
      <c r="BV115" s="1114" t="str">
        <f>IF(_NrRaty&gt;LRat,"",SUM($O$31:P115))</f>
        <v/>
      </c>
      <c r="BW115" s="1025" t="str">
        <f>IF(_NrRaty&gt;LRat,"",BV115/365)</f>
        <v/>
      </c>
      <c r="BX115" s="1025" t="str">
        <f>IF(_NrRaty&gt;LRat,"",BW115*BP115)</f>
        <v/>
      </c>
      <c r="BY115" s="1025" t="str">
        <f>IF(_NrRaty&gt;LRat,"",BU115*BX115)</f>
        <v/>
      </c>
    </row>
    <row r="116" spans="1:77" x14ac:dyDescent="0.25">
      <c r="A116" s="973">
        <f t="shared" si="98"/>
        <v>0</v>
      </c>
      <c r="B116" s="924" t="str">
        <f t="shared" si="102"/>
        <v/>
      </c>
      <c r="C116" s="660" t="str">
        <f>IF(_NrRaty&gt;LRat,"",_NrRaty)</f>
        <v/>
      </c>
      <c r="D116" s="661" t="str">
        <f t="shared" si="103"/>
        <v/>
      </c>
      <c r="E116" s="941" t="str">
        <f t="shared" si="82"/>
        <v/>
      </c>
      <c r="F116" s="970" t="str">
        <f t="shared" si="83"/>
        <v/>
      </c>
      <c r="G116" s="941" t="str">
        <f>IF(C116&lt;=LRat,ROUND(ROUND(SUM($F$30:F116),2)-SUM($G$30:G115),2),"")</f>
        <v/>
      </c>
      <c r="H116" s="941" t="str">
        <f t="shared" si="84"/>
        <v/>
      </c>
      <c r="I116" s="941" t="str">
        <f t="shared" si="85"/>
        <v/>
      </c>
      <c r="J116" s="941" t="str">
        <f t="shared" si="86"/>
        <v/>
      </c>
      <c r="L116" s="613" t="str">
        <f>IF(_NrRaty&gt;LRat,"",_NrRaty)</f>
        <v/>
      </c>
      <c r="M116" s="913" t="str">
        <f t="shared" si="104"/>
        <v/>
      </c>
      <c r="N116" s="913" t="str">
        <f t="shared" si="105"/>
        <v/>
      </c>
      <c r="O116" s="921">
        <f t="shared" si="106"/>
        <v>0</v>
      </c>
      <c r="P116" s="921">
        <f t="shared" si="107"/>
        <v>0</v>
      </c>
      <c r="Q116" s="921">
        <f t="shared" si="108"/>
        <v>0</v>
      </c>
      <c r="R116" s="921">
        <f t="shared" si="109"/>
        <v>0</v>
      </c>
      <c r="S116" s="921">
        <f t="shared" si="110"/>
        <v>0</v>
      </c>
      <c r="T116" s="921">
        <f t="shared" si="111"/>
        <v>0</v>
      </c>
      <c r="U116" s="921">
        <f t="shared" si="87"/>
        <v>0</v>
      </c>
      <c r="V116" s="921">
        <f>IF(C116&lt;&gt;"",1/PRODUCT($U$31:U116),0)</f>
        <v>0</v>
      </c>
      <c r="Z116" s="921">
        <f t="shared" si="88"/>
        <v>0</v>
      </c>
      <c r="AA116" s="949">
        <f t="shared" si="79"/>
        <v>0</v>
      </c>
      <c r="AB116" s="949">
        <f t="shared" si="80"/>
        <v>0</v>
      </c>
      <c r="AC116" s="954">
        <f t="shared" si="81"/>
        <v>0</v>
      </c>
      <c r="AD116" s="954">
        <f t="shared" si="101"/>
        <v>0</v>
      </c>
      <c r="AE116" s="954">
        <f t="shared" si="89"/>
        <v>0</v>
      </c>
      <c r="AF116" s="954">
        <f>IF(L116&lt;=LRat,1/PRODUCT($AE$31:AE116),0)</f>
        <v>0</v>
      </c>
      <c r="AG116" s="966"/>
      <c r="AH116" s="921">
        <f>IF(L116&lt;=LRat,Z116/((1+OE_wynikRRSO)^(SUM($AD$31:AD116))),0)</f>
        <v>0</v>
      </c>
      <c r="AI116" s="966"/>
      <c r="AO116" s="948" t="str">
        <f>IF(_NrRaty&gt;LRat,"",_NrRaty)</f>
        <v/>
      </c>
      <c r="AP116" s="977" t="str">
        <f t="shared" si="112"/>
        <v/>
      </c>
      <c r="AQ116" s="948">
        <f t="shared" si="90"/>
        <v>0</v>
      </c>
      <c r="AR116" s="948">
        <f>IF(_NrRaty&lt;LRat,ROUND(AT115*$AN$20*(SUM(O116:P116)/365),2),0)+IF(_NrRaty=LRat,AQ116-AS116,0)</f>
        <v>0</v>
      </c>
      <c r="AS116" s="948">
        <f>IF(_NrRaty&lt;LRat,ROUND(AQ116-AR116,2),0)+IF(_NrRaty=LRat,AT115,0)</f>
        <v>0</v>
      </c>
      <c r="AT116" s="979">
        <f t="shared" ca="1" si="113"/>
        <v>0</v>
      </c>
      <c r="AU116" s="979" t="b">
        <f t="shared" si="91"/>
        <v>0</v>
      </c>
      <c r="AV116" s="1005">
        <v>0</v>
      </c>
      <c r="AX116" s="948">
        <f t="shared" si="92"/>
        <v>0</v>
      </c>
      <c r="AY116" s="948">
        <f>IF(_NrRaty&lt;=LRat,IF(MOD(YEAR(N116),4)=0,OE_RP_rrso,365),0)</f>
        <v>0</v>
      </c>
      <c r="AZ116" s="948">
        <f>IF(_NrRaty&lt;=LRat,O116/AY115,0)</f>
        <v>0</v>
      </c>
      <c r="BA116" s="1006">
        <f>IF(_NrRaty&lt;=LRat,P116/AY116,0)</f>
        <v>0</v>
      </c>
      <c r="BB116" s="1006">
        <f t="shared" si="100"/>
        <v>0</v>
      </c>
      <c r="BC116" s="1006">
        <f>IF(_NrRaty&lt;=LRat,1+OE_oproc*BB116,0)</f>
        <v>0</v>
      </c>
      <c r="BD116" s="1006">
        <f>IF(_NrRaty&lt;=LRat,1/PRODUCT($BC$31:BC116),0)</f>
        <v>0</v>
      </c>
      <c r="BF116" s="948">
        <f>IF(_NrRaty&lt;=LRat,AX116/((1+SOWK_wynikRRSO)^(SUM($BB$31:BB116))),0)</f>
        <v>0</v>
      </c>
      <c r="BL116" s="1023" t="str">
        <f>IF(_NrRaty&gt;LRat,"",_NrRaty)</f>
        <v/>
      </c>
      <c r="BM116" s="1024" t="str">
        <f>IF(_NrRaty&gt;LRat,"",D116)</f>
        <v/>
      </c>
      <c r="BN116" s="1025" t="str">
        <f t="shared" si="93"/>
        <v/>
      </c>
      <c r="BO116" s="1025" t="str">
        <f t="shared" si="94"/>
        <v/>
      </c>
      <c r="BP116" s="1025" t="str">
        <f t="shared" si="95"/>
        <v/>
      </c>
      <c r="BQ116" s="1025" t="str">
        <f t="shared" si="96"/>
        <v/>
      </c>
      <c r="BR116" s="1124" t="e">
        <f t="shared" si="97"/>
        <v>#VALUE!</v>
      </c>
      <c r="BT116" s="1113" t="str">
        <f>IF(_NrRaty&gt;LRat,"",_NrRaty)</f>
        <v/>
      </c>
      <c r="BU116" s="1023" t="str">
        <f t="shared" si="99"/>
        <v/>
      </c>
      <c r="BV116" s="1114" t="str">
        <f>IF(_NrRaty&gt;LRat,"",SUM($O$31:P116))</f>
        <v/>
      </c>
      <c r="BW116" s="1025" t="str">
        <f>IF(_NrRaty&gt;LRat,"",BV116/365)</f>
        <v/>
      </c>
      <c r="BX116" s="1025" t="str">
        <f>IF(_NrRaty&gt;LRat,"",BW116*BP116)</f>
        <v/>
      </c>
      <c r="BY116" s="1025" t="str">
        <f>IF(_NrRaty&gt;LRat,"",BU116*BX116)</f>
        <v/>
      </c>
    </row>
    <row r="117" spans="1:77" x14ac:dyDescent="0.25">
      <c r="A117" s="973">
        <f t="shared" si="98"/>
        <v>0</v>
      </c>
      <c r="B117" s="924" t="str">
        <f t="shared" si="102"/>
        <v/>
      </c>
      <c r="C117" s="658" t="str">
        <f>IF(_NrRaty&gt;LRat,"",_NrRaty)</f>
        <v/>
      </c>
      <c r="D117" s="659" t="str">
        <f t="shared" si="103"/>
        <v/>
      </c>
      <c r="E117" s="940" t="str">
        <f t="shared" si="82"/>
        <v/>
      </c>
      <c r="F117" s="969" t="str">
        <f t="shared" si="83"/>
        <v/>
      </c>
      <c r="G117" s="940" t="str">
        <f>IF(C117&lt;=LRat,ROUND(ROUND(SUM($F$30:F117),2)-SUM($G$30:G116),2),"")</f>
        <v/>
      </c>
      <c r="H117" s="940" t="str">
        <f t="shared" si="84"/>
        <v/>
      </c>
      <c r="I117" s="940" t="str">
        <f t="shared" si="85"/>
        <v/>
      </c>
      <c r="J117" s="940" t="str">
        <f t="shared" si="86"/>
        <v/>
      </c>
      <c r="L117" s="613" t="str">
        <f>IF(_NrRaty&gt;LRat,"",_NrRaty)</f>
        <v/>
      </c>
      <c r="M117" s="913" t="str">
        <f t="shared" si="104"/>
        <v/>
      </c>
      <c r="N117" s="913" t="str">
        <f t="shared" si="105"/>
        <v/>
      </c>
      <c r="O117" s="921">
        <f t="shared" si="106"/>
        <v>0</v>
      </c>
      <c r="P117" s="921">
        <f t="shared" si="107"/>
        <v>0</v>
      </c>
      <c r="Q117" s="921">
        <f t="shared" si="108"/>
        <v>0</v>
      </c>
      <c r="R117" s="921">
        <f t="shared" si="109"/>
        <v>0</v>
      </c>
      <c r="S117" s="921">
        <f t="shared" si="110"/>
        <v>0</v>
      </c>
      <c r="T117" s="921">
        <f t="shared" si="111"/>
        <v>0</v>
      </c>
      <c r="U117" s="921">
        <f t="shared" si="87"/>
        <v>0</v>
      </c>
      <c r="V117" s="921">
        <f>IF(C117&lt;&gt;"",1/PRODUCT($U$31:U117),0)</f>
        <v>0</v>
      </c>
      <c r="Z117" s="921">
        <f t="shared" si="88"/>
        <v>0</v>
      </c>
      <c r="AA117" s="949">
        <f t="shared" si="79"/>
        <v>0</v>
      </c>
      <c r="AB117" s="949">
        <f t="shared" si="80"/>
        <v>0</v>
      </c>
      <c r="AC117" s="954">
        <f t="shared" si="81"/>
        <v>0</v>
      </c>
      <c r="AD117" s="954">
        <f t="shared" si="101"/>
        <v>0</v>
      </c>
      <c r="AE117" s="954">
        <f t="shared" si="89"/>
        <v>0</v>
      </c>
      <c r="AF117" s="954">
        <f>IF(L117&lt;=LRat,1/PRODUCT($AE$31:AE117),0)</f>
        <v>0</v>
      </c>
      <c r="AG117" s="966"/>
      <c r="AH117" s="921">
        <f>IF(L117&lt;=LRat,Z117/((1+OE_wynikRRSO)^(SUM($AD$31:AD117))),0)</f>
        <v>0</v>
      </c>
      <c r="AI117" s="966"/>
      <c r="AO117" s="948" t="str">
        <f>IF(_NrRaty&gt;LRat,"",_NrRaty)</f>
        <v/>
      </c>
      <c r="AP117" s="977" t="str">
        <f t="shared" si="112"/>
        <v/>
      </c>
      <c r="AQ117" s="948">
        <f t="shared" si="90"/>
        <v>0</v>
      </c>
      <c r="AR117" s="948">
        <f>IF(_NrRaty&lt;LRat,ROUND(AT116*$AN$20*(SUM(O117:P117)/365),2),0)+IF(_NrRaty=LRat,AQ117-AS117,0)</f>
        <v>0</v>
      </c>
      <c r="AS117" s="948">
        <f>IF(_NrRaty&lt;LRat,ROUND(AQ117-AR117,2),0)+IF(_NrRaty=LRat,AT116,0)</f>
        <v>0</v>
      </c>
      <c r="AT117" s="979">
        <f t="shared" ca="1" si="113"/>
        <v>0</v>
      </c>
      <c r="AU117" s="979" t="b">
        <f t="shared" si="91"/>
        <v>0</v>
      </c>
      <c r="AV117" s="1005">
        <v>0</v>
      </c>
      <c r="AX117" s="948">
        <f t="shared" si="92"/>
        <v>0</v>
      </c>
      <c r="AY117" s="948">
        <f>IF(_NrRaty&lt;=LRat,IF(MOD(YEAR(N117),4)=0,OE_RP_rrso,365),0)</f>
        <v>0</v>
      </c>
      <c r="AZ117" s="948">
        <f>IF(_NrRaty&lt;=LRat,O117/AY116,0)</f>
        <v>0</v>
      </c>
      <c r="BA117" s="1006">
        <f>IF(_NrRaty&lt;=LRat,P117/AY117,0)</f>
        <v>0</v>
      </c>
      <c r="BB117" s="1006">
        <f t="shared" si="100"/>
        <v>0</v>
      </c>
      <c r="BC117" s="1006">
        <f>IF(_NrRaty&lt;=LRat,1+OE_oproc*BB117,0)</f>
        <v>0</v>
      </c>
      <c r="BD117" s="1006">
        <f>IF(_NrRaty&lt;=LRat,1/PRODUCT($BC$31:BC117),0)</f>
        <v>0</v>
      </c>
      <c r="BF117" s="948">
        <f>IF(_NrRaty&lt;=LRat,AX117/((1+SOWK_wynikRRSO)^(SUM($BB$31:BB117))),0)</f>
        <v>0</v>
      </c>
      <c r="BL117" s="1023" t="str">
        <f>IF(_NrRaty&gt;LRat,"",_NrRaty)</f>
        <v/>
      </c>
      <c r="BM117" s="1024" t="str">
        <f>IF(_NrRaty&gt;LRat,"",D117)</f>
        <v/>
      </c>
      <c r="BN117" s="1025" t="str">
        <f t="shared" si="93"/>
        <v/>
      </c>
      <c r="BO117" s="1025" t="str">
        <f t="shared" si="94"/>
        <v/>
      </c>
      <c r="BP117" s="1025" t="str">
        <f t="shared" si="95"/>
        <v/>
      </c>
      <c r="BQ117" s="1025" t="str">
        <f t="shared" si="96"/>
        <v/>
      </c>
      <c r="BR117" s="1124" t="e">
        <f t="shared" si="97"/>
        <v>#VALUE!</v>
      </c>
      <c r="BT117" s="1113" t="str">
        <f>IF(_NrRaty&gt;LRat,"",_NrRaty)</f>
        <v/>
      </c>
      <c r="BU117" s="1023" t="str">
        <f t="shared" si="99"/>
        <v/>
      </c>
      <c r="BV117" s="1114" t="str">
        <f>IF(_NrRaty&gt;LRat,"",SUM($O$31:P117))</f>
        <v/>
      </c>
      <c r="BW117" s="1025" t="str">
        <f>IF(_NrRaty&gt;LRat,"",BV117/365)</f>
        <v/>
      </c>
      <c r="BX117" s="1025" t="str">
        <f>IF(_NrRaty&gt;LRat,"",BW117*BP117)</f>
        <v/>
      </c>
      <c r="BY117" s="1025" t="str">
        <f>IF(_NrRaty&gt;LRat,"",BU117*BX117)</f>
        <v/>
      </c>
    </row>
    <row r="118" spans="1:77" x14ac:dyDescent="0.25">
      <c r="A118" s="973">
        <f t="shared" si="98"/>
        <v>0</v>
      </c>
      <c r="B118" s="924" t="str">
        <f t="shared" si="102"/>
        <v/>
      </c>
      <c r="C118" s="660" t="str">
        <f>IF(_NrRaty&gt;LRat,"",_NrRaty)</f>
        <v/>
      </c>
      <c r="D118" s="661" t="str">
        <f t="shared" si="103"/>
        <v/>
      </c>
      <c r="E118" s="941" t="str">
        <f t="shared" si="82"/>
        <v/>
      </c>
      <c r="F118" s="970" t="str">
        <f t="shared" si="83"/>
        <v/>
      </c>
      <c r="G118" s="941" t="str">
        <f>IF(C118&lt;=LRat,ROUND(ROUND(SUM($F$30:F118),2)-SUM($G$30:G117),2),"")</f>
        <v/>
      </c>
      <c r="H118" s="941" t="str">
        <f t="shared" si="84"/>
        <v/>
      </c>
      <c r="I118" s="941" t="str">
        <f t="shared" si="85"/>
        <v/>
      </c>
      <c r="J118" s="941" t="str">
        <f t="shared" si="86"/>
        <v/>
      </c>
      <c r="L118" s="613" t="str">
        <f>IF(_NrRaty&gt;LRat,"",_NrRaty)</f>
        <v/>
      </c>
      <c r="M118" s="913" t="str">
        <f t="shared" si="104"/>
        <v/>
      </c>
      <c r="N118" s="913" t="str">
        <f t="shared" si="105"/>
        <v/>
      </c>
      <c r="O118" s="921">
        <f t="shared" si="106"/>
        <v>0</v>
      </c>
      <c r="P118" s="921">
        <f t="shared" si="107"/>
        <v>0</v>
      </c>
      <c r="Q118" s="921">
        <f t="shared" si="108"/>
        <v>0</v>
      </c>
      <c r="R118" s="921">
        <f t="shared" si="109"/>
        <v>0</v>
      </c>
      <c r="S118" s="921">
        <f t="shared" si="110"/>
        <v>0</v>
      </c>
      <c r="T118" s="921">
        <f t="shared" si="111"/>
        <v>0</v>
      </c>
      <c r="U118" s="921">
        <f t="shared" si="87"/>
        <v>0</v>
      </c>
      <c r="V118" s="921">
        <f>IF(C118&lt;&gt;"",1/PRODUCT($U$31:U118),0)</f>
        <v>0</v>
      </c>
      <c r="Z118" s="921">
        <f t="shared" si="88"/>
        <v>0</v>
      </c>
      <c r="AA118" s="949">
        <f t="shared" si="79"/>
        <v>0</v>
      </c>
      <c r="AB118" s="949">
        <f t="shared" si="80"/>
        <v>0</v>
      </c>
      <c r="AC118" s="954">
        <f t="shared" si="81"/>
        <v>0</v>
      </c>
      <c r="AD118" s="954">
        <f t="shared" si="101"/>
        <v>0</v>
      </c>
      <c r="AE118" s="954">
        <f t="shared" si="89"/>
        <v>0</v>
      </c>
      <c r="AF118" s="954">
        <f>IF(L118&lt;=LRat,1/PRODUCT($AE$31:AE118),0)</f>
        <v>0</v>
      </c>
      <c r="AG118" s="966"/>
      <c r="AH118" s="921">
        <f>IF(L118&lt;=LRat,Z118/((1+OE_wynikRRSO)^(SUM($AD$31:AD118))),0)</f>
        <v>0</v>
      </c>
      <c r="AI118" s="966"/>
      <c r="AO118" s="948" t="str">
        <f>IF(_NrRaty&gt;LRat,"",_NrRaty)</f>
        <v/>
      </c>
      <c r="AP118" s="977" t="str">
        <f t="shared" si="112"/>
        <v/>
      </c>
      <c r="AQ118" s="948">
        <f t="shared" si="90"/>
        <v>0</v>
      </c>
      <c r="AR118" s="948">
        <f>IF(_NrRaty&lt;LRat,ROUND(AT117*$AN$20*(SUM(O118:P118)/365),2),0)+IF(_NrRaty=LRat,AQ118-AS118,0)</f>
        <v>0</v>
      </c>
      <c r="AS118" s="948">
        <f>IF(_NrRaty&lt;LRat,ROUND(AQ118-AR118,2),0)+IF(_NrRaty=LRat,AT117,0)</f>
        <v>0</v>
      </c>
      <c r="AT118" s="979">
        <f t="shared" ca="1" si="113"/>
        <v>0</v>
      </c>
      <c r="AU118" s="979" t="b">
        <f t="shared" si="91"/>
        <v>0</v>
      </c>
      <c r="AV118" s="1005">
        <v>0</v>
      </c>
      <c r="AX118" s="948">
        <f t="shared" si="92"/>
        <v>0</v>
      </c>
      <c r="AY118" s="948">
        <f>IF(_NrRaty&lt;=LRat,IF(MOD(YEAR(N118),4)=0,OE_RP_rrso,365),0)</f>
        <v>0</v>
      </c>
      <c r="AZ118" s="948">
        <f>IF(_NrRaty&lt;=LRat,O118/AY117,0)</f>
        <v>0</v>
      </c>
      <c r="BA118" s="1006">
        <f>IF(_NrRaty&lt;=LRat,P118/AY118,0)</f>
        <v>0</v>
      </c>
      <c r="BB118" s="1006">
        <f t="shared" si="100"/>
        <v>0</v>
      </c>
      <c r="BC118" s="1006">
        <f>IF(_NrRaty&lt;=LRat,1+OE_oproc*BB118,0)</f>
        <v>0</v>
      </c>
      <c r="BD118" s="1006">
        <f>IF(_NrRaty&lt;=LRat,1/PRODUCT($BC$31:BC118),0)</f>
        <v>0</v>
      </c>
      <c r="BF118" s="948">
        <f>IF(_NrRaty&lt;=LRat,AX118/((1+SOWK_wynikRRSO)^(SUM($BB$31:BB118))),0)</f>
        <v>0</v>
      </c>
      <c r="BL118" s="1023" t="str">
        <f>IF(_NrRaty&gt;LRat,"",_NrRaty)</f>
        <v/>
      </c>
      <c r="BM118" s="1024" t="str">
        <f>IF(_NrRaty&gt;LRat,"",D118)</f>
        <v/>
      </c>
      <c r="BN118" s="1025" t="str">
        <f t="shared" si="93"/>
        <v/>
      </c>
      <c r="BO118" s="1025" t="str">
        <f t="shared" si="94"/>
        <v/>
      </c>
      <c r="BP118" s="1025" t="str">
        <f t="shared" si="95"/>
        <v/>
      </c>
      <c r="BQ118" s="1025" t="str">
        <f t="shared" si="96"/>
        <v/>
      </c>
      <c r="BR118" s="1124" t="e">
        <f t="shared" si="97"/>
        <v>#VALUE!</v>
      </c>
      <c r="BT118" s="1113" t="str">
        <f>IF(_NrRaty&gt;LRat,"",_NrRaty)</f>
        <v/>
      </c>
      <c r="BU118" s="1023" t="str">
        <f t="shared" si="99"/>
        <v/>
      </c>
      <c r="BV118" s="1114" t="str">
        <f>IF(_NrRaty&gt;LRat,"",SUM($O$31:P118))</f>
        <v/>
      </c>
      <c r="BW118" s="1025" t="str">
        <f>IF(_NrRaty&gt;LRat,"",BV118/365)</f>
        <v/>
      </c>
      <c r="BX118" s="1025" t="str">
        <f>IF(_NrRaty&gt;LRat,"",BW118*BP118)</f>
        <v/>
      </c>
      <c r="BY118" s="1025" t="str">
        <f>IF(_NrRaty&gt;LRat,"",BU118*BX118)</f>
        <v/>
      </c>
    </row>
    <row r="119" spans="1:77" x14ac:dyDescent="0.25">
      <c r="A119" s="973">
        <f t="shared" si="98"/>
        <v>0</v>
      </c>
      <c r="B119" s="924" t="str">
        <f t="shared" si="102"/>
        <v/>
      </c>
      <c r="C119" s="658" t="str">
        <f>IF(_NrRaty&gt;LRat,"",_NrRaty)</f>
        <v/>
      </c>
      <c r="D119" s="659" t="str">
        <f t="shared" si="103"/>
        <v/>
      </c>
      <c r="E119" s="940" t="str">
        <f t="shared" si="82"/>
        <v/>
      </c>
      <c r="F119" s="969" t="str">
        <f t="shared" si="83"/>
        <v/>
      </c>
      <c r="G119" s="940" t="str">
        <f>IF(C119&lt;=LRat,ROUND(ROUND(SUM($F$30:F119),2)-SUM($G$30:G118),2),"")</f>
        <v/>
      </c>
      <c r="H119" s="940" t="str">
        <f t="shared" si="84"/>
        <v/>
      </c>
      <c r="I119" s="940" t="str">
        <f t="shared" si="85"/>
        <v/>
      </c>
      <c r="J119" s="940" t="str">
        <f t="shared" si="86"/>
        <v/>
      </c>
      <c r="L119" s="613" t="str">
        <f>IF(_NrRaty&gt;LRat,"",_NrRaty)</f>
        <v/>
      </c>
      <c r="M119" s="913" t="str">
        <f t="shared" si="104"/>
        <v/>
      </c>
      <c r="N119" s="913" t="str">
        <f t="shared" si="105"/>
        <v/>
      </c>
      <c r="O119" s="921">
        <f t="shared" si="106"/>
        <v>0</v>
      </c>
      <c r="P119" s="921">
        <f t="shared" si="107"/>
        <v>0</v>
      </c>
      <c r="Q119" s="921">
        <f t="shared" si="108"/>
        <v>0</v>
      </c>
      <c r="R119" s="921">
        <f t="shared" si="109"/>
        <v>0</v>
      </c>
      <c r="S119" s="921">
        <f t="shared" si="110"/>
        <v>0</v>
      </c>
      <c r="T119" s="921">
        <f t="shared" si="111"/>
        <v>0</v>
      </c>
      <c r="U119" s="921">
        <f t="shared" si="87"/>
        <v>0</v>
      </c>
      <c r="V119" s="921">
        <f>IF(C119&lt;&gt;"",1/PRODUCT($U$31:U119),0)</f>
        <v>0</v>
      </c>
      <c r="Z119" s="921">
        <f t="shared" si="88"/>
        <v>0</v>
      </c>
      <c r="AA119" s="949">
        <f t="shared" si="79"/>
        <v>0</v>
      </c>
      <c r="AB119" s="949">
        <f t="shared" si="80"/>
        <v>0</v>
      </c>
      <c r="AC119" s="954">
        <f t="shared" si="81"/>
        <v>0</v>
      </c>
      <c r="AD119" s="954">
        <f t="shared" si="101"/>
        <v>0</v>
      </c>
      <c r="AE119" s="954">
        <f t="shared" si="89"/>
        <v>0</v>
      </c>
      <c r="AF119" s="954">
        <f>IF(L119&lt;=LRat,1/PRODUCT($AE$31:AE119),0)</f>
        <v>0</v>
      </c>
      <c r="AG119" s="966"/>
      <c r="AH119" s="921">
        <f>IF(L119&lt;=LRat,Z119/((1+OE_wynikRRSO)^(SUM($AD$31:AD119))),0)</f>
        <v>0</v>
      </c>
      <c r="AI119" s="966"/>
      <c r="AO119" s="948" t="str">
        <f>IF(_NrRaty&gt;LRat,"",_NrRaty)</f>
        <v/>
      </c>
      <c r="AP119" s="977" t="str">
        <f t="shared" si="112"/>
        <v/>
      </c>
      <c r="AQ119" s="948">
        <f t="shared" si="90"/>
        <v>0</v>
      </c>
      <c r="AR119" s="948">
        <f>IF(_NrRaty&lt;LRat,ROUND(AT118*$AN$20*(SUM(O119:P119)/365),2),0)+IF(_NrRaty=LRat,AQ119-AS119,0)</f>
        <v>0</v>
      </c>
      <c r="AS119" s="948">
        <f>IF(_NrRaty&lt;LRat,ROUND(AQ119-AR119,2),0)+IF(_NrRaty=LRat,AT118,0)</f>
        <v>0</v>
      </c>
      <c r="AT119" s="979">
        <f t="shared" ca="1" si="113"/>
        <v>0</v>
      </c>
      <c r="AU119" s="979" t="b">
        <f t="shared" si="91"/>
        <v>0</v>
      </c>
      <c r="AV119" s="1005">
        <v>0</v>
      </c>
      <c r="AX119" s="948">
        <f t="shared" si="92"/>
        <v>0</v>
      </c>
      <c r="AY119" s="948">
        <f>IF(_NrRaty&lt;=LRat,IF(MOD(YEAR(N119),4)=0,OE_RP_rrso,365),0)</f>
        <v>0</v>
      </c>
      <c r="AZ119" s="948">
        <f>IF(_NrRaty&lt;=LRat,O119/AY118,0)</f>
        <v>0</v>
      </c>
      <c r="BA119" s="1006">
        <f>IF(_NrRaty&lt;=LRat,P119/AY119,0)</f>
        <v>0</v>
      </c>
      <c r="BB119" s="1006">
        <f t="shared" si="100"/>
        <v>0</v>
      </c>
      <c r="BC119" s="1006">
        <f>IF(_NrRaty&lt;=LRat,1+OE_oproc*BB119,0)</f>
        <v>0</v>
      </c>
      <c r="BD119" s="1006">
        <f>IF(_NrRaty&lt;=LRat,1/PRODUCT($BC$31:BC119),0)</f>
        <v>0</v>
      </c>
      <c r="BF119" s="948">
        <f>IF(_NrRaty&lt;=LRat,AX119/((1+SOWK_wynikRRSO)^(SUM($BB$31:BB119))),0)</f>
        <v>0</v>
      </c>
      <c r="BL119" s="1023" t="str">
        <f>IF(_NrRaty&gt;LRat,"",_NrRaty)</f>
        <v/>
      </c>
      <c r="BM119" s="1024" t="str">
        <f>IF(_NrRaty&gt;LRat,"",D119)</f>
        <v/>
      </c>
      <c r="BN119" s="1025" t="str">
        <f t="shared" si="93"/>
        <v/>
      </c>
      <c r="BO119" s="1025" t="str">
        <f t="shared" si="94"/>
        <v/>
      </c>
      <c r="BP119" s="1025" t="str">
        <f t="shared" si="95"/>
        <v/>
      </c>
      <c r="BQ119" s="1025" t="str">
        <f t="shared" si="96"/>
        <v/>
      </c>
      <c r="BR119" s="1124" t="e">
        <f t="shared" si="97"/>
        <v>#VALUE!</v>
      </c>
      <c r="BT119" s="1113" t="str">
        <f>IF(_NrRaty&gt;LRat,"",_NrRaty)</f>
        <v/>
      </c>
      <c r="BU119" s="1023" t="str">
        <f t="shared" si="99"/>
        <v/>
      </c>
      <c r="BV119" s="1114" t="str">
        <f>IF(_NrRaty&gt;LRat,"",SUM($O$31:P119))</f>
        <v/>
      </c>
      <c r="BW119" s="1025" t="str">
        <f>IF(_NrRaty&gt;LRat,"",BV119/365)</f>
        <v/>
      </c>
      <c r="BX119" s="1025" t="str">
        <f>IF(_NrRaty&gt;LRat,"",BW119*BP119)</f>
        <v/>
      </c>
      <c r="BY119" s="1025" t="str">
        <f>IF(_NrRaty&gt;LRat,"",BU119*BX119)</f>
        <v/>
      </c>
    </row>
    <row r="120" spans="1:77" x14ac:dyDescent="0.25">
      <c r="A120" s="973">
        <f t="shared" si="98"/>
        <v>0</v>
      </c>
      <c r="B120" s="924" t="str">
        <f t="shared" si="102"/>
        <v/>
      </c>
      <c r="C120" s="660" t="str">
        <f>IF(_NrRaty&gt;LRat,"",_NrRaty)</f>
        <v/>
      </c>
      <c r="D120" s="661" t="str">
        <f t="shared" si="103"/>
        <v/>
      </c>
      <c r="E120" s="941" t="str">
        <f t="shared" si="82"/>
        <v/>
      </c>
      <c r="F120" s="970" t="str">
        <f t="shared" si="83"/>
        <v/>
      </c>
      <c r="G120" s="941" t="str">
        <f>IF(C120&lt;=LRat,ROUND(ROUND(SUM($F$30:F120),2)-SUM($G$30:G119),2),"")</f>
        <v/>
      </c>
      <c r="H120" s="941" t="str">
        <f t="shared" si="84"/>
        <v/>
      </c>
      <c r="I120" s="941" t="str">
        <f t="shared" si="85"/>
        <v/>
      </c>
      <c r="J120" s="941" t="str">
        <f t="shared" si="86"/>
        <v/>
      </c>
      <c r="L120" s="613" t="str">
        <f>IF(_NrRaty&gt;LRat,"",_NrRaty)</f>
        <v/>
      </c>
      <c r="M120" s="913" t="str">
        <f t="shared" si="104"/>
        <v/>
      </c>
      <c r="N120" s="913" t="str">
        <f t="shared" si="105"/>
        <v/>
      </c>
      <c r="O120" s="921">
        <f t="shared" si="106"/>
        <v>0</v>
      </c>
      <c r="P120" s="921">
        <f t="shared" si="107"/>
        <v>0</v>
      </c>
      <c r="Q120" s="921">
        <f t="shared" si="108"/>
        <v>0</v>
      </c>
      <c r="R120" s="921">
        <f t="shared" si="109"/>
        <v>0</v>
      </c>
      <c r="S120" s="921">
        <f t="shared" si="110"/>
        <v>0</v>
      </c>
      <c r="T120" s="921">
        <f t="shared" si="111"/>
        <v>0</v>
      </c>
      <c r="U120" s="921">
        <f t="shared" si="87"/>
        <v>0</v>
      </c>
      <c r="V120" s="921">
        <f>IF(C120&lt;&gt;"",1/PRODUCT($U$31:U120),0)</f>
        <v>0</v>
      </c>
      <c r="Z120" s="921">
        <f t="shared" si="88"/>
        <v>0</v>
      </c>
      <c r="AA120" s="949">
        <f t="shared" si="79"/>
        <v>0</v>
      </c>
      <c r="AB120" s="949">
        <f t="shared" si="80"/>
        <v>0</v>
      </c>
      <c r="AC120" s="954">
        <f t="shared" si="81"/>
        <v>0</v>
      </c>
      <c r="AD120" s="954">
        <f t="shared" si="101"/>
        <v>0</v>
      </c>
      <c r="AE120" s="954">
        <f t="shared" si="89"/>
        <v>0</v>
      </c>
      <c r="AF120" s="954">
        <f>IF(L120&lt;=LRat,1/PRODUCT($AE$31:AE120),0)</f>
        <v>0</v>
      </c>
      <c r="AG120" s="966"/>
      <c r="AH120" s="921">
        <f>IF(L120&lt;=LRat,Z120/((1+OE_wynikRRSO)^(SUM($AD$31:AD120))),0)</f>
        <v>0</v>
      </c>
      <c r="AI120" s="966"/>
      <c r="AO120" s="948" t="str">
        <f>IF(_NrRaty&gt;LRat,"",_NrRaty)</f>
        <v/>
      </c>
      <c r="AP120" s="977" t="str">
        <f t="shared" si="112"/>
        <v/>
      </c>
      <c r="AQ120" s="948">
        <f t="shared" si="90"/>
        <v>0</v>
      </c>
      <c r="AR120" s="948">
        <f>IF(_NrRaty&lt;LRat,ROUND(AT119*$AN$20*(SUM(O120:P120)/365),2),0)+IF(_NrRaty=LRat,AQ120-AS120,0)</f>
        <v>0</v>
      </c>
      <c r="AS120" s="948">
        <f>IF(_NrRaty&lt;LRat,ROUND(AQ120-AR120,2),0)+IF(_NrRaty=LRat,AT119,0)</f>
        <v>0</v>
      </c>
      <c r="AT120" s="979">
        <f t="shared" ca="1" si="113"/>
        <v>0</v>
      </c>
      <c r="AU120" s="979" t="b">
        <f t="shared" si="91"/>
        <v>0</v>
      </c>
      <c r="AV120" s="1005">
        <v>0</v>
      </c>
      <c r="AX120" s="948">
        <f t="shared" si="92"/>
        <v>0</v>
      </c>
      <c r="AY120" s="948">
        <f>IF(_NrRaty&lt;=LRat,IF(MOD(YEAR(N120),4)=0,OE_RP_rrso,365),0)</f>
        <v>0</v>
      </c>
      <c r="AZ120" s="948">
        <f>IF(_NrRaty&lt;=LRat,O120/AY119,0)</f>
        <v>0</v>
      </c>
      <c r="BA120" s="1006">
        <f>IF(_NrRaty&lt;=LRat,P120/AY120,0)</f>
        <v>0</v>
      </c>
      <c r="BB120" s="1006">
        <f t="shared" si="100"/>
        <v>0</v>
      </c>
      <c r="BC120" s="1006">
        <f>IF(_NrRaty&lt;=LRat,1+OE_oproc*BB120,0)</f>
        <v>0</v>
      </c>
      <c r="BD120" s="1006">
        <f>IF(_NrRaty&lt;=LRat,1/PRODUCT($BC$31:BC120),0)</f>
        <v>0</v>
      </c>
      <c r="BF120" s="948">
        <f>IF(_NrRaty&lt;=LRat,AX120/((1+SOWK_wynikRRSO)^(SUM($BB$31:BB120))),0)</f>
        <v>0</v>
      </c>
      <c r="BL120" s="1023" t="str">
        <f>IF(_NrRaty&gt;LRat,"",_NrRaty)</f>
        <v/>
      </c>
      <c r="BM120" s="1024" t="str">
        <f>IF(_NrRaty&gt;LRat,"",D120)</f>
        <v/>
      </c>
      <c r="BN120" s="1025" t="str">
        <f t="shared" si="93"/>
        <v/>
      </c>
      <c r="BO120" s="1025" t="str">
        <f t="shared" si="94"/>
        <v/>
      </c>
      <c r="BP120" s="1025" t="str">
        <f t="shared" si="95"/>
        <v/>
      </c>
      <c r="BQ120" s="1025" t="str">
        <f t="shared" si="96"/>
        <v/>
      </c>
      <c r="BR120" s="1124" t="e">
        <f t="shared" si="97"/>
        <v>#VALUE!</v>
      </c>
      <c r="BT120" s="1113" t="str">
        <f>IF(_NrRaty&gt;LRat,"",_NrRaty)</f>
        <v/>
      </c>
      <c r="BU120" s="1023" t="str">
        <f t="shared" si="99"/>
        <v/>
      </c>
      <c r="BV120" s="1114" t="str">
        <f>IF(_NrRaty&gt;LRat,"",SUM($O$31:P120))</f>
        <v/>
      </c>
      <c r="BW120" s="1025" t="str">
        <f>IF(_NrRaty&gt;LRat,"",BV120/365)</f>
        <v/>
      </c>
      <c r="BX120" s="1025" t="str">
        <f>IF(_NrRaty&gt;LRat,"",BW120*BP120)</f>
        <v/>
      </c>
      <c r="BY120" s="1025" t="str">
        <f>IF(_NrRaty&gt;LRat,"",BU120*BX120)</f>
        <v/>
      </c>
    </row>
    <row r="121" spans="1:77" x14ac:dyDescent="0.25">
      <c r="A121" s="973">
        <f t="shared" si="98"/>
        <v>0</v>
      </c>
      <c r="B121" s="924" t="str">
        <f t="shared" si="102"/>
        <v/>
      </c>
      <c r="C121" s="658" t="str">
        <f>IF(_NrRaty&gt;LRat,"",_NrRaty)</f>
        <v/>
      </c>
      <c r="D121" s="659" t="str">
        <f t="shared" si="103"/>
        <v/>
      </c>
      <c r="E121" s="940" t="str">
        <f t="shared" si="82"/>
        <v/>
      </c>
      <c r="F121" s="969" t="str">
        <f t="shared" si="83"/>
        <v/>
      </c>
      <c r="G121" s="940" t="str">
        <f>IF(C121&lt;=LRat,ROUND(ROUND(SUM($F$30:F121),2)-SUM($G$30:G120),2),"")</f>
        <v/>
      </c>
      <c r="H121" s="940" t="str">
        <f t="shared" si="84"/>
        <v/>
      </c>
      <c r="I121" s="940" t="str">
        <f t="shared" si="85"/>
        <v/>
      </c>
      <c r="J121" s="940" t="str">
        <f t="shared" si="86"/>
        <v/>
      </c>
      <c r="L121" s="613" t="str">
        <f>IF(_NrRaty&gt;LRat,"",_NrRaty)</f>
        <v/>
      </c>
      <c r="M121" s="913" t="str">
        <f t="shared" si="104"/>
        <v/>
      </c>
      <c r="N121" s="913" t="str">
        <f t="shared" si="105"/>
        <v/>
      </c>
      <c r="O121" s="921">
        <f t="shared" si="106"/>
        <v>0</v>
      </c>
      <c r="P121" s="921">
        <f t="shared" si="107"/>
        <v>0</v>
      </c>
      <c r="Q121" s="921">
        <f t="shared" si="108"/>
        <v>0</v>
      </c>
      <c r="R121" s="921">
        <f t="shared" si="109"/>
        <v>0</v>
      </c>
      <c r="S121" s="921">
        <f t="shared" si="110"/>
        <v>0</v>
      </c>
      <c r="T121" s="921">
        <f t="shared" si="111"/>
        <v>0</v>
      </c>
      <c r="U121" s="921">
        <f t="shared" si="87"/>
        <v>0</v>
      </c>
      <c r="V121" s="921">
        <f>IF(C121&lt;&gt;"",1/PRODUCT($U$31:U121),0)</f>
        <v>0</v>
      </c>
      <c r="Z121" s="921">
        <f t="shared" si="88"/>
        <v>0</v>
      </c>
      <c r="AA121" s="949">
        <f t="shared" si="79"/>
        <v>0</v>
      </c>
      <c r="AB121" s="949">
        <f t="shared" si="80"/>
        <v>0</v>
      </c>
      <c r="AC121" s="954">
        <f t="shared" si="81"/>
        <v>0</v>
      </c>
      <c r="AD121" s="954">
        <f t="shared" si="101"/>
        <v>0</v>
      </c>
      <c r="AE121" s="954">
        <f t="shared" si="89"/>
        <v>0</v>
      </c>
      <c r="AF121" s="954">
        <f>IF(L121&lt;=LRat,1/PRODUCT($AE$31:AE121),0)</f>
        <v>0</v>
      </c>
      <c r="AG121" s="966"/>
      <c r="AH121" s="921">
        <f>IF(L121&lt;=LRat,Z121/((1+OE_wynikRRSO)^(SUM($AD$31:AD121))),0)</f>
        <v>0</v>
      </c>
      <c r="AI121" s="966"/>
      <c r="AO121" s="948" t="str">
        <f>IF(_NrRaty&gt;LRat,"",_NrRaty)</f>
        <v/>
      </c>
      <c r="AP121" s="977" t="str">
        <f t="shared" si="112"/>
        <v/>
      </c>
      <c r="AQ121" s="948">
        <f t="shared" si="90"/>
        <v>0</v>
      </c>
      <c r="AR121" s="948">
        <f>IF(_NrRaty&lt;LRat,ROUND(AT120*$AN$20*(SUM(O121:P121)/365),2),0)+IF(_NrRaty=LRat,AQ121-AS121,0)</f>
        <v>0</v>
      </c>
      <c r="AS121" s="948">
        <f>IF(_NrRaty&lt;LRat,ROUND(AQ121-AR121,2),0)+IF(_NrRaty=LRat,AT120,0)</f>
        <v>0</v>
      </c>
      <c r="AT121" s="979">
        <f t="shared" ca="1" si="113"/>
        <v>0</v>
      </c>
      <c r="AU121" s="979" t="b">
        <f t="shared" si="91"/>
        <v>0</v>
      </c>
      <c r="AV121" s="1005">
        <v>0</v>
      </c>
      <c r="AX121" s="948">
        <f t="shared" si="92"/>
        <v>0</v>
      </c>
      <c r="AY121" s="948">
        <f>IF(_NrRaty&lt;=LRat,IF(MOD(YEAR(N121),4)=0,OE_RP_rrso,365),0)</f>
        <v>0</v>
      </c>
      <c r="AZ121" s="948">
        <f>IF(_NrRaty&lt;=LRat,O121/AY120,0)</f>
        <v>0</v>
      </c>
      <c r="BA121" s="1006">
        <f>IF(_NrRaty&lt;=LRat,P121/AY121,0)</f>
        <v>0</v>
      </c>
      <c r="BB121" s="1006">
        <f t="shared" si="100"/>
        <v>0</v>
      </c>
      <c r="BC121" s="1006">
        <f>IF(_NrRaty&lt;=LRat,1+OE_oproc*BB121,0)</f>
        <v>0</v>
      </c>
      <c r="BD121" s="1006">
        <f>IF(_NrRaty&lt;=LRat,1/PRODUCT($BC$31:BC121),0)</f>
        <v>0</v>
      </c>
      <c r="BF121" s="948">
        <f>IF(_NrRaty&lt;=LRat,AX121/((1+SOWK_wynikRRSO)^(SUM($BB$31:BB121))),0)</f>
        <v>0</v>
      </c>
      <c r="BL121" s="1023" t="str">
        <f>IF(_NrRaty&gt;LRat,"",_NrRaty)</f>
        <v/>
      </c>
      <c r="BM121" s="1024" t="str">
        <f>IF(_NrRaty&gt;LRat,"",D121)</f>
        <v/>
      </c>
      <c r="BN121" s="1025" t="str">
        <f t="shared" si="93"/>
        <v/>
      </c>
      <c r="BO121" s="1025" t="str">
        <f t="shared" si="94"/>
        <v/>
      </c>
      <c r="BP121" s="1025" t="str">
        <f t="shared" si="95"/>
        <v/>
      </c>
      <c r="BQ121" s="1025" t="str">
        <f t="shared" si="96"/>
        <v/>
      </c>
      <c r="BR121" s="1124" t="e">
        <f t="shared" si="97"/>
        <v>#VALUE!</v>
      </c>
      <c r="BT121" s="1113" t="str">
        <f>IF(_NrRaty&gt;LRat,"",_NrRaty)</f>
        <v/>
      </c>
      <c r="BU121" s="1023" t="str">
        <f t="shared" si="99"/>
        <v/>
      </c>
      <c r="BV121" s="1114" t="str">
        <f>IF(_NrRaty&gt;LRat,"",SUM($O$31:P121))</f>
        <v/>
      </c>
      <c r="BW121" s="1025" t="str">
        <f>IF(_NrRaty&gt;LRat,"",BV121/365)</f>
        <v/>
      </c>
      <c r="BX121" s="1025" t="str">
        <f>IF(_NrRaty&gt;LRat,"",BW121*BP121)</f>
        <v/>
      </c>
      <c r="BY121" s="1025" t="str">
        <f>IF(_NrRaty&gt;LRat,"",BU121*BX121)</f>
        <v/>
      </c>
    </row>
    <row r="122" spans="1:77" x14ac:dyDescent="0.25">
      <c r="A122" s="973">
        <f t="shared" si="98"/>
        <v>0</v>
      </c>
      <c r="B122" s="924" t="str">
        <f t="shared" si="102"/>
        <v/>
      </c>
      <c r="C122" s="660" t="str">
        <f>IF(_NrRaty&gt;LRat,"",_NrRaty)</f>
        <v/>
      </c>
      <c r="D122" s="661" t="str">
        <f t="shared" si="103"/>
        <v/>
      </c>
      <c r="E122" s="941" t="str">
        <f t="shared" si="82"/>
        <v/>
      </c>
      <c r="F122" s="970" t="str">
        <f t="shared" si="83"/>
        <v/>
      </c>
      <c r="G122" s="941" t="str">
        <f>IF(C122&lt;=LRat,ROUND(ROUND(SUM($F$30:F122),2)-SUM($G$30:G121),2),"")</f>
        <v/>
      </c>
      <c r="H122" s="941" t="str">
        <f t="shared" si="84"/>
        <v/>
      </c>
      <c r="I122" s="941" t="str">
        <f t="shared" si="85"/>
        <v/>
      </c>
      <c r="J122" s="941" t="str">
        <f t="shared" si="86"/>
        <v/>
      </c>
      <c r="L122" s="613" t="str">
        <f>IF(_NrRaty&gt;LRat,"",_NrRaty)</f>
        <v/>
      </c>
      <c r="M122" s="913" t="str">
        <f t="shared" si="104"/>
        <v/>
      </c>
      <c r="N122" s="913" t="str">
        <f t="shared" si="105"/>
        <v/>
      </c>
      <c r="O122" s="921">
        <f t="shared" si="106"/>
        <v>0</v>
      </c>
      <c r="P122" s="921">
        <f t="shared" si="107"/>
        <v>0</v>
      </c>
      <c r="Q122" s="921">
        <f t="shared" si="108"/>
        <v>0</v>
      </c>
      <c r="R122" s="921">
        <f t="shared" si="109"/>
        <v>0</v>
      </c>
      <c r="S122" s="921">
        <f t="shared" si="110"/>
        <v>0</v>
      </c>
      <c r="T122" s="921">
        <f t="shared" si="111"/>
        <v>0</v>
      </c>
      <c r="U122" s="921">
        <f t="shared" si="87"/>
        <v>0</v>
      </c>
      <c r="V122" s="921">
        <f>IF(C122&lt;&gt;"",1/PRODUCT($U$31:U122),0)</f>
        <v>0</v>
      </c>
      <c r="Z122" s="921">
        <f t="shared" si="88"/>
        <v>0</v>
      </c>
      <c r="AA122" s="949">
        <f t="shared" si="79"/>
        <v>0</v>
      </c>
      <c r="AB122" s="949">
        <f t="shared" si="80"/>
        <v>0</v>
      </c>
      <c r="AC122" s="954">
        <f t="shared" si="81"/>
        <v>0</v>
      </c>
      <c r="AD122" s="954">
        <f t="shared" si="101"/>
        <v>0</v>
      </c>
      <c r="AE122" s="954">
        <f t="shared" si="89"/>
        <v>0</v>
      </c>
      <c r="AF122" s="954">
        <f>IF(L122&lt;=LRat,1/PRODUCT($AE$31:AE122),0)</f>
        <v>0</v>
      </c>
      <c r="AG122" s="966"/>
      <c r="AH122" s="921">
        <f>IF(L122&lt;=LRat,Z122/((1+OE_wynikRRSO)^(SUM($AD$31:AD122))),0)</f>
        <v>0</v>
      </c>
      <c r="AI122" s="966"/>
      <c r="AO122" s="948" t="str">
        <f>IF(_NrRaty&gt;LRat,"",_NrRaty)</f>
        <v/>
      </c>
      <c r="AP122" s="977" t="str">
        <f t="shared" si="112"/>
        <v/>
      </c>
      <c r="AQ122" s="948">
        <f t="shared" si="90"/>
        <v>0</v>
      </c>
      <c r="AR122" s="948">
        <f>IF(_NrRaty&lt;LRat,ROUND(AT121*$AN$20*(SUM(O122:P122)/365),2),0)+IF(_NrRaty=LRat,AQ122-AS122,0)</f>
        <v>0</v>
      </c>
      <c r="AS122" s="948">
        <f>IF(_NrRaty&lt;LRat,ROUND(AQ122-AR122,2),0)+IF(_NrRaty=LRat,AT121,0)</f>
        <v>0</v>
      </c>
      <c r="AT122" s="979">
        <f t="shared" ca="1" si="113"/>
        <v>0</v>
      </c>
      <c r="AU122" s="979" t="b">
        <f t="shared" si="91"/>
        <v>0</v>
      </c>
      <c r="AV122" s="1005">
        <v>0</v>
      </c>
      <c r="AX122" s="948">
        <f t="shared" si="92"/>
        <v>0</v>
      </c>
      <c r="AY122" s="948">
        <f>IF(_NrRaty&lt;=LRat,IF(MOD(YEAR(N122),4)=0,OE_RP_rrso,365),0)</f>
        <v>0</v>
      </c>
      <c r="AZ122" s="948">
        <f>IF(_NrRaty&lt;=LRat,O122/AY121,0)</f>
        <v>0</v>
      </c>
      <c r="BA122" s="1006">
        <f>IF(_NrRaty&lt;=LRat,P122/AY122,0)</f>
        <v>0</v>
      </c>
      <c r="BB122" s="1006">
        <f t="shared" si="100"/>
        <v>0</v>
      </c>
      <c r="BC122" s="1006">
        <f>IF(_NrRaty&lt;=LRat,1+OE_oproc*BB122,0)</f>
        <v>0</v>
      </c>
      <c r="BD122" s="1006">
        <f>IF(_NrRaty&lt;=LRat,1/PRODUCT($BC$31:BC122),0)</f>
        <v>0</v>
      </c>
      <c r="BF122" s="948">
        <f>IF(_NrRaty&lt;=LRat,AX122/((1+SOWK_wynikRRSO)^(SUM($BB$31:BB122))),0)</f>
        <v>0</v>
      </c>
      <c r="BL122" s="1023" t="str">
        <f>IF(_NrRaty&gt;LRat,"",_NrRaty)</f>
        <v/>
      </c>
      <c r="BM122" s="1024" t="str">
        <f>IF(_NrRaty&gt;LRat,"",D122)</f>
        <v/>
      </c>
      <c r="BN122" s="1025" t="str">
        <f t="shared" si="93"/>
        <v/>
      </c>
      <c r="BO122" s="1025" t="str">
        <f t="shared" si="94"/>
        <v/>
      </c>
      <c r="BP122" s="1025" t="str">
        <f t="shared" si="95"/>
        <v/>
      </c>
      <c r="BQ122" s="1025" t="str">
        <f t="shared" si="96"/>
        <v/>
      </c>
      <c r="BR122" s="1124" t="e">
        <f t="shared" si="97"/>
        <v>#VALUE!</v>
      </c>
      <c r="BT122" s="1113" t="str">
        <f>IF(_NrRaty&gt;LRat,"",_NrRaty)</f>
        <v/>
      </c>
      <c r="BU122" s="1023" t="str">
        <f t="shared" si="99"/>
        <v/>
      </c>
      <c r="BV122" s="1114" t="str">
        <f>IF(_NrRaty&gt;LRat,"",SUM($O$31:P122))</f>
        <v/>
      </c>
      <c r="BW122" s="1025" t="str">
        <f>IF(_NrRaty&gt;LRat,"",BV122/365)</f>
        <v/>
      </c>
      <c r="BX122" s="1025" t="str">
        <f>IF(_NrRaty&gt;LRat,"",BW122*BP122)</f>
        <v/>
      </c>
      <c r="BY122" s="1025" t="str">
        <f>IF(_NrRaty&gt;LRat,"",BU122*BX122)</f>
        <v/>
      </c>
    </row>
    <row r="123" spans="1:77" x14ac:dyDescent="0.25">
      <c r="A123" s="973">
        <f t="shared" si="98"/>
        <v>0</v>
      </c>
      <c r="B123" s="924" t="str">
        <f t="shared" si="102"/>
        <v/>
      </c>
      <c r="C123" s="658" t="str">
        <f>IF(_NrRaty&gt;LRat,"",_NrRaty)</f>
        <v/>
      </c>
      <c r="D123" s="659" t="str">
        <f t="shared" si="103"/>
        <v/>
      </c>
      <c r="E123" s="940" t="str">
        <f t="shared" si="82"/>
        <v/>
      </c>
      <c r="F123" s="969" t="str">
        <f t="shared" si="83"/>
        <v/>
      </c>
      <c r="G123" s="940" t="str">
        <f>IF(C123&lt;=LRat,ROUND(ROUND(SUM($F$30:F123),2)-SUM($G$30:G122),2),"")</f>
        <v/>
      </c>
      <c r="H123" s="940" t="str">
        <f t="shared" si="84"/>
        <v/>
      </c>
      <c r="I123" s="940" t="str">
        <f t="shared" si="85"/>
        <v/>
      </c>
      <c r="J123" s="940" t="str">
        <f t="shared" si="86"/>
        <v/>
      </c>
      <c r="L123" s="613" t="str">
        <f>IF(_NrRaty&gt;LRat,"",_NrRaty)</f>
        <v/>
      </c>
      <c r="M123" s="913" t="str">
        <f t="shared" si="104"/>
        <v/>
      </c>
      <c r="N123" s="913" t="str">
        <f t="shared" si="105"/>
        <v/>
      </c>
      <c r="O123" s="921">
        <f t="shared" si="106"/>
        <v>0</v>
      </c>
      <c r="P123" s="921">
        <f t="shared" si="107"/>
        <v>0</v>
      </c>
      <c r="Q123" s="921">
        <f t="shared" si="108"/>
        <v>0</v>
      </c>
      <c r="R123" s="921">
        <f t="shared" si="109"/>
        <v>0</v>
      </c>
      <c r="S123" s="921">
        <f t="shared" si="110"/>
        <v>0</v>
      </c>
      <c r="T123" s="921">
        <f t="shared" si="111"/>
        <v>0</v>
      </c>
      <c r="U123" s="921">
        <f t="shared" si="87"/>
        <v>0</v>
      </c>
      <c r="V123" s="921">
        <f>IF(C123&lt;&gt;"",1/PRODUCT($U$31:U123),0)</f>
        <v>0</v>
      </c>
      <c r="Z123" s="921">
        <f t="shared" si="88"/>
        <v>0</v>
      </c>
      <c r="AA123" s="949">
        <f t="shared" si="79"/>
        <v>0</v>
      </c>
      <c r="AB123" s="949">
        <f t="shared" si="80"/>
        <v>0</v>
      </c>
      <c r="AC123" s="954">
        <f t="shared" si="81"/>
        <v>0</v>
      </c>
      <c r="AD123" s="954">
        <f t="shared" si="101"/>
        <v>0</v>
      </c>
      <c r="AE123" s="954">
        <f t="shared" si="89"/>
        <v>0</v>
      </c>
      <c r="AF123" s="954">
        <f>IF(L123&lt;=LRat,1/PRODUCT($AE$31:AE123),0)</f>
        <v>0</v>
      </c>
      <c r="AG123" s="966"/>
      <c r="AH123" s="921">
        <f>IF(L123&lt;=LRat,Z123/((1+OE_wynikRRSO)^(SUM($AD$31:AD123))),0)</f>
        <v>0</v>
      </c>
      <c r="AI123" s="966"/>
      <c r="AO123" s="948" t="str">
        <f>IF(_NrRaty&gt;LRat,"",_NrRaty)</f>
        <v/>
      </c>
      <c r="AP123" s="977" t="str">
        <f t="shared" si="112"/>
        <v/>
      </c>
      <c r="AQ123" s="948">
        <f t="shared" si="90"/>
        <v>0</v>
      </c>
      <c r="AR123" s="948">
        <f>IF(_NrRaty&lt;LRat,ROUND(AT122*$AN$20*(SUM(O123:P123)/365),2),0)+IF(_NrRaty=LRat,AQ123-AS123,0)</f>
        <v>0</v>
      </c>
      <c r="AS123" s="948">
        <f>IF(_NrRaty&lt;LRat,ROUND(AQ123-AR123,2),0)+IF(_NrRaty=LRat,AT122,0)</f>
        <v>0</v>
      </c>
      <c r="AT123" s="979">
        <f t="shared" ca="1" si="113"/>
        <v>0</v>
      </c>
      <c r="AU123" s="979" t="b">
        <f t="shared" si="91"/>
        <v>0</v>
      </c>
      <c r="AV123" s="1005">
        <v>0</v>
      </c>
      <c r="AX123" s="948">
        <f t="shared" si="92"/>
        <v>0</v>
      </c>
      <c r="AY123" s="948">
        <f>IF(_NrRaty&lt;=LRat,IF(MOD(YEAR(N123),4)=0,OE_RP_rrso,365),0)</f>
        <v>0</v>
      </c>
      <c r="AZ123" s="948">
        <f>IF(_NrRaty&lt;=LRat,O123/AY122,0)</f>
        <v>0</v>
      </c>
      <c r="BA123" s="1006">
        <f>IF(_NrRaty&lt;=LRat,P123/AY123,0)</f>
        <v>0</v>
      </c>
      <c r="BB123" s="1006">
        <f t="shared" si="100"/>
        <v>0</v>
      </c>
      <c r="BC123" s="1006">
        <f>IF(_NrRaty&lt;=LRat,1+OE_oproc*BB123,0)</f>
        <v>0</v>
      </c>
      <c r="BD123" s="1006">
        <f>IF(_NrRaty&lt;=LRat,1/PRODUCT($BC$31:BC123),0)</f>
        <v>0</v>
      </c>
      <c r="BF123" s="948">
        <f>IF(_NrRaty&lt;=LRat,AX123/((1+SOWK_wynikRRSO)^(SUM($BB$31:BB123))),0)</f>
        <v>0</v>
      </c>
      <c r="BL123" s="1023" t="str">
        <f>IF(_NrRaty&gt;LRat,"",_NrRaty)</f>
        <v/>
      </c>
      <c r="BM123" s="1024" t="str">
        <f>IF(_NrRaty&gt;LRat,"",D123)</f>
        <v/>
      </c>
      <c r="BN123" s="1025" t="str">
        <f t="shared" si="93"/>
        <v/>
      </c>
      <c r="BO123" s="1025" t="str">
        <f t="shared" si="94"/>
        <v/>
      </c>
      <c r="BP123" s="1025" t="str">
        <f t="shared" si="95"/>
        <v/>
      </c>
      <c r="BQ123" s="1025" t="str">
        <f t="shared" si="96"/>
        <v/>
      </c>
      <c r="BR123" s="1124" t="e">
        <f t="shared" si="97"/>
        <v>#VALUE!</v>
      </c>
      <c r="BT123" s="1113" t="str">
        <f>IF(_NrRaty&gt;LRat,"",_NrRaty)</f>
        <v/>
      </c>
      <c r="BU123" s="1023" t="str">
        <f t="shared" si="99"/>
        <v/>
      </c>
      <c r="BV123" s="1114" t="str">
        <f>IF(_NrRaty&gt;LRat,"",SUM($O$31:P123))</f>
        <v/>
      </c>
      <c r="BW123" s="1025" t="str">
        <f>IF(_NrRaty&gt;LRat,"",BV123/365)</f>
        <v/>
      </c>
      <c r="BX123" s="1025" t="str">
        <f>IF(_NrRaty&gt;LRat,"",BW123*BP123)</f>
        <v/>
      </c>
      <c r="BY123" s="1025" t="str">
        <f>IF(_NrRaty&gt;LRat,"",BU123*BX123)</f>
        <v/>
      </c>
    </row>
    <row r="124" spans="1:77" x14ac:dyDescent="0.25">
      <c r="A124" s="973">
        <f t="shared" si="98"/>
        <v>0</v>
      </c>
      <c r="B124" s="924" t="str">
        <f t="shared" si="102"/>
        <v/>
      </c>
      <c r="C124" s="660" t="str">
        <f>IF(_NrRaty&gt;LRat,"",_NrRaty)</f>
        <v/>
      </c>
      <c r="D124" s="661" t="str">
        <f t="shared" si="103"/>
        <v/>
      </c>
      <c r="E124" s="941" t="str">
        <f t="shared" si="82"/>
        <v/>
      </c>
      <c r="F124" s="970" t="str">
        <f t="shared" si="83"/>
        <v/>
      </c>
      <c r="G124" s="941" t="str">
        <f>IF(C124&lt;=LRat,ROUND(ROUND(SUM($F$30:F124),2)-SUM($G$30:G123),2),"")</f>
        <v/>
      </c>
      <c r="H124" s="941" t="str">
        <f t="shared" si="84"/>
        <v/>
      </c>
      <c r="I124" s="941" t="str">
        <f t="shared" si="85"/>
        <v/>
      </c>
      <c r="J124" s="941" t="str">
        <f t="shared" si="86"/>
        <v/>
      </c>
      <c r="L124" s="613" t="str">
        <f>IF(_NrRaty&gt;LRat,"",_NrRaty)</f>
        <v/>
      </c>
      <c r="M124" s="913" t="str">
        <f t="shared" si="104"/>
        <v/>
      </c>
      <c r="N124" s="913" t="str">
        <f t="shared" si="105"/>
        <v/>
      </c>
      <c r="O124" s="921">
        <f t="shared" si="106"/>
        <v>0</v>
      </c>
      <c r="P124" s="921">
        <f t="shared" si="107"/>
        <v>0</v>
      </c>
      <c r="Q124" s="921">
        <f t="shared" si="108"/>
        <v>0</v>
      </c>
      <c r="R124" s="921">
        <f t="shared" si="109"/>
        <v>0</v>
      </c>
      <c r="S124" s="921">
        <f t="shared" si="110"/>
        <v>0</v>
      </c>
      <c r="T124" s="921">
        <f t="shared" si="111"/>
        <v>0</v>
      </c>
      <c r="U124" s="921">
        <f t="shared" si="87"/>
        <v>0</v>
      </c>
      <c r="V124" s="921">
        <f>IF(C124&lt;&gt;"",1/PRODUCT($U$31:U124),0)</f>
        <v>0</v>
      </c>
      <c r="Z124" s="921">
        <f t="shared" si="88"/>
        <v>0</v>
      </c>
      <c r="AA124" s="949">
        <f t="shared" si="79"/>
        <v>0</v>
      </c>
      <c r="AB124" s="949">
        <f t="shared" si="80"/>
        <v>0</v>
      </c>
      <c r="AC124" s="954">
        <f t="shared" si="81"/>
        <v>0</v>
      </c>
      <c r="AD124" s="954">
        <f t="shared" si="101"/>
        <v>0</v>
      </c>
      <c r="AE124" s="954">
        <f t="shared" si="89"/>
        <v>0</v>
      </c>
      <c r="AF124" s="954">
        <f>IF(L124&lt;=LRat,1/PRODUCT($AE$31:AE124),0)</f>
        <v>0</v>
      </c>
      <c r="AG124" s="966"/>
      <c r="AH124" s="921">
        <f>IF(L124&lt;=LRat,Z124/((1+OE_wynikRRSO)^(SUM($AD$31:AD124))),0)</f>
        <v>0</v>
      </c>
      <c r="AI124" s="966"/>
      <c r="AO124" s="948" t="str">
        <f>IF(_NrRaty&gt;LRat,"",_NrRaty)</f>
        <v/>
      </c>
      <c r="AP124" s="977" t="str">
        <f t="shared" si="112"/>
        <v/>
      </c>
      <c r="AQ124" s="948">
        <f t="shared" si="90"/>
        <v>0</v>
      </c>
      <c r="AR124" s="948">
        <f>IF(_NrRaty&lt;LRat,ROUND(AT123*$AN$20*(SUM(O124:P124)/365),2),0)+IF(_NrRaty=LRat,AQ124-AS124,0)</f>
        <v>0</v>
      </c>
      <c r="AS124" s="948">
        <f>IF(_NrRaty&lt;LRat,ROUND(AQ124-AR124,2),0)+IF(_NrRaty=LRat,AT123,0)</f>
        <v>0</v>
      </c>
      <c r="AT124" s="979">
        <f t="shared" ca="1" si="113"/>
        <v>0</v>
      </c>
      <c r="AU124" s="979" t="b">
        <f t="shared" si="91"/>
        <v>0</v>
      </c>
      <c r="AV124" s="1005">
        <v>0</v>
      </c>
      <c r="AX124" s="948">
        <f t="shared" si="92"/>
        <v>0</v>
      </c>
      <c r="AY124" s="948">
        <f>IF(_NrRaty&lt;=LRat,IF(MOD(YEAR(N124),4)=0,OE_RP_rrso,365),0)</f>
        <v>0</v>
      </c>
      <c r="AZ124" s="948">
        <f>IF(_NrRaty&lt;=LRat,O124/AY123,0)</f>
        <v>0</v>
      </c>
      <c r="BA124" s="1006">
        <f>IF(_NrRaty&lt;=LRat,P124/AY124,0)</f>
        <v>0</v>
      </c>
      <c r="BB124" s="1006">
        <f t="shared" si="100"/>
        <v>0</v>
      </c>
      <c r="BC124" s="1006">
        <f>IF(_NrRaty&lt;=LRat,1+OE_oproc*BB124,0)</f>
        <v>0</v>
      </c>
      <c r="BD124" s="1006">
        <f>IF(_NrRaty&lt;=LRat,1/PRODUCT($BC$31:BC124),0)</f>
        <v>0</v>
      </c>
      <c r="BF124" s="948">
        <f>IF(_NrRaty&lt;=LRat,AX124/((1+SOWK_wynikRRSO)^(SUM($BB$31:BB124))),0)</f>
        <v>0</v>
      </c>
      <c r="BL124" s="1023" t="str">
        <f>IF(_NrRaty&gt;LRat,"",_NrRaty)</f>
        <v/>
      </c>
      <c r="BM124" s="1024" t="str">
        <f>IF(_NrRaty&gt;LRat,"",D124)</f>
        <v/>
      </c>
      <c r="BN124" s="1025" t="str">
        <f t="shared" si="93"/>
        <v/>
      </c>
      <c r="BO124" s="1025" t="str">
        <f t="shared" si="94"/>
        <v/>
      </c>
      <c r="BP124" s="1025" t="str">
        <f t="shared" si="95"/>
        <v/>
      </c>
      <c r="BQ124" s="1025" t="str">
        <f t="shared" si="96"/>
        <v/>
      </c>
      <c r="BR124" s="1124" t="e">
        <f t="shared" si="97"/>
        <v>#VALUE!</v>
      </c>
      <c r="BT124" s="1113" t="str">
        <f>IF(_NrRaty&gt;LRat,"",_NrRaty)</f>
        <v/>
      </c>
      <c r="BU124" s="1023" t="str">
        <f t="shared" si="99"/>
        <v/>
      </c>
      <c r="BV124" s="1114" t="str">
        <f>IF(_NrRaty&gt;LRat,"",SUM($O$31:P124))</f>
        <v/>
      </c>
      <c r="BW124" s="1025" t="str">
        <f>IF(_NrRaty&gt;LRat,"",BV124/365)</f>
        <v/>
      </c>
      <c r="BX124" s="1025" t="str">
        <f>IF(_NrRaty&gt;LRat,"",BW124*BP124)</f>
        <v/>
      </c>
      <c r="BY124" s="1025" t="str">
        <f>IF(_NrRaty&gt;LRat,"",BU124*BX124)</f>
        <v/>
      </c>
    </row>
    <row r="125" spans="1:77" x14ac:dyDescent="0.25">
      <c r="A125" s="973">
        <f t="shared" si="98"/>
        <v>0</v>
      </c>
      <c r="B125" s="924" t="str">
        <f t="shared" si="102"/>
        <v/>
      </c>
      <c r="C125" s="658" t="str">
        <f>IF(_NrRaty&gt;LRat,"",_NrRaty)</f>
        <v/>
      </c>
      <c r="D125" s="659" t="str">
        <f t="shared" si="103"/>
        <v/>
      </c>
      <c r="E125" s="940" t="str">
        <f t="shared" si="82"/>
        <v/>
      </c>
      <c r="F125" s="969" t="str">
        <f t="shared" si="83"/>
        <v/>
      </c>
      <c r="G125" s="940" t="str">
        <f>IF(C125&lt;=LRat,ROUND(ROUND(SUM($F$30:F125),2)-SUM($G$30:G124),2),"")</f>
        <v/>
      </c>
      <c r="H125" s="940" t="str">
        <f t="shared" si="84"/>
        <v/>
      </c>
      <c r="I125" s="940" t="str">
        <f t="shared" si="85"/>
        <v/>
      </c>
      <c r="J125" s="940" t="str">
        <f t="shared" si="86"/>
        <v/>
      </c>
      <c r="L125" s="613" t="str">
        <f>IF(_NrRaty&gt;LRat,"",_NrRaty)</f>
        <v/>
      </c>
      <c r="M125" s="913" t="str">
        <f t="shared" si="104"/>
        <v/>
      </c>
      <c r="N125" s="913" t="str">
        <f t="shared" si="105"/>
        <v/>
      </c>
      <c r="O125" s="921">
        <f t="shared" si="106"/>
        <v>0</v>
      </c>
      <c r="P125" s="921">
        <f t="shared" si="107"/>
        <v>0</v>
      </c>
      <c r="Q125" s="921">
        <f t="shared" si="108"/>
        <v>0</v>
      </c>
      <c r="R125" s="921">
        <f t="shared" si="109"/>
        <v>0</v>
      </c>
      <c r="S125" s="921">
        <f t="shared" si="110"/>
        <v>0</v>
      </c>
      <c r="T125" s="921">
        <f t="shared" si="111"/>
        <v>0</v>
      </c>
      <c r="U125" s="921">
        <f t="shared" si="87"/>
        <v>0</v>
      </c>
      <c r="V125" s="921">
        <f>IF(C125&lt;&gt;"",1/PRODUCT($U$31:U125),0)</f>
        <v>0</v>
      </c>
      <c r="Z125" s="921">
        <f t="shared" si="88"/>
        <v>0</v>
      </c>
      <c r="AA125" s="949">
        <f t="shared" ref="AA125:AA150" si="114">IF(L125&lt;=LRat,IF(MOD(YEAR(N125),4)=0,OE_RP_rrso,365),0)</f>
        <v>0</v>
      </c>
      <c r="AB125" s="949">
        <f t="shared" si="80"/>
        <v>0</v>
      </c>
      <c r="AC125" s="954">
        <f t="shared" si="81"/>
        <v>0</v>
      </c>
      <c r="AD125" s="954">
        <f t="shared" si="101"/>
        <v>0</v>
      </c>
      <c r="AE125" s="954">
        <f t="shared" si="89"/>
        <v>0</v>
      </c>
      <c r="AF125" s="954">
        <f>IF(L125&lt;=LRat,1/PRODUCT($AE$31:AE125),0)</f>
        <v>0</v>
      </c>
      <c r="AG125" s="966"/>
      <c r="AH125" s="921">
        <f>IF(L125&lt;=LRat,Z125/((1+OE_wynikRRSO)^(SUM($AD$31:AD125))),0)</f>
        <v>0</v>
      </c>
      <c r="AI125" s="966"/>
      <c r="AO125" s="948" t="str">
        <f>IF(_NrRaty&gt;LRat,"",_NrRaty)</f>
        <v/>
      </c>
      <c r="AP125" s="977" t="str">
        <f t="shared" si="112"/>
        <v/>
      </c>
      <c r="AQ125" s="948">
        <f t="shared" si="90"/>
        <v>0</v>
      </c>
      <c r="AR125" s="948">
        <f>IF(_NrRaty&lt;LRat,ROUND(AT124*$AN$20*(SUM(O125:P125)/365),2),0)+IF(_NrRaty=LRat,AQ125-AS125,0)</f>
        <v>0</v>
      </c>
      <c r="AS125" s="948">
        <f>IF(_NrRaty&lt;LRat,ROUND(AQ125-AR125,2),0)+IF(_NrRaty=LRat,AT124,0)</f>
        <v>0</v>
      </c>
      <c r="AT125" s="979">
        <f t="shared" ca="1" si="113"/>
        <v>0</v>
      </c>
      <c r="AU125" s="979" t="b">
        <f t="shared" si="91"/>
        <v>0</v>
      </c>
      <c r="AV125" s="1005">
        <v>0</v>
      </c>
      <c r="AX125" s="948">
        <f t="shared" si="92"/>
        <v>0</v>
      </c>
      <c r="AY125" s="948">
        <f>IF(_NrRaty&lt;=LRat,IF(MOD(YEAR(N125),4)=0,OE_RP_rrso,365),0)</f>
        <v>0</v>
      </c>
      <c r="AZ125" s="948">
        <f>IF(_NrRaty&lt;=LRat,O125/AY124,0)</f>
        <v>0</v>
      </c>
      <c r="BA125" s="1006">
        <f>IF(_NrRaty&lt;=LRat,P125/AY125,0)</f>
        <v>0</v>
      </c>
      <c r="BB125" s="1006">
        <f t="shared" si="100"/>
        <v>0</v>
      </c>
      <c r="BC125" s="1006">
        <f>IF(_NrRaty&lt;=LRat,1+OE_oproc*BB125,0)</f>
        <v>0</v>
      </c>
      <c r="BD125" s="1006">
        <f>IF(_NrRaty&lt;=LRat,1/PRODUCT($BC$31:BC125),0)</f>
        <v>0</v>
      </c>
      <c r="BF125" s="948">
        <f>IF(_NrRaty&lt;=LRat,AX125/((1+SOWK_wynikRRSO)^(SUM($BB$31:BB125))),0)</f>
        <v>0</v>
      </c>
      <c r="BL125" s="1023" t="str">
        <f>IF(_NrRaty&gt;LRat,"",_NrRaty)</f>
        <v/>
      </c>
      <c r="BM125" s="1024" t="str">
        <f>IF(_NrRaty&gt;LRat,"",D125)</f>
        <v/>
      </c>
      <c r="BN125" s="1025" t="str">
        <f t="shared" si="93"/>
        <v/>
      </c>
      <c r="BO125" s="1025" t="str">
        <f t="shared" si="94"/>
        <v/>
      </c>
      <c r="BP125" s="1025" t="str">
        <f t="shared" si="95"/>
        <v/>
      </c>
      <c r="BQ125" s="1025" t="str">
        <f t="shared" si="96"/>
        <v/>
      </c>
      <c r="BR125" s="1124" t="e">
        <f t="shared" si="97"/>
        <v>#VALUE!</v>
      </c>
      <c r="BT125" s="1113" t="str">
        <f>IF(_NrRaty&gt;LRat,"",_NrRaty)</f>
        <v/>
      </c>
      <c r="BU125" s="1023" t="str">
        <f t="shared" si="99"/>
        <v/>
      </c>
      <c r="BV125" s="1114" t="str">
        <f>IF(_NrRaty&gt;LRat,"",SUM($O$31:P125))</f>
        <v/>
      </c>
      <c r="BW125" s="1025" t="str">
        <f>IF(_NrRaty&gt;LRat,"",BV125/365)</f>
        <v/>
      </c>
      <c r="BX125" s="1025" t="str">
        <f>IF(_NrRaty&gt;LRat,"",BW125*BP125)</f>
        <v/>
      </c>
      <c r="BY125" s="1025" t="str">
        <f>IF(_NrRaty&gt;LRat,"",BU125*BX125)</f>
        <v/>
      </c>
    </row>
    <row r="126" spans="1:77" x14ac:dyDescent="0.25">
      <c r="A126" s="973">
        <f t="shared" si="98"/>
        <v>0</v>
      </c>
      <c r="B126" s="924" t="str">
        <f t="shared" si="102"/>
        <v/>
      </c>
      <c r="C126" s="660" t="str">
        <f>IF(_NrRaty&gt;LRat,"",_NrRaty)</f>
        <v/>
      </c>
      <c r="D126" s="661" t="str">
        <f t="shared" si="103"/>
        <v/>
      </c>
      <c r="E126" s="941" t="str">
        <f t="shared" si="82"/>
        <v/>
      </c>
      <c r="F126" s="970" t="str">
        <f t="shared" si="83"/>
        <v/>
      </c>
      <c r="G126" s="941" t="str">
        <f>IF(C126&lt;=LRat,ROUND(ROUND(SUM($F$30:F126),2)-SUM($G$30:G125),2),"")</f>
        <v/>
      </c>
      <c r="H126" s="941" t="str">
        <f t="shared" si="84"/>
        <v/>
      </c>
      <c r="I126" s="941" t="str">
        <f t="shared" si="85"/>
        <v/>
      </c>
      <c r="J126" s="941" t="str">
        <f t="shared" si="86"/>
        <v/>
      </c>
      <c r="L126" s="613" t="str">
        <f>IF(_NrRaty&gt;LRat,"",_NrRaty)</f>
        <v/>
      </c>
      <c r="M126" s="913" t="str">
        <f t="shared" si="104"/>
        <v/>
      </c>
      <c r="N126" s="913" t="str">
        <f t="shared" si="105"/>
        <v/>
      </c>
      <c r="O126" s="921">
        <f t="shared" si="106"/>
        <v>0</v>
      </c>
      <c r="P126" s="921">
        <f t="shared" si="107"/>
        <v>0</v>
      </c>
      <c r="Q126" s="921">
        <f t="shared" si="108"/>
        <v>0</v>
      </c>
      <c r="R126" s="921">
        <f t="shared" si="109"/>
        <v>0</v>
      </c>
      <c r="S126" s="921">
        <f t="shared" si="110"/>
        <v>0</v>
      </c>
      <c r="T126" s="921">
        <f t="shared" si="111"/>
        <v>0</v>
      </c>
      <c r="U126" s="921">
        <f t="shared" si="87"/>
        <v>0</v>
      </c>
      <c r="V126" s="921">
        <f>IF(C126&lt;&gt;"",1/PRODUCT($U$31:U126),0)</f>
        <v>0</v>
      </c>
      <c r="Z126" s="921">
        <f t="shared" si="88"/>
        <v>0</v>
      </c>
      <c r="AA126" s="949">
        <f t="shared" si="114"/>
        <v>0</v>
      </c>
      <c r="AB126" s="949">
        <f t="shared" ref="AB126:AB150" si="115">IF(L126&lt;=LRat,O126/AA125,0)</f>
        <v>0</v>
      </c>
      <c r="AC126" s="954">
        <f t="shared" ref="AC126:AC150" si="116">IF(L126&lt;=LRat,P126/AA126,0)</f>
        <v>0</v>
      </c>
      <c r="AD126" s="954">
        <f t="shared" si="101"/>
        <v>0</v>
      </c>
      <c r="AE126" s="954">
        <f t="shared" si="89"/>
        <v>0</v>
      </c>
      <c r="AF126" s="954">
        <f>IF(L126&lt;=LRat,1/PRODUCT($AE$31:AE126),0)</f>
        <v>0</v>
      </c>
      <c r="AG126" s="966"/>
      <c r="AH126" s="921">
        <f>IF(L126&lt;=LRat,Z126/((1+OE_wynikRRSO)^(SUM($AD$31:AD126))),0)</f>
        <v>0</v>
      </c>
      <c r="AI126" s="966"/>
      <c r="AO126" s="948" t="str">
        <f>IF(_NrRaty&gt;LRat,"",_NrRaty)</f>
        <v/>
      </c>
      <c r="AP126" s="977" t="str">
        <f t="shared" si="112"/>
        <v/>
      </c>
      <c r="AQ126" s="948">
        <f t="shared" si="90"/>
        <v>0</v>
      </c>
      <c r="AR126" s="948">
        <f>IF(_NrRaty&lt;LRat,ROUND(AT125*$AN$20*(SUM(O126:P126)/365),2),0)+IF(_NrRaty=LRat,AQ126-AS126,0)</f>
        <v>0</v>
      </c>
      <c r="AS126" s="948">
        <f>IF(_NrRaty&lt;LRat,ROUND(AQ126-AR126,2),0)+IF(_NrRaty=LRat,AT125,0)</f>
        <v>0</v>
      </c>
      <c r="AT126" s="979">
        <f t="shared" ca="1" si="113"/>
        <v>0</v>
      </c>
      <c r="AU126" s="979" t="b">
        <f t="shared" si="91"/>
        <v>0</v>
      </c>
      <c r="AV126" s="1005">
        <v>0</v>
      </c>
      <c r="AX126" s="948">
        <f t="shared" si="92"/>
        <v>0</v>
      </c>
      <c r="AY126" s="948">
        <f>IF(_NrRaty&lt;=LRat,IF(MOD(YEAR(N126),4)=0,OE_RP_rrso,365),0)</f>
        <v>0</v>
      </c>
      <c r="AZ126" s="948">
        <f>IF(_NrRaty&lt;=LRat,O126/AY125,0)</f>
        <v>0</v>
      </c>
      <c r="BA126" s="1006">
        <f>IF(_NrRaty&lt;=LRat,P126/AY126,0)</f>
        <v>0</v>
      </c>
      <c r="BB126" s="1006">
        <f t="shared" si="100"/>
        <v>0</v>
      </c>
      <c r="BC126" s="1006">
        <f>IF(_NrRaty&lt;=LRat,1+OE_oproc*BB126,0)</f>
        <v>0</v>
      </c>
      <c r="BD126" s="1006">
        <f>IF(_NrRaty&lt;=LRat,1/PRODUCT($BC$31:BC126),0)</f>
        <v>0</v>
      </c>
      <c r="BF126" s="948">
        <f>IF(_NrRaty&lt;=LRat,AX126/((1+SOWK_wynikRRSO)^(SUM($BB$31:BB126))),0)</f>
        <v>0</v>
      </c>
      <c r="BL126" s="1023" t="str">
        <f>IF(_NrRaty&gt;LRat,"",_NrRaty)</f>
        <v/>
      </c>
      <c r="BM126" s="1024" t="str">
        <f>IF(_NrRaty&gt;LRat,"",D126)</f>
        <v/>
      </c>
      <c r="BN126" s="1025" t="str">
        <f t="shared" si="93"/>
        <v/>
      </c>
      <c r="BO126" s="1025" t="str">
        <f t="shared" si="94"/>
        <v/>
      </c>
      <c r="BP126" s="1025" t="str">
        <f t="shared" si="95"/>
        <v/>
      </c>
      <c r="BQ126" s="1025" t="str">
        <f t="shared" si="96"/>
        <v/>
      </c>
      <c r="BR126" s="1124" t="e">
        <f t="shared" si="97"/>
        <v>#VALUE!</v>
      </c>
      <c r="BT126" s="1113" t="str">
        <f>IF(_NrRaty&gt;LRat,"",_NrRaty)</f>
        <v/>
      </c>
      <c r="BU126" s="1023" t="str">
        <f t="shared" si="99"/>
        <v/>
      </c>
      <c r="BV126" s="1114" t="str">
        <f>IF(_NrRaty&gt;LRat,"",SUM($O$31:P126))</f>
        <v/>
      </c>
      <c r="BW126" s="1025" t="str">
        <f>IF(_NrRaty&gt;LRat,"",BV126/365)</f>
        <v/>
      </c>
      <c r="BX126" s="1025" t="str">
        <f>IF(_NrRaty&gt;LRat,"",BW126*BP126)</f>
        <v/>
      </c>
      <c r="BY126" s="1025" t="str">
        <f>IF(_NrRaty&gt;LRat,"",BU126*BX126)</f>
        <v/>
      </c>
    </row>
    <row r="127" spans="1:77" x14ac:dyDescent="0.25">
      <c r="A127" s="973">
        <f t="shared" si="98"/>
        <v>0</v>
      </c>
      <c r="B127" s="924" t="str">
        <f t="shared" si="102"/>
        <v/>
      </c>
      <c r="C127" s="658" t="str">
        <f>IF(_NrRaty&gt;LRat,"",_NrRaty)</f>
        <v/>
      </c>
      <c r="D127" s="659" t="str">
        <f t="shared" si="103"/>
        <v/>
      </c>
      <c r="E127" s="940" t="str">
        <f t="shared" ref="E127:E150" si="117">IF(C127&lt;=LRat,(IF(C127&lt;LRat,PMT_,0)+IF(C127=LRat,I126+G127,0)),"")</f>
        <v/>
      </c>
      <c r="F127" s="969" t="str">
        <f t="shared" ref="F127:F150" si="118">IF(C127&lt;=LRat,ROUNDDOWN(OE_oproc/365*I126,5)*(D127-D126),"")</f>
        <v/>
      </c>
      <c r="G127" s="940" t="str">
        <f>IF(C127&lt;=LRat,ROUND(ROUND(SUM($F$30:F127),2)-SUM($G$30:G126),2),"")</f>
        <v/>
      </c>
      <c r="H127" s="940" t="str">
        <f t="shared" ref="H127:H150" si="119">IF(C127&lt;=LRat,IF(C127=LRat,I126,ROUND(E127-G127,2)),"")</f>
        <v/>
      </c>
      <c r="I127" s="940" t="str">
        <f t="shared" ref="I127:I150" si="120">IF(C127&lt;=LRat,ROUND(I126-H127,2),"")</f>
        <v/>
      </c>
      <c r="J127" s="940" t="str">
        <f t="shared" ref="J127:J150" si="121">IF(C127&lt;=LRat,(IF(PLATNOSC_UBEZPIECZ="JEDNORAZOWO",0,$C$16)),"")</f>
        <v/>
      </c>
      <c r="L127" s="613" t="str">
        <f>IF(_NrRaty&gt;LRat,"",_NrRaty)</f>
        <v/>
      </c>
      <c r="M127" s="913" t="str">
        <f t="shared" si="104"/>
        <v/>
      </c>
      <c r="N127" s="913" t="str">
        <f t="shared" si="105"/>
        <v/>
      </c>
      <c r="O127" s="921">
        <f t="shared" si="106"/>
        <v>0</v>
      </c>
      <c r="P127" s="921">
        <f t="shared" si="107"/>
        <v>0</v>
      </c>
      <c r="Q127" s="921">
        <f t="shared" si="108"/>
        <v>0</v>
      </c>
      <c r="R127" s="921">
        <f t="shared" si="109"/>
        <v>0</v>
      </c>
      <c r="S127" s="921">
        <f t="shared" si="110"/>
        <v>0</v>
      </c>
      <c r="T127" s="921">
        <f t="shared" si="111"/>
        <v>0</v>
      </c>
      <c r="U127" s="921">
        <f t="shared" ref="U127:U150" si="122">IF(C127&lt;&gt;"",1+OE_oproc*T127,0)</f>
        <v>0</v>
      </c>
      <c r="V127" s="921">
        <f>IF(C127&lt;&gt;"",1/PRODUCT($U$31:U127),0)</f>
        <v>0</v>
      </c>
      <c r="Z127" s="921">
        <f t="shared" ref="Z127:Z150" si="123">IF(C127&lt;=LRat,SUM(E127,J127,K127),0)</f>
        <v>0</v>
      </c>
      <c r="AA127" s="949">
        <f t="shared" si="114"/>
        <v>0</v>
      </c>
      <c r="AB127" s="949">
        <f t="shared" si="115"/>
        <v>0</v>
      </c>
      <c r="AC127" s="954">
        <f t="shared" si="116"/>
        <v>0</v>
      </c>
      <c r="AD127" s="954">
        <f t="shared" si="101"/>
        <v>0</v>
      </c>
      <c r="AE127" s="954">
        <f t="shared" ref="AE127:AE150" si="124">IF(L127&lt;=LRat,1+OE_oproc*AD127,0)</f>
        <v>0</v>
      </c>
      <c r="AF127" s="954">
        <f>IF(L127&lt;=LRat,1/PRODUCT($AE$31:AE127),0)</f>
        <v>0</v>
      </c>
      <c r="AG127" s="966"/>
      <c r="AH127" s="921">
        <f>IF(L127&lt;=LRat,Z127/((1+OE_wynikRRSO)^(SUM($AD$31:AD127))),0)</f>
        <v>0</v>
      </c>
      <c r="AI127" s="966"/>
      <c r="AO127" s="948" t="str">
        <f>IF(_NrRaty&gt;LRat,"",_NrRaty)</f>
        <v/>
      </c>
      <c r="AP127" s="977" t="str">
        <f t="shared" si="112"/>
        <v/>
      </c>
      <c r="AQ127" s="948">
        <f t="shared" ref="AQ127:AQ150" si="125">IF(AO127&lt;=LRat,PMT_,0)</f>
        <v>0</v>
      </c>
      <c r="AR127" s="948">
        <f>IF(_NrRaty&lt;LRat,ROUND(AT126*$AN$20*(SUM(O127:P127)/365),2),0)+IF(_NrRaty=LRat,AQ127-AS127,0)</f>
        <v>0</v>
      </c>
      <c r="AS127" s="948">
        <f>IF(_NrRaty&lt;LRat,ROUND(AQ127-AR127,2),0)+IF(_NrRaty=LRat,AT126,0)</f>
        <v>0</v>
      </c>
      <c r="AT127" s="979">
        <f t="shared" ca="1" si="113"/>
        <v>0</v>
      </c>
      <c r="AU127" s="979" t="b">
        <f t="shared" ref="AU127:AU151" si="126">IF(C127&lt;=LRat,(IF(PLATNOSC_UBEZPIECZ="JEDNORAZOWO",0,$AO$16)))</f>
        <v>0</v>
      </c>
      <c r="AV127" s="1005">
        <v>0</v>
      </c>
      <c r="AX127" s="948">
        <f t="shared" ref="AX127:AX150" si="127">IF(AO127&lt;=LRat,SUM(AQ127,AU127,AV127),0)</f>
        <v>0</v>
      </c>
      <c r="AY127" s="948">
        <f>IF(_NrRaty&lt;=LRat,IF(MOD(YEAR(N127),4)=0,OE_RP_rrso,365),0)</f>
        <v>0</v>
      </c>
      <c r="AZ127" s="948">
        <f>IF(_NrRaty&lt;=LRat,O127/AY126,0)</f>
        <v>0</v>
      </c>
      <c r="BA127" s="1006">
        <f>IF(_NrRaty&lt;=LRat,P127/AY127,0)</f>
        <v>0</v>
      </c>
      <c r="BB127" s="1006">
        <f t="shared" si="100"/>
        <v>0</v>
      </c>
      <c r="BC127" s="1006">
        <f>IF(_NrRaty&lt;=LRat,1+OE_oproc*BB127,0)</f>
        <v>0</v>
      </c>
      <c r="BD127" s="1006">
        <f>IF(_NrRaty&lt;=LRat,1/PRODUCT($BC$31:BC127),0)</f>
        <v>0</v>
      </c>
      <c r="BF127" s="948">
        <f>IF(_NrRaty&lt;=LRat,AX127/((1+SOWK_wynikRRSO)^(SUM($BB$31:BB127))),0)</f>
        <v>0</v>
      </c>
      <c r="BL127" s="1023" t="str">
        <f>IF(_NrRaty&gt;LRat,"",_NrRaty)</f>
        <v/>
      </c>
      <c r="BM127" s="1024" t="str">
        <f>IF(_NrRaty&gt;LRat,"",D127)</f>
        <v/>
      </c>
      <c r="BN127" s="1025" t="str">
        <f t="shared" ref="BN127:BN150" si="128">IF(APLIKACJA="SOWK",AQ127,E127)</f>
        <v/>
      </c>
      <c r="BO127" s="1025" t="str">
        <f t="shared" ref="BO127:BO150" si="129">IF(APLIKACJA="SOWK",AR127,G127)</f>
        <v/>
      </c>
      <c r="BP127" s="1025" t="str">
        <f t="shared" ref="BP127:BP150" si="130">IF(APLIKACJA="SOWK",AS127,H127)</f>
        <v/>
      </c>
      <c r="BQ127" s="1025" t="str">
        <f t="shared" ref="BQ127:BQ150" si="131">IF(APLIKACJA="SOWK",AT127,I127)</f>
        <v/>
      </c>
      <c r="BR127" s="1124" t="e">
        <f t="shared" ref="BR127:BR151" si="132">IF(APLIKACJA="SOWK",AU127,J127)*1</f>
        <v>#VALUE!</v>
      </c>
      <c r="BT127" s="1113" t="str">
        <f>IF(_NrRaty&gt;LRat,"",_NrRaty)</f>
        <v/>
      </c>
      <c r="BU127" s="1023" t="str">
        <f t="shared" si="99"/>
        <v/>
      </c>
      <c r="BV127" s="1114" t="str">
        <f>IF(_NrRaty&gt;LRat,"",SUM($O$31:P127))</f>
        <v/>
      </c>
      <c r="BW127" s="1025" t="str">
        <f>IF(_NrRaty&gt;LRat,"",BV127/365)</f>
        <v/>
      </c>
      <c r="BX127" s="1025" t="str">
        <f>IF(_NrRaty&gt;LRat,"",BW127*BP127)</f>
        <v/>
      </c>
      <c r="BY127" s="1025" t="str">
        <f>IF(_NrRaty&gt;LRat,"",BU127*BX127)</f>
        <v/>
      </c>
    </row>
    <row r="128" spans="1:77" x14ac:dyDescent="0.25">
      <c r="A128" s="973">
        <f t="shared" ref="A128:A150" si="133">IF(C128&lt;=LRat,E128-E127,0)</f>
        <v>0</v>
      </c>
      <c r="B128" s="924" t="str">
        <f t="shared" si="102"/>
        <v/>
      </c>
      <c r="C128" s="660" t="str">
        <f>IF(_NrRaty&gt;LRat,"",_NrRaty)</f>
        <v/>
      </c>
      <c r="D128" s="661" t="str">
        <f t="shared" si="103"/>
        <v/>
      </c>
      <c r="E128" s="941" t="str">
        <f t="shared" si="117"/>
        <v/>
      </c>
      <c r="F128" s="970" t="str">
        <f t="shared" si="118"/>
        <v/>
      </c>
      <c r="G128" s="941" t="str">
        <f>IF(C128&lt;=LRat,ROUND(ROUND(SUM($F$30:F128),2)-SUM($G$30:G127),2),"")</f>
        <v/>
      </c>
      <c r="H128" s="941" t="str">
        <f t="shared" si="119"/>
        <v/>
      </c>
      <c r="I128" s="941" t="str">
        <f t="shared" si="120"/>
        <v/>
      </c>
      <c r="J128" s="941" t="str">
        <f t="shared" si="121"/>
        <v/>
      </c>
      <c r="L128" s="613" t="str">
        <f>IF(_NrRaty&gt;LRat,"",_NrRaty)</f>
        <v/>
      </c>
      <c r="M128" s="913" t="str">
        <f t="shared" si="104"/>
        <v/>
      </c>
      <c r="N128" s="913" t="str">
        <f t="shared" si="105"/>
        <v/>
      </c>
      <c r="O128" s="921">
        <f t="shared" si="106"/>
        <v>0</v>
      </c>
      <c r="P128" s="921">
        <f t="shared" si="107"/>
        <v>0</v>
      </c>
      <c r="Q128" s="921">
        <f t="shared" si="108"/>
        <v>0</v>
      </c>
      <c r="R128" s="921">
        <f t="shared" si="109"/>
        <v>0</v>
      </c>
      <c r="S128" s="921">
        <f t="shared" si="110"/>
        <v>0</v>
      </c>
      <c r="T128" s="921">
        <f t="shared" si="111"/>
        <v>0</v>
      </c>
      <c r="U128" s="921">
        <f t="shared" si="122"/>
        <v>0</v>
      </c>
      <c r="V128" s="921">
        <f>IF(C128&lt;&gt;"",1/PRODUCT($U$31:U128),0)</f>
        <v>0</v>
      </c>
      <c r="Z128" s="921">
        <f t="shared" si="123"/>
        <v>0</v>
      </c>
      <c r="AA128" s="949">
        <f t="shared" si="114"/>
        <v>0</v>
      </c>
      <c r="AB128" s="949">
        <f t="shared" si="115"/>
        <v>0</v>
      </c>
      <c r="AC128" s="954">
        <f t="shared" si="116"/>
        <v>0</v>
      </c>
      <c r="AD128" s="954">
        <f t="shared" si="101"/>
        <v>0</v>
      </c>
      <c r="AE128" s="954">
        <f t="shared" si="124"/>
        <v>0</v>
      </c>
      <c r="AF128" s="954">
        <f>IF(L128&lt;=LRat,1/PRODUCT($AE$31:AE128),0)</f>
        <v>0</v>
      </c>
      <c r="AG128" s="966"/>
      <c r="AH128" s="921">
        <f>IF(L128&lt;=LRat,Z128/((1+OE_wynikRRSO)^(SUM($AD$31:AD128))),0)</f>
        <v>0</v>
      </c>
      <c r="AI128" s="966"/>
      <c r="AO128" s="948" t="str">
        <f>IF(_NrRaty&gt;LRat,"",_NrRaty)</f>
        <v/>
      </c>
      <c r="AP128" s="977" t="str">
        <f t="shared" si="112"/>
        <v/>
      </c>
      <c r="AQ128" s="948">
        <f t="shared" si="125"/>
        <v>0</v>
      </c>
      <c r="AR128" s="948">
        <f>IF(_NrRaty&lt;LRat,ROUND(AT127*$AN$20*(SUM(O128:P128)/365),2),0)+IF(_NrRaty=LRat,AQ128-AS128,0)</f>
        <v>0</v>
      </c>
      <c r="AS128" s="948">
        <f>IF(_NrRaty&lt;LRat,ROUND(AQ128-AR128,2),0)+IF(_NrRaty=LRat,AT127,0)</f>
        <v>0</v>
      </c>
      <c r="AT128" s="979">
        <f t="shared" ca="1" si="113"/>
        <v>0</v>
      </c>
      <c r="AU128" s="979" t="b">
        <f t="shared" si="126"/>
        <v>0</v>
      </c>
      <c r="AV128" s="1005">
        <v>0</v>
      </c>
      <c r="AX128" s="948">
        <f t="shared" si="127"/>
        <v>0</v>
      </c>
      <c r="AY128" s="948">
        <f>IF(_NrRaty&lt;=LRat,IF(MOD(YEAR(N128),4)=0,OE_RP_rrso,365),0)</f>
        <v>0</v>
      </c>
      <c r="AZ128" s="948">
        <f>IF(_NrRaty&lt;=LRat,O128/AY127,0)</f>
        <v>0</v>
      </c>
      <c r="BA128" s="1006">
        <f>IF(_NrRaty&lt;=LRat,P128/AY128,0)</f>
        <v>0</v>
      </c>
      <c r="BB128" s="1006">
        <f t="shared" si="100"/>
        <v>0</v>
      </c>
      <c r="BC128" s="1006">
        <f>IF(_NrRaty&lt;=LRat,1+OE_oproc*BB128,0)</f>
        <v>0</v>
      </c>
      <c r="BD128" s="1006">
        <f>IF(_NrRaty&lt;=LRat,1/PRODUCT($BC$31:BC128),0)</f>
        <v>0</v>
      </c>
      <c r="BF128" s="948">
        <f>IF(_NrRaty&lt;=LRat,AX128/((1+SOWK_wynikRRSO)^(SUM($BB$31:BB128))),0)</f>
        <v>0</v>
      </c>
      <c r="BL128" s="1023" t="str">
        <f>IF(_NrRaty&gt;LRat,"",_NrRaty)</f>
        <v/>
      </c>
      <c r="BM128" s="1024" t="str">
        <f>IF(_NrRaty&gt;LRat,"",D128)</f>
        <v/>
      </c>
      <c r="BN128" s="1025" t="str">
        <f t="shared" si="128"/>
        <v/>
      </c>
      <c r="BO128" s="1025" t="str">
        <f t="shared" si="129"/>
        <v/>
      </c>
      <c r="BP128" s="1025" t="str">
        <f t="shared" si="130"/>
        <v/>
      </c>
      <c r="BQ128" s="1025" t="str">
        <f t="shared" si="131"/>
        <v/>
      </c>
      <c r="BR128" s="1124" t="e">
        <f t="shared" si="132"/>
        <v>#VALUE!</v>
      </c>
      <c r="BT128" s="1113" t="str">
        <f>IF(_NrRaty&gt;LRat,"",_NrRaty)</f>
        <v/>
      </c>
      <c r="BU128" s="1023" t="str">
        <f t="shared" si="99"/>
        <v/>
      </c>
      <c r="BV128" s="1114" t="str">
        <f>IF(_NrRaty&gt;LRat,"",SUM($O$31:P128))</f>
        <v/>
      </c>
      <c r="BW128" s="1025" t="str">
        <f>IF(_NrRaty&gt;LRat,"",BV128/365)</f>
        <v/>
      </c>
      <c r="BX128" s="1025" t="str">
        <f>IF(_NrRaty&gt;LRat,"",BW128*BP128)</f>
        <v/>
      </c>
      <c r="BY128" s="1025" t="str">
        <f>IF(_NrRaty&gt;LRat,"",BU128*BX128)</f>
        <v/>
      </c>
    </row>
    <row r="129" spans="1:77" x14ac:dyDescent="0.25">
      <c r="A129" s="973">
        <f t="shared" si="133"/>
        <v>0</v>
      </c>
      <c r="B129" s="924" t="str">
        <f t="shared" si="102"/>
        <v/>
      </c>
      <c r="C129" s="658" t="str">
        <f>IF(_NrRaty&gt;LRat,"",_NrRaty)</f>
        <v/>
      </c>
      <c r="D129" s="659" t="str">
        <f t="shared" si="103"/>
        <v/>
      </c>
      <c r="E129" s="940" t="str">
        <f t="shared" si="117"/>
        <v/>
      </c>
      <c r="F129" s="969" t="str">
        <f t="shared" si="118"/>
        <v/>
      </c>
      <c r="G129" s="940" t="str">
        <f>IF(C129&lt;=LRat,ROUND(ROUND(SUM($F$30:F129),2)-SUM($G$30:G128),2),"")</f>
        <v/>
      </c>
      <c r="H129" s="940" t="str">
        <f t="shared" si="119"/>
        <v/>
      </c>
      <c r="I129" s="940" t="str">
        <f t="shared" si="120"/>
        <v/>
      </c>
      <c r="J129" s="940" t="str">
        <f t="shared" si="121"/>
        <v/>
      </c>
      <c r="L129" s="613" t="str">
        <f>IF(_NrRaty&gt;LRat,"",_NrRaty)</f>
        <v/>
      </c>
      <c r="M129" s="913" t="str">
        <f t="shared" si="104"/>
        <v/>
      </c>
      <c r="N129" s="913" t="str">
        <f t="shared" si="105"/>
        <v/>
      </c>
      <c r="O129" s="921">
        <f t="shared" si="106"/>
        <v>0</v>
      </c>
      <c r="P129" s="921">
        <f t="shared" si="107"/>
        <v>0</v>
      </c>
      <c r="Q129" s="921">
        <f t="shared" si="108"/>
        <v>0</v>
      </c>
      <c r="R129" s="921">
        <f t="shared" si="109"/>
        <v>0</v>
      </c>
      <c r="S129" s="921">
        <f t="shared" si="110"/>
        <v>0</v>
      </c>
      <c r="T129" s="921">
        <f t="shared" si="111"/>
        <v>0</v>
      </c>
      <c r="U129" s="921">
        <f t="shared" si="122"/>
        <v>0</v>
      </c>
      <c r="V129" s="921">
        <f>IF(C129&lt;&gt;"",1/PRODUCT($U$31:U129),0)</f>
        <v>0</v>
      </c>
      <c r="Z129" s="921">
        <f t="shared" si="123"/>
        <v>0</v>
      </c>
      <c r="AA129" s="949">
        <f t="shared" si="114"/>
        <v>0</v>
      </c>
      <c r="AB129" s="949">
        <f t="shared" si="115"/>
        <v>0</v>
      </c>
      <c r="AC129" s="954">
        <f t="shared" si="116"/>
        <v>0</v>
      </c>
      <c r="AD129" s="954">
        <f t="shared" si="101"/>
        <v>0</v>
      </c>
      <c r="AE129" s="954">
        <f t="shared" si="124"/>
        <v>0</v>
      </c>
      <c r="AF129" s="954">
        <f>IF(L129&lt;=LRat,1/PRODUCT($AE$31:AE129),0)</f>
        <v>0</v>
      </c>
      <c r="AG129" s="966"/>
      <c r="AH129" s="921">
        <f>IF(L129&lt;=LRat,Z129/((1+OE_wynikRRSO)^(SUM($AD$31:AD129))),0)</f>
        <v>0</v>
      </c>
      <c r="AI129" s="966"/>
      <c r="AO129" s="948" t="str">
        <f>IF(_NrRaty&gt;LRat,"",_NrRaty)</f>
        <v/>
      </c>
      <c r="AP129" s="977" t="str">
        <f t="shared" si="112"/>
        <v/>
      </c>
      <c r="AQ129" s="948">
        <f t="shared" si="125"/>
        <v>0</v>
      </c>
      <c r="AR129" s="948">
        <f>IF(_NrRaty&lt;LRat,ROUND(AT128*$AN$20*(SUM(O129:P129)/365),2),0)+IF(_NrRaty=LRat,AQ129-AS129,0)</f>
        <v>0</v>
      </c>
      <c r="AS129" s="948">
        <f>IF(_NrRaty&lt;LRat,ROUND(AQ129-AR129,2),0)+IF(_NrRaty=LRat,AT128,0)</f>
        <v>0</v>
      </c>
      <c r="AT129" s="979">
        <f t="shared" ca="1" si="113"/>
        <v>0</v>
      </c>
      <c r="AU129" s="979" t="b">
        <f t="shared" si="126"/>
        <v>0</v>
      </c>
      <c r="AV129" s="1005">
        <v>0</v>
      </c>
      <c r="AX129" s="948">
        <f t="shared" si="127"/>
        <v>0</v>
      </c>
      <c r="AY129" s="948">
        <f>IF(_NrRaty&lt;=LRat,IF(MOD(YEAR(N129),4)=0,OE_RP_rrso,365),0)</f>
        <v>0</v>
      </c>
      <c r="AZ129" s="948">
        <f>IF(_NrRaty&lt;=LRat,O129/AY128,0)</f>
        <v>0</v>
      </c>
      <c r="BA129" s="1006">
        <f>IF(_NrRaty&lt;=LRat,P129/AY129,0)</f>
        <v>0</v>
      </c>
      <c r="BB129" s="1006">
        <f t="shared" si="100"/>
        <v>0</v>
      </c>
      <c r="BC129" s="1006">
        <f>IF(_NrRaty&lt;=LRat,1+OE_oproc*BB129,0)</f>
        <v>0</v>
      </c>
      <c r="BD129" s="1006">
        <f>IF(_NrRaty&lt;=LRat,1/PRODUCT($BC$31:BC129),0)</f>
        <v>0</v>
      </c>
      <c r="BF129" s="948">
        <f>IF(_NrRaty&lt;=LRat,AX129/((1+SOWK_wynikRRSO)^(SUM($BB$31:BB129))),0)</f>
        <v>0</v>
      </c>
      <c r="BL129" s="1023" t="str">
        <f>IF(_NrRaty&gt;LRat,"",_NrRaty)</f>
        <v/>
      </c>
      <c r="BM129" s="1024" t="str">
        <f>IF(_NrRaty&gt;LRat,"",D129)</f>
        <v/>
      </c>
      <c r="BN129" s="1025" t="str">
        <f t="shared" si="128"/>
        <v/>
      </c>
      <c r="BO129" s="1025" t="str">
        <f t="shared" si="129"/>
        <v/>
      </c>
      <c r="BP129" s="1025" t="str">
        <f t="shared" si="130"/>
        <v/>
      </c>
      <c r="BQ129" s="1025" t="str">
        <f t="shared" si="131"/>
        <v/>
      </c>
      <c r="BR129" s="1124" t="e">
        <f t="shared" si="132"/>
        <v>#VALUE!</v>
      </c>
      <c r="BT129" s="1113" t="str">
        <f>IF(_NrRaty&gt;LRat,"",_NrRaty)</f>
        <v/>
      </c>
      <c r="BU129" s="1023" t="str">
        <f t="shared" si="99"/>
        <v/>
      </c>
      <c r="BV129" s="1114" t="str">
        <f>IF(_NrRaty&gt;LRat,"",SUM($O$31:P129))</f>
        <v/>
      </c>
      <c r="BW129" s="1025" t="str">
        <f>IF(_NrRaty&gt;LRat,"",BV129/365)</f>
        <v/>
      </c>
      <c r="BX129" s="1025" t="str">
        <f>IF(_NrRaty&gt;LRat,"",BW129*BP129)</f>
        <v/>
      </c>
      <c r="BY129" s="1025" t="str">
        <f>IF(_NrRaty&gt;LRat,"",BU129*BX129)</f>
        <v/>
      </c>
    </row>
    <row r="130" spans="1:77" x14ac:dyDescent="0.25">
      <c r="A130" s="973">
        <f t="shared" si="133"/>
        <v>0</v>
      </c>
      <c r="B130" s="924" t="str">
        <f t="shared" si="102"/>
        <v/>
      </c>
      <c r="C130" s="660" t="str">
        <f>IF(_NrRaty&gt;LRat,"",_NrRaty)</f>
        <v/>
      </c>
      <c r="D130" s="661" t="str">
        <f t="shared" si="103"/>
        <v/>
      </c>
      <c r="E130" s="941" t="str">
        <f t="shared" si="117"/>
        <v/>
      </c>
      <c r="F130" s="970" t="str">
        <f t="shared" si="118"/>
        <v/>
      </c>
      <c r="G130" s="941" t="str">
        <f>IF(C130&lt;=LRat,ROUND(ROUND(SUM($F$30:F130),2)-SUM($G$30:G129),2),"")</f>
        <v/>
      </c>
      <c r="H130" s="941" t="str">
        <f t="shared" si="119"/>
        <v/>
      </c>
      <c r="I130" s="941" t="str">
        <f t="shared" si="120"/>
        <v/>
      </c>
      <c r="J130" s="941" t="str">
        <f t="shared" si="121"/>
        <v/>
      </c>
      <c r="L130" s="613" t="str">
        <f>IF(_NrRaty&gt;LRat,"",_NrRaty)</f>
        <v/>
      </c>
      <c r="M130" s="913" t="str">
        <f t="shared" si="104"/>
        <v/>
      </c>
      <c r="N130" s="913" t="str">
        <f t="shared" si="105"/>
        <v/>
      </c>
      <c r="O130" s="921">
        <f t="shared" si="106"/>
        <v>0</v>
      </c>
      <c r="P130" s="921">
        <f t="shared" si="107"/>
        <v>0</v>
      </c>
      <c r="Q130" s="921">
        <f t="shared" si="108"/>
        <v>0</v>
      </c>
      <c r="R130" s="921">
        <f t="shared" si="109"/>
        <v>0</v>
      </c>
      <c r="S130" s="921">
        <f t="shared" si="110"/>
        <v>0</v>
      </c>
      <c r="T130" s="921">
        <f t="shared" si="111"/>
        <v>0</v>
      </c>
      <c r="U130" s="921">
        <f t="shared" si="122"/>
        <v>0</v>
      </c>
      <c r="V130" s="921">
        <f>IF(C130&lt;&gt;"",1/PRODUCT($U$31:U130),0)</f>
        <v>0</v>
      </c>
      <c r="Z130" s="921">
        <f t="shared" si="123"/>
        <v>0</v>
      </c>
      <c r="AA130" s="949">
        <f t="shared" si="114"/>
        <v>0</v>
      </c>
      <c r="AB130" s="949">
        <f t="shared" si="115"/>
        <v>0</v>
      </c>
      <c r="AC130" s="954">
        <f t="shared" si="116"/>
        <v>0</v>
      </c>
      <c r="AD130" s="954">
        <f t="shared" si="101"/>
        <v>0</v>
      </c>
      <c r="AE130" s="954">
        <f t="shared" si="124"/>
        <v>0</v>
      </c>
      <c r="AF130" s="954">
        <f>IF(L130&lt;=LRat,1/PRODUCT($AE$31:AE130),0)</f>
        <v>0</v>
      </c>
      <c r="AG130" s="966"/>
      <c r="AH130" s="921">
        <f>IF(L130&lt;=LRat,Z130/((1+OE_wynikRRSO)^(SUM($AD$31:AD130))),0)</f>
        <v>0</v>
      </c>
      <c r="AI130" s="966"/>
      <c r="AO130" s="948" t="str">
        <f>IF(_NrRaty&gt;LRat,"",_NrRaty)</f>
        <v/>
      </c>
      <c r="AP130" s="977" t="str">
        <f t="shared" si="112"/>
        <v/>
      </c>
      <c r="AQ130" s="948">
        <f t="shared" si="125"/>
        <v>0</v>
      </c>
      <c r="AR130" s="948">
        <f>IF(_NrRaty&lt;LRat,ROUND(AT129*$AN$20*(SUM(O130:P130)/365),2),0)+IF(_NrRaty=LRat,AQ130-AS130,0)</f>
        <v>0</v>
      </c>
      <c r="AS130" s="948">
        <f>IF(_NrRaty&lt;LRat,ROUND(AQ130-AR130,2),0)+IF(_NrRaty=LRat,AT129,0)</f>
        <v>0</v>
      </c>
      <c r="AT130" s="979">
        <f t="shared" ca="1" si="113"/>
        <v>0</v>
      </c>
      <c r="AU130" s="979" t="b">
        <f t="shared" si="126"/>
        <v>0</v>
      </c>
      <c r="AV130" s="1005">
        <v>0</v>
      </c>
      <c r="AX130" s="948">
        <f t="shared" si="127"/>
        <v>0</v>
      </c>
      <c r="AY130" s="948">
        <f>IF(_NrRaty&lt;=LRat,IF(MOD(YEAR(N130),4)=0,OE_RP_rrso,365),0)</f>
        <v>0</v>
      </c>
      <c r="AZ130" s="948">
        <f>IF(_NrRaty&lt;=LRat,O130/AY129,0)</f>
        <v>0</v>
      </c>
      <c r="BA130" s="1006">
        <f>IF(_NrRaty&lt;=LRat,P130/AY130,0)</f>
        <v>0</v>
      </c>
      <c r="BB130" s="1006">
        <f t="shared" si="100"/>
        <v>0</v>
      </c>
      <c r="BC130" s="1006">
        <f>IF(_NrRaty&lt;=LRat,1+OE_oproc*BB130,0)</f>
        <v>0</v>
      </c>
      <c r="BD130" s="1006">
        <f>IF(_NrRaty&lt;=LRat,1/PRODUCT($BC$31:BC130),0)</f>
        <v>0</v>
      </c>
      <c r="BF130" s="948">
        <f>IF(_NrRaty&lt;=LRat,AX130/((1+SOWK_wynikRRSO)^(SUM($BB$31:BB130))),0)</f>
        <v>0</v>
      </c>
      <c r="BL130" s="1023" t="str">
        <f>IF(_NrRaty&gt;LRat,"",_NrRaty)</f>
        <v/>
      </c>
      <c r="BM130" s="1024" t="str">
        <f>IF(_NrRaty&gt;LRat,"",D130)</f>
        <v/>
      </c>
      <c r="BN130" s="1025" t="str">
        <f t="shared" si="128"/>
        <v/>
      </c>
      <c r="BO130" s="1025" t="str">
        <f t="shared" si="129"/>
        <v/>
      </c>
      <c r="BP130" s="1025" t="str">
        <f t="shared" si="130"/>
        <v/>
      </c>
      <c r="BQ130" s="1025" t="str">
        <f t="shared" si="131"/>
        <v/>
      </c>
      <c r="BR130" s="1124" t="e">
        <f t="shared" si="132"/>
        <v>#VALUE!</v>
      </c>
      <c r="BT130" s="1113" t="str">
        <f>IF(_NrRaty&gt;LRat,"",_NrRaty)</f>
        <v/>
      </c>
      <c r="BU130" s="1023" t="str">
        <f t="shared" si="99"/>
        <v/>
      </c>
      <c r="BV130" s="1114" t="str">
        <f>IF(_NrRaty&gt;LRat,"",SUM($O$31:P130))</f>
        <v/>
      </c>
      <c r="BW130" s="1025" t="str">
        <f>IF(_NrRaty&gt;LRat,"",BV130/365)</f>
        <v/>
      </c>
      <c r="BX130" s="1025" t="str">
        <f>IF(_NrRaty&gt;LRat,"",BW130*BP130)</f>
        <v/>
      </c>
      <c r="BY130" s="1025" t="str">
        <f>IF(_NrRaty&gt;LRat,"",BU130*BX130)</f>
        <v/>
      </c>
    </row>
    <row r="131" spans="1:77" x14ac:dyDescent="0.25">
      <c r="A131" s="973">
        <f t="shared" si="133"/>
        <v>0</v>
      </c>
      <c r="B131" s="924" t="str">
        <f t="shared" si="102"/>
        <v/>
      </c>
      <c r="C131" s="658" t="str">
        <f>IF(_NrRaty&gt;LRat,"",_NrRaty)</f>
        <v/>
      </c>
      <c r="D131" s="659" t="str">
        <f t="shared" si="103"/>
        <v/>
      </c>
      <c r="E131" s="940" t="str">
        <f t="shared" si="117"/>
        <v/>
      </c>
      <c r="F131" s="969" t="str">
        <f t="shared" si="118"/>
        <v/>
      </c>
      <c r="G131" s="940" t="str">
        <f>IF(C131&lt;=LRat,ROUND(ROUND(SUM($F$30:F131),2)-SUM($G$30:G130),2),"")</f>
        <v/>
      </c>
      <c r="H131" s="940" t="str">
        <f t="shared" si="119"/>
        <v/>
      </c>
      <c r="I131" s="940" t="str">
        <f t="shared" si="120"/>
        <v/>
      </c>
      <c r="J131" s="940" t="str">
        <f t="shared" si="121"/>
        <v/>
      </c>
      <c r="L131" s="613" t="str">
        <f>IF(_NrRaty&gt;LRat,"",_NrRaty)</f>
        <v/>
      </c>
      <c r="M131" s="913" t="str">
        <f t="shared" si="104"/>
        <v/>
      </c>
      <c r="N131" s="913" t="str">
        <f t="shared" si="105"/>
        <v/>
      </c>
      <c r="O131" s="921">
        <f t="shared" si="106"/>
        <v>0</v>
      </c>
      <c r="P131" s="921">
        <f t="shared" si="107"/>
        <v>0</v>
      </c>
      <c r="Q131" s="921">
        <f t="shared" si="108"/>
        <v>0</v>
      </c>
      <c r="R131" s="921">
        <f t="shared" si="109"/>
        <v>0</v>
      </c>
      <c r="S131" s="921">
        <f t="shared" si="110"/>
        <v>0</v>
      </c>
      <c r="T131" s="921">
        <f t="shared" si="111"/>
        <v>0</v>
      </c>
      <c r="U131" s="921">
        <f t="shared" si="122"/>
        <v>0</v>
      </c>
      <c r="V131" s="921">
        <f>IF(C131&lt;&gt;"",1/PRODUCT($U$31:U131),0)</f>
        <v>0</v>
      </c>
      <c r="Z131" s="921">
        <f t="shared" si="123"/>
        <v>0</v>
      </c>
      <c r="AA131" s="949">
        <f t="shared" si="114"/>
        <v>0</v>
      </c>
      <c r="AB131" s="949">
        <f t="shared" si="115"/>
        <v>0</v>
      </c>
      <c r="AC131" s="954">
        <f t="shared" si="116"/>
        <v>0</v>
      </c>
      <c r="AD131" s="954">
        <f t="shared" si="101"/>
        <v>0</v>
      </c>
      <c r="AE131" s="954">
        <f t="shared" si="124"/>
        <v>0</v>
      </c>
      <c r="AF131" s="954">
        <f>IF(L131&lt;=LRat,1/PRODUCT($AE$31:AE131),0)</f>
        <v>0</v>
      </c>
      <c r="AG131" s="966"/>
      <c r="AH131" s="921">
        <f>IF(L131&lt;=LRat,Z131/((1+OE_wynikRRSO)^(SUM($AD$31:AD131))),0)</f>
        <v>0</v>
      </c>
      <c r="AI131" s="966"/>
      <c r="AO131" s="948" t="str">
        <f>IF(_NrRaty&gt;LRat,"",_NrRaty)</f>
        <v/>
      </c>
      <c r="AP131" s="977" t="str">
        <f t="shared" si="112"/>
        <v/>
      </c>
      <c r="AQ131" s="948">
        <f t="shared" si="125"/>
        <v>0</v>
      </c>
      <c r="AR131" s="948">
        <f>IF(_NrRaty&lt;LRat,ROUND(AT130*$AN$20*(SUM(O131:P131)/365),2),0)+IF(_NrRaty=LRat,AQ131-AS131,0)</f>
        <v>0</v>
      </c>
      <c r="AS131" s="948">
        <f>IF(_NrRaty&lt;LRat,ROUND(AQ131-AR131,2),0)+IF(_NrRaty=LRat,AT130,0)</f>
        <v>0</v>
      </c>
      <c r="AT131" s="979">
        <f t="shared" ca="1" si="113"/>
        <v>0</v>
      </c>
      <c r="AU131" s="979" t="b">
        <f t="shared" si="126"/>
        <v>0</v>
      </c>
      <c r="AV131" s="1005">
        <v>0</v>
      </c>
      <c r="AX131" s="948">
        <f t="shared" si="127"/>
        <v>0</v>
      </c>
      <c r="AY131" s="948">
        <f>IF(_NrRaty&lt;=LRat,IF(MOD(YEAR(N131),4)=0,OE_RP_rrso,365),0)</f>
        <v>0</v>
      </c>
      <c r="AZ131" s="948">
        <f>IF(_NrRaty&lt;=LRat,O131/AY130,0)</f>
        <v>0</v>
      </c>
      <c r="BA131" s="1006">
        <f>IF(_NrRaty&lt;=LRat,P131/AY131,0)</f>
        <v>0</v>
      </c>
      <c r="BB131" s="1006">
        <f t="shared" si="100"/>
        <v>0</v>
      </c>
      <c r="BC131" s="1006">
        <f>IF(_NrRaty&lt;=LRat,1+OE_oproc*BB131,0)</f>
        <v>0</v>
      </c>
      <c r="BD131" s="1006">
        <f>IF(_NrRaty&lt;=LRat,1/PRODUCT($BC$31:BC131),0)</f>
        <v>0</v>
      </c>
      <c r="BF131" s="948">
        <f>IF(_NrRaty&lt;=LRat,AX131/((1+SOWK_wynikRRSO)^(SUM($BB$31:BB131))),0)</f>
        <v>0</v>
      </c>
      <c r="BL131" s="1023" t="str">
        <f>IF(_NrRaty&gt;LRat,"",_NrRaty)</f>
        <v/>
      </c>
      <c r="BM131" s="1024" t="str">
        <f>IF(_NrRaty&gt;LRat,"",D131)</f>
        <v/>
      </c>
      <c r="BN131" s="1025" t="str">
        <f t="shared" si="128"/>
        <v/>
      </c>
      <c r="BO131" s="1025" t="str">
        <f t="shared" si="129"/>
        <v/>
      </c>
      <c r="BP131" s="1025" t="str">
        <f t="shared" si="130"/>
        <v/>
      </c>
      <c r="BQ131" s="1025" t="str">
        <f t="shared" si="131"/>
        <v/>
      </c>
      <c r="BR131" s="1124" t="e">
        <f t="shared" si="132"/>
        <v>#VALUE!</v>
      </c>
      <c r="BT131" s="1113" t="str">
        <f>IF(_NrRaty&gt;LRat,"",_NrRaty)</f>
        <v/>
      </c>
      <c r="BU131" s="1023" t="str">
        <f t="shared" si="99"/>
        <v/>
      </c>
      <c r="BV131" s="1114" t="str">
        <f>IF(_NrRaty&gt;LRat,"",SUM($O$31:P131))</f>
        <v/>
      </c>
      <c r="BW131" s="1025" t="str">
        <f>IF(_NrRaty&gt;LRat,"",BV131/365)</f>
        <v/>
      </c>
      <c r="BX131" s="1025" t="str">
        <f>IF(_NrRaty&gt;LRat,"",BW131*BP131)</f>
        <v/>
      </c>
      <c r="BY131" s="1025" t="str">
        <f>IF(_NrRaty&gt;LRat,"",BU131*BX131)</f>
        <v/>
      </c>
    </row>
    <row r="132" spans="1:77" x14ac:dyDescent="0.25">
      <c r="A132" s="973">
        <f t="shared" si="133"/>
        <v>0</v>
      </c>
      <c r="B132" s="924" t="str">
        <f t="shared" si="102"/>
        <v/>
      </c>
      <c r="C132" s="660" t="str">
        <f>IF(_NrRaty&gt;LRat,"",_NrRaty)</f>
        <v/>
      </c>
      <c r="D132" s="661" t="str">
        <f t="shared" si="103"/>
        <v/>
      </c>
      <c r="E132" s="941" t="str">
        <f t="shared" si="117"/>
        <v/>
      </c>
      <c r="F132" s="970" t="str">
        <f t="shared" si="118"/>
        <v/>
      </c>
      <c r="G132" s="941" t="str">
        <f>IF(C132&lt;=LRat,ROUND(ROUND(SUM($F$30:F132),2)-SUM($G$30:G131),2),"")</f>
        <v/>
      </c>
      <c r="H132" s="941" t="str">
        <f t="shared" si="119"/>
        <v/>
      </c>
      <c r="I132" s="941" t="str">
        <f t="shared" si="120"/>
        <v/>
      </c>
      <c r="J132" s="941" t="str">
        <f t="shared" si="121"/>
        <v/>
      </c>
      <c r="L132" s="613" t="str">
        <f>IF(_NrRaty&gt;LRat,"",_NrRaty)</f>
        <v/>
      </c>
      <c r="M132" s="913" t="str">
        <f t="shared" si="104"/>
        <v/>
      </c>
      <c r="N132" s="913" t="str">
        <f t="shared" si="105"/>
        <v/>
      </c>
      <c r="O132" s="921">
        <f t="shared" si="106"/>
        <v>0</v>
      </c>
      <c r="P132" s="921">
        <f t="shared" si="107"/>
        <v>0</v>
      </c>
      <c r="Q132" s="921">
        <f t="shared" si="108"/>
        <v>0</v>
      </c>
      <c r="R132" s="921">
        <f t="shared" si="109"/>
        <v>0</v>
      </c>
      <c r="S132" s="921">
        <f t="shared" si="110"/>
        <v>0</v>
      </c>
      <c r="T132" s="921">
        <f t="shared" si="111"/>
        <v>0</v>
      </c>
      <c r="U132" s="921">
        <f t="shared" si="122"/>
        <v>0</v>
      </c>
      <c r="V132" s="921">
        <f>IF(C132&lt;&gt;"",1/PRODUCT($U$31:U132),0)</f>
        <v>0</v>
      </c>
      <c r="Z132" s="921">
        <f t="shared" si="123"/>
        <v>0</v>
      </c>
      <c r="AA132" s="949">
        <f t="shared" si="114"/>
        <v>0</v>
      </c>
      <c r="AB132" s="949">
        <f t="shared" si="115"/>
        <v>0</v>
      </c>
      <c r="AC132" s="954">
        <f t="shared" si="116"/>
        <v>0</v>
      </c>
      <c r="AD132" s="954">
        <f t="shared" si="101"/>
        <v>0</v>
      </c>
      <c r="AE132" s="954">
        <f t="shared" si="124"/>
        <v>0</v>
      </c>
      <c r="AF132" s="954">
        <f>IF(L132&lt;=LRat,1/PRODUCT($AE$31:AE132),0)</f>
        <v>0</v>
      </c>
      <c r="AG132" s="966"/>
      <c r="AH132" s="921">
        <f>IF(L132&lt;=LRat,Z132/((1+OE_wynikRRSO)^(SUM($AD$31:AD132))),0)</f>
        <v>0</v>
      </c>
      <c r="AI132" s="966"/>
      <c r="AO132" s="948" t="str">
        <f>IF(_NrRaty&gt;LRat,"",_NrRaty)</f>
        <v/>
      </c>
      <c r="AP132" s="977" t="str">
        <f t="shared" si="112"/>
        <v/>
      </c>
      <c r="AQ132" s="948">
        <f t="shared" si="125"/>
        <v>0</v>
      </c>
      <c r="AR132" s="948">
        <f>IF(_NrRaty&lt;LRat,ROUND(AT131*$AN$20*(SUM(O132:P132)/365),2),0)+IF(_NrRaty=LRat,AQ132-AS132,0)</f>
        <v>0</v>
      </c>
      <c r="AS132" s="948">
        <f>IF(_NrRaty&lt;LRat,ROUND(AQ132-AR132,2),0)+IF(_NrRaty=LRat,AT131,0)</f>
        <v>0</v>
      </c>
      <c r="AT132" s="979">
        <f t="shared" ca="1" si="113"/>
        <v>0</v>
      </c>
      <c r="AU132" s="979" t="b">
        <f t="shared" si="126"/>
        <v>0</v>
      </c>
      <c r="AV132" s="1005">
        <v>0</v>
      </c>
      <c r="AX132" s="948">
        <f t="shared" si="127"/>
        <v>0</v>
      </c>
      <c r="AY132" s="948">
        <f>IF(_NrRaty&lt;=LRat,IF(MOD(YEAR(N132),4)=0,OE_RP_rrso,365),0)</f>
        <v>0</v>
      </c>
      <c r="AZ132" s="948">
        <f>IF(_NrRaty&lt;=LRat,O132/AY131,0)</f>
        <v>0</v>
      </c>
      <c r="BA132" s="1006">
        <f>IF(_NrRaty&lt;=LRat,P132/AY132,0)</f>
        <v>0</v>
      </c>
      <c r="BB132" s="1006">
        <f t="shared" si="100"/>
        <v>0</v>
      </c>
      <c r="BC132" s="1006">
        <f>IF(_NrRaty&lt;=LRat,1+OE_oproc*BB132,0)</f>
        <v>0</v>
      </c>
      <c r="BD132" s="1006">
        <f>IF(_NrRaty&lt;=LRat,1/PRODUCT($BC$31:BC132),0)</f>
        <v>0</v>
      </c>
      <c r="BF132" s="948">
        <f>IF(_NrRaty&lt;=LRat,AX132/((1+SOWK_wynikRRSO)^(SUM($BB$31:BB132))),0)</f>
        <v>0</v>
      </c>
      <c r="BL132" s="1023" t="str">
        <f>IF(_NrRaty&gt;LRat,"",_NrRaty)</f>
        <v/>
      </c>
      <c r="BM132" s="1024" t="str">
        <f>IF(_NrRaty&gt;LRat,"",D132)</f>
        <v/>
      </c>
      <c r="BN132" s="1025" t="str">
        <f t="shared" si="128"/>
        <v/>
      </c>
      <c r="BO132" s="1025" t="str">
        <f t="shared" si="129"/>
        <v/>
      </c>
      <c r="BP132" s="1025" t="str">
        <f t="shared" si="130"/>
        <v/>
      </c>
      <c r="BQ132" s="1025" t="str">
        <f t="shared" si="131"/>
        <v/>
      </c>
      <c r="BR132" s="1124" t="e">
        <f t="shared" si="132"/>
        <v>#VALUE!</v>
      </c>
      <c r="BT132" s="1113" t="str">
        <f>IF(_NrRaty&gt;LRat,"",_NrRaty)</f>
        <v/>
      </c>
      <c r="BU132" s="1023" t="str">
        <f t="shared" si="99"/>
        <v/>
      </c>
      <c r="BV132" s="1114" t="str">
        <f>IF(_NrRaty&gt;LRat,"",SUM($O$31:P132))</f>
        <v/>
      </c>
      <c r="BW132" s="1025" t="str">
        <f>IF(_NrRaty&gt;LRat,"",BV132/365)</f>
        <v/>
      </c>
      <c r="BX132" s="1025" t="str">
        <f>IF(_NrRaty&gt;LRat,"",BW132*BP132)</f>
        <v/>
      </c>
      <c r="BY132" s="1025" t="str">
        <f>IF(_NrRaty&gt;LRat,"",BU132*BX132)</f>
        <v/>
      </c>
    </row>
    <row r="133" spans="1:77" x14ac:dyDescent="0.25">
      <c r="A133" s="973">
        <f t="shared" si="133"/>
        <v>0</v>
      </c>
      <c r="B133" s="924" t="str">
        <f t="shared" si="102"/>
        <v/>
      </c>
      <c r="C133" s="658" t="str">
        <f>IF(_NrRaty&gt;LRat,"",_NrRaty)</f>
        <v/>
      </c>
      <c r="D133" s="659" t="str">
        <f t="shared" si="103"/>
        <v/>
      </c>
      <c r="E133" s="940" t="str">
        <f t="shared" si="117"/>
        <v/>
      </c>
      <c r="F133" s="969" t="str">
        <f t="shared" si="118"/>
        <v/>
      </c>
      <c r="G133" s="940" t="str">
        <f>IF(C133&lt;=LRat,ROUND(ROUND(SUM($F$30:F133),2)-SUM($G$30:G132),2),"")</f>
        <v/>
      </c>
      <c r="H133" s="940" t="str">
        <f t="shared" si="119"/>
        <v/>
      </c>
      <c r="I133" s="940" t="str">
        <f t="shared" si="120"/>
        <v/>
      </c>
      <c r="J133" s="940" t="str">
        <f t="shared" si="121"/>
        <v/>
      </c>
      <c r="L133" s="613" t="str">
        <f>IF(_NrRaty&gt;LRat,"",_NrRaty)</f>
        <v/>
      </c>
      <c r="M133" s="913" t="str">
        <f t="shared" si="104"/>
        <v/>
      </c>
      <c r="N133" s="913" t="str">
        <f t="shared" si="105"/>
        <v/>
      </c>
      <c r="O133" s="921">
        <f t="shared" si="106"/>
        <v>0</v>
      </c>
      <c r="P133" s="921">
        <f t="shared" si="107"/>
        <v>0</v>
      </c>
      <c r="Q133" s="921">
        <f t="shared" si="108"/>
        <v>0</v>
      </c>
      <c r="R133" s="921">
        <f t="shared" si="109"/>
        <v>0</v>
      </c>
      <c r="S133" s="921">
        <f t="shared" si="110"/>
        <v>0</v>
      </c>
      <c r="T133" s="921">
        <f t="shared" si="111"/>
        <v>0</v>
      </c>
      <c r="U133" s="921">
        <f t="shared" si="122"/>
        <v>0</v>
      </c>
      <c r="V133" s="921">
        <f>IF(C133&lt;&gt;"",1/PRODUCT($U$31:U133),0)</f>
        <v>0</v>
      </c>
      <c r="Z133" s="921">
        <f t="shared" si="123"/>
        <v>0</v>
      </c>
      <c r="AA133" s="949">
        <f t="shared" si="114"/>
        <v>0</v>
      </c>
      <c r="AB133" s="949">
        <f t="shared" si="115"/>
        <v>0</v>
      </c>
      <c r="AC133" s="954">
        <f t="shared" si="116"/>
        <v>0</v>
      </c>
      <c r="AD133" s="954">
        <f t="shared" si="101"/>
        <v>0</v>
      </c>
      <c r="AE133" s="954">
        <f t="shared" si="124"/>
        <v>0</v>
      </c>
      <c r="AF133" s="954">
        <f>IF(L133&lt;=LRat,1/PRODUCT($AE$31:AE133),0)</f>
        <v>0</v>
      </c>
      <c r="AG133" s="966"/>
      <c r="AH133" s="921">
        <f>IF(L133&lt;=LRat,Z133/((1+OE_wynikRRSO)^(SUM($AD$31:AD133))),0)</f>
        <v>0</v>
      </c>
      <c r="AI133" s="966"/>
      <c r="AO133" s="948" t="str">
        <f>IF(_NrRaty&gt;LRat,"",_NrRaty)</f>
        <v/>
      </c>
      <c r="AP133" s="977" t="str">
        <f t="shared" si="112"/>
        <v/>
      </c>
      <c r="AQ133" s="948">
        <f t="shared" si="125"/>
        <v>0</v>
      </c>
      <c r="AR133" s="948">
        <f>IF(_NrRaty&lt;LRat,ROUND(AT132*$AN$20*(SUM(O133:P133)/365),2),0)+IF(_NrRaty=LRat,AQ133-AS133,0)</f>
        <v>0</v>
      </c>
      <c r="AS133" s="948">
        <f>IF(_NrRaty&lt;LRat,ROUND(AQ133-AR133,2),0)+IF(_NrRaty=LRat,AT132,0)</f>
        <v>0</v>
      </c>
      <c r="AT133" s="979">
        <f t="shared" ca="1" si="113"/>
        <v>0</v>
      </c>
      <c r="AU133" s="979" t="b">
        <f t="shared" si="126"/>
        <v>0</v>
      </c>
      <c r="AV133" s="1005">
        <v>0</v>
      </c>
      <c r="AX133" s="948">
        <f t="shared" si="127"/>
        <v>0</v>
      </c>
      <c r="AY133" s="948">
        <f>IF(_NrRaty&lt;=LRat,IF(MOD(YEAR(N133),4)=0,OE_RP_rrso,365),0)</f>
        <v>0</v>
      </c>
      <c r="AZ133" s="948">
        <f>IF(_NrRaty&lt;=LRat,O133/AY132,0)</f>
        <v>0</v>
      </c>
      <c r="BA133" s="1006">
        <f>IF(_NrRaty&lt;=LRat,P133/AY133,0)</f>
        <v>0</v>
      </c>
      <c r="BB133" s="1006">
        <f t="shared" si="100"/>
        <v>0</v>
      </c>
      <c r="BC133" s="1006">
        <f>IF(_NrRaty&lt;=LRat,1+OE_oproc*BB133,0)</f>
        <v>0</v>
      </c>
      <c r="BD133" s="1006">
        <f>IF(_NrRaty&lt;=LRat,1/PRODUCT($BC$31:BC133),0)</f>
        <v>0</v>
      </c>
      <c r="BF133" s="948">
        <f>IF(_NrRaty&lt;=LRat,AX133/((1+SOWK_wynikRRSO)^(SUM($BB$31:BB133))),0)</f>
        <v>0</v>
      </c>
      <c r="BL133" s="1023" t="str">
        <f>IF(_NrRaty&gt;LRat,"",_NrRaty)</f>
        <v/>
      </c>
      <c r="BM133" s="1024" t="str">
        <f>IF(_NrRaty&gt;LRat,"",D133)</f>
        <v/>
      </c>
      <c r="BN133" s="1025" t="str">
        <f t="shared" si="128"/>
        <v/>
      </c>
      <c r="BO133" s="1025" t="str">
        <f t="shared" si="129"/>
        <v/>
      </c>
      <c r="BP133" s="1025" t="str">
        <f t="shared" si="130"/>
        <v/>
      </c>
      <c r="BQ133" s="1025" t="str">
        <f t="shared" si="131"/>
        <v/>
      </c>
      <c r="BR133" s="1124" t="e">
        <f t="shared" si="132"/>
        <v>#VALUE!</v>
      </c>
      <c r="BT133" s="1113" t="str">
        <f>IF(_NrRaty&gt;LRat,"",_NrRaty)</f>
        <v/>
      </c>
      <c r="BU133" s="1023" t="str">
        <f t="shared" si="99"/>
        <v/>
      </c>
      <c r="BV133" s="1114" t="str">
        <f>IF(_NrRaty&gt;LRat,"",SUM($O$31:P133))</f>
        <v/>
      </c>
      <c r="BW133" s="1025" t="str">
        <f>IF(_NrRaty&gt;LRat,"",BV133/365)</f>
        <v/>
      </c>
      <c r="BX133" s="1025" t="str">
        <f>IF(_NrRaty&gt;LRat,"",BW133*BP133)</f>
        <v/>
      </c>
      <c r="BY133" s="1025" t="str">
        <f>IF(_NrRaty&gt;LRat,"",BU133*BX133)</f>
        <v/>
      </c>
    </row>
    <row r="134" spans="1:77" x14ac:dyDescent="0.25">
      <c r="A134" s="973">
        <f t="shared" si="133"/>
        <v>0</v>
      </c>
      <c r="B134" s="924" t="str">
        <f t="shared" si="102"/>
        <v/>
      </c>
      <c r="C134" s="660" t="str">
        <f>IF(_NrRaty&gt;LRat,"",_NrRaty)</f>
        <v/>
      </c>
      <c r="D134" s="661" t="str">
        <f t="shared" si="103"/>
        <v/>
      </c>
      <c r="E134" s="941" t="str">
        <f t="shared" si="117"/>
        <v/>
      </c>
      <c r="F134" s="970" t="str">
        <f t="shared" si="118"/>
        <v/>
      </c>
      <c r="G134" s="941" t="str">
        <f>IF(C134&lt;=LRat,ROUND(ROUND(SUM($F$30:F134),2)-SUM($G$30:G133),2),"")</f>
        <v/>
      </c>
      <c r="H134" s="941" t="str">
        <f t="shared" si="119"/>
        <v/>
      </c>
      <c r="I134" s="941" t="str">
        <f t="shared" si="120"/>
        <v/>
      </c>
      <c r="J134" s="941" t="str">
        <f t="shared" si="121"/>
        <v/>
      </c>
      <c r="L134" s="613" t="str">
        <f>IF(_NrRaty&gt;LRat,"",_NrRaty)</f>
        <v/>
      </c>
      <c r="M134" s="913" t="str">
        <f t="shared" si="104"/>
        <v/>
      </c>
      <c r="N134" s="913" t="str">
        <f t="shared" si="105"/>
        <v/>
      </c>
      <c r="O134" s="921">
        <f t="shared" si="106"/>
        <v>0</v>
      </c>
      <c r="P134" s="921">
        <f t="shared" si="107"/>
        <v>0</v>
      </c>
      <c r="Q134" s="921">
        <f t="shared" si="108"/>
        <v>0</v>
      </c>
      <c r="R134" s="921">
        <f t="shared" si="109"/>
        <v>0</v>
      </c>
      <c r="S134" s="921">
        <f t="shared" si="110"/>
        <v>0</v>
      </c>
      <c r="T134" s="921">
        <f t="shared" si="111"/>
        <v>0</v>
      </c>
      <c r="U134" s="921">
        <f t="shared" si="122"/>
        <v>0</v>
      </c>
      <c r="V134" s="921">
        <f>IF(C134&lt;&gt;"",1/PRODUCT($U$31:U134),0)</f>
        <v>0</v>
      </c>
      <c r="Z134" s="921">
        <f t="shared" si="123"/>
        <v>0</v>
      </c>
      <c r="AA134" s="949">
        <f t="shared" si="114"/>
        <v>0</v>
      </c>
      <c r="AB134" s="949">
        <f t="shared" si="115"/>
        <v>0</v>
      </c>
      <c r="AC134" s="954">
        <f t="shared" si="116"/>
        <v>0</v>
      </c>
      <c r="AD134" s="954">
        <f t="shared" si="101"/>
        <v>0</v>
      </c>
      <c r="AE134" s="954">
        <f t="shared" si="124"/>
        <v>0</v>
      </c>
      <c r="AF134" s="954">
        <f>IF(L134&lt;=LRat,1/PRODUCT($AE$31:AE134),0)</f>
        <v>0</v>
      </c>
      <c r="AG134" s="966"/>
      <c r="AH134" s="921">
        <f>IF(L134&lt;=LRat,Z134/((1+OE_wynikRRSO)^(SUM($AD$31:AD134))),0)</f>
        <v>0</v>
      </c>
      <c r="AI134" s="966"/>
      <c r="AO134" s="948" t="str">
        <f>IF(_NrRaty&gt;LRat,"",_NrRaty)</f>
        <v/>
      </c>
      <c r="AP134" s="977" t="str">
        <f t="shared" si="112"/>
        <v/>
      </c>
      <c r="AQ134" s="948">
        <f t="shared" si="125"/>
        <v>0</v>
      </c>
      <c r="AR134" s="948">
        <f>IF(_NrRaty&lt;LRat,ROUND(AT133*$AN$20*(SUM(O134:P134)/365),2),0)+IF(_NrRaty=LRat,AQ134-AS134,0)</f>
        <v>0</v>
      </c>
      <c r="AS134" s="948">
        <f>IF(_NrRaty&lt;LRat,ROUND(AQ134-AR134,2),0)+IF(_NrRaty=LRat,AT133,0)</f>
        <v>0</v>
      </c>
      <c r="AT134" s="979">
        <f t="shared" ca="1" si="113"/>
        <v>0</v>
      </c>
      <c r="AU134" s="979" t="b">
        <f t="shared" si="126"/>
        <v>0</v>
      </c>
      <c r="AV134" s="1005">
        <v>0</v>
      </c>
      <c r="AX134" s="948">
        <f t="shared" si="127"/>
        <v>0</v>
      </c>
      <c r="AY134" s="948">
        <f>IF(_NrRaty&lt;=LRat,IF(MOD(YEAR(N134),4)=0,OE_RP_rrso,365),0)</f>
        <v>0</v>
      </c>
      <c r="AZ134" s="948">
        <f>IF(_NrRaty&lt;=LRat,O134/AY133,0)</f>
        <v>0</v>
      </c>
      <c r="BA134" s="1006">
        <f>IF(_NrRaty&lt;=LRat,P134/AY134,0)</f>
        <v>0</v>
      </c>
      <c r="BB134" s="1006">
        <f t="shared" si="100"/>
        <v>0</v>
      </c>
      <c r="BC134" s="1006">
        <f>IF(_NrRaty&lt;=LRat,1+OE_oproc*BB134,0)</f>
        <v>0</v>
      </c>
      <c r="BD134" s="1006">
        <f>IF(_NrRaty&lt;=LRat,1/PRODUCT($BC$31:BC134),0)</f>
        <v>0</v>
      </c>
      <c r="BF134" s="948">
        <f>IF(_NrRaty&lt;=LRat,AX134/((1+SOWK_wynikRRSO)^(SUM($BB$31:BB134))),0)</f>
        <v>0</v>
      </c>
      <c r="BL134" s="1023" t="str">
        <f>IF(_NrRaty&gt;LRat,"",_NrRaty)</f>
        <v/>
      </c>
      <c r="BM134" s="1024" t="str">
        <f>IF(_NrRaty&gt;LRat,"",D134)</f>
        <v/>
      </c>
      <c r="BN134" s="1025" t="str">
        <f t="shared" si="128"/>
        <v/>
      </c>
      <c r="BO134" s="1025" t="str">
        <f t="shared" si="129"/>
        <v/>
      </c>
      <c r="BP134" s="1025" t="str">
        <f t="shared" si="130"/>
        <v/>
      </c>
      <c r="BQ134" s="1025" t="str">
        <f t="shared" si="131"/>
        <v/>
      </c>
      <c r="BR134" s="1124" t="e">
        <f t="shared" si="132"/>
        <v>#VALUE!</v>
      </c>
      <c r="BT134" s="1113" t="str">
        <f>IF(_NrRaty&gt;LRat,"",_NrRaty)</f>
        <v/>
      </c>
      <c r="BU134" s="1023" t="str">
        <f t="shared" si="99"/>
        <v/>
      </c>
      <c r="BV134" s="1114" t="str">
        <f>IF(_NrRaty&gt;LRat,"",SUM($O$31:P134))</f>
        <v/>
      </c>
      <c r="BW134" s="1025" t="str">
        <f>IF(_NrRaty&gt;LRat,"",BV134/365)</f>
        <v/>
      </c>
      <c r="BX134" s="1025" t="str">
        <f>IF(_NrRaty&gt;LRat,"",BW134*BP134)</f>
        <v/>
      </c>
      <c r="BY134" s="1025" t="str">
        <f>IF(_NrRaty&gt;LRat,"",BU134*BX134)</f>
        <v/>
      </c>
    </row>
    <row r="135" spans="1:77" x14ac:dyDescent="0.25">
      <c r="A135" s="973">
        <f t="shared" si="133"/>
        <v>0</v>
      </c>
      <c r="B135" s="924" t="str">
        <f t="shared" si="102"/>
        <v/>
      </c>
      <c r="C135" s="658" t="str">
        <f>IF(_NrRaty&gt;LRat,"",_NrRaty)</f>
        <v/>
      </c>
      <c r="D135" s="659" t="str">
        <f t="shared" si="103"/>
        <v/>
      </c>
      <c r="E135" s="940" t="str">
        <f t="shared" si="117"/>
        <v/>
      </c>
      <c r="F135" s="969" t="str">
        <f t="shared" si="118"/>
        <v/>
      </c>
      <c r="G135" s="940" t="str">
        <f>IF(C135&lt;=LRat,ROUND(ROUND(SUM($F$30:F135),2)-SUM($G$30:G134),2),"")</f>
        <v/>
      </c>
      <c r="H135" s="940" t="str">
        <f t="shared" si="119"/>
        <v/>
      </c>
      <c r="I135" s="940" t="str">
        <f t="shared" si="120"/>
        <v/>
      </c>
      <c r="J135" s="940" t="str">
        <f t="shared" si="121"/>
        <v/>
      </c>
      <c r="L135" s="613" t="str">
        <f>IF(_NrRaty&gt;LRat,"",_NrRaty)</f>
        <v/>
      </c>
      <c r="M135" s="913" t="str">
        <f t="shared" si="104"/>
        <v/>
      </c>
      <c r="N135" s="913" t="str">
        <f t="shared" si="105"/>
        <v/>
      </c>
      <c r="O135" s="921">
        <f t="shared" si="106"/>
        <v>0</v>
      </c>
      <c r="P135" s="921">
        <f t="shared" si="107"/>
        <v>0</v>
      </c>
      <c r="Q135" s="921">
        <f t="shared" si="108"/>
        <v>0</v>
      </c>
      <c r="R135" s="921">
        <f t="shared" si="109"/>
        <v>0</v>
      </c>
      <c r="S135" s="921">
        <f t="shared" si="110"/>
        <v>0</v>
      </c>
      <c r="T135" s="921">
        <f t="shared" si="111"/>
        <v>0</v>
      </c>
      <c r="U135" s="921">
        <f t="shared" si="122"/>
        <v>0</v>
      </c>
      <c r="V135" s="921">
        <f>IF(C135&lt;&gt;"",1/PRODUCT($U$31:U135),0)</f>
        <v>0</v>
      </c>
      <c r="Z135" s="921">
        <f t="shared" si="123"/>
        <v>0</v>
      </c>
      <c r="AA135" s="949">
        <f t="shared" si="114"/>
        <v>0</v>
      </c>
      <c r="AB135" s="949">
        <f t="shared" si="115"/>
        <v>0</v>
      </c>
      <c r="AC135" s="954">
        <f t="shared" si="116"/>
        <v>0</v>
      </c>
      <c r="AD135" s="954">
        <f t="shared" si="101"/>
        <v>0</v>
      </c>
      <c r="AE135" s="954">
        <f t="shared" si="124"/>
        <v>0</v>
      </c>
      <c r="AF135" s="954">
        <f>IF(L135&lt;=LRat,1/PRODUCT($AE$31:AE135),0)</f>
        <v>0</v>
      </c>
      <c r="AG135" s="966"/>
      <c r="AH135" s="921">
        <f>IF(L135&lt;=LRat,Z135/((1+OE_wynikRRSO)^(SUM($AD$31:AD135))),0)</f>
        <v>0</v>
      </c>
      <c r="AI135" s="966"/>
      <c r="AO135" s="948" t="str">
        <f>IF(_NrRaty&gt;LRat,"",_NrRaty)</f>
        <v/>
      </c>
      <c r="AP135" s="977" t="str">
        <f t="shared" si="112"/>
        <v/>
      </c>
      <c r="AQ135" s="948">
        <f t="shared" si="125"/>
        <v>0</v>
      </c>
      <c r="AR135" s="948">
        <f>IF(_NrRaty&lt;LRat,ROUND(AT134*$AN$20*(SUM(O135:P135)/365),2),0)+IF(_NrRaty=LRat,AQ135-AS135,0)</f>
        <v>0</v>
      </c>
      <c r="AS135" s="948">
        <f>IF(_NrRaty&lt;LRat,ROUND(AQ135-AR135,2),0)+IF(_NrRaty=LRat,AT134,0)</f>
        <v>0</v>
      </c>
      <c r="AT135" s="979">
        <f t="shared" ca="1" si="113"/>
        <v>0</v>
      </c>
      <c r="AU135" s="979" t="b">
        <f t="shared" si="126"/>
        <v>0</v>
      </c>
      <c r="AV135" s="1005">
        <v>0</v>
      </c>
      <c r="AX135" s="948">
        <f t="shared" si="127"/>
        <v>0</v>
      </c>
      <c r="AY135" s="948">
        <f>IF(_NrRaty&lt;=LRat,IF(MOD(YEAR(N135),4)=0,OE_RP_rrso,365),0)</f>
        <v>0</v>
      </c>
      <c r="AZ135" s="948">
        <f>IF(_NrRaty&lt;=LRat,O135/AY134,0)</f>
        <v>0</v>
      </c>
      <c r="BA135" s="1006">
        <f>IF(_NrRaty&lt;=LRat,P135/AY135,0)</f>
        <v>0</v>
      </c>
      <c r="BB135" s="1006">
        <f t="shared" si="100"/>
        <v>0</v>
      </c>
      <c r="BC135" s="1006">
        <f>IF(_NrRaty&lt;=LRat,1+OE_oproc*BB135,0)</f>
        <v>0</v>
      </c>
      <c r="BD135" s="1006">
        <f>IF(_NrRaty&lt;=LRat,1/PRODUCT($BC$31:BC135),0)</f>
        <v>0</v>
      </c>
      <c r="BF135" s="948">
        <f>IF(_NrRaty&lt;=LRat,AX135/((1+SOWK_wynikRRSO)^(SUM($BB$31:BB135))),0)</f>
        <v>0</v>
      </c>
      <c r="BL135" s="1023" t="str">
        <f>IF(_NrRaty&gt;LRat,"",_NrRaty)</f>
        <v/>
      </c>
      <c r="BM135" s="1024" t="str">
        <f>IF(_NrRaty&gt;LRat,"",D135)</f>
        <v/>
      </c>
      <c r="BN135" s="1025" t="str">
        <f t="shared" si="128"/>
        <v/>
      </c>
      <c r="BO135" s="1025" t="str">
        <f t="shared" si="129"/>
        <v/>
      </c>
      <c r="BP135" s="1025" t="str">
        <f t="shared" si="130"/>
        <v/>
      </c>
      <c r="BQ135" s="1025" t="str">
        <f t="shared" si="131"/>
        <v/>
      </c>
      <c r="BR135" s="1124" t="e">
        <f t="shared" si="132"/>
        <v>#VALUE!</v>
      </c>
      <c r="BT135" s="1113" t="str">
        <f>IF(_NrRaty&gt;LRat,"",_NrRaty)</f>
        <v/>
      </c>
      <c r="BU135" s="1023" t="str">
        <f t="shared" si="99"/>
        <v/>
      </c>
      <c r="BV135" s="1114" t="str">
        <f>IF(_NrRaty&gt;LRat,"",SUM($O$31:P135))</f>
        <v/>
      </c>
      <c r="BW135" s="1025" t="str">
        <f>IF(_NrRaty&gt;LRat,"",BV135/365)</f>
        <v/>
      </c>
      <c r="BX135" s="1025" t="str">
        <f>IF(_NrRaty&gt;LRat,"",BW135*BP135)</f>
        <v/>
      </c>
      <c r="BY135" s="1025" t="str">
        <f>IF(_NrRaty&gt;LRat,"",BU135*BX135)</f>
        <v/>
      </c>
    </row>
    <row r="136" spans="1:77" x14ac:dyDescent="0.25">
      <c r="A136" s="973">
        <f t="shared" si="133"/>
        <v>0</v>
      </c>
      <c r="B136" s="924" t="str">
        <f t="shared" si="102"/>
        <v/>
      </c>
      <c r="C136" s="660" t="str">
        <f>IF(_NrRaty&gt;LRat,"",_NrRaty)</f>
        <v/>
      </c>
      <c r="D136" s="661" t="str">
        <f t="shared" si="103"/>
        <v/>
      </c>
      <c r="E136" s="941" t="str">
        <f t="shared" si="117"/>
        <v/>
      </c>
      <c r="F136" s="970" t="str">
        <f t="shared" si="118"/>
        <v/>
      </c>
      <c r="G136" s="941" t="str">
        <f>IF(C136&lt;=LRat,ROUND(ROUND(SUM($F$30:F136),2)-SUM($G$30:G135),2),"")</f>
        <v/>
      </c>
      <c r="H136" s="941" t="str">
        <f t="shared" si="119"/>
        <v/>
      </c>
      <c r="I136" s="941" t="str">
        <f t="shared" si="120"/>
        <v/>
      </c>
      <c r="J136" s="941" t="str">
        <f t="shared" si="121"/>
        <v/>
      </c>
      <c r="L136" s="613" t="str">
        <f>IF(_NrRaty&gt;LRat,"",_NrRaty)</f>
        <v/>
      </c>
      <c r="M136" s="913" t="str">
        <f t="shared" si="104"/>
        <v/>
      </c>
      <c r="N136" s="913" t="str">
        <f t="shared" si="105"/>
        <v/>
      </c>
      <c r="O136" s="921">
        <f t="shared" si="106"/>
        <v>0</v>
      </c>
      <c r="P136" s="921">
        <f t="shared" si="107"/>
        <v>0</v>
      </c>
      <c r="Q136" s="921">
        <f t="shared" si="108"/>
        <v>0</v>
      </c>
      <c r="R136" s="921">
        <f t="shared" si="109"/>
        <v>0</v>
      </c>
      <c r="S136" s="921">
        <f t="shared" si="110"/>
        <v>0</v>
      </c>
      <c r="T136" s="921">
        <f t="shared" si="111"/>
        <v>0</v>
      </c>
      <c r="U136" s="921">
        <f t="shared" si="122"/>
        <v>0</v>
      </c>
      <c r="V136" s="921">
        <f>IF(C136&lt;&gt;"",1/PRODUCT($U$31:U136),0)</f>
        <v>0</v>
      </c>
      <c r="Z136" s="921">
        <f t="shared" si="123"/>
        <v>0</v>
      </c>
      <c r="AA136" s="949">
        <f t="shared" si="114"/>
        <v>0</v>
      </c>
      <c r="AB136" s="949">
        <f t="shared" si="115"/>
        <v>0</v>
      </c>
      <c r="AC136" s="954">
        <f t="shared" si="116"/>
        <v>0</v>
      </c>
      <c r="AD136" s="954">
        <f t="shared" si="101"/>
        <v>0</v>
      </c>
      <c r="AE136" s="954">
        <f t="shared" si="124"/>
        <v>0</v>
      </c>
      <c r="AF136" s="954">
        <f>IF(L136&lt;=LRat,1/PRODUCT($AE$31:AE136),0)</f>
        <v>0</v>
      </c>
      <c r="AG136" s="966"/>
      <c r="AH136" s="921">
        <f>IF(L136&lt;=LRat,Z136/((1+OE_wynikRRSO)^(SUM($AD$31:AD136))),0)</f>
        <v>0</v>
      </c>
      <c r="AI136" s="966"/>
      <c r="AO136" s="948" t="str">
        <f>IF(_NrRaty&gt;LRat,"",_NrRaty)</f>
        <v/>
      </c>
      <c r="AP136" s="977" t="str">
        <f t="shared" si="112"/>
        <v/>
      </c>
      <c r="AQ136" s="948">
        <f t="shared" si="125"/>
        <v>0</v>
      </c>
      <c r="AR136" s="948">
        <f>IF(_NrRaty&lt;LRat,ROUND(AT135*$AN$20*(SUM(O136:P136)/365),2),0)+IF(_NrRaty=LRat,AQ136-AS136,0)</f>
        <v>0</v>
      </c>
      <c r="AS136" s="948">
        <f>IF(_NrRaty&lt;LRat,ROUND(AQ136-AR136,2),0)+IF(_NrRaty=LRat,AT135,0)</f>
        <v>0</v>
      </c>
      <c r="AT136" s="979">
        <f t="shared" ca="1" si="113"/>
        <v>0</v>
      </c>
      <c r="AU136" s="979" t="b">
        <f t="shared" si="126"/>
        <v>0</v>
      </c>
      <c r="AV136" s="1005">
        <v>0</v>
      </c>
      <c r="AX136" s="948">
        <f t="shared" si="127"/>
        <v>0</v>
      </c>
      <c r="AY136" s="948">
        <f>IF(_NrRaty&lt;=LRat,IF(MOD(YEAR(N136),4)=0,OE_RP_rrso,365),0)</f>
        <v>0</v>
      </c>
      <c r="AZ136" s="948">
        <f>IF(_NrRaty&lt;=LRat,O136/AY135,0)</f>
        <v>0</v>
      </c>
      <c r="BA136" s="1006">
        <f>IF(_NrRaty&lt;=LRat,P136/AY136,0)</f>
        <v>0</v>
      </c>
      <c r="BB136" s="1006">
        <f t="shared" si="100"/>
        <v>0</v>
      </c>
      <c r="BC136" s="1006">
        <f>IF(_NrRaty&lt;=LRat,1+OE_oproc*BB136,0)</f>
        <v>0</v>
      </c>
      <c r="BD136" s="1006">
        <f>IF(_NrRaty&lt;=LRat,1/PRODUCT($BC$31:BC136),0)</f>
        <v>0</v>
      </c>
      <c r="BF136" s="948">
        <f>IF(_NrRaty&lt;=LRat,AX136/((1+SOWK_wynikRRSO)^(SUM($BB$31:BB136))),0)</f>
        <v>0</v>
      </c>
      <c r="BL136" s="1023" t="str">
        <f>IF(_NrRaty&gt;LRat,"",_NrRaty)</f>
        <v/>
      </c>
      <c r="BM136" s="1024" t="str">
        <f>IF(_NrRaty&gt;LRat,"",D136)</f>
        <v/>
      </c>
      <c r="BN136" s="1025" t="str">
        <f t="shared" si="128"/>
        <v/>
      </c>
      <c r="BO136" s="1025" t="str">
        <f t="shared" si="129"/>
        <v/>
      </c>
      <c r="BP136" s="1025" t="str">
        <f t="shared" si="130"/>
        <v/>
      </c>
      <c r="BQ136" s="1025" t="str">
        <f t="shared" si="131"/>
        <v/>
      </c>
      <c r="BR136" s="1124" t="e">
        <f t="shared" si="132"/>
        <v>#VALUE!</v>
      </c>
      <c r="BT136" s="1113" t="str">
        <f>IF(_NrRaty&gt;LRat,"",_NrRaty)</f>
        <v/>
      </c>
      <c r="BU136" s="1023" t="str">
        <f t="shared" si="99"/>
        <v/>
      </c>
      <c r="BV136" s="1114" t="str">
        <f>IF(_NrRaty&gt;LRat,"",SUM($O$31:P136))</f>
        <v/>
      </c>
      <c r="BW136" s="1025" t="str">
        <f>IF(_NrRaty&gt;LRat,"",BV136/365)</f>
        <v/>
      </c>
      <c r="BX136" s="1025" t="str">
        <f>IF(_NrRaty&gt;LRat,"",BW136*BP136)</f>
        <v/>
      </c>
      <c r="BY136" s="1025" t="str">
        <f>IF(_NrRaty&gt;LRat,"",BU136*BX136)</f>
        <v/>
      </c>
    </row>
    <row r="137" spans="1:77" x14ac:dyDescent="0.25">
      <c r="A137" s="973">
        <f t="shared" si="133"/>
        <v>0</v>
      </c>
      <c r="B137" s="924" t="str">
        <f t="shared" si="102"/>
        <v/>
      </c>
      <c r="C137" s="658" t="str">
        <f>IF(_NrRaty&gt;LRat,"",_NrRaty)</f>
        <v/>
      </c>
      <c r="D137" s="659" t="str">
        <f t="shared" si="103"/>
        <v/>
      </c>
      <c r="E137" s="940" t="str">
        <f t="shared" si="117"/>
        <v/>
      </c>
      <c r="F137" s="969" t="str">
        <f t="shared" si="118"/>
        <v/>
      </c>
      <c r="G137" s="940" t="str">
        <f>IF(C137&lt;=LRat,ROUND(ROUND(SUM($F$30:F137),2)-SUM($G$30:G136),2),"")</f>
        <v/>
      </c>
      <c r="H137" s="940" t="str">
        <f t="shared" si="119"/>
        <v/>
      </c>
      <c r="I137" s="940" t="str">
        <f t="shared" si="120"/>
        <v/>
      </c>
      <c r="J137" s="940" t="str">
        <f t="shared" si="121"/>
        <v/>
      </c>
      <c r="L137" s="613" t="str">
        <f>IF(_NrRaty&gt;LRat,"",_NrRaty)</f>
        <v/>
      </c>
      <c r="M137" s="913" t="str">
        <f t="shared" si="104"/>
        <v/>
      </c>
      <c r="N137" s="913" t="str">
        <f t="shared" si="105"/>
        <v/>
      </c>
      <c r="O137" s="921">
        <f t="shared" si="106"/>
        <v>0</v>
      </c>
      <c r="P137" s="921">
        <f t="shared" si="107"/>
        <v>0</v>
      </c>
      <c r="Q137" s="921">
        <f t="shared" si="108"/>
        <v>0</v>
      </c>
      <c r="R137" s="921">
        <f t="shared" si="109"/>
        <v>0</v>
      </c>
      <c r="S137" s="921">
        <f t="shared" si="110"/>
        <v>0</v>
      </c>
      <c r="T137" s="921">
        <f t="shared" si="111"/>
        <v>0</v>
      </c>
      <c r="U137" s="921">
        <f t="shared" si="122"/>
        <v>0</v>
      </c>
      <c r="V137" s="921">
        <f>IF(C137&lt;&gt;"",1/PRODUCT($U$31:U137),0)</f>
        <v>0</v>
      </c>
      <c r="Z137" s="921">
        <f t="shared" si="123"/>
        <v>0</v>
      </c>
      <c r="AA137" s="949">
        <f t="shared" si="114"/>
        <v>0</v>
      </c>
      <c r="AB137" s="949">
        <f t="shared" si="115"/>
        <v>0</v>
      </c>
      <c r="AC137" s="954">
        <f t="shared" si="116"/>
        <v>0</v>
      </c>
      <c r="AD137" s="954">
        <f t="shared" si="101"/>
        <v>0</v>
      </c>
      <c r="AE137" s="954">
        <f t="shared" si="124"/>
        <v>0</v>
      </c>
      <c r="AF137" s="954">
        <f>IF(L137&lt;=LRat,1/PRODUCT($AE$31:AE137),0)</f>
        <v>0</v>
      </c>
      <c r="AG137" s="966"/>
      <c r="AH137" s="921">
        <f>IF(L137&lt;=LRat,Z137/((1+OE_wynikRRSO)^(SUM($AD$31:AD137))),0)</f>
        <v>0</v>
      </c>
      <c r="AI137" s="966"/>
      <c r="AO137" s="948" t="str">
        <f>IF(_NrRaty&gt;LRat,"",_NrRaty)</f>
        <v/>
      </c>
      <c r="AP137" s="977" t="str">
        <f t="shared" si="112"/>
        <v/>
      </c>
      <c r="AQ137" s="948">
        <f t="shared" si="125"/>
        <v>0</v>
      </c>
      <c r="AR137" s="948">
        <f>IF(_NrRaty&lt;LRat,ROUND(AT136*$AN$20*(SUM(O137:P137)/365),2),0)+IF(_NrRaty=LRat,AQ137-AS137,0)</f>
        <v>0</v>
      </c>
      <c r="AS137" s="948">
        <f>IF(_NrRaty&lt;LRat,ROUND(AQ137-AR137,2),0)+IF(_NrRaty=LRat,AT136,0)</f>
        <v>0</v>
      </c>
      <c r="AT137" s="979">
        <f t="shared" ca="1" si="113"/>
        <v>0</v>
      </c>
      <c r="AU137" s="979" t="b">
        <f t="shared" si="126"/>
        <v>0</v>
      </c>
      <c r="AV137" s="1005">
        <v>0</v>
      </c>
      <c r="AX137" s="948">
        <f t="shared" si="127"/>
        <v>0</v>
      </c>
      <c r="AY137" s="948">
        <f>IF(_NrRaty&lt;=LRat,IF(MOD(YEAR(N137),4)=0,OE_RP_rrso,365),0)</f>
        <v>0</v>
      </c>
      <c r="AZ137" s="948">
        <f>IF(_NrRaty&lt;=LRat,O137/AY136,0)</f>
        <v>0</v>
      </c>
      <c r="BA137" s="1006">
        <f>IF(_NrRaty&lt;=LRat,P137/AY137,0)</f>
        <v>0</v>
      </c>
      <c r="BB137" s="1006">
        <f t="shared" si="100"/>
        <v>0</v>
      </c>
      <c r="BC137" s="1006">
        <f>IF(_NrRaty&lt;=LRat,1+OE_oproc*BB137,0)</f>
        <v>0</v>
      </c>
      <c r="BD137" s="1006">
        <f>IF(_NrRaty&lt;=LRat,1/PRODUCT($BC$31:BC137),0)</f>
        <v>0</v>
      </c>
      <c r="BF137" s="948">
        <f>IF(_NrRaty&lt;=LRat,AX137/((1+SOWK_wynikRRSO)^(SUM($BB$31:BB137))),0)</f>
        <v>0</v>
      </c>
      <c r="BL137" s="1023" t="str">
        <f>IF(_NrRaty&gt;LRat,"",_NrRaty)</f>
        <v/>
      </c>
      <c r="BM137" s="1024" t="str">
        <f>IF(_NrRaty&gt;LRat,"",D137)</f>
        <v/>
      </c>
      <c r="BN137" s="1025" t="str">
        <f t="shared" si="128"/>
        <v/>
      </c>
      <c r="BO137" s="1025" t="str">
        <f t="shared" si="129"/>
        <v/>
      </c>
      <c r="BP137" s="1025" t="str">
        <f t="shared" si="130"/>
        <v/>
      </c>
      <c r="BQ137" s="1025" t="str">
        <f t="shared" si="131"/>
        <v/>
      </c>
      <c r="BR137" s="1124" t="e">
        <f t="shared" si="132"/>
        <v>#VALUE!</v>
      </c>
      <c r="BT137" s="1113" t="str">
        <f>IF(_NrRaty&gt;LRat,"",_NrRaty)</f>
        <v/>
      </c>
      <c r="BU137" s="1023" t="str">
        <f t="shared" si="99"/>
        <v/>
      </c>
      <c r="BV137" s="1114" t="str">
        <f>IF(_NrRaty&gt;LRat,"",SUM($O$31:P137))</f>
        <v/>
      </c>
      <c r="BW137" s="1025" t="str">
        <f>IF(_NrRaty&gt;LRat,"",BV137/365)</f>
        <v/>
      </c>
      <c r="BX137" s="1025" t="str">
        <f>IF(_NrRaty&gt;LRat,"",BW137*BP137)</f>
        <v/>
      </c>
      <c r="BY137" s="1025" t="str">
        <f>IF(_NrRaty&gt;LRat,"",BU137*BX137)</f>
        <v/>
      </c>
    </row>
    <row r="138" spans="1:77" x14ac:dyDescent="0.25">
      <c r="A138" s="973">
        <f t="shared" si="133"/>
        <v>0</v>
      </c>
      <c r="B138" s="924" t="str">
        <f t="shared" si="102"/>
        <v/>
      </c>
      <c r="C138" s="660" t="str">
        <f>IF(_NrRaty&gt;LRat,"",_NrRaty)</f>
        <v/>
      </c>
      <c r="D138" s="661" t="str">
        <f t="shared" si="103"/>
        <v/>
      </c>
      <c r="E138" s="941" t="str">
        <f t="shared" si="117"/>
        <v/>
      </c>
      <c r="F138" s="970" t="str">
        <f t="shared" si="118"/>
        <v/>
      </c>
      <c r="G138" s="941" t="str">
        <f>IF(C138&lt;=LRat,ROUND(ROUND(SUM($F$30:F138),2)-SUM($G$30:G137),2),"")</f>
        <v/>
      </c>
      <c r="H138" s="941" t="str">
        <f t="shared" si="119"/>
        <v/>
      </c>
      <c r="I138" s="941" t="str">
        <f t="shared" si="120"/>
        <v/>
      </c>
      <c r="J138" s="941" t="str">
        <f t="shared" si="121"/>
        <v/>
      </c>
      <c r="L138" s="613" t="str">
        <f>IF(_NrRaty&gt;LRat,"",_NrRaty)</f>
        <v/>
      </c>
      <c r="M138" s="913" t="str">
        <f t="shared" si="104"/>
        <v/>
      </c>
      <c r="N138" s="913" t="str">
        <f t="shared" si="105"/>
        <v/>
      </c>
      <c r="O138" s="921">
        <f t="shared" si="106"/>
        <v>0</v>
      </c>
      <c r="P138" s="921">
        <f t="shared" si="107"/>
        <v>0</v>
      </c>
      <c r="Q138" s="921">
        <f t="shared" si="108"/>
        <v>0</v>
      </c>
      <c r="R138" s="921">
        <f t="shared" si="109"/>
        <v>0</v>
      </c>
      <c r="S138" s="921">
        <f t="shared" si="110"/>
        <v>0</v>
      </c>
      <c r="T138" s="921">
        <f t="shared" si="111"/>
        <v>0</v>
      </c>
      <c r="U138" s="921">
        <f t="shared" si="122"/>
        <v>0</v>
      </c>
      <c r="V138" s="921">
        <f>IF(C138&lt;&gt;"",1/PRODUCT($U$31:U138),0)</f>
        <v>0</v>
      </c>
      <c r="Z138" s="921">
        <f t="shared" si="123"/>
        <v>0</v>
      </c>
      <c r="AA138" s="949">
        <f t="shared" si="114"/>
        <v>0</v>
      </c>
      <c r="AB138" s="949">
        <f t="shared" si="115"/>
        <v>0</v>
      </c>
      <c r="AC138" s="954">
        <f t="shared" si="116"/>
        <v>0</v>
      </c>
      <c r="AD138" s="954">
        <f t="shared" si="101"/>
        <v>0</v>
      </c>
      <c r="AE138" s="954">
        <f t="shared" si="124"/>
        <v>0</v>
      </c>
      <c r="AF138" s="954">
        <f>IF(L138&lt;=LRat,1/PRODUCT($AE$31:AE138),0)</f>
        <v>0</v>
      </c>
      <c r="AG138" s="966"/>
      <c r="AH138" s="921">
        <f>IF(L138&lt;=LRat,Z138/((1+OE_wynikRRSO)^(SUM($AD$31:AD138))),0)</f>
        <v>0</v>
      </c>
      <c r="AI138" s="966"/>
      <c r="AO138" s="948" t="str">
        <f>IF(_NrRaty&gt;LRat,"",_NrRaty)</f>
        <v/>
      </c>
      <c r="AP138" s="977" t="str">
        <f t="shared" si="112"/>
        <v/>
      </c>
      <c r="AQ138" s="948">
        <f t="shared" si="125"/>
        <v>0</v>
      </c>
      <c r="AR138" s="948">
        <f>IF(_NrRaty&lt;LRat,ROUND(AT137*$AN$20*(SUM(O138:P138)/365),2),0)+IF(_NrRaty=LRat,AQ138-AS138,0)</f>
        <v>0</v>
      </c>
      <c r="AS138" s="948">
        <f>IF(_NrRaty&lt;LRat,ROUND(AQ138-AR138,2),0)+IF(_NrRaty=LRat,AT137,0)</f>
        <v>0</v>
      </c>
      <c r="AT138" s="979">
        <f t="shared" ca="1" si="113"/>
        <v>0</v>
      </c>
      <c r="AU138" s="979" t="b">
        <f t="shared" si="126"/>
        <v>0</v>
      </c>
      <c r="AV138" s="1005">
        <v>0</v>
      </c>
      <c r="AX138" s="948">
        <f t="shared" si="127"/>
        <v>0</v>
      </c>
      <c r="AY138" s="948">
        <f>IF(_NrRaty&lt;=LRat,IF(MOD(YEAR(N138),4)=0,OE_RP_rrso,365),0)</f>
        <v>0</v>
      </c>
      <c r="AZ138" s="948">
        <f>IF(_NrRaty&lt;=LRat,O138/AY137,0)</f>
        <v>0</v>
      </c>
      <c r="BA138" s="1006">
        <f>IF(_NrRaty&lt;=LRat,P138/AY138,0)</f>
        <v>0</v>
      </c>
      <c r="BB138" s="1006">
        <f t="shared" si="100"/>
        <v>0</v>
      </c>
      <c r="BC138" s="1006">
        <f>IF(_NrRaty&lt;=LRat,1+OE_oproc*BB138,0)</f>
        <v>0</v>
      </c>
      <c r="BD138" s="1006">
        <f>IF(_NrRaty&lt;=LRat,1/PRODUCT($BC$31:BC138),0)</f>
        <v>0</v>
      </c>
      <c r="BF138" s="948">
        <f>IF(_NrRaty&lt;=LRat,AX138/((1+SOWK_wynikRRSO)^(SUM($BB$31:BB138))),0)</f>
        <v>0</v>
      </c>
      <c r="BL138" s="1023" t="str">
        <f>IF(_NrRaty&gt;LRat,"",_NrRaty)</f>
        <v/>
      </c>
      <c r="BM138" s="1024" t="str">
        <f>IF(_NrRaty&gt;LRat,"",D138)</f>
        <v/>
      </c>
      <c r="BN138" s="1025" t="str">
        <f t="shared" si="128"/>
        <v/>
      </c>
      <c r="BO138" s="1025" t="str">
        <f t="shared" si="129"/>
        <v/>
      </c>
      <c r="BP138" s="1025" t="str">
        <f t="shared" si="130"/>
        <v/>
      </c>
      <c r="BQ138" s="1025" t="str">
        <f t="shared" si="131"/>
        <v/>
      </c>
      <c r="BR138" s="1124" t="e">
        <f t="shared" si="132"/>
        <v>#VALUE!</v>
      </c>
      <c r="BT138" s="1113" t="str">
        <f>IF(_NrRaty&gt;LRat,"",_NrRaty)</f>
        <v/>
      </c>
      <c r="BU138" s="1023" t="str">
        <f t="shared" si="99"/>
        <v/>
      </c>
      <c r="BV138" s="1114" t="str">
        <f>IF(_NrRaty&gt;LRat,"",SUM($O$31:P138))</f>
        <v/>
      </c>
      <c r="BW138" s="1025" t="str">
        <f>IF(_NrRaty&gt;LRat,"",BV138/365)</f>
        <v/>
      </c>
      <c r="BX138" s="1025" t="str">
        <f>IF(_NrRaty&gt;LRat,"",BW138*BP138)</f>
        <v/>
      </c>
      <c r="BY138" s="1025" t="str">
        <f>IF(_NrRaty&gt;LRat,"",BU138*BX138)</f>
        <v/>
      </c>
    </row>
    <row r="139" spans="1:77" x14ac:dyDescent="0.25">
      <c r="A139" s="973">
        <f t="shared" si="133"/>
        <v>0</v>
      </c>
      <c r="B139" s="924" t="str">
        <f t="shared" si="102"/>
        <v/>
      </c>
      <c r="C139" s="658" t="str">
        <f>IF(_NrRaty&gt;LRat,"",_NrRaty)</f>
        <v/>
      </c>
      <c r="D139" s="659" t="str">
        <f t="shared" si="103"/>
        <v/>
      </c>
      <c r="E139" s="940" t="str">
        <f t="shared" si="117"/>
        <v/>
      </c>
      <c r="F139" s="969" t="str">
        <f t="shared" si="118"/>
        <v/>
      </c>
      <c r="G139" s="940" t="str">
        <f>IF(C139&lt;=LRat,ROUND(ROUND(SUM($F$30:F139),2)-SUM($G$30:G138),2),"")</f>
        <v/>
      </c>
      <c r="H139" s="940" t="str">
        <f t="shared" si="119"/>
        <v/>
      </c>
      <c r="I139" s="940" t="str">
        <f t="shared" si="120"/>
        <v/>
      </c>
      <c r="J139" s="940" t="str">
        <f t="shared" si="121"/>
        <v/>
      </c>
      <c r="L139" s="613" t="str">
        <f>IF(_NrRaty&gt;LRat,"",_NrRaty)</f>
        <v/>
      </c>
      <c r="M139" s="913" t="str">
        <f t="shared" si="104"/>
        <v/>
      </c>
      <c r="N139" s="913" t="str">
        <f t="shared" si="105"/>
        <v/>
      </c>
      <c r="O139" s="921">
        <f t="shared" si="106"/>
        <v>0</v>
      </c>
      <c r="P139" s="921">
        <f t="shared" si="107"/>
        <v>0</v>
      </c>
      <c r="Q139" s="921">
        <f t="shared" si="108"/>
        <v>0</v>
      </c>
      <c r="R139" s="921">
        <f t="shared" si="109"/>
        <v>0</v>
      </c>
      <c r="S139" s="921">
        <f t="shared" si="110"/>
        <v>0</v>
      </c>
      <c r="T139" s="921">
        <f t="shared" si="111"/>
        <v>0</v>
      </c>
      <c r="U139" s="921">
        <f t="shared" si="122"/>
        <v>0</v>
      </c>
      <c r="V139" s="921">
        <f>IF(C139&lt;&gt;"",1/PRODUCT($U$31:U139),0)</f>
        <v>0</v>
      </c>
      <c r="Z139" s="921">
        <f t="shared" si="123"/>
        <v>0</v>
      </c>
      <c r="AA139" s="949">
        <f t="shared" si="114"/>
        <v>0</v>
      </c>
      <c r="AB139" s="949">
        <f t="shared" si="115"/>
        <v>0</v>
      </c>
      <c r="AC139" s="954">
        <f t="shared" si="116"/>
        <v>0</v>
      </c>
      <c r="AD139" s="954">
        <f t="shared" si="101"/>
        <v>0</v>
      </c>
      <c r="AE139" s="954">
        <f t="shared" si="124"/>
        <v>0</v>
      </c>
      <c r="AF139" s="954">
        <f>IF(L139&lt;=LRat,1/PRODUCT($AE$31:AE139),0)</f>
        <v>0</v>
      </c>
      <c r="AG139" s="966"/>
      <c r="AH139" s="921">
        <f>IF(L139&lt;=LRat,Z139/((1+OE_wynikRRSO)^(SUM($AD$31:AD139))),0)</f>
        <v>0</v>
      </c>
      <c r="AI139" s="966"/>
      <c r="AO139" s="948" t="str">
        <f>IF(_NrRaty&gt;LRat,"",_NrRaty)</f>
        <v/>
      </c>
      <c r="AP139" s="977" t="str">
        <f t="shared" si="112"/>
        <v/>
      </c>
      <c r="AQ139" s="948">
        <f t="shared" si="125"/>
        <v>0</v>
      </c>
      <c r="AR139" s="948">
        <f>IF(_NrRaty&lt;LRat,ROUND(AT138*$AN$20*(SUM(O139:P139)/365),2),0)+IF(_NrRaty=LRat,AQ139-AS139,0)</f>
        <v>0</v>
      </c>
      <c r="AS139" s="948">
        <f>IF(_NrRaty&lt;LRat,ROUND(AQ139-AR139,2),0)+IF(_NrRaty=LRat,AT138,0)</f>
        <v>0</v>
      </c>
      <c r="AT139" s="979">
        <f t="shared" ca="1" si="113"/>
        <v>0</v>
      </c>
      <c r="AU139" s="979" t="b">
        <f t="shared" si="126"/>
        <v>0</v>
      </c>
      <c r="AV139" s="1005">
        <v>0</v>
      </c>
      <c r="AX139" s="948">
        <f t="shared" si="127"/>
        <v>0</v>
      </c>
      <c r="AY139" s="948">
        <f>IF(_NrRaty&lt;=LRat,IF(MOD(YEAR(N139),4)=0,OE_RP_rrso,365),0)</f>
        <v>0</v>
      </c>
      <c r="AZ139" s="948">
        <f>IF(_NrRaty&lt;=LRat,O139/AY138,0)</f>
        <v>0</v>
      </c>
      <c r="BA139" s="1006">
        <f>IF(_NrRaty&lt;=LRat,P139/AY139,0)</f>
        <v>0</v>
      </c>
      <c r="BB139" s="1006">
        <f t="shared" si="100"/>
        <v>0</v>
      </c>
      <c r="BC139" s="1006">
        <f>IF(_NrRaty&lt;=LRat,1+OE_oproc*BB139,0)</f>
        <v>0</v>
      </c>
      <c r="BD139" s="1006">
        <f>IF(_NrRaty&lt;=LRat,1/PRODUCT($BC$31:BC139),0)</f>
        <v>0</v>
      </c>
      <c r="BF139" s="948">
        <f>IF(_NrRaty&lt;=LRat,AX139/((1+SOWK_wynikRRSO)^(SUM($BB$31:BB139))),0)</f>
        <v>0</v>
      </c>
      <c r="BL139" s="1023" t="str">
        <f>IF(_NrRaty&gt;LRat,"",_NrRaty)</f>
        <v/>
      </c>
      <c r="BM139" s="1024" t="str">
        <f>IF(_NrRaty&gt;LRat,"",D139)</f>
        <v/>
      </c>
      <c r="BN139" s="1025" t="str">
        <f t="shared" si="128"/>
        <v/>
      </c>
      <c r="BO139" s="1025" t="str">
        <f t="shared" si="129"/>
        <v/>
      </c>
      <c r="BP139" s="1025" t="str">
        <f t="shared" si="130"/>
        <v/>
      </c>
      <c r="BQ139" s="1025" t="str">
        <f t="shared" si="131"/>
        <v/>
      </c>
      <c r="BR139" s="1124" t="e">
        <f t="shared" si="132"/>
        <v>#VALUE!</v>
      </c>
      <c r="BT139" s="1113" t="str">
        <f>IF(_NrRaty&gt;LRat,"",_NrRaty)</f>
        <v/>
      </c>
      <c r="BU139" s="1023" t="str">
        <f t="shared" si="99"/>
        <v/>
      </c>
      <c r="BV139" s="1114" t="str">
        <f>IF(_NrRaty&gt;LRat,"",SUM($O$31:P139))</f>
        <v/>
      </c>
      <c r="BW139" s="1025" t="str">
        <f>IF(_NrRaty&gt;LRat,"",BV139/365)</f>
        <v/>
      </c>
      <c r="BX139" s="1025" t="str">
        <f>IF(_NrRaty&gt;LRat,"",BW139*BP139)</f>
        <v/>
      </c>
      <c r="BY139" s="1025" t="str">
        <f>IF(_NrRaty&gt;LRat,"",BU139*BX139)</f>
        <v/>
      </c>
    </row>
    <row r="140" spans="1:77" x14ac:dyDescent="0.25">
      <c r="A140" s="973">
        <f t="shared" si="133"/>
        <v>0</v>
      </c>
      <c r="B140" s="924" t="str">
        <f t="shared" si="102"/>
        <v/>
      </c>
      <c r="C140" s="660" t="str">
        <f>IF(_NrRaty&gt;LRat,"",_NrRaty)</f>
        <v/>
      </c>
      <c r="D140" s="661" t="str">
        <f t="shared" si="103"/>
        <v/>
      </c>
      <c r="E140" s="941" t="str">
        <f t="shared" si="117"/>
        <v/>
      </c>
      <c r="F140" s="970" t="str">
        <f t="shared" si="118"/>
        <v/>
      </c>
      <c r="G140" s="941" t="str">
        <f>IF(C140&lt;=LRat,ROUND(ROUND(SUM($F$30:F140),2)-SUM($G$30:G139),2),"")</f>
        <v/>
      </c>
      <c r="H140" s="941" t="str">
        <f t="shared" si="119"/>
        <v/>
      </c>
      <c r="I140" s="941" t="str">
        <f t="shared" si="120"/>
        <v/>
      </c>
      <c r="J140" s="941" t="str">
        <f t="shared" si="121"/>
        <v/>
      </c>
      <c r="L140" s="613" t="str">
        <f>IF(_NrRaty&gt;LRat,"",_NrRaty)</f>
        <v/>
      </c>
      <c r="M140" s="913" t="str">
        <f t="shared" si="104"/>
        <v/>
      </c>
      <c r="N140" s="913" t="str">
        <f t="shared" si="105"/>
        <v/>
      </c>
      <c r="O140" s="921">
        <f t="shared" si="106"/>
        <v>0</v>
      </c>
      <c r="P140" s="921">
        <f t="shared" si="107"/>
        <v>0</v>
      </c>
      <c r="Q140" s="921">
        <f t="shared" si="108"/>
        <v>0</v>
      </c>
      <c r="R140" s="921">
        <f t="shared" si="109"/>
        <v>0</v>
      </c>
      <c r="S140" s="921">
        <f t="shared" si="110"/>
        <v>0</v>
      </c>
      <c r="T140" s="921">
        <f t="shared" si="111"/>
        <v>0</v>
      </c>
      <c r="U140" s="921">
        <f t="shared" si="122"/>
        <v>0</v>
      </c>
      <c r="V140" s="921">
        <f>IF(C140&lt;&gt;"",1/PRODUCT($U$31:U140),0)</f>
        <v>0</v>
      </c>
      <c r="Z140" s="921">
        <f t="shared" si="123"/>
        <v>0</v>
      </c>
      <c r="AA140" s="949">
        <f t="shared" si="114"/>
        <v>0</v>
      </c>
      <c r="AB140" s="949">
        <f t="shared" si="115"/>
        <v>0</v>
      </c>
      <c r="AC140" s="954">
        <f t="shared" si="116"/>
        <v>0</v>
      </c>
      <c r="AD140" s="954">
        <f t="shared" si="101"/>
        <v>0</v>
      </c>
      <c r="AE140" s="954">
        <f t="shared" si="124"/>
        <v>0</v>
      </c>
      <c r="AF140" s="954">
        <f>IF(L140&lt;=LRat,1/PRODUCT($AE$31:AE140),0)</f>
        <v>0</v>
      </c>
      <c r="AG140" s="966"/>
      <c r="AH140" s="921">
        <f>IF(L140&lt;=LRat,Z140/((1+OE_wynikRRSO)^(SUM($AD$31:AD140))),0)</f>
        <v>0</v>
      </c>
      <c r="AI140" s="966"/>
      <c r="AO140" s="948" t="str">
        <f>IF(_NrRaty&gt;LRat,"",_NrRaty)</f>
        <v/>
      </c>
      <c r="AP140" s="977" t="str">
        <f t="shared" si="112"/>
        <v/>
      </c>
      <c r="AQ140" s="948">
        <f t="shared" si="125"/>
        <v>0</v>
      </c>
      <c r="AR140" s="948">
        <f>IF(_NrRaty&lt;LRat,ROUND(AT139*$AN$20*(SUM(O140:P140)/365),2),0)+IF(_NrRaty=LRat,AQ140-AS140,0)</f>
        <v>0</v>
      </c>
      <c r="AS140" s="948">
        <f>IF(_NrRaty&lt;LRat,ROUND(AQ140-AR140,2),0)+IF(_NrRaty=LRat,AT139,0)</f>
        <v>0</v>
      </c>
      <c r="AT140" s="979">
        <f t="shared" ca="1" si="113"/>
        <v>0</v>
      </c>
      <c r="AU140" s="979" t="b">
        <f t="shared" si="126"/>
        <v>0</v>
      </c>
      <c r="AV140" s="1005">
        <v>0</v>
      </c>
      <c r="AX140" s="948">
        <f t="shared" si="127"/>
        <v>0</v>
      </c>
      <c r="AY140" s="948">
        <f>IF(_NrRaty&lt;=LRat,IF(MOD(YEAR(N140),4)=0,OE_RP_rrso,365),0)</f>
        <v>0</v>
      </c>
      <c r="AZ140" s="948">
        <f>IF(_NrRaty&lt;=LRat,O140/AY139,0)</f>
        <v>0</v>
      </c>
      <c r="BA140" s="1006">
        <f>IF(_NrRaty&lt;=LRat,P140/AY140,0)</f>
        <v>0</v>
      </c>
      <c r="BB140" s="1006">
        <f t="shared" si="100"/>
        <v>0</v>
      </c>
      <c r="BC140" s="1006">
        <f>IF(_NrRaty&lt;=LRat,1+OE_oproc*BB140,0)</f>
        <v>0</v>
      </c>
      <c r="BD140" s="1006">
        <f>IF(_NrRaty&lt;=LRat,1/PRODUCT($BC$31:BC140),0)</f>
        <v>0</v>
      </c>
      <c r="BF140" s="948">
        <f>IF(_NrRaty&lt;=LRat,AX140/((1+SOWK_wynikRRSO)^(SUM($BB$31:BB140))),0)</f>
        <v>0</v>
      </c>
      <c r="BL140" s="1023" t="str">
        <f>IF(_NrRaty&gt;LRat,"",_NrRaty)</f>
        <v/>
      </c>
      <c r="BM140" s="1024" t="str">
        <f>IF(_NrRaty&gt;LRat,"",D140)</f>
        <v/>
      </c>
      <c r="BN140" s="1025" t="str">
        <f t="shared" si="128"/>
        <v/>
      </c>
      <c r="BO140" s="1025" t="str">
        <f t="shared" si="129"/>
        <v/>
      </c>
      <c r="BP140" s="1025" t="str">
        <f t="shared" si="130"/>
        <v/>
      </c>
      <c r="BQ140" s="1025" t="str">
        <f t="shared" si="131"/>
        <v/>
      </c>
      <c r="BR140" s="1124" t="e">
        <f t="shared" si="132"/>
        <v>#VALUE!</v>
      </c>
      <c r="BT140" s="1113" t="str">
        <f>IF(_NrRaty&gt;LRat,"",_NrRaty)</f>
        <v/>
      </c>
      <c r="BU140" s="1023" t="str">
        <f t="shared" si="99"/>
        <v/>
      </c>
      <c r="BV140" s="1114" t="str">
        <f>IF(_NrRaty&gt;LRat,"",SUM($O$31:P140))</f>
        <v/>
      </c>
      <c r="BW140" s="1025" t="str">
        <f>IF(_NrRaty&gt;LRat,"",BV140/365)</f>
        <v/>
      </c>
      <c r="BX140" s="1025" t="str">
        <f>IF(_NrRaty&gt;LRat,"",BW140*BP140)</f>
        <v/>
      </c>
      <c r="BY140" s="1025" t="str">
        <f>IF(_NrRaty&gt;LRat,"",BU140*BX140)</f>
        <v/>
      </c>
    </row>
    <row r="141" spans="1:77" x14ac:dyDescent="0.25">
      <c r="A141" s="973">
        <f t="shared" si="133"/>
        <v>0</v>
      </c>
      <c r="B141" s="924" t="str">
        <f t="shared" si="102"/>
        <v/>
      </c>
      <c r="C141" s="658" t="str">
        <f>IF(_NrRaty&gt;LRat,"",_NrRaty)</f>
        <v/>
      </c>
      <c r="D141" s="659" t="str">
        <f t="shared" si="103"/>
        <v/>
      </c>
      <c r="E141" s="940" t="str">
        <f t="shared" si="117"/>
        <v/>
      </c>
      <c r="F141" s="969" t="str">
        <f t="shared" si="118"/>
        <v/>
      </c>
      <c r="G141" s="940" t="str">
        <f>IF(C141&lt;=LRat,ROUND(ROUND(SUM($F$30:F141),2)-SUM($G$30:G140),2),"")</f>
        <v/>
      </c>
      <c r="H141" s="940" t="str">
        <f t="shared" si="119"/>
        <v/>
      </c>
      <c r="I141" s="940" t="str">
        <f t="shared" si="120"/>
        <v/>
      </c>
      <c r="J141" s="940" t="str">
        <f t="shared" si="121"/>
        <v/>
      </c>
      <c r="L141" s="613" t="str">
        <f>IF(_NrRaty&gt;LRat,"",_NrRaty)</f>
        <v/>
      </c>
      <c r="M141" s="913" t="str">
        <f t="shared" si="104"/>
        <v/>
      </c>
      <c r="N141" s="913" t="str">
        <f t="shared" si="105"/>
        <v/>
      </c>
      <c r="O141" s="921">
        <f t="shared" si="106"/>
        <v>0</v>
      </c>
      <c r="P141" s="921">
        <f t="shared" si="107"/>
        <v>0</v>
      </c>
      <c r="Q141" s="921">
        <f t="shared" si="108"/>
        <v>0</v>
      </c>
      <c r="R141" s="921">
        <f t="shared" si="109"/>
        <v>0</v>
      </c>
      <c r="S141" s="921">
        <f t="shared" si="110"/>
        <v>0</v>
      </c>
      <c r="T141" s="921">
        <f t="shared" si="111"/>
        <v>0</v>
      </c>
      <c r="U141" s="921">
        <f t="shared" si="122"/>
        <v>0</v>
      </c>
      <c r="V141" s="921">
        <f>IF(C141&lt;&gt;"",1/PRODUCT($U$31:U141),0)</f>
        <v>0</v>
      </c>
      <c r="Z141" s="921">
        <f t="shared" si="123"/>
        <v>0</v>
      </c>
      <c r="AA141" s="949">
        <f t="shared" si="114"/>
        <v>0</v>
      </c>
      <c r="AB141" s="949">
        <f t="shared" si="115"/>
        <v>0</v>
      </c>
      <c r="AC141" s="954">
        <f t="shared" si="116"/>
        <v>0</v>
      </c>
      <c r="AD141" s="954">
        <f t="shared" si="101"/>
        <v>0</v>
      </c>
      <c r="AE141" s="954">
        <f t="shared" si="124"/>
        <v>0</v>
      </c>
      <c r="AF141" s="954">
        <f>IF(L141&lt;=LRat,1/PRODUCT($AE$31:AE141),0)</f>
        <v>0</v>
      </c>
      <c r="AG141" s="966"/>
      <c r="AH141" s="921">
        <f>IF(L141&lt;=LRat,Z141/((1+OE_wynikRRSO)^(SUM($AD$31:AD141))),0)</f>
        <v>0</v>
      </c>
      <c r="AI141" s="966"/>
      <c r="AO141" s="948" t="str">
        <f>IF(_NrRaty&gt;LRat,"",_NrRaty)</f>
        <v/>
      </c>
      <c r="AP141" s="977" t="str">
        <f t="shared" si="112"/>
        <v/>
      </c>
      <c r="AQ141" s="948">
        <f t="shared" si="125"/>
        <v>0</v>
      </c>
      <c r="AR141" s="948">
        <f>IF(_NrRaty&lt;LRat,ROUND(AT140*$AN$20*(SUM(O141:P141)/365),2),0)+IF(_NrRaty=LRat,AQ141-AS141,0)</f>
        <v>0</v>
      </c>
      <c r="AS141" s="948">
        <f>IF(_NrRaty&lt;LRat,ROUND(AQ141-AR141,2),0)+IF(_NrRaty=LRat,AT140,0)</f>
        <v>0</v>
      </c>
      <c r="AT141" s="979">
        <f t="shared" ca="1" si="113"/>
        <v>0</v>
      </c>
      <c r="AU141" s="979" t="b">
        <f t="shared" si="126"/>
        <v>0</v>
      </c>
      <c r="AV141" s="1005">
        <v>0</v>
      </c>
      <c r="AX141" s="948">
        <f t="shared" si="127"/>
        <v>0</v>
      </c>
      <c r="AY141" s="948">
        <f>IF(_NrRaty&lt;=LRat,IF(MOD(YEAR(N141),4)=0,OE_RP_rrso,365),0)</f>
        <v>0</v>
      </c>
      <c r="AZ141" s="948">
        <f>IF(_NrRaty&lt;=LRat,O141/AY140,0)</f>
        <v>0</v>
      </c>
      <c r="BA141" s="1006">
        <f>IF(_NrRaty&lt;=LRat,P141/AY141,0)</f>
        <v>0</v>
      </c>
      <c r="BB141" s="1006">
        <f t="shared" si="100"/>
        <v>0</v>
      </c>
      <c r="BC141" s="1006">
        <f>IF(_NrRaty&lt;=LRat,1+OE_oproc*BB141,0)</f>
        <v>0</v>
      </c>
      <c r="BD141" s="1006">
        <f>IF(_NrRaty&lt;=LRat,1/PRODUCT($BC$31:BC141),0)</f>
        <v>0</v>
      </c>
      <c r="BF141" s="948">
        <f>IF(_NrRaty&lt;=LRat,AX141/((1+SOWK_wynikRRSO)^(SUM($BB$31:BB141))),0)</f>
        <v>0</v>
      </c>
      <c r="BL141" s="1023" t="str">
        <f>IF(_NrRaty&gt;LRat,"",_NrRaty)</f>
        <v/>
      </c>
      <c r="BM141" s="1024" t="str">
        <f>IF(_NrRaty&gt;LRat,"",D141)</f>
        <v/>
      </c>
      <c r="BN141" s="1025" t="str">
        <f t="shared" si="128"/>
        <v/>
      </c>
      <c r="BO141" s="1025" t="str">
        <f t="shared" si="129"/>
        <v/>
      </c>
      <c r="BP141" s="1025" t="str">
        <f t="shared" si="130"/>
        <v/>
      </c>
      <c r="BQ141" s="1025" t="str">
        <f t="shared" si="131"/>
        <v/>
      </c>
      <c r="BR141" s="1124" t="e">
        <f t="shared" si="132"/>
        <v>#VALUE!</v>
      </c>
      <c r="BT141" s="1113" t="str">
        <f>IF(_NrRaty&gt;LRat,"",_NrRaty)</f>
        <v/>
      </c>
      <c r="BU141" s="1023" t="str">
        <f t="shared" si="99"/>
        <v/>
      </c>
      <c r="BV141" s="1114" t="str">
        <f>IF(_NrRaty&gt;LRat,"",SUM($O$31:P141))</f>
        <v/>
      </c>
      <c r="BW141" s="1025" t="str">
        <f>IF(_NrRaty&gt;LRat,"",BV141/365)</f>
        <v/>
      </c>
      <c r="BX141" s="1025" t="str">
        <f>IF(_NrRaty&gt;LRat,"",BW141*BP141)</f>
        <v/>
      </c>
      <c r="BY141" s="1025" t="str">
        <f>IF(_NrRaty&gt;LRat,"",BU141*BX141)</f>
        <v/>
      </c>
    </row>
    <row r="142" spans="1:77" x14ac:dyDescent="0.25">
      <c r="A142" s="973">
        <f t="shared" si="133"/>
        <v>0</v>
      </c>
      <c r="B142" s="924" t="str">
        <f t="shared" si="102"/>
        <v/>
      </c>
      <c r="C142" s="660" t="str">
        <f>IF(_NrRaty&gt;LRat,"",_NrRaty)</f>
        <v/>
      </c>
      <c r="D142" s="661" t="str">
        <f t="shared" si="103"/>
        <v/>
      </c>
      <c r="E142" s="941" t="str">
        <f t="shared" si="117"/>
        <v/>
      </c>
      <c r="F142" s="970" t="str">
        <f t="shared" si="118"/>
        <v/>
      </c>
      <c r="G142" s="941" t="str">
        <f>IF(C142&lt;=LRat,ROUND(ROUND(SUM($F$30:F142),2)-SUM($G$30:G141),2),"")</f>
        <v/>
      </c>
      <c r="H142" s="941" t="str">
        <f t="shared" si="119"/>
        <v/>
      </c>
      <c r="I142" s="941" t="str">
        <f t="shared" si="120"/>
        <v/>
      </c>
      <c r="J142" s="941" t="str">
        <f t="shared" si="121"/>
        <v/>
      </c>
      <c r="L142" s="613" t="str">
        <f>IF(_NrRaty&gt;LRat,"",_NrRaty)</f>
        <v/>
      </c>
      <c r="M142" s="913" t="str">
        <f t="shared" si="104"/>
        <v/>
      </c>
      <c r="N142" s="913" t="str">
        <f t="shared" si="105"/>
        <v/>
      </c>
      <c r="O142" s="921">
        <f t="shared" si="106"/>
        <v>0</v>
      </c>
      <c r="P142" s="921">
        <f t="shared" si="107"/>
        <v>0</v>
      </c>
      <c r="Q142" s="921">
        <f t="shared" si="108"/>
        <v>0</v>
      </c>
      <c r="R142" s="921">
        <f t="shared" si="109"/>
        <v>0</v>
      </c>
      <c r="S142" s="921">
        <f t="shared" si="110"/>
        <v>0</v>
      </c>
      <c r="T142" s="921">
        <f t="shared" si="111"/>
        <v>0</v>
      </c>
      <c r="U142" s="921">
        <f t="shared" si="122"/>
        <v>0</v>
      </c>
      <c r="V142" s="921">
        <f>IF(C142&lt;&gt;"",1/PRODUCT($U$31:U142),0)</f>
        <v>0</v>
      </c>
      <c r="Z142" s="921">
        <f t="shared" si="123"/>
        <v>0</v>
      </c>
      <c r="AA142" s="949">
        <f t="shared" si="114"/>
        <v>0</v>
      </c>
      <c r="AB142" s="949">
        <f t="shared" si="115"/>
        <v>0</v>
      </c>
      <c r="AC142" s="954">
        <f t="shared" si="116"/>
        <v>0</v>
      </c>
      <c r="AD142" s="954">
        <f t="shared" si="101"/>
        <v>0</v>
      </c>
      <c r="AE142" s="954">
        <f t="shared" si="124"/>
        <v>0</v>
      </c>
      <c r="AF142" s="954">
        <f>IF(L142&lt;=LRat,1/PRODUCT($AE$31:AE142),0)</f>
        <v>0</v>
      </c>
      <c r="AG142" s="966"/>
      <c r="AH142" s="921">
        <f>IF(L142&lt;=LRat,Z142/((1+OE_wynikRRSO)^(SUM($AD$31:AD142))),0)</f>
        <v>0</v>
      </c>
      <c r="AI142" s="966"/>
      <c r="AO142" s="948" t="str">
        <f>IF(_NrRaty&gt;LRat,"",_NrRaty)</f>
        <v/>
      </c>
      <c r="AP142" s="977" t="str">
        <f t="shared" si="112"/>
        <v/>
      </c>
      <c r="AQ142" s="948">
        <f t="shared" si="125"/>
        <v>0</v>
      </c>
      <c r="AR142" s="948">
        <f>IF(_NrRaty&lt;LRat,ROUND(AT141*$AN$20*(SUM(O142:P142)/365),2),0)+IF(_NrRaty=LRat,AQ142-AS142,0)</f>
        <v>0</v>
      </c>
      <c r="AS142" s="948">
        <f>IF(_NrRaty&lt;LRat,ROUND(AQ142-AR142,2),0)+IF(_NrRaty=LRat,AT141,0)</f>
        <v>0</v>
      </c>
      <c r="AT142" s="979">
        <f t="shared" ca="1" si="113"/>
        <v>0</v>
      </c>
      <c r="AU142" s="979" t="b">
        <f t="shared" si="126"/>
        <v>0</v>
      </c>
      <c r="AV142" s="1005">
        <v>0</v>
      </c>
      <c r="AX142" s="948">
        <f t="shared" si="127"/>
        <v>0</v>
      </c>
      <c r="AY142" s="948">
        <f>IF(_NrRaty&lt;=LRat,IF(MOD(YEAR(N142),4)=0,OE_RP_rrso,365),0)</f>
        <v>0</v>
      </c>
      <c r="AZ142" s="948">
        <f>IF(_NrRaty&lt;=LRat,O142/AY141,0)</f>
        <v>0</v>
      </c>
      <c r="BA142" s="1006">
        <f>IF(_NrRaty&lt;=LRat,P142/AY142,0)</f>
        <v>0</v>
      </c>
      <c r="BB142" s="1006">
        <f t="shared" si="100"/>
        <v>0</v>
      </c>
      <c r="BC142" s="1006">
        <f>IF(_NrRaty&lt;=LRat,1+OE_oproc*BB142,0)</f>
        <v>0</v>
      </c>
      <c r="BD142" s="1006">
        <f>IF(_NrRaty&lt;=LRat,1/PRODUCT($BC$31:BC142),0)</f>
        <v>0</v>
      </c>
      <c r="BF142" s="948">
        <f>IF(_NrRaty&lt;=LRat,AX142/((1+SOWK_wynikRRSO)^(SUM($BB$31:BB142))),0)</f>
        <v>0</v>
      </c>
      <c r="BL142" s="1023" t="str">
        <f>IF(_NrRaty&gt;LRat,"",_NrRaty)</f>
        <v/>
      </c>
      <c r="BM142" s="1024" t="str">
        <f>IF(_NrRaty&gt;LRat,"",D142)</f>
        <v/>
      </c>
      <c r="BN142" s="1025" t="str">
        <f t="shared" si="128"/>
        <v/>
      </c>
      <c r="BO142" s="1025" t="str">
        <f t="shared" si="129"/>
        <v/>
      </c>
      <c r="BP142" s="1025" t="str">
        <f t="shared" si="130"/>
        <v/>
      </c>
      <c r="BQ142" s="1025" t="str">
        <f t="shared" si="131"/>
        <v/>
      </c>
      <c r="BR142" s="1124" t="e">
        <f t="shared" si="132"/>
        <v>#VALUE!</v>
      </c>
      <c r="BT142" s="1113" t="str">
        <f>IF(_NrRaty&gt;LRat,"",_NrRaty)</f>
        <v/>
      </c>
      <c r="BU142" s="1023" t="str">
        <f t="shared" si="99"/>
        <v/>
      </c>
      <c r="BV142" s="1114" t="str">
        <f>IF(_NrRaty&gt;LRat,"",SUM($O$31:P142))</f>
        <v/>
      </c>
      <c r="BW142" s="1025" t="str">
        <f>IF(_NrRaty&gt;LRat,"",BV142/365)</f>
        <v/>
      </c>
      <c r="BX142" s="1025" t="str">
        <f>IF(_NrRaty&gt;LRat,"",BW142*BP142)</f>
        <v/>
      </c>
      <c r="BY142" s="1025" t="str">
        <f>IF(_NrRaty&gt;LRat,"",BU142*BX142)</f>
        <v/>
      </c>
    </row>
    <row r="143" spans="1:77" x14ac:dyDescent="0.25">
      <c r="A143" s="973">
        <f t="shared" si="133"/>
        <v>0</v>
      </c>
      <c r="B143" s="924" t="str">
        <f t="shared" si="102"/>
        <v/>
      </c>
      <c r="C143" s="658" t="str">
        <f>IF(_NrRaty&gt;LRat,"",_NrRaty)</f>
        <v/>
      </c>
      <c r="D143" s="659" t="str">
        <f t="shared" si="103"/>
        <v/>
      </c>
      <c r="E143" s="940" t="str">
        <f t="shared" si="117"/>
        <v/>
      </c>
      <c r="F143" s="969" t="str">
        <f t="shared" si="118"/>
        <v/>
      </c>
      <c r="G143" s="940" t="str">
        <f>IF(C143&lt;=LRat,ROUND(ROUND(SUM($F$30:F143),2)-SUM($G$30:G142),2),"")</f>
        <v/>
      </c>
      <c r="H143" s="940" t="str">
        <f t="shared" si="119"/>
        <v/>
      </c>
      <c r="I143" s="940" t="str">
        <f t="shared" si="120"/>
        <v/>
      </c>
      <c r="J143" s="940" t="str">
        <f t="shared" si="121"/>
        <v/>
      </c>
      <c r="L143" s="613" t="str">
        <f>IF(_NrRaty&gt;LRat,"",_NrRaty)</f>
        <v/>
      </c>
      <c r="M143" s="913" t="str">
        <f t="shared" si="104"/>
        <v/>
      </c>
      <c r="N143" s="913" t="str">
        <f t="shared" si="105"/>
        <v/>
      </c>
      <c r="O143" s="921">
        <f t="shared" si="106"/>
        <v>0</v>
      </c>
      <c r="P143" s="921">
        <f t="shared" si="107"/>
        <v>0</v>
      </c>
      <c r="Q143" s="921">
        <f t="shared" si="108"/>
        <v>0</v>
      </c>
      <c r="R143" s="921">
        <f t="shared" si="109"/>
        <v>0</v>
      </c>
      <c r="S143" s="921">
        <f t="shared" si="110"/>
        <v>0</v>
      </c>
      <c r="T143" s="921">
        <f t="shared" si="111"/>
        <v>0</v>
      </c>
      <c r="U143" s="921">
        <f t="shared" si="122"/>
        <v>0</v>
      </c>
      <c r="V143" s="921">
        <f>IF(C143&lt;&gt;"",1/PRODUCT($U$31:U143),0)</f>
        <v>0</v>
      </c>
      <c r="Z143" s="921">
        <f t="shared" si="123"/>
        <v>0</v>
      </c>
      <c r="AA143" s="949">
        <f t="shared" si="114"/>
        <v>0</v>
      </c>
      <c r="AB143" s="949">
        <f t="shared" si="115"/>
        <v>0</v>
      </c>
      <c r="AC143" s="954">
        <f t="shared" si="116"/>
        <v>0</v>
      </c>
      <c r="AD143" s="954">
        <f t="shared" si="101"/>
        <v>0</v>
      </c>
      <c r="AE143" s="954">
        <f t="shared" si="124"/>
        <v>0</v>
      </c>
      <c r="AF143" s="954">
        <f>IF(L143&lt;=LRat,1/PRODUCT($AE$31:AE143),0)</f>
        <v>0</v>
      </c>
      <c r="AG143" s="966"/>
      <c r="AH143" s="921">
        <f>IF(L143&lt;=LRat,Z143/((1+OE_wynikRRSO)^(SUM($AD$31:AD143))),0)</f>
        <v>0</v>
      </c>
      <c r="AI143" s="966"/>
      <c r="AO143" s="948" t="str">
        <f>IF(_NrRaty&gt;LRat,"",_NrRaty)</f>
        <v/>
      </c>
      <c r="AP143" s="977" t="str">
        <f t="shared" si="112"/>
        <v/>
      </c>
      <c r="AQ143" s="948">
        <f t="shared" si="125"/>
        <v>0</v>
      </c>
      <c r="AR143" s="948">
        <f>IF(_NrRaty&lt;LRat,ROUND(AT142*$AN$20*(SUM(O143:P143)/365),2),0)+IF(_NrRaty=LRat,AQ143-AS143,0)</f>
        <v>0</v>
      </c>
      <c r="AS143" s="948">
        <f>IF(_NrRaty&lt;LRat,ROUND(AQ143-AR143,2),0)+IF(_NrRaty=LRat,AT142,0)</f>
        <v>0</v>
      </c>
      <c r="AT143" s="979">
        <f t="shared" ca="1" si="113"/>
        <v>0</v>
      </c>
      <c r="AU143" s="979" t="b">
        <f t="shared" si="126"/>
        <v>0</v>
      </c>
      <c r="AV143" s="1005">
        <v>0</v>
      </c>
      <c r="AX143" s="948">
        <f t="shared" si="127"/>
        <v>0</v>
      </c>
      <c r="AY143" s="948">
        <f>IF(_NrRaty&lt;=LRat,IF(MOD(YEAR(N143),4)=0,OE_RP_rrso,365),0)</f>
        <v>0</v>
      </c>
      <c r="AZ143" s="948">
        <f>IF(_NrRaty&lt;=LRat,O143/AY142,0)</f>
        <v>0</v>
      </c>
      <c r="BA143" s="1006">
        <f>IF(_NrRaty&lt;=LRat,P143/AY143,0)</f>
        <v>0</v>
      </c>
      <c r="BB143" s="1006">
        <f t="shared" si="100"/>
        <v>0</v>
      </c>
      <c r="BC143" s="1006">
        <f>IF(_NrRaty&lt;=LRat,1+OE_oproc*BB143,0)</f>
        <v>0</v>
      </c>
      <c r="BD143" s="1006">
        <f>IF(_NrRaty&lt;=LRat,1/PRODUCT($BC$31:BC143),0)</f>
        <v>0</v>
      </c>
      <c r="BF143" s="948">
        <f>IF(_NrRaty&lt;=LRat,AX143/((1+SOWK_wynikRRSO)^(SUM($BB$31:BB143))),0)</f>
        <v>0</v>
      </c>
      <c r="BL143" s="1023" t="str">
        <f>IF(_NrRaty&gt;LRat,"",_NrRaty)</f>
        <v/>
      </c>
      <c r="BM143" s="1024" t="str">
        <f>IF(_NrRaty&gt;LRat,"",D143)</f>
        <v/>
      </c>
      <c r="BN143" s="1025" t="str">
        <f t="shared" si="128"/>
        <v/>
      </c>
      <c r="BO143" s="1025" t="str">
        <f t="shared" si="129"/>
        <v/>
      </c>
      <c r="BP143" s="1025" t="str">
        <f t="shared" si="130"/>
        <v/>
      </c>
      <c r="BQ143" s="1025" t="str">
        <f t="shared" si="131"/>
        <v/>
      </c>
      <c r="BR143" s="1124" t="e">
        <f t="shared" si="132"/>
        <v>#VALUE!</v>
      </c>
      <c r="BT143" s="1113" t="str">
        <f>IF(_NrRaty&gt;LRat,"",_NrRaty)</f>
        <v/>
      </c>
      <c r="BU143" s="1023" t="str">
        <f t="shared" si="99"/>
        <v/>
      </c>
      <c r="BV143" s="1114" t="str">
        <f>IF(_NrRaty&gt;LRat,"",SUM($O$31:P143))</f>
        <v/>
      </c>
      <c r="BW143" s="1025" t="str">
        <f>IF(_NrRaty&gt;LRat,"",BV143/365)</f>
        <v/>
      </c>
      <c r="BX143" s="1025" t="str">
        <f>IF(_NrRaty&gt;LRat,"",BW143*BP143)</f>
        <v/>
      </c>
      <c r="BY143" s="1025" t="str">
        <f>IF(_NrRaty&gt;LRat,"",BU143*BX143)</f>
        <v/>
      </c>
    </row>
    <row r="144" spans="1:77" x14ac:dyDescent="0.25">
      <c r="A144" s="973">
        <f t="shared" si="133"/>
        <v>0</v>
      </c>
      <c r="B144" s="924" t="str">
        <f t="shared" si="102"/>
        <v/>
      </c>
      <c r="C144" s="660" t="str">
        <f>IF(_NrRaty&gt;LRat,"",_NrRaty)</f>
        <v/>
      </c>
      <c r="D144" s="661" t="str">
        <f t="shared" si="103"/>
        <v/>
      </c>
      <c r="E144" s="941" t="str">
        <f t="shared" si="117"/>
        <v/>
      </c>
      <c r="F144" s="970" t="str">
        <f t="shared" si="118"/>
        <v/>
      </c>
      <c r="G144" s="941" t="str">
        <f>IF(C144&lt;=LRat,ROUND(ROUND(SUM($F$30:F144),2)-SUM($G$30:G143),2),"")</f>
        <v/>
      </c>
      <c r="H144" s="941" t="str">
        <f t="shared" si="119"/>
        <v/>
      </c>
      <c r="I144" s="941" t="str">
        <f t="shared" si="120"/>
        <v/>
      </c>
      <c r="J144" s="941" t="str">
        <f t="shared" si="121"/>
        <v/>
      </c>
      <c r="L144" s="613" t="str">
        <f>IF(_NrRaty&gt;LRat,"",_NrRaty)</f>
        <v/>
      </c>
      <c r="M144" s="913" t="str">
        <f t="shared" si="104"/>
        <v/>
      </c>
      <c r="N144" s="913" t="str">
        <f t="shared" si="105"/>
        <v/>
      </c>
      <c r="O144" s="921">
        <f t="shared" si="106"/>
        <v>0</v>
      </c>
      <c r="P144" s="921">
        <f t="shared" si="107"/>
        <v>0</v>
      </c>
      <c r="Q144" s="921">
        <f t="shared" si="108"/>
        <v>0</v>
      </c>
      <c r="R144" s="921">
        <f t="shared" si="109"/>
        <v>0</v>
      </c>
      <c r="S144" s="921">
        <f t="shared" si="110"/>
        <v>0</v>
      </c>
      <c r="T144" s="921">
        <f t="shared" si="111"/>
        <v>0</v>
      </c>
      <c r="U144" s="921">
        <f t="shared" si="122"/>
        <v>0</v>
      </c>
      <c r="V144" s="921">
        <f>IF(C144&lt;&gt;"",1/PRODUCT($U$31:U144),0)</f>
        <v>0</v>
      </c>
      <c r="Z144" s="921">
        <f t="shared" si="123"/>
        <v>0</v>
      </c>
      <c r="AA144" s="949">
        <f t="shared" si="114"/>
        <v>0</v>
      </c>
      <c r="AB144" s="949">
        <f t="shared" si="115"/>
        <v>0</v>
      </c>
      <c r="AC144" s="954">
        <f t="shared" si="116"/>
        <v>0</v>
      </c>
      <c r="AD144" s="954">
        <f t="shared" si="101"/>
        <v>0</v>
      </c>
      <c r="AE144" s="954">
        <f t="shared" si="124"/>
        <v>0</v>
      </c>
      <c r="AF144" s="954">
        <f>IF(L144&lt;=LRat,1/PRODUCT($AE$31:AE144),0)</f>
        <v>0</v>
      </c>
      <c r="AG144" s="966"/>
      <c r="AH144" s="921">
        <f>IF(L144&lt;=LRat,Z144/((1+OE_wynikRRSO)^(SUM($AD$31:AD144))),0)</f>
        <v>0</v>
      </c>
      <c r="AI144" s="966"/>
      <c r="AO144" s="948" t="str">
        <f>IF(_NrRaty&gt;LRat,"",_NrRaty)</f>
        <v/>
      </c>
      <c r="AP144" s="977" t="str">
        <f t="shared" si="112"/>
        <v/>
      </c>
      <c r="AQ144" s="948">
        <f t="shared" si="125"/>
        <v>0</v>
      </c>
      <c r="AR144" s="948">
        <f>IF(_NrRaty&lt;LRat,ROUND(AT143*$AN$20*(SUM(O144:P144)/365),2),0)+IF(_NrRaty=LRat,AQ144-AS144,0)</f>
        <v>0</v>
      </c>
      <c r="AS144" s="948">
        <f>IF(_NrRaty&lt;LRat,ROUND(AQ144-AR144,2),0)+IF(_NrRaty=LRat,AT143,0)</f>
        <v>0</v>
      </c>
      <c r="AT144" s="979">
        <f t="shared" ca="1" si="113"/>
        <v>0</v>
      </c>
      <c r="AU144" s="979" t="b">
        <f t="shared" si="126"/>
        <v>0</v>
      </c>
      <c r="AV144" s="1005">
        <v>0</v>
      </c>
      <c r="AX144" s="948">
        <f t="shared" si="127"/>
        <v>0</v>
      </c>
      <c r="AY144" s="948">
        <f>IF(_NrRaty&lt;=LRat,IF(MOD(YEAR(N144),4)=0,OE_RP_rrso,365),0)</f>
        <v>0</v>
      </c>
      <c r="AZ144" s="948">
        <f>IF(_NrRaty&lt;=LRat,O144/AY143,0)</f>
        <v>0</v>
      </c>
      <c r="BA144" s="1006">
        <f>IF(_NrRaty&lt;=LRat,P144/AY144,0)</f>
        <v>0</v>
      </c>
      <c r="BB144" s="1006">
        <f t="shared" si="100"/>
        <v>0</v>
      </c>
      <c r="BC144" s="1006">
        <f>IF(_NrRaty&lt;=LRat,1+OE_oproc*BB144,0)</f>
        <v>0</v>
      </c>
      <c r="BD144" s="1006">
        <f>IF(_NrRaty&lt;=LRat,1/PRODUCT($BC$31:BC144),0)</f>
        <v>0</v>
      </c>
      <c r="BF144" s="948">
        <f>IF(_NrRaty&lt;=LRat,AX144/((1+SOWK_wynikRRSO)^(SUM($BB$31:BB144))),0)</f>
        <v>0</v>
      </c>
      <c r="BL144" s="1023" t="str">
        <f>IF(_NrRaty&gt;LRat,"",_NrRaty)</f>
        <v/>
      </c>
      <c r="BM144" s="1024" t="str">
        <f>IF(_NrRaty&gt;LRat,"",D144)</f>
        <v/>
      </c>
      <c r="BN144" s="1025" t="str">
        <f t="shared" si="128"/>
        <v/>
      </c>
      <c r="BO144" s="1025" t="str">
        <f t="shared" si="129"/>
        <v/>
      </c>
      <c r="BP144" s="1025" t="str">
        <f t="shared" si="130"/>
        <v/>
      </c>
      <c r="BQ144" s="1025" t="str">
        <f t="shared" si="131"/>
        <v/>
      </c>
      <c r="BR144" s="1124" t="e">
        <f t="shared" si="132"/>
        <v>#VALUE!</v>
      </c>
      <c r="BT144" s="1113" t="str">
        <f>IF(_NrRaty&gt;LRat,"",_NrRaty)</f>
        <v/>
      </c>
      <c r="BU144" s="1023" t="str">
        <f t="shared" si="99"/>
        <v/>
      </c>
      <c r="BV144" s="1114" t="str">
        <f>IF(_NrRaty&gt;LRat,"",SUM($O$31:P144))</f>
        <v/>
      </c>
      <c r="BW144" s="1025" t="str">
        <f>IF(_NrRaty&gt;LRat,"",BV144/365)</f>
        <v/>
      </c>
      <c r="BX144" s="1025" t="str">
        <f>IF(_NrRaty&gt;LRat,"",BW144*BP144)</f>
        <v/>
      </c>
      <c r="BY144" s="1025" t="str">
        <f>IF(_NrRaty&gt;LRat,"",BU144*BX144)</f>
        <v/>
      </c>
    </row>
    <row r="145" spans="1:80" x14ac:dyDescent="0.25">
      <c r="A145" s="973">
        <f t="shared" si="133"/>
        <v>0</v>
      </c>
      <c r="B145" s="924" t="str">
        <f t="shared" si="102"/>
        <v/>
      </c>
      <c r="C145" s="658" t="str">
        <f>IF(_NrRaty&gt;LRat,"",_NrRaty)</f>
        <v/>
      </c>
      <c r="D145" s="659" t="str">
        <f t="shared" si="103"/>
        <v/>
      </c>
      <c r="E145" s="940" t="str">
        <f t="shared" si="117"/>
        <v/>
      </c>
      <c r="F145" s="969" t="str">
        <f t="shared" si="118"/>
        <v/>
      </c>
      <c r="G145" s="940" t="str">
        <f>IF(C145&lt;=LRat,ROUND(ROUND(SUM($F$30:F145),2)-SUM($G$30:G144),2),"")</f>
        <v/>
      </c>
      <c r="H145" s="940" t="str">
        <f t="shared" si="119"/>
        <v/>
      </c>
      <c r="I145" s="940" t="str">
        <f t="shared" si="120"/>
        <v/>
      </c>
      <c r="J145" s="940" t="str">
        <f t="shared" si="121"/>
        <v/>
      </c>
      <c r="L145" s="613" t="str">
        <f>IF(_NrRaty&gt;LRat,"",_NrRaty)</f>
        <v/>
      </c>
      <c r="M145" s="913" t="str">
        <f t="shared" si="104"/>
        <v/>
      </c>
      <c r="N145" s="913" t="str">
        <f t="shared" si="105"/>
        <v/>
      </c>
      <c r="O145" s="921">
        <f t="shared" si="106"/>
        <v>0</v>
      </c>
      <c r="P145" s="921">
        <f t="shared" si="107"/>
        <v>0</v>
      </c>
      <c r="Q145" s="921">
        <f t="shared" si="108"/>
        <v>0</v>
      </c>
      <c r="R145" s="921">
        <f t="shared" si="109"/>
        <v>0</v>
      </c>
      <c r="S145" s="921">
        <f t="shared" si="110"/>
        <v>0</v>
      </c>
      <c r="T145" s="921">
        <f t="shared" si="111"/>
        <v>0</v>
      </c>
      <c r="U145" s="921">
        <f t="shared" si="122"/>
        <v>0</v>
      </c>
      <c r="V145" s="921">
        <f>IF(C145&lt;&gt;"",1/PRODUCT($U$31:U145),0)</f>
        <v>0</v>
      </c>
      <c r="Z145" s="921">
        <f t="shared" si="123"/>
        <v>0</v>
      </c>
      <c r="AA145" s="949">
        <f t="shared" si="114"/>
        <v>0</v>
      </c>
      <c r="AB145" s="949">
        <f t="shared" si="115"/>
        <v>0</v>
      </c>
      <c r="AC145" s="954">
        <f t="shared" si="116"/>
        <v>0</v>
      </c>
      <c r="AD145" s="954">
        <f t="shared" si="101"/>
        <v>0</v>
      </c>
      <c r="AE145" s="954">
        <f t="shared" si="124"/>
        <v>0</v>
      </c>
      <c r="AF145" s="954">
        <f>IF(L145&lt;=LRat,1/PRODUCT($AE$31:AE145),0)</f>
        <v>0</v>
      </c>
      <c r="AG145" s="966"/>
      <c r="AH145" s="921">
        <f>IF(L145&lt;=LRat,Z145/((1+OE_wynikRRSO)^(SUM($AD$31:AD145))),0)</f>
        <v>0</v>
      </c>
      <c r="AI145" s="966"/>
      <c r="AO145" s="948" t="str">
        <f>IF(_NrRaty&gt;LRat,"",_NrRaty)</f>
        <v/>
      </c>
      <c r="AP145" s="977" t="str">
        <f t="shared" si="112"/>
        <v/>
      </c>
      <c r="AQ145" s="948">
        <f t="shared" si="125"/>
        <v>0</v>
      </c>
      <c r="AR145" s="948">
        <f>IF(_NrRaty&lt;LRat,ROUND(AT144*$AN$20*(SUM(O145:P145)/365),2),0)+IF(_NrRaty=LRat,AQ145-AS145,0)</f>
        <v>0</v>
      </c>
      <c r="AS145" s="948">
        <f>IF(_NrRaty&lt;LRat,ROUND(AQ145-AR145,2),0)+IF(_NrRaty=LRat,AT144,0)</f>
        <v>0</v>
      </c>
      <c r="AT145" s="979">
        <f t="shared" ca="1" si="113"/>
        <v>0</v>
      </c>
      <c r="AU145" s="979" t="b">
        <f t="shared" si="126"/>
        <v>0</v>
      </c>
      <c r="AV145" s="1005">
        <v>0</v>
      </c>
      <c r="AX145" s="948">
        <f t="shared" si="127"/>
        <v>0</v>
      </c>
      <c r="AY145" s="948">
        <f>IF(_NrRaty&lt;=LRat,IF(MOD(YEAR(N145),4)=0,OE_RP_rrso,365),0)</f>
        <v>0</v>
      </c>
      <c r="AZ145" s="948">
        <f>IF(_NrRaty&lt;=LRat,O145/AY144,0)</f>
        <v>0</v>
      </c>
      <c r="BA145" s="1006">
        <f>IF(_NrRaty&lt;=LRat,P145/AY145,0)</f>
        <v>0</v>
      </c>
      <c r="BB145" s="1006">
        <f t="shared" si="100"/>
        <v>0</v>
      </c>
      <c r="BC145" s="1006">
        <f>IF(_NrRaty&lt;=LRat,1+OE_oproc*BB145,0)</f>
        <v>0</v>
      </c>
      <c r="BD145" s="1006">
        <f>IF(_NrRaty&lt;=LRat,1/PRODUCT($BC$31:BC145),0)</f>
        <v>0</v>
      </c>
      <c r="BF145" s="948">
        <f>IF(_NrRaty&lt;=LRat,AX145/((1+SOWK_wynikRRSO)^(SUM($BB$31:BB145))),0)</f>
        <v>0</v>
      </c>
      <c r="BL145" s="1023" t="str">
        <f>IF(_NrRaty&gt;LRat,"",_NrRaty)</f>
        <v/>
      </c>
      <c r="BM145" s="1024" t="str">
        <f>IF(_NrRaty&gt;LRat,"",D145)</f>
        <v/>
      </c>
      <c r="BN145" s="1025" t="str">
        <f t="shared" si="128"/>
        <v/>
      </c>
      <c r="BO145" s="1025" t="str">
        <f t="shared" si="129"/>
        <v/>
      </c>
      <c r="BP145" s="1025" t="str">
        <f t="shared" si="130"/>
        <v/>
      </c>
      <c r="BQ145" s="1025" t="str">
        <f t="shared" si="131"/>
        <v/>
      </c>
      <c r="BR145" s="1124" t="e">
        <f t="shared" si="132"/>
        <v>#VALUE!</v>
      </c>
      <c r="BT145" s="1113" t="str">
        <f>IF(_NrRaty&gt;LRat,"",_NrRaty)</f>
        <v/>
      </c>
      <c r="BU145" s="1023" t="str">
        <f t="shared" si="99"/>
        <v/>
      </c>
      <c r="BV145" s="1114" t="str">
        <f>IF(_NrRaty&gt;LRat,"",SUM($O$31:P145))</f>
        <v/>
      </c>
      <c r="BW145" s="1025" t="str">
        <f>IF(_NrRaty&gt;LRat,"",BV145/365)</f>
        <v/>
      </c>
      <c r="BX145" s="1025" t="str">
        <f>IF(_NrRaty&gt;LRat,"",BW145*BP145)</f>
        <v/>
      </c>
      <c r="BY145" s="1025" t="str">
        <f>IF(_NrRaty&gt;LRat,"",BU145*BX145)</f>
        <v/>
      </c>
    </row>
    <row r="146" spans="1:80" x14ac:dyDescent="0.25">
      <c r="A146" s="973">
        <f t="shared" si="133"/>
        <v>0</v>
      </c>
      <c r="B146" s="924" t="str">
        <f t="shared" si="102"/>
        <v/>
      </c>
      <c r="C146" s="660" t="str">
        <f>IF(_NrRaty&gt;LRat,"",_NrRaty)</f>
        <v/>
      </c>
      <c r="D146" s="661" t="str">
        <f t="shared" si="103"/>
        <v/>
      </c>
      <c r="E146" s="941" t="str">
        <f t="shared" si="117"/>
        <v/>
      </c>
      <c r="F146" s="970" t="str">
        <f t="shared" si="118"/>
        <v/>
      </c>
      <c r="G146" s="941" t="str">
        <f>IF(C146&lt;=LRat,ROUND(ROUND(SUM($F$30:F146),2)-SUM($G$30:G145),2),"")</f>
        <v/>
      </c>
      <c r="H146" s="941" t="str">
        <f t="shared" si="119"/>
        <v/>
      </c>
      <c r="I146" s="941" t="str">
        <f t="shared" si="120"/>
        <v/>
      </c>
      <c r="J146" s="941" t="str">
        <f t="shared" si="121"/>
        <v/>
      </c>
      <c r="L146" s="613" t="str">
        <f>IF(_NrRaty&gt;LRat,"",_NrRaty)</f>
        <v/>
      </c>
      <c r="M146" s="913" t="str">
        <f t="shared" si="104"/>
        <v/>
      </c>
      <c r="N146" s="913" t="str">
        <f t="shared" si="105"/>
        <v/>
      </c>
      <c r="O146" s="921">
        <f t="shared" si="106"/>
        <v>0</v>
      </c>
      <c r="P146" s="921">
        <f t="shared" si="107"/>
        <v>0</v>
      </c>
      <c r="Q146" s="921">
        <f t="shared" si="108"/>
        <v>0</v>
      </c>
      <c r="R146" s="921">
        <f t="shared" si="109"/>
        <v>0</v>
      </c>
      <c r="S146" s="921">
        <f t="shared" si="110"/>
        <v>0</v>
      </c>
      <c r="T146" s="921">
        <f t="shared" si="111"/>
        <v>0</v>
      </c>
      <c r="U146" s="921">
        <f t="shared" si="122"/>
        <v>0</v>
      </c>
      <c r="V146" s="921">
        <f>IF(C146&lt;&gt;"",1/PRODUCT($U$31:U146),0)</f>
        <v>0</v>
      </c>
      <c r="Z146" s="921">
        <f t="shared" si="123"/>
        <v>0</v>
      </c>
      <c r="AA146" s="949">
        <f t="shared" si="114"/>
        <v>0</v>
      </c>
      <c r="AB146" s="949">
        <f t="shared" si="115"/>
        <v>0</v>
      </c>
      <c r="AC146" s="954">
        <f t="shared" si="116"/>
        <v>0</v>
      </c>
      <c r="AD146" s="954">
        <f t="shared" si="101"/>
        <v>0</v>
      </c>
      <c r="AE146" s="954">
        <f t="shared" si="124"/>
        <v>0</v>
      </c>
      <c r="AF146" s="954">
        <f>IF(L146&lt;=LRat,1/PRODUCT($AE$31:AE146),0)</f>
        <v>0</v>
      </c>
      <c r="AG146" s="966"/>
      <c r="AH146" s="921">
        <f>IF(L146&lt;=LRat,Z146/((1+OE_wynikRRSO)^(SUM($AD$31:AD146))),0)</f>
        <v>0</v>
      </c>
      <c r="AI146" s="966"/>
      <c r="AO146" s="948" t="str">
        <f>IF(_NrRaty&gt;LRat,"",_NrRaty)</f>
        <v/>
      </c>
      <c r="AP146" s="977" t="str">
        <f t="shared" si="112"/>
        <v/>
      </c>
      <c r="AQ146" s="948">
        <f t="shared" si="125"/>
        <v>0</v>
      </c>
      <c r="AR146" s="948">
        <f>IF(_NrRaty&lt;LRat,ROUND(AT145*$AN$20*(SUM(O146:P146)/365),2),0)+IF(_NrRaty=LRat,AQ146-AS146,0)</f>
        <v>0</v>
      </c>
      <c r="AS146" s="948">
        <f>IF(_NrRaty&lt;LRat,ROUND(AQ146-AR146,2),0)+IF(_NrRaty=LRat,AT145,0)</f>
        <v>0</v>
      </c>
      <c r="AT146" s="979">
        <f t="shared" ca="1" si="113"/>
        <v>0</v>
      </c>
      <c r="AU146" s="979" t="b">
        <f t="shared" si="126"/>
        <v>0</v>
      </c>
      <c r="AV146" s="1005">
        <v>0</v>
      </c>
      <c r="AX146" s="948">
        <f t="shared" si="127"/>
        <v>0</v>
      </c>
      <c r="AY146" s="948">
        <f>IF(_NrRaty&lt;=LRat,IF(MOD(YEAR(N146),4)=0,OE_RP_rrso,365),0)</f>
        <v>0</v>
      </c>
      <c r="AZ146" s="948">
        <f>IF(_NrRaty&lt;=LRat,O146/AY145,0)</f>
        <v>0</v>
      </c>
      <c r="BA146" s="1006">
        <f>IF(_NrRaty&lt;=LRat,P146/AY146,0)</f>
        <v>0</v>
      </c>
      <c r="BB146" s="1006">
        <f t="shared" si="100"/>
        <v>0</v>
      </c>
      <c r="BC146" s="1006">
        <f>IF(_NrRaty&lt;=LRat,1+OE_oproc*BB146,0)</f>
        <v>0</v>
      </c>
      <c r="BD146" s="1006">
        <f>IF(_NrRaty&lt;=LRat,1/PRODUCT($BC$31:BC146),0)</f>
        <v>0</v>
      </c>
      <c r="BF146" s="948">
        <f>IF(_NrRaty&lt;=LRat,AX146/((1+SOWK_wynikRRSO)^(SUM($BB$31:BB146))),0)</f>
        <v>0</v>
      </c>
      <c r="BL146" s="1023" t="str">
        <f>IF(_NrRaty&gt;LRat,"",_NrRaty)</f>
        <v/>
      </c>
      <c r="BM146" s="1024" t="str">
        <f>IF(_NrRaty&gt;LRat,"",D146)</f>
        <v/>
      </c>
      <c r="BN146" s="1025" t="str">
        <f t="shared" si="128"/>
        <v/>
      </c>
      <c r="BO146" s="1025" t="str">
        <f t="shared" si="129"/>
        <v/>
      </c>
      <c r="BP146" s="1025" t="str">
        <f t="shared" si="130"/>
        <v/>
      </c>
      <c r="BQ146" s="1025" t="str">
        <f t="shared" si="131"/>
        <v/>
      </c>
      <c r="BR146" s="1124" t="e">
        <f t="shared" si="132"/>
        <v>#VALUE!</v>
      </c>
      <c r="BT146" s="1113" t="str">
        <f>IF(_NrRaty&gt;LRat,"",_NrRaty)</f>
        <v/>
      </c>
      <c r="BU146" s="1023" t="str">
        <f t="shared" si="99"/>
        <v/>
      </c>
      <c r="BV146" s="1114" t="str">
        <f>IF(_NrRaty&gt;LRat,"",SUM($O$31:P146))</f>
        <v/>
      </c>
      <c r="BW146" s="1025" t="str">
        <f>IF(_NrRaty&gt;LRat,"",BV146/365)</f>
        <v/>
      </c>
      <c r="BX146" s="1025" t="str">
        <f>IF(_NrRaty&gt;LRat,"",BW146*BP146)</f>
        <v/>
      </c>
      <c r="BY146" s="1025" t="str">
        <f>IF(_NrRaty&gt;LRat,"",BU146*BX146)</f>
        <v/>
      </c>
    </row>
    <row r="147" spans="1:80" x14ac:dyDescent="0.25">
      <c r="A147" s="973">
        <f t="shared" si="133"/>
        <v>0</v>
      </c>
      <c r="B147" s="924" t="str">
        <f t="shared" si="102"/>
        <v/>
      </c>
      <c r="C147" s="658" t="str">
        <f>IF(_NrRaty&gt;LRat,"",_NrRaty)</f>
        <v/>
      </c>
      <c r="D147" s="659" t="str">
        <f t="shared" si="103"/>
        <v/>
      </c>
      <c r="E147" s="940" t="str">
        <f t="shared" si="117"/>
        <v/>
      </c>
      <c r="F147" s="969" t="str">
        <f t="shared" si="118"/>
        <v/>
      </c>
      <c r="G147" s="940" t="str">
        <f>IF(C147&lt;=LRat,ROUND(ROUND(SUM($F$30:F147),2)-SUM($G$30:G146),2),"")</f>
        <v/>
      </c>
      <c r="H147" s="940" t="str">
        <f t="shared" si="119"/>
        <v/>
      </c>
      <c r="I147" s="940" t="str">
        <f t="shared" si="120"/>
        <v/>
      </c>
      <c r="J147" s="940" t="str">
        <f t="shared" si="121"/>
        <v/>
      </c>
      <c r="L147" s="613" t="str">
        <f>IF(_NrRaty&gt;LRat,"",_NrRaty)</f>
        <v/>
      </c>
      <c r="M147" s="913" t="str">
        <f t="shared" si="104"/>
        <v/>
      </c>
      <c r="N147" s="913" t="str">
        <f t="shared" si="105"/>
        <v/>
      </c>
      <c r="O147" s="921">
        <f t="shared" si="106"/>
        <v>0</v>
      </c>
      <c r="P147" s="921">
        <f t="shared" si="107"/>
        <v>0</v>
      </c>
      <c r="Q147" s="921">
        <f t="shared" si="108"/>
        <v>0</v>
      </c>
      <c r="R147" s="921">
        <f t="shared" si="109"/>
        <v>0</v>
      </c>
      <c r="S147" s="921">
        <f t="shared" si="110"/>
        <v>0</v>
      </c>
      <c r="T147" s="921">
        <f t="shared" si="111"/>
        <v>0</v>
      </c>
      <c r="U147" s="921">
        <f t="shared" si="122"/>
        <v>0</v>
      </c>
      <c r="V147" s="921">
        <f>IF(C147&lt;&gt;"",1/PRODUCT($U$31:U147),0)</f>
        <v>0</v>
      </c>
      <c r="Z147" s="921">
        <f t="shared" si="123"/>
        <v>0</v>
      </c>
      <c r="AA147" s="949">
        <f t="shared" si="114"/>
        <v>0</v>
      </c>
      <c r="AB147" s="949">
        <f t="shared" si="115"/>
        <v>0</v>
      </c>
      <c r="AC147" s="954">
        <f t="shared" si="116"/>
        <v>0</v>
      </c>
      <c r="AD147" s="954">
        <f t="shared" si="101"/>
        <v>0</v>
      </c>
      <c r="AE147" s="954">
        <f t="shared" si="124"/>
        <v>0</v>
      </c>
      <c r="AF147" s="954">
        <f>IF(L147&lt;=LRat,1/PRODUCT($AE$31:AE147),0)</f>
        <v>0</v>
      </c>
      <c r="AG147" s="966"/>
      <c r="AH147" s="921">
        <f>IF(L147&lt;=LRat,Z147/((1+OE_wynikRRSO)^(SUM($AD$31:AD147))),0)</f>
        <v>0</v>
      </c>
      <c r="AI147" s="966"/>
      <c r="AO147" s="948" t="str">
        <f>IF(_NrRaty&gt;LRat,"",_NrRaty)</f>
        <v/>
      </c>
      <c r="AP147" s="977" t="str">
        <f t="shared" si="112"/>
        <v/>
      </c>
      <c r="AQ147" s="948">
        <f t="shared" si="125"/>
        <v>0</v>
      </c>
      <c r="AR147" s="948">
        <f>IF(_NrRaty&lt;LRat,ROUND(AT146*$AN$20*(SUM(O147:P147)/365),2),0)+IF(_NrRaty=LRat,AQ147-AS147,0)</f>
        <v>0</v>
      </c>
      <c r="AS147" s="948">
        <f>IF(_NrRaty&lt;LRat,ROUND(AQ147-AR147,2),0)+IF(_NrRaty=LRat,AT146,0)</f>
        <v>0</v>
      </c>
      <c r="AT147" s="979">
        <f t="shared" ca="1" si="113"/>
        <v>0</v>
      </c>
      <c r="AU147" s="979" t="b">
        <f t="shared" si="126"/>
        <v>0</v>
      </c>
      <c r="AV147" s="1005">
        <v>0</v>
      </c>
      <c r="AX147" s="948">
        <f t="shared" si="127"/>
        <v>0</v>
      </c>
      <c r="AY147" s="948">
        <f>IF(_NrRaty&lt;=LRat,IF(MOD(YEAR(N147),4)=0,OE_RP_rrso,365),0)</f>
        <v>0</v>
      </c>
      <c r="AZ147" s="948">
        <f>IF(_NrRaty&lt;=LRat,O147/AY146,0)</f>
        <v>0</v>
      </c>
      <c r="BA147" s="1006">
        <f>IF(_NrRaty&lt;=LRat,P147/AY147,0)</f>
        <v>0</v>
      </c>
      <c r="BB147" s="1006">
        <f t="shared" si="100"/>
        <v>0</v>
      </c>
      <c r="BC147" s="1006">
        <f>IF(_NrRaty&lt;=LRat,1+OE_oproc*BB147,0)</f>
        <v>0</v>
      </c>
      <c r="BD147" s="1006">
        <f>IF(_NrRaty&lt;=LRat,1/PRODUCT($BC$31:BC147),0)</f>
        <v>0</v>
      </c>
      <c r="BF147" s="948">
        <f>IF(_NrRaty&lt;=LRat,AX147/((1+SOWK_wynikRRSO)^(SUM($BB$31:BB147))),0)</f>
        <v>0</v>
      </c>
      <c r="BL147" s="1023" t="str">
        <f>IF(_NrRaty&gt;LRat,"",_NrRaty)</f>
        <v/>
      </c>
      <c r="BM147" s="1024" t="str">
        <f>IF(_NrRaty&gt;LRat,"",D147)</f>
        <v/>
      </c>
      <c r="BN147" s="1025" t="str">
        <f t="shared" si="128"/>
        <v/>
      </c>
      <c r="BO147" s="1025" t="str">
        <f t="shared" si="129"/>
        <v/>
      </c>
      <c r="BP147" s="1025" t="str">
        <f t="shared" si="130"/>
        <v/>
      </c>
      <c r="BQ147" s="1025" t="str">
        <f t="shared" si="131"/>
        <v/>
      </c>
      <c r="BR147" s="1124" t="e">
        <f t="shared" si="132"/>
        <v>#VALUE!</v>
      </c>
      <c r="BT147" s="1113" t="str">
        <f>IF(_NrRaty&gt;LRat,"",_NrRaty)</f>
        <v/>
      </c>
      <c r="BU147" s="1023" t="str">
        <f t="shared" si="99"/>
        <v/>
      </c>
      <c r="BV147" s="1114" t="str">
        <f>IF(_NrRaty&gt;LRat,"",SUM($O$31:P147))</f>
        <v/>
      </c>
      <c r="BW147" s="1025" t="str">
        <f>IF(_NrRaty&gt;LRat,"",BV147/365)</f>
        <v/>
      </c>
      <c r="BX147" s="1025" t="str">
        <f>IF(_NrRaty&gt;LRat,"",BW147*BP147)</f>
        <v/>
      </c>
      <c r="BY147" s="1025" t="str">
        <f>IF(_NrRaty&gt;LRat,"",BU147*BX147)</f>
        <v/>
      </c>
    </row>
    <row r="148" spans="1:80" x14ac:dyDescent="0.25">
      <c r="A148" s="973">
        <f t="shared" si="133"/>
        <v>0</v>
      </c>
      <c r="B148" s="924" t="str">
        <f t="shared" si="102"/>
        <v/>
      </c>
      <c r="C148" s="660" t="str">
        <f>IF(_NrRaty&gt;LRat,"",_NrRaty)</f>
        <v/>
      </c>
      <c r="D148" s="661" t="str">
        <f t="shared" si="103"/>
        <v/>
      </c>
      <c r="E148" s="941" t="str">
        <f t="shared" si="117"/>
        <v/>
      </c>
      <c r="F148" s="970" t="str">
        <f t="shared" si="118"/>
        <v/>
      </c>
      <c r="G148" s="941" t="str">
        <f>IF(C148&lt;=LRat,ROUND(ROUND(SUM($F$30:F148),2)-SUM($G$30:G147),2),"")</f>
        <v/>
      </c>
      <c r="H148" s="941" t="str">
        <f t="shared" si="119"/>
        <v/>
      </c>
      <c r="I148" s="941" t="str">
        <f t="shared" si="120"/>
        <v/>
      </c>
      <c r="J148" s="941" t="str">
        <f t="shared" si="121"/>
        <v/>
      </c>
      <c r="L148" s="613" t="str">
        <f>IF(_NrRaty&gt;LRat,"",_NrRaty)</f>
        <v/>
      </c>
      <c r="M148" s="913" t="str">
        <f t="shared" si="104"/>
        <v/>
      </c>
      <c r="N148" s="913" t="str">
        <f t="shared" si="105"/>
        <v/>
      </c>
      <c r="O148" s="921">
        <f t="shared" si="106"/>
        <v>0</v>
      </c>
      <c r="P148" s="921">
        <f t="shared" si="107"/>
        <v>0</v>
      </c>
      <c r="Q148" s="921">
        <f t="shared" si="108"/>
        <v>0</v>
      </c>
      <c r="R148" s="921">
        <f t="shared" si="109"/>
        <v>0</v>
      </c>
      <c r="S148" s="921">
        <f t="shared" si="110"/>
        <v>0</v>
      </c>
      <c r="T148" s="921">
        <f t="shared" si="111"/>
        <v>0</v>
      </c>
      <c r="U148" s="921">
        <f t="shared" si="122"/>
        <v>0</v>
      </c>
      <c r="V148" s="921">
        <f>IF(C148&lt;&gt;"",1/PRODUCT($U$31:U148),0)</f>
        <v>0</v>
      </c>
      <c r="Z148" s="921">
        <f t="shared" si="123"/>
        <v>0</v>
      </c>
      <c r="AA148" s="949">
        <f t="shared" si="114"/>
        <v>0</v>
      </c>
      <c r="AB148" s="949">
        <f t="shared" si="115"/>
        <v>0</v>
      </c>
      <c r="AC148" s="954">
        <f t="shared" si="116"/>
        <v>0</v>
      </c>
      <c r="AD148" s="954">
        <f t="shared" si="101"/>
        <v>0</v>
      </c>
      <c r="AE148" s="954">
        <f t="shared" si="124"/>
        <v>0</v>
      </c>
      <c r="AF148" s="954">
        <f>IF(L148&lt;=LRat,1/PRODUCT($AE$31:AE148),0)</f>
        <v>0</v>
      </c>
      <c r="AG148" s="966"/>
      <c r="AH148" s="921">
        <f>IF(L148&lt;=LRat,Z148/((1+OE_wynikRRSO)^(SUM($AD$31:AD148))),0)</f>
        <v>0</v>
      </c>
      <c r="AI148" s="966"/>
      <c r="AO148" s="948" t="str">
        <f>IF(_NrRaty&gt;LRat,"",_NrRaty)</f>
        <v/>
      </c>
      <c r="AP148" s="977" t="str">
        <f t="shared" si="112"/>
        <v/>
      </c>
      <c r="AQ148" s="948">
        <f t="shared" si="125"/>
        <v>0</v>
      </c>
      <c r="AR148" s="948">
        <f>IF(_NrRaty&lt;LRat,ROUND(AT147*$AN$20*(SUM(O148:P148)/365),2),0)+IF(_NrRaty=LRat,AQ148-AS148,0)</f>
        <v>0</v>
      </c>
      <c r="AS148" s="948">
        <f>IF(_NrRaty&lt;LRat,ROUND(AQ148-AR148,2),0)+IF(_NrRaty=LRat,AT147,0)</f>
        <v>0</v>
      </c>
      <c r="AT148" s="979">
        <f t="shared" ca="1" si="113"/>
        <v>0</v>
      </c>
      <c r="AU148" s="979" t="b">
        <f t="shared" si="126"/>
        <v>0</v>
      </c>
      <c r="AV148" s="1005">
        <v>0</v>
      </c>
      <c r="AX148" s="948">
        <f t="shared" si="127"/>
        <v>0</v>
      </c>
      <c r="AY148" s="948">
        <f>IF(_NrRaty&lt;=LRat,IF(MOD(YEAR(N148),4)=0,OE_RP_rrso,365),0)</f>
        <v>0</v>
      </c>
      <c r="AZ148" s="948">
        <f>IF(_NrRaty&lt;=LRat,O148/AY147,0)</f>
        <v>0</v>
      </c>
      <c r="BA148" s="1006">
        <f>IF(_NrRaty&lt;=LRat,P148/AY148,0)</f>
        <v>0</v>
      </c>
      <c r="BB148" s="1006">
        <f t="shared" si="100"/>
        <v>0</v>
      </c>
      <c r="BC148" s="1006">
        <f>IF(_NrRaty&lt;=LRat,1+OE_oproc*BB148,0)</f>
        <v>0</v>
      </c>
      <c r="BD148" s="1006">
        <f>IF(_NrRaty&lt;=LRat,1/PRODUCT($BC$31:BC148),0)</f>
        <v>0</v>
      </c>
      <c r="BF148" s="948">
        <f>IF(_NrRaty&lt;=LRat,AX148/((1+SOWK_wynikRRSO)^(SUM($BB$31:BB148))),0)</f>
        <v>0</v>
      </c>
      <c r="BL148" s="1023" t="str">
        <f>IF(_NrRaty&gt;LRat,"",_NrRaty)</f>
        <v/>
      </c>
      <c r="BM148" s="1024" t="str">
        <f>IF(_NrRaty&gt;LRat,"",D148)</f>
        <v/>
      </c>
      <c r="BN148" s="1025" t="str">
        <f t="shared" si="128"/>
        <v/>
      </c>
      <c r="BO148" s="1025" t="str">
        <f t="shared" si="129"/>
        <v/>
      </c>
      <c r="BP148" s="1025" t="str">
        <f t="shared" si="130"/>
        <v/>
      </c>
      <c r="BQ148" s="1025" t="str">
        <f t="shared" si="131"/>
        <v/>
      </c>
      <c r="BR148" s="1124" t="e">
        <f t="shared" si="132"/>
        <v>#VALUE!</v>
      </c>
      <c r="BT148" s="1113" t="str">
        <f>IF(_NrRaty&gt;LRat,"",_NrRaty)</f>
        <v/>
      </c>
      <c r="BU148" s="1023" t="str">
        <f t="shared" si="99"/>
        <v/>
      </c>
      <c r="BV148" s="1114" t="str">
        <f>IF(_NrRaty&gt;LRat,"",SUM($O$31:P148))</f>
        <v/>
      </c>
      <c r="BW148" s="1025" t="str">
        <f>IF(_NrRaty&gt;LRat,"",BV148/365)</f>
        <v/>
      </c>
      <c r="BX148" s="1025" t="str">
        <f>IF(_NrRaty&gt;LRat,"",BW148*BP148)</f>
        <v/>
      </c>
      <c r="BY148" s="1025" t="str">
        <f>IF(_NrRaty&gt;LRat,"",BU148*BX148)</f>
        <v/>
      </c>
    </row>
    <row r="149" spans="1:80" x14ac:dyDescent="0.25">
      <c r="A149" s="973">
        <f t="shared" si="133"/>
        <v>0</v>
      </c>
      <c r="B149" s="924" t="str">
        <f t="shared" si="102"/>
        <v/>
      </c>
      <c r="C149" s="658" t="str">
        <f>IF(_NrRaty&gt;LRat,"",_NrRaty)</f>
        <v/>
      </c>
      <c r="D149" s="659" t="str">
        <f t="shared" si="103"/>
        <v/>
      </c>
      <c r="E149" s="940" t="str">
        <f t="shared" si="117"/>
        <v/>
      </c>
      <c r="F149" s="969" t="str">
        <f t="shared" si="118"/>
        <v/>
      </c>
      <c r="G149" s="940" t="str">
        <f>IF(C149&lt;=LRat,ROUND(ROUND(SUM($F$30:F149),2)-SUM($G$30:G148),2),"")</f>
        <v/>
      </c>
      <c r="H149" s="940" t="str">
        <f t="shared" si="119"/>
        <v/>
      </c>
      <c r="I149" s="940" t="str">
        <f t="shared" si="120"/>
        <v/>
      </c>
      <c r="J149" s="940" t="str">
        <f t="shared" si="121"/>
        <v/>
      </c>
      <c r="L149" s="613" t="str">
        <f>IF(_NrRaty&gt;LRat,"",_NrRaty)</f>
        <v/>
      </c>
      <c r="M149" s="913" t="str">
        <f t="shared" si="104"/>
        <v/>
      </c>
      <c r="N149" s="913" t="str">
        <f t="shared" si="105"/>
        <v/>
      </c>
      <c r="O149" s="921">
        <f t="shared" si="106"/>
        <v>0</v>
      </c>
      <c r="P149" s="921">
        <f t="shared" si="107"/>
        <v>0</v>
      </c>
      <c r="Q149" s="921">
        <f t="shared" si="108"/>
        <v>0</v>
      </c>
      <c r="R149" s="921">
        <f t="shared" si="109"/>
        <v>0</v>
      </c>
      <c r="S149" s="921">
        <f t="shared" si="110"/>
        <v>0</v>
      </c>
      <c r="T149" s="921">
        <f t="shared" si="111"/>
        <v>0</v>
      </c>
      <c r="U149" s="921">
        <f t="shared" si="122"/>
        <v>0</v>
      </c>
      <c r="V149" s="921">
        <f>IF(C149&lt;&gt;"",1/PRODUCT($U$31:U149),0)</f>
        <v>0</v>
      </c>
      <c r="Z149" s="921">
        <f t="shared" si="123"/>
        <v>0</v>
      </c>
      <c r="AA149" s="949">
        <f t="shared" si="114"/>
        <v>0</v>
      </c>
      <c r="AB149" s="949">
        <f t="shared" si="115"/>
        <v>0</v>
      </c>
      <c r="AC149" s="954">
        <f t="shared" si="116"/>
        <v>0</v>
      </c>
      <c r="AD149" s="954">
        <f t="shared" si="101"/>
        <v>0</v>
      </c>
      <c r="AE149" s="954">
        <f t="shared" si="124"/>
        <v>0</v>
      </c>
      <c r="AF149" s="954">
        <f>IF(L149&lt;=LRat,1/PRODUCT($AE$31:AE149),0)</f>
        <v>0</v>
      </c>
      <c r="AG149" s="966"/>
      <c r="AH149" s="921">
        <f>IF(L149&lt;=LRat,Z149/((1+OE_wynikRRSO)^(SUM($AD$31:AD149))),0)</f>
        <v>0</v>
      </c>
      <c r="AI149" s="966"/>
      <c r="AO149" s="948" t="str">
        <f>IF(_NrRaty&gt;LRat,"",_NrRaty)</f>
        <v/>
      </c>
      <c r="AP149" s="977" t="str">
        <f t="shared" si="112"/>
        <v/>
      </c>
      <c r="AQ149" s="948">
        <f t="shared" si="125"/>
        <v>0</v>
      </c>
      <c r="AR149" s="948">
        <f>IF(_NrRaty&lt;LRat,ROUND(AT148*$AN$20*(SUM(O149:P149)/365),2),0)+IF(_NrRaty=LRat,AQ149-AS149,0)</f>
        <v>0</v>
      </c>
      <c r="AS149" s="948">
        <f>IF(_NrRaty&lt;LRat,ROUND(AQ149-AR149,2),0)+IF(_NrRaty=LRat,AT148,0)</f>
        <v>0</v>
      </c>
      <c r="AT149" s="979">
        <f t="shared" ca="1" si="113"/>
        <v>0</v>
      </c>
      <c r="AU149" s="979" t="b">
        <f t="shared" si="126"/>
        <v>0</v>
      </c>
      <c r="AV149" s="1005">
        <v>0</v>
      </c>
      <c r="AX149" s="948">
        <f t="shared" si="127"/>
        <v>0</v>
      </c>
      <c r="AY149" s="948">
        <f>IF(_NrRaty&lt;=LRat,IF(MOD(YEAR(N149),4)=0,OE_RP_rrso,365),0)</f>
        <v>0</v>
      </c>
      <c r="AZ149" s="948">
        <f>IF(_NrRaty&lt;=LRat,O149/AY148,0)</f>
        <v>0</v>
      </c>
      <c r="BA149" s="1006">
        <f>IF(_NrRaty&lt;=LRat,P149/AY149,0)</f>
        <v>0</v>
      </c>
      <c r="BB149" s="1006">
        <f t="shared" si="100"/>
        <v>0</v>
      </c>
      <c r="BC149" s="1006">
        <f>IF(_NrRaty&lt;=LRat,1+OE_oproc*BB149,0)</f>
        <v>0</v>
      </c>
      <c r="BD149" s="1006">
        <f>IF(_NrRaty&lt;=LRat,1/PRODUCT($BC$31:BC149),0)</f>
        <v>0</v>
      </c>
      <c r="BF149" s="948">
        <f>IF(_NrRaty&lt;=LRat,AX149/((1+SOWK_wynikRRSO)^(SUM($BB$31:BB149))),0)</f>
        <v>0</v>
      </c>
      <c r="BL149" s="1023" t="str">
        <f>IF(_NrRaty&gt;LRat,"",_NrRaty)</f>
        <v/>
      </c>
      <c r="BM149" s="1024" t="str">
        <f>IF(_NrRaty&gt;LRat,"",D149)</f>
        <v/>
      </c>
      <c r="BN149" s="1025" t="str">
        <f t="shared" si="128"/>
        <v/>
      </c>
      <c r="BO149" s="1025" t="str">
        <f t="shared" si="129"/>
        <v/>
      </c>
      <c r="BP149" s="1025" t="str">
        <f t="shared" si="130"/>
        <v/>
      </c>
      <c r="BQ149" s="1025" t="str">
        <f t="shared" si="131"/>
        <v/>
      </c>
      <c r="BR149" s="1124" t="e">
        <f t="shared" si="132"/>
        <v>#VALUE!</v>
      </c>
      <c r="BT149" s="1113" t="str">
        <f>IF(_NrRaty&gt;LRat,"",_NrRaty)</f>
        <v/>
      </c>
      <c r="BU149" s="1023" t="str">
        <f t="shared" si="99"/>
        <v/>
      </c>
      <c r="BV149" s="1114" t="str">
        <f>IF(_NrRaty&gt;LRat,"",SUM($O$31:P149))</f>
        <v/>
      </c>
      <c r="BW149" s="1025" t="str">
        <f>IF(_NrRaty&gt;LRat,"",BV149/365)</f>
        <v/>
      </c>
      <c r="BX149" s="1025" t="str">
        <f>IF(_NrRaty&gt;LRat,"",BW149*BP149)</f>
        <v/>
      </c>
      <c r="BY149" s="1025" t="str">
        <f>IF(_NrRaty&gt;LRat,"",BU149*BX149)</f>
        <v/>
      </c>
    </row>
    <row r="150" spans="1:80" x14ac:dyDescent="0.25">
      <c r="A150" s="973">
        <f t="shared" si="133"/>
        <v>0</v>
      </c>
      <c r="B150" s="924" t="str">
        <f t="shared" si="102"/>
        <v/>
      </c>
      <c r="C150" s="660" t="str">
        <f>IF(_NrRaty&gt;LRat,"",_NrRaty)</f>
        <v/>
      </c>
      <c r="D150" s="661" t="str">
        <f t="shared" si="103"/>
        <v/>
      </c>
      <c r="E150" s="941" t="str">
        <f t="shared" si="117"/>
        <v/>
      </c>
      <c r="F150" s="970" t="str">
        <f t="shared" si="118"/>
        <v/>
      </c>
      <c r="G150" s="941" t="str">
        <f>IF(C150&lt;=LRat,ROUND(ROUND(SUM($F$30:F150),2)-SUM($G$30:G149),2),"")</f>
        <v/>
      </c>
      <c r="H150" s="941" t="str">
        <f t="shared" si="119"/>
        <v/>
      </c>
      <c r="I150" s="941" t="str">
        <f t="shared" si="120"/>
        <v/>
      </c>
      <c r="J150" s="941" t="str">
        <f t="shared" si="121"/>
        <v/>
      </c>
      <c r="L150" s="613" t="str">
        <f>IF(_NrRaty&gt;LRat,"",_NrRaty)</f>
        <v/>
      </c>
      <c r="M150" s="913" t="str">
        <f t="shared" si="104"/>
        <v/>
      </c>
      <c r="N150" s="913" t="str">
        <f t="shared" si="105"/>
        <v/>
      </c>
      <c r="O150" s="921">
        <f t="shared" si="106"/>
        <v>0</v>
      </c>
      <c r="P150" s="921">
        <f t="shared" si="107"/>
        <v>0</v>
      </c>
      <c r="Q150" s="921">
        <f t="shared" si="108"/>
        <v>0</v>
      </c>
      <c r="R150" s="921">
        <f t="shared" si="109"/>
        <v>0</v>
      </c>
      <c r="S150" s="921">
        <f t="shared" si="110"/>
        <v>0</v>
      </c>
      <c r="T150" s="921">
        <f t="shared" si="111"/>
        <v>0</v>
      </c>
      <c r="U150" s="921">
        <f t="shared" si="122"/>
        <v>0</v>
      </c>
      <c r="V150" s="921">
        <f>IF(C150&lt;&gt;"",1/PRODUCT($U$31:U150),0)</f>
        <v>0</v>
      </c>
      <c r="Z150" s="921">
        <f t="shared" si="123"/>
        <v>0</v>
      </c>
      <c r="AA150" s="949">
        <f t="shared" si="114"/>
        <v>0</v>
      </c>
      <c r="AB150" s="949">
        <f t="shared" si="115"/>
        <v>0</v>
      </c>
      <c r="AC150" s="954">
        <f t="shared" si="116"/>
        <v>0</v>
      </c>
      <c r="AD150" s="954">
        <f t="shared" si="101"/>
        <v>0</v>
      </c>
      <c r="AE150" s="954">
        <f t="shared" si="124"/>
        <v>0</v>
      </c>
      <c r="AF150" s="954">
        <f>IF(L150&lt;=LRat,1/PRODUCT($AE$31:AE150),0)</f>
        <v>0</v>
      </c>
      <c r="AG150" s="966"/>
      <c r="AH150" s="921">
        <f>IF(L150&lt;=LRat,Z150/((1+OE_wynikRRSO)^(SUM($AD$31:AD150))),0)</f>
        <v>0</v>
      </c>
      <c r="AI150" s="966"/>
      <c r="AO150" s="948" t="str">
        <f>IF(_NrRaty&gt;LRat,"",_NrRaty)</f>
        <v/>
      </c>
      <c r="AP150" s="977" t="str">
        <f t="shared" si="112"/>
        <v/>
      </c>
      <c r="AQ150" s="948">
        <f t="shared" si="125"/>
        <v>0</v>
      </c>
      <c r="AR150" s="948">
        <f>IF(_NrRaty&lt;LRat,ROUND(AT149*$AN$20*(SUM(O150:P150)/365),2),0)+IF(_NrRaty=LRat,AQ150-AS150,0)</f>
        <v>0</v>
      </c>
      <c r="AS150" s="948">
        <f>IF(_NrRaty&lt;LRat,ROUND(AQ150-AR150,2),0)+IF(_NrRaty=LRat,AT149,0)</f>
        <v>0</v>
      </c>
      <c r="AT150" s="979">
        <f t="shared" ca="1" si="113"/>
        <v>0</v>
      </c>
      <c r="AU150" s="979" t="b">
        <f t="shared" si="126"/>
        <v>0</v>
      </c>
      <c r="AV150" s="1005">
        <v>0</v>
      </c>
      <c r="AX150" s="948">
        <f t="shared" si="127"/>
        <v>0</v>
      </c>
      <c r="AY150" s="948">
        <f>IF(_NrRaty&lt;=LRat,IF(MOD(YEAR(N150),4)=0,OE_RP_rrso,365),0)</f>
        <v>0</v>
      </c>
      <c r="AZ150" s="948">
        <f>IF(_NrRaty&lt;=LRat,O150/AY149,0)</f>
        <v>0</v>
      </c>
      <c r="BA150" s="1006">
        <f>IF(_NrRaty&lt;=LRat,P150/AY150,0)</f>
        <v>0</v>
      </c>
      <c r="BB150" s="1006">
        <f t="shared" si="100"/>
        <v>0</v>
      </c>
      <c r="BC150" s="1006">
        <f>IF(_NrRaty&lt;=LRat,1+OE_oproc*BB150,0)</f>
        <v>0</v>
      </c>
      <c r="BD150" s="1006">
        <f>IF(_NrRaty&lt;=LRat,1/PRODUCT($BC$31:BC150),0)</f>
        <v>0</v>
      </c>
      <c r="BF150" s="948">
        <f>IF(_NrRaty&lt;=LRat,AX150/((1+SOWK_wynikRRSO)^(SUM($BB$31:BB150))),0)</f>
        <v>0</v>
      </c>
      <c r="BL150" s="1023" t="str">
        <f>IF(_NrRaty&gt;LRat,"",_NrRaty)</f>
        <v/>
      </c>
      <c r="BM150" s="1024" t="str">
        <f>IF(_NrRaty&gt;LRat,"",D150)</f>
        <v/>
      </c>
      <c r="BN150" s="1025" t="str">
        <f t="shared" si="128"/>
        <v/>
      </c>
      <c r="BO150" s="1025" t="str">
        <f t="shared" si="129"/>
        <v/>
      </c>
      <c r="BP150" s="1025" t="str">
        <f t="shared" si="130"/>
        <v/>
      </c>
      <c r="BQ150" s="1025" t="str">
        <f t="shared" si="131"/>
        <v/>
      </c>
      <c r="BR150" s="1124" t="e">
        <f t="shared" si="132"/>
        <v>#VALUE!</v>
      </c>
      <c r="BT150" s="1113" t="str">
        <f>IF(_NrRaty&gt;LRat,"",_NrRaty)</f>
        <v/>
      </c>
      <c r="BU150" s="1023" t="str">
        <f t="shared" si="99"/>
        <v/>
      </c>
      <c r="BV150" s="1114" t="str">
        <f>IF(_NrRaty&gt;LRat,"",SUM($O$31:P150))</f>
        <v/>
      </c>
      <c r="BW150" s="1025" t="str">
        <f>IF(_NrRaty&gt;LRat,"",BV150/365)</f>
        <v/>
      </c>
      <c r="BX150" s="1025" t="str">
        <f>IF(_NrRaty&gt;LRat,"",BW150*BP150)</f>
        <v/>
      </c>
      <c r="BY150" s="1025" t="str">
        <f>IF(_NrRaty&gt;LRat,"",BU150*BX150)</f>
        <v/>
      </c>
    </row>
    <row r="151" spans="1:80" x14ac:dyDescent="0.25">
      <c r="A151" s="613" t="s">
        <v>47</v>
      </c>
      <c r="B151" s="613" t="s">
        <v>47</v>
      </c>
      <c r="C151" s="613" t="s">
        <v>47</v>
      </c>
      <c r="D151" s="613" t="s">
        <v>47</v>
      </c>
      <c r="E151" s="613" t="s">
        <v>47</v>
      </c>
      <c r="F151" s="613" t="s">
        <v>47</v>
      </c>
      <c r="G151" s="613" t="s">
        <v>47</v>
      </c>
      <c r="H151" s="613" t="s">
        <v>47</v>
      </c>
      <c r="I151" s="613" t="s">
        <v>47</v>
      </c>
      <c r="J151" s="613" t="s">
        <v>47</v>
      </c>
      <c r="K151" s="613" t="s">
        <v>47</v>
      </c>
      <c r="L151" s="613" t="s">
        <v>47</v>
      </c>
      <c r="M151" s="613" t="s">
        <v>47</v>
      </c>
      <c r="N151" s="613" t="s">
        <v>47</v>
      </c>
      <c r="O151" s="613" t="s">
        <v>47</v>
      </c>
      <c r="P151" s="613" t="s">
        <v>47</v>
      </c>
      <c r="Q151" s="613" t="s">
        <v>47</v>
      </c>
      <c r="R151" s="613" t="s">
        <v>47</v>
      </c>
      <c r="S151" s="613" t="s">
        <v>47</v>
      </c>
      <c r="T151" s="613" t="s">
        <v>47</v>
      </c>
      <c r="U151" s="613" t="s">
        <v>47</v>
      </c>
      <c r="V151" s="613" t="s">
        <v>47</v>
      </c>
      <c r="W151" s="613" t="s">
        <v>47</v>
      </c>
      <c r="X151" s="613" t="s">
        <v>47</v>
      </c>
      <c r="Y151" s="613" t="s">
        <v>47</v>
      </c>
      <c r="Z151" s="613" t="s">
        <v>47</v>
      </c>
      <c r="AA151" s="613" t="s">
        <v>47</v>
      </c>
      <c r="AB151" s="613" t="s">
        <v>47</v>
      </c>
      <c r="AC151" s="914" t="s">
        <v>47</v>
      </c>
      <c r="AD151" s="914" t="s">
        <v>47</v>
      </c>
      <c r="AE151" s="613" t="s">
        <v>47</v>
      </c>
      <c r="AF151" s="613" t="s">
        <v>47</v>
      </c>
      <c r="AG151" s="613" t="s">
        <v>47</v>
      </c>
      <c r="AH151" s="613" t="s">
        <v>47</v>
      </c>
      <c r="AI151" s="613" t="s">
        <v>47</v>
      </c>
      <c r="AJ151" s="633" t="s">
        <v>47</v>
      </c>
      <c r="AK151" s="633" t="s">
        <v>47</v>
      </c>
      <c r="AL151" s="633" t="s">
        <v>47</v>
      </c>
      <c r="AM151" s="613" t="s">
        <v>47</v>
      </c>
      <c r="AN151" s="613" t="s">
        <v>47</v>
      </c>
      <c r="AO151" s="613" t="s">
        <v>47</v>
      </c>
      <c r="AP151" s="613" t="s">
        <v>47</v>
      </c>
      <c r="AQ151" s="948" t="s">
        <v>47</v>
      </c>
      <c r="AR151" s="613" t="s">
        <v>47</v>
      </c>
      <c r="AS151" s="613" t="s">
        <v>47</v>
      </c>
      <c r="AT151" s="613" t="s">
        <v>47</v>
      </c>
      <c r="AU151" s="979" t="b">
        <f t="shared" si="126"/>
        <v>0</v>
      </c>
      <c r="AV151" s="613" t="s">
        <v>47</v>
      </c>
      <c r="AW151" s="613" t="s">
        <v>47</v>
      </c>
      <c r="AX151" s="613" t="s">
        <v>47</v>
      </c>
      <c r="AY151" s="613" t="s">
        <v>47</v>
      </c>
      <c r="AZ151" s="948">
        <f>IF(_NrRaty&lt;=LRat,O151/AY150,0)</f>
        <v>0</v>
      </c>
      <c r="BA151" s="613" t="s">
        <v>47</v>
      </c>
      <c r="BB151" s="613" t="s">
        <v>47</v>
      </c>
      <c r="BC151" s="613" t="s">
        <v>47</v>
      </c>
      <c r="BD151" s="613" t="s">
        <v>47</v>
      </c>
      <c r="BE151" s="613" t="s">
        <v>47</v>
      </c>
      <c r="BF151" s="613" t="s">
        <v>47</v>
      </c>
      <c r="BG151" s="613" t="s">
        <v>47</v>
      </c>
      <c r="BL151" s="613" t="s">
        <v>47</v>
      </c>
      <c r="BM151" s="613" t="s">
        <v>47</v>
      </c>
      <c r="BN151" s="613" t="s">
        <v>47</v>
      </c>
      <c r="BO151" s="613" t="s">
        <v>47</v>
      </c>
      <c r="BP151" s="613" t="s">
        <v>47</v>
      </c>
      <c r="BQ151" s="613" t="s">
        <v>47</v>
      </c>
      <c r="BR151" s="1124" t="e">
        <f t="shared" si="132"/>
        <v>#VALUE!</v>
      </c>
      <c r="BS151" s="613" t="s">
        <v>47</v>
      </c>
      <c r="BT151" s="613" t="s">
        <v>47</v>
      </c>
      <c r="BU151" s="1023" t="str">
        <f t="shared" si="99"/>
        <v/>
      </c>
      <c r="BV151" s="1114" t="str">
        <f>IF(_NrRaty&gt;LRat,"",SUM($O$31:P151))</f>
        <v/>
      </c>
      <c r="BW151" s="1025" t="str">
        <f>IF(_NrRaty&gt;LRat,"",BV151/365)</f>
        <v/>
      </c>
      <c r="BX151" s="613" t="s">
        <v>47</v>
      </c>
      <c r="BY151" s="613" t="s">
        <v>47</v>
      </c>
      <c r="BZ151" s="613" t="s">
        <v>47</v>
      </c>
      <c r="CA151" s="613" t="s">
        <v>47</v>
      </c>
      <c r="CB151" s="613" t="s">
        <v>47</v>
      </c>
    </row>
    <row r="152" spans="1:80" x14ac:dyDescent="0.25">
      <c r="AC152" s="914"/>
      <c r="AD152" s="914"/>
    </row>
    <row r="153" spans="1:80" x14ac:dyDescent="0.25">
      <c r="AC153" s="914"/>
      <c r="AD153" s="914"/>
    </row>
    <row r="154" spans="1:80" x14ac:dyDescent="0.25">
      <c r="AC154" s="914"/>
      <c r="AD154" s="914"/>
    </row>
    <row r="155" spans="1:80" x14ac:dyDescent="0.25">
      <c r="AC155" s="914"/>
      <c r="AD155" s="914"/>
    </row>
    <row r="156" spans="1:80" x14ac:dyDescent="0.25">
      <c r="AC156" s="914"/>
      <c r="AD156" s="914"/>
    </row>
    <row r="157" spans="1:80" x14ac:dyDescent="0.25">
      <c r="AC157" s="914"/>
      <c r="AD157" s="914"/>
    </row>
    <row r="158" spans="1:80" x14ac:dyDescent="0.25">
      <c r="AC158" s="914"/>
      <c r="AD158" s="914"/>
    </row>
    <row r="159" spans="1:80" x14ac:dyDescent="0.25">
      <c r="AC159" s="914"/>
      <c r="AD159" s="914"/>
    </row>
    <row r="160" spans="1:80" x14ac:dyDescent="0.25">
      <c r="AC160" s="914"/>
      <c r="AD160" s="914"/>
    </row>
    <row r="161" spans="29:30" x14ac:dyDescent="0.25">
      <c r="AC161" s="914"/>
      <c r="AD161" s="914"/>
    </row>
    <row r="162" spans="29:30" x14ac:dyDescent="0.25">
      <c r="AC162" s="914"/>
      <c r="AD162" s="914"/>
    </row>
    <row r="163" spans="29:30" x14ac:dyDescent="0.25">
      <c r="AC163" s="914"/>
      <c r="AD163" s="914"/>
    </row>
    <row r="164" spans="29:30" x14ac:dyDescent="0.25">
      <c r="AC164" s="914"/>
      <c r="AD164" s="914"/>
    </row>
    <row r="165" spans="29:30" x14ac:dyDescent="0.25">
      <c r="AC165" s="914"/>
      <c r="AD165" s="914"/>
    </row>
    <row r="166" spans="29:30" x14ac:dyDescent="0.25">
      <c r="AC166" s="914"/>
      <c r="AD166" s="914"/>
    </row>
    <row r="167" spans="29:30" x14ac:dyDescent="0.25">
      <c r="AC167" s="914"/>
      <c r="AD167" s="914"/>
    </row>
    <row r="168" spans="29:30" x14ac:dyDescent="0.25">
      <c r="AC168" s="914"/>
      <c r="AD168" s="914"/>
    </row>
    <row r="169" spans="29:30" x14ac:dyDescent="0.25">
      <c r="AC169" s="914"/>
      <c r="AD169" s="914"/>
    </row>
    <row r="170" spans="29:30" x14ac:dyDescent="0.25">
      <c r="AC170" s="914"/>
      <c r="AD170" s="914"/>
    </row>
    <row r="171" spans="29:30" x14ac:dyDescent="0.25">
      <c r="AC171" s="914"/>
      <c r="AD171" s="914"/>
    </row>
    <row r="172" spans="29:30" x14ac:dyDescent="0.25">
      <c r="AC172" s="914"/>
      <c r="AD172" s="914"/>
    </row>
    <row r="173" spans="29:30" x14ac:dyDescent="0.25">
      <c r="AC173" s="914"/>
      <c r="AD173" s="914"/>
    </row>
    <row r="174" spans="29:30" x14ac:dyDescent="0.25">
      <c r="AC174" s="914"/>
      <c r="AD174" s="914"/>
    </row>
    <row r="175" spans="29:30" x14ac:dyDescent="0.25">
      <c r="AC175" s="914"/>
      <c r="AD175" s="914"/>
    </row>
    <row r="176" spans="29:30" x14ac:dyDescent="0.25">
      <c r="AC176" s="914"/>
      <c r="AD176" s="914"/>
    </row>
    <row r="177" spans="29:30" x14ac:dyDescent="0.25">
      <c r="AC177" s="914"/>
      <c r="AD177" s="914"/>
    </row>
    <row r="178" spans="29:30" x14ac:dyDescent="0.25">
      <c r="AC178" s="914"/>
      <c r="AD178" s="914"/>
    </row>
    <row r="179" spans="29:30" x14ac:dyDescent="0.25">
      <c r="AC179" s="914"/>
      <c r="AD179" s="914"/>
    </row>
    <row r="180" spans="29:30" x14ac:dyDescent="0.25">
      <c r="AC180" s="914"/>
      <c r="AD180" s="914"/>
    </row>
    <row r="181" spans="29:30" x14ac:dyDescent="0.25">
      <c r="AC181" s="914"/>
      <c r="AD181" s="914"/>
    </row>
    <row r="182" spans="29:30" x14ac:dyDescent="0.25">
      <c r="AC182" s="914"/>
      <c r="AD182" s="914"/>
    </row>
    <row r="183" spans="29:30" x14ac:dyDescent="0.25">
      <c r="AC183" s="914"/>
      <c r="AD183" s="914"/>
    </row>
    <row r="184" spans="29:30" x14ac:dyDescent="0.25">
      <c r="AC184" s="914"/>
      <c r="AD184" s="914"/>
    </row>
    <row r="185" spans="29:30" x14ac:dyDescent="0.25">
      <c r="AC185" s="914"/>
      <c r="AD185" s="914"/>
    </row>
    <row r="186" spans="29:30" x14ac:dyDescent="0.25">
      <c r="AC186" s="914"/>
      <c r="AD186" s="914"/>
    </row>
    <row r="187" spans="29:30" x14ac:dyDescent="0.25">
      <c r="AC187" s="914"/>
      <c r="AD187" s="914"/>
    </row>
    <row r="188" spans="29:30" x14ac:dyDescent="0.25">
      <c r="AC188" s="914"/>
      <c r="AD188" s="914"/>
    </row>
  </sheetData>
  <conditionalFormatting sqref="L29:AH29 K27:AI27 K30:AF30 K28:AF28 AI29:AI150 K31:AG150 AQ32:AQ151 AK32:AP150 AK28:AV31 AR32:AT150 AK27:AP27 AS27:AV27 AV32:AV150 AU32:AU151">
    <cfRule type="expression" dxfId="126" priority="82">
      <formula xml:space="preserve"> ROW(K27)=OEaktywnywiersz</formula>
    </cfRule>
  </conditionalFormatting>
  <conditionalFormatting sqref="V28">
    <cfRule type="expression" dxfId="125" priority="81">
      <formula xml:space="preserve"> ROW(V28)=OEaktywnywiersz</formula>
    </cfRule>
  </conditionalFormatting>
  <conditionalFormatting sqref="B30:I30 A31:I150">
    <cfRule type="expression" dxfId="124" priority="80">
      <formula xml:space="preserve"> ROW(A30)=OEaktywnywiersz</formula>
    </cfRule>
  </conditionalFormatting>
  <conditionalFormatting sqref="F30:F150">
    <cfRule type="expression" dxfId="123" priority="79">
      <formula xml:space="preserve"> ROW(F30)=OEaktywnywiersz</formula>
    </cfRule>
  </conditionalFormatting>
  <conditionalFormatting sqref="AA27:AG27">
    <cfRule type="expression" dxfId="122" priority="78">
      <formula xml:space="preserve"> ROW(AA27)=OEaktywnywiersz</formula>
    </cfRule>
  </conditionalFormatting>
  <conditionalFormatting sqref="AF28">
    <cfRule type="expression" dxfId="121" priority="77">
      <formula xml:space="preserve"> ROW(AF28)=OEaktywnywiersz</formula>
    </cfRule>
  </conditionalFormatting>
  <conditionalFormatting sqref="AI24:AI25">
    <cfRule type="expression" dxfId="120" priority="71">
      <formula xml:space="preserve"> ROW(AI24)=OEaktywnywiersz</formula>
    </cfRule>
  </conditionalFormatting>
  <conditionalFormatting sqref="AH30:AH150">
    <cfRule type="expression" dxfId="119" priority="68">
      <formula xml:space="preserve"> ROW(AH30)=OEaktywnywiersz</formula>
    </cfRule>
  </conditionalFormatting>
  <conditionalFormatting sqref="AG28:AI28">
    <cfRule type="expression" dxfId="118" priority="67">
      <formula xml:space="preserve"> ROW(AG28)=OEaktywnywiersz</formula>
    </cfRule>
  </conditionalFormatting>
  <conditionalFormatting sqref="A30">
    <cfRule type="expression" dxfId="117" priority="65">
      <formula xml:space="preserve"> ROW(A30)=OEaktywnywiersz</formula>
    </cfRule>
  </conditionalFormatting>
  <conditionalFormatting sqref="AJ27:AJ150">
    <cfRule type="expression" dxfId="116" priority="64">
      <formula xml:space="preserve"> ROW(AJ27)=OEaktywnywiersz</formula>
    </cfRule>
  </conditionalFormatting>
  <conditionalFormatting sqref="AW29:BF29 AW27 AW28:AX28 AW30:AX31 AW32 AZ27:BG27 AZ30:BD30 BB31:BE32 AZ28:BD28 AX32:AX150 AY29:AY150 BA31:BA150 BB33:BD150 AZ31:AZ151 BG29:BG48">
    <cfRule type="expression" dxfId="115" priority="38">
      <formula xml:space="preserve"> ROW(AW27)=OEaktywnywiersz</formula>
    </cfRule>
  </conditionalFormatting>
  <conditionalFormatting sqref="AZ27:BE27">
    <cfRule type="expression" dxfId="114" priority="37">
      <formula xml:space="preserve"> ROW(AZ27)=OEaktywnywiersz</formula>
    </cfRule>
  </conditionalFormatting>
  <conditionalFormatting sqref="BD28">
    <cfRule type="expression" dxfId="113" priority="36">
      <formula xml:space="preserve"> ROW(BD28)=OEaktywnywiersz</formula>
    </cfRule>
  </conditionalFormatting>
  <conditionalFormatting sqref="BF30:BQ150">
    <cfRule type="expression" dxfId="112" priority="35">
      <formula xml:space="preserve"> ROW(BF30)=OEaktywnywiersz</formula>
    </cfRule>
  </conditionalFormatting>
  <conditionalFormatting sqref="BE28">
    <cfRule type="expression" dxfId="111" priority="34">
      <formula xml:space="preserve"> ROW(BE28)=OEaktywnywiersz</formula>
    </cfRule>
  </conditionalFormatting>
  <conditionalFormatting sqref="AY28">
    <cfRule type="expression" dxfId="110" priority="33">
      <formula xml:space="preserve"> ROW(AY28)=OEaktywnywiersz</formula>
    </cfRule>
  </conditionalFormatting>
  <conditionalFormatting sqref="AX26:AY27">
    <cfRule type="expression" dxfId="109" priority="32">
      <formula xml:space="preserve"> ROW(AX26)=OEaktywnywiersz</formula>
    </cfRule>
  </conditionalFormatting>
  <conditionalFormatting sqref="BG24:BG25">
    <cfRule type="expression" dxfId="108" priority="31">
      <formula xml:space="preserve"> ROW(BG24)=OEaktywnywiersz</formula>
    </cfRule>
  </conditionalFormatting>
  <conditionalFormatting sqref="AP25">
    <cfRule type="expression" dxfId="107" priority="25">
      <formula xml:space="preserve"> ROW(AP25)=OEaktywnywiersz</formula>
    </cfRule>
  </conditionalFormatting>
  <conditionalFormatting sqref="BF28">
    <cfRule type="expression" dxfId="106" priority="29">
      <formula xml:space="preserve"> ROW(BF28)=OEaktywnywiersz</formula>
    </cfRule>
  </conditionalFormatting>
  <conditionalFormatting sqref="BG28">
    <cfRule type="expression" dxfId="105" priority="28">
      <formula xml:space="preserve"> ROW(BG28)=OEaktywnywiersz</formula>
    </cfRule>
  </conditionalFormatting>
  <conditionalFormatting sqref="D25">
    <cfRule type="expression" dxfId="104" priority="26">
      <formula xml:space="preserve"> ROW(D25)=OEaktywnywiersz</formula>
    </cfRule>
  </conditionalFormatting>
  <conditionalFormatting sqref="AQ27:AR27">
    <cfRule type="expression" dxfId="103" priority="24">
      <formula xml:space="preserve"> ROW(AQ27)=OEaktywnywiersz</formula>
    </cfRule>
  </conditionalFormatting>
  <conditionalFormatting sqref="BL27:BQ27">
    <cfRule type="expression" dxfId="102" priority="23">
      <formula xml:space="preserve"> ROW(BL27)=OEaktywnywiersz</formula>
    </cfRule>
  </conditionalFormatting>
  <conditionalFormatting sqref="BU15:BX20">
    <cfRule type="expression" dxfId="101" priority="21">
      <formula xml:space="preserve"> ROW(BU15)=OEaktywnywiersz</formula>
    </cfRule>
  </conditionalFormatting>
  <conditionalFormatting sqref="BX15">
    <cfRule type="expression" dxfId="100" priority="20">
      <formula xml:space="preserve"> ROW(BX15)=OEaktywnywiersz</formula>
    </cfRule>
  </conditionalFormatting>
  <conditionalFormatting sqref="BU28:BU30">
    <cfRule type="expression" dxfId="99" priority="19">
      <formula xml:space="preserve"> ROW(BU28)=OEaktywnywiersz</formula>
    </cfRule>
  </conditionalFormatting>
  <conditionalFormatting sqref="BU28:BU30">
    <cfRule type="expression" dxfId="98" priority="18">
      <formula xml:space="preserve"> ROW(BU28)=OEaktywnywiersz</formula>
    </cfRule>
  </conditionalFormatting>
  <conditionalFormatting sqref="BU31:BU151 BX151:BZ151 BZ31:BZ150 BV29:BZ30">
    <cfRule type="expression" dxfId="97" priority="17">
      <formula xml:space="preserve"> ROW(BU29)=OEaktywnywiersz</formula>
    </cfRule>
  </conditionalFormatting>
  <conditionalFormatting sqref="BV31:BV151">
    <cfRule type="expression" dxfId="96" priority="14">
      <formula xml:space="preserve"> ROW(BV31)=OEaktywnywiersz</formula>
    </cfRule>
  </conditionalFormatting>
  <conditionalFormatting sqref="BU27">
    <cfRule type="expression" dxfId="95" priority="13">
      <formula xml:space="preserve"> ROW(BU27)=OEaktywnywiersz</formula>
    </cfRule>
  </conditionalFormatting>
  <conditionalFormatting sqref="BV27">
    <cfRule type="expression" dxfId="94" priority="12">
      <formula xml:space="preserve"> ROW(BV27)=OEaktywnywiersz</formula>
    </cfRule>
  </conditionalFormatting>
  <conditionalFormatting sqref="BW27">
    <cfRule type="expression" dxfId="93" priority="11">
      <formula xml:space="preserve"> ROW(BW27)=OEaktywnywiersz</formula>
    </cfRule>
  </conditionalFormatting>
  <conditionalFormatting sqref="BW31:BW151">
    <cfRule type="expression" dxfId="92" priority="10">
      <formula xml:space="preserve"> ROW(BW31)=OEaktywnywiersz</formula>
    </cfRule>
  </conditionalFormatting>
  <conditionalFormatting sqref="BX27">
    <cfRule type="expression" dxfId="91" priority="9">
      <formula xml:space="preserve"> ROW(BX27)=OEaktywnywiersz</formula>
    </cfRule>
  </conditionalFormatting>
  <conditionalFormatting sqref="BX31:BX150">
    <cfRule type="expression" dxfId="90" priority="8">
      <formula xml:space="preserve"> ROW(BX31)=OEaktywnywiersz</formula>
    </cfRule>
  </conditionalFormatting>
  <conditionalFormatting sqref="BY16:BY20">
    <cfRule type="expression" dxfId="89" priority="7">
      <formula xml:space="preserve"> ROW(BY16)=OEaktywnywiersz</formula>
    </cfRule>
  </conditionalFormatting>
  <conditionalFormatting sqref="BY15">
    <cfRule type="expression" dxfId="88" priority="6">
      <formula xml:space="preserve"> ROW(BY15)=OEaktywnywiersz</formula>
    </cfRule>
  </conditionalFormatting>
  <conditionalFormatting sqref="BY15">
    <cfRule type="expression" dxfId="87" priority="5">
      <formula xml:space="preserve"> ROW(BY15)=OEaktywnywiersz</formula>
    </cfRule>
  </conditionalFormatting>
  <conditionalFormatting sqref="BY31:BY150">
    <cfRule type="expression" dxfId="86" priority="4">
      <formula xml:space="preserve"> ROW(BY31)=OEaktywnywiersz</formula>
    </cfRule>
  </conditionalFormatting>
  <conditionalFormatting sqref="BY27">
    <cfRule type="expression" dxfId="85" priority="3">
      <formula xml:space="preserve"> ROW(BY27)=OEaktywnywiersz</formula>
    </cfRule>
  </conditionalFormatting>
  <conditionalFormatting sqref="BZ27">
    <cfRule type="expression" dxfId="84" priority="2">
      <formula xml:space="preserve"> ROW(BZ27)=OEaktywnywiersz</formula>
    </cfRule>
  </conditionalFormatting>
  <conditionalFormatting sqref="J30:J150">
    <cfRule type="expression" dxfId="83" priority="1">
      <formula xml:space="preserve"> ROW(J30)=OEaktywnywiersz</formula>
    </cfRule>
  </conditionalFormatting>
  <dataValidations count="2">
    <dataValidation type="list" allowBlank="1" showInputMessage="1" showErrorMessage="1" sqref="I5" xr:uid="{00000000-0002-0000-0D00-000000000000}">
      <formula1>"SOWK,OE"</formula1>
    </dataValidation>
    <dataValidation allowBlank="1" showInputMessage="1" showErrorMessage="1" promptTitle="nazwa:" prompt="LRat" sqref="B8" xr:uid="{00000000-0002-0000-0D00-000001000000}"/>
  </dataValidations>
  <printOptions horizontalCentered="1"/>
  <pageMargins left="0.70866141732283472"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8173" r:id="rId4" name="Button 45">
              <controlPr defaultSize="0" print="0" autoFill="0" autoPict="0" macro="[0]!PRZYCISK_OBLICZ_RRSO_OE">
                <anchor moveWithCells="1" sizeWithCells="1">
                  <from>
                    <xdr:col>33</xdr:col>
                    <xdr:colOff>476250</xdr:colOff>
                    <xdr:row>12</xdr:row>
                    <xdr:rowOff>0</xdr:rowOff>
                  </from>
                  <to>
                    <xdr:col>35</xdr:col>
                    <xdr:colOff>285750</xdr:colOff>
                    <xdr:row>12</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0">
    <tabColor theme="0" tint="-0.499984740745262"/>
    <pageSetUpPr fitToPage="1"/>
  </sheetPr>
  <dimension ref="A2:N147"/>
  <sheetViews>
    <sheetView showGridLines="0" zoomScaleNormal="100" workbookViewId="0">
      <pane xSplit="2" ySplit="16" topLeftCell="C23" activePane="bottomRight" state="frozen"/>
      <selection activeCell="H7" sqref="H7"/>
      <selection pane="topRight" activeCell="H7" sqref="H7"/>
      <selection pane="bottomLeft" activeCell="H7" sqref="H7"/>
      <selection pane="bottomRight" activeCell="F8" sqref="F8"/>
    </sheetView>
  </sheetViews>
  <sheetFormatPr defaultRowHeight="12.5" x14ac:dyDescent="0.25"/>
  <cols>
    <col min="1" max="1" width="4.453125" customWidth="1"/>
    <col min="2" max="2" width="16.7265625" customWidth="1"/>
    <col min="3" max="3" width="13.1796875" customWidth="1"/>
    <col min="4" max="4" width="13.26953125" customWidth="1"/>
    <col min="5" max="5" width="16.453125" customWidth="1"/>
    <col min="6" max="6" width="15.1796875" customWidth="1"/>
    <col min="7" max="7" width="13.54296875" customWidth="1"/>
    <col min="9" max="9" width="0" hidden="1" customWidth="1"/>
  </cols>
  <sheetData>
    <row r="2" spans="1:9" x14ac:dyDescent="0.25">
      <c r="A2" s="1038"/>
      <c r="B2" s="1728" t="s">
        <v>1998</v>
      </c>
      <c r="C2" s="1728" t="str">
        <f>APLIKACJA</f>
        <v>FrontEnd</v>
      </c>
      <c r="D2" s="1038"/>
      <c r="E2" s="1038"/>
      <c r="F2" s="1038"/>
    </row>
    <row r="3" spans="1:9" x14ac:dyDescent="0.25">
      <c r="B3" s="1728" t="s">
        <v>14</v>
      </c>
      <c r="C3" s="1729">
        <f ca="1">FWartRRSO</f>
        <v>8.2407822681154569E-2</v>
      </c>
    </row>
    <row r="4" spans="1:9" x14ac:dyDescent="0.25">
      <c r="B4" s="1125"/>
      <c r="C4" s="1126"/>
    </row>
    <row r="5" spans="1:9" ht="68.25" customHeight="1" x14ac:dyDescent="0.4">
      <c r="A5" s="1790"/>
      <c r="B5" s="1790"/>
      <c r="C5" s="1924" t="str">
        <f>IF(WERSJA2!J9="stałe","Symulacja spłat pożyczki pieniężnej","Symulacja wpływu zmiany stopy referencyjnej NBP na wysokość raty pożyczki
wraz z symulacją spłat pożyczki pieniężnej")</f>
        <v>Symulacja wpływu zmiany stopy referencyjnej NBP na wysokość raty pożyczki
wraz z symulacją spłat pożyczki pieniężnej</v>
      </c>
      <c r="D5" s="1924"/>
      <c r="E5" s="1924"/>
      <c r="F5" s="1924"/>
      <c r="G5" s="1924"/>
    </row>
    <row r="6" spans="1:9" ht="4.5" customHeight="1" x14ac:dyDescent="0.25">
      <c r="B6" s="1125"/>
      <c r="C6" s="1126"/>
    </row>
    <row r="7" spans="1:9" ht="13" x14ac:dyDescent="0.3">
      <c r="A7" s="663"/>
      <c r="B7" s="1778" t="s">
        <v>2307</v>
      </c>
      <c r="C7" s="1779">
        <f>KwPoz</f>
        <v>31000</v>
      </c>
      <c r="D7" s="1780"/>
      <c r="E7" s="1778" t="s">
        <v>2273</v>
      </c>
      <c r="F7" s="1781" t="str">
        <f>WERSJA2!D4</f>
        <v>BEZ UBEZPIECZENIA</v>
      </c>
      <c r="G7" s="1780"/>
    </row>
    <row r="8" spans="1:9" ht="13.5" customHeight="1" x14ac:dyDescent="0.3">
      <c r="B8" s="1782" t="s">
        <v>2271</v>
      </c>
      <c r="C8" s="1783">
        <f>Lr</f>
        <v>48</v>
      </c>
      <c r="D8" s="1783"/>
      <c r="E8" s="1784" t="s">
        <v>2274</v>
      </c>
      <c r="F8" s="1789">
        <f>WERSJA2!J8</f>
        <v>0</v>
      </c>
      <c r="G8" s="1783"/>
    </row>
    <row r="9" spans="1:9" ht="12.75" customHeight="1" x14ac:dyDescent="0.3">
      <c r="A9" s="663"/>
      <c r="B9" s="1778" t="s">
        <v>2272</v>
      </c>
      <c r="C9" s="1779">
        <f>WERSJA2!J5</f>
        <v>0</v>
      </c>
      <c r="D9" s="1780" t="str">
        <f ca="1">IF(AND(prowizja_kredytowana=TRUE,F9&lt;&gt;0),"(kredytowana)","")</f>
        <v/>
      </c>
      <c r="E9" s="1785" t="s">
        <v>2275</v>
      </c>
      <c r="F9" s="1786">
        <f ca="1">C3</f>
        <v>8.2407822681154569E-2</v>
      </c>
      <c r="G9" s="1780"/>
    </row>
    <row r="10" spans="1:9" ht="13.5" customHeight="1" x14ac:dyDescent="0.3">
      <c r="B10" s="1782" t="str">
        <f>"Oprocentowanie" &amp;IF(WERSJA2!J9="zmienne"," zmienne:"," stałe:")</f>
        <v>Oprocentowanie zmienne:</v>
      </c>
      <c r="C10" s="1787">
        <f>WERSJA2!J10</f>
        <v>8.4900000000000003E-2</v>
      </c>
      <c r="D10" s="1783"/>
      <c r="E10" s="1784" t="s">
        <v>2276</v>
      </c>
      <c r="F10" s="1788">
        <f ca="1">WERSJA2!D18</f>
        <v>46199</v>
      </c>
      <c r="G10" s="1783"/>
      <c r="I10" s="1799" t="s">
        <v>2318</v>
      </c>
    </row>
    <row r="11" spans="1:9" ht="12.75" customHeight="1" x14ac:dyDescent="0.3">
      <c r="A11" s="663"/>
      <c r="B11" s="1778" t="s">
        <v>2410</v>
      </c>
      <c r="C11" s="1779">
        <f ca="1">FORMULARZ!I12</f>
        <v>5676.7000000000016</v>
      </c>
      <c r="D11" s="1780"/>
      <c r="E11" s="1785" t="s">
        <v>2411</v>
      </c>
      <c r="F11" s="1779">
        <f ca="1">C7+C11</f>
        <v>36676.700000000004</v>
      </c>
      <c r="G11" s="1780"/>
    </row>
    <row r="12" spans="1:9" ht="11.25" hidden="1" customHeight="1" x14ac:dyDescent="0.25">
      <c r="A12" s="1922" t="s">
        <v>2391</v>
      </c>
      <c r="B12" s="1923"/>
      <c r="C12" s="1923"/>
      <c r="D12" s="1923"/>
      <c r="E12" s="1923"/>
      <c r="F12" s="1923"/>
      <c r="G12" s="1923"/>
      <c r="I12" s="1799" t="s">
        <v>2317</v>
      </c>
    </row>
    <row r="13" spans="1:9" ht="11.25" hidden="1" customHeight="1" x14ac:dyDescent="0.25">
      <c r="A13" s="1923"/>
      <c r="B13" s="1923"/>
      <c r="C13" s="1923"/>
      <c r="D13" s="1923"/>
      <c r="E13" s="1923"/>
      <c r="F13" s="1923"/>
      <c r="G13" s="1923"/>
    </row>
    <row r="14" spans="1:9" ht="48.75" hidden="1" customHeight="1" x14ac:dyDescent="0.25">
      <c r="A14" s="1923"/>
      <c r="B14" s="1923"/>
      <c r="C14" s="1923"/>
      <c r="D14" s="1923"/>
      <c r="E14" s="1923"/>
      <c r="F14" s="1923"/>
      <c r="G14" s="1923"/>
    </row>
    <row r="15" spans="1:9" s="610" customFormat="1" ht="12.75" hidden="1" customHeight="1" x14ac:dyDescent="0.25">
      <c r="A15" s="1925" t="s">
        <v>2308</v>
      </c>
      <c r="B15" s="1925"/>
      <c r="C15" s="1925"/>
      <c r="D15" s="1925"/>
      <c r="E15" s="1925"/>
      <c r="F15" s="1925"/>
      <c r="G15" s="1925"/>
      <c r="H15" s="1770"/>
    </row>
    <row r="16" spans="1:9" ht="12.75" hidden="1" customHeight="1" x14ac:dyDescent="0.25">
      <c r="A16" s="1928" t="s">
        <v>2309</v>
      </c>
      <c r="B16" s="1928"/>
      <c r="C16" s="1928"/>
      <c r="D16" s="1928"/>
      <c r="E16" s="1928"/>
      <c r="F16" s="1926">
        <f ca="1">C26</f>
        <v>764.1</v>
      </c>
      <c r="G16" s="1926"/>
      <c r="H16" s="1771"/>
    </row>
    <row r="17" spans="1:8" ht="12.75" hidden="1" customHeight="1" x14ac:dyDescent="0.25">
      <c r="A17" s="1931" t="s">
        <v>2312</v>
      </c>
      <c r="B17" s="1931"/>
      <c r="C17" s="1931"/>
      <c r="D17" s="1931"/>
      <c r="E17" s="1931"/>
      <c r="F17" s="1927">
        <f ca="1">F_SKROCONY!D15</f>
        <v>824.05</v>
      </c>
      <c r="G17" s="1927"/>
      <c r="H17" s="1771"/>
    </row>
    <row r="18" spans="1:8" ht="25.5" hidden="1" customHeight="1" x14ac:dyDescent="0.25">
      <c r="A18" s="1930" t="s">
        <v>2313</v>
      </c>
      <c r="B18" s="1930"/>
      <c r="C18" s="1930"/>
      <c r="D18" s="1930"/>
      <c r="E18" s="1930"/>
      <c r="F18" s="1926">
        <f ca="1">F_SKROCONY!D16</f>
        <v>784.78</v>
      </c>
      <c r="G18" s="1926"/>
      <c r="H18" s="1771"/>
    </row>
    <row r="19" spans="1:8" ht="12.75" hidden="1" customHeight="1" x14ac:dyDescent="0.25">
      <c r="A19" s="1928" t="s">
        <v>2392</v>
      </c>
      <c r="B19" s="1928"/>
      <c r="C19" s="1928"/>
      <c r="D19" s="1928"/>
      <c r="E19" s="1928"/>
      <c r="F19" s="1927">
        <f ca="1">F_SKROCONY!D20</f>
        <v>710.34</v>
      </c>
      <c r="G19" s="1927"/>
      <c r="H19" s="1772"/>
    </row>
    <row r="20" spans="1:8" ht="12.75" hidden="1" customHeight="1" x14ac:dyDescent="0.25">
      <c r="A20" s="1931" t="s">
        <v>2314</v>
      </c>
      <c r="B20" s="1931"/>
      <c r="C20" s="1931"/>
      <c r="D20" s="1931"/>
      <c r="E20" s="1931"/>
      <c r="F20" s="1926">
        <f ca="1">F_SKROCONY!D17</f>
        <v>753.16</v>
      </c>
      <c r="G20" s="1926"/>
      <c r="H20" s="1772"/>
    </row>
    <row r="21" spans="1:8" ht="13.5" hidden="1" customHeight="1" x14ac:dyDescent="0.25">
      <c r="A21" s="1931" t="s">
        <v>2315</v>
      </c>
      <c r="B21" s="1931"/>
      <c r="C21" s="1931"/>
      <c r="D21" s="1931"/>
      <c r="E21" s="1931"/>
      <c r="F21" s="1927">
        <f ca="1">F_SKROCONY!D18</f>
        <v>782.55</v>
      </c>
      <c r="G21" s="1927"/>
      <c r="H21" s="1772"/>
    </row>
    <row r="22" spans="1:8" ht="12.75" hidden="1" customHeight="1" x14ac:dyDescent="0.25">
      <c r="A22" s="1928" t="s">
        <v>2316</v>
      </c>
      <c r="B22" s="1928"/>
      <c r="C22" s="1928"/>
      <c r="D22" s="1928"/>
      <c r="E22" s="1928"/>
      <c r="F22" s="1926">
        <f ca="1">F_SKROCONY!D19</f>
        <v>858.95</v>
      </c>
      <c r="G22" s="1926"/>
      <c r="H22" s="1772"/>
    </row>
    <row r="23" spans="1:8" ht="6" customHeight="1" x14ac:dyDescent="0.25">
      <c r="A23" s="1929"/>
      <c r="B23" s="1929"/>
      <c r="F23" s="1777"/>
    </row>
    <row r="24" spans="1:8" ht="27.75" customHeight="1" x14ac:dyDescent="0.25">
      <c r="A24" s="1797" t="s">
        <v>2277</v>
      </c>
      <c r="B24" s="1797" t="s">
        <v>2278</v>
      </c>
      <c r="C24" s="1797" t="s">
        <v>121</v>
      </c>
      <c r="D24" s="1797" t="s">
        <v>2279</v>
      </c>
      <c r="E24" s="1798" t="s">
        <v>2280</v>
      </c>
      <c r="F24" s="1798" t="s">
        <v>2281</v>
      </c>
      <c r="G24" s="1797" t="s">
        <v>2282</v>
      </c>
      <c r="H24" s="610"/>
    </row>
    <row r="25" spans="1:8" ht="12.65" customHeight="1" x14ac:dyDescent="0.3">
      <c r="A25" s="1792"/>
      <c r="B25" s="1793" t="s">
        <v>2283</v>
      </c>
      <c r="C25" s="1794">
        <f ca="1">SUM(C26:C145)</f>
        <v>36676.699999999968</v>
      </c>
      <c r="D25" s="1794">
        <f ca="1">SUM(D26:D145)</f>
        <v>30999.999999999993</v>
      </c>
      <c r="E25" s="1794">
        <f ca="1">SUM(E26:E145)</f>
        <v>5676.7000000000016</v>
      </c>
      <c r="F25" s="1795">
        <f>IF(RATY_OE!BL30&lt;&gt;"",RATY_OE!BQ30,"")</f>
        <v>31000</v>
      </c>
      <c r="G25" s="1795"/>
    </row>
    <row r="26" spans="1:8" ht="12.65" customHeight="1" x14ac:dyDescent="0.3">
      <c r="A26" s="1783">
        <f>IF(RATY_OE!BL31&lt;&gt;"",RATY_OE!BL31,"")</f>
        <v>1</v>
      </c>
      <c r="B26" s="1788">
        <f ca="1">IF(RATY_OE!BL31&lt;&gt;"",RATY_OE!BM31,"")</f>
        <v>46229</v>
      </c>
      <c r="C26" s="1791">
        <f ca="1">IF(RATY_OE!BL31&lt;&gt;"",RATY_OE!BN31,"")</f>
        <v>764.1</v>
      </c>
      <c r="D26" s="1791">
        <f ca="1">IF(RATY_OE!BL31&lt;&gt;"",RATY_OE!BP31,"")</f>
        <v>547.78</v>
      </c>
      <c r="E26" s="1791">
        <f ca="1">IF(RATY_OE!BL31&lt;&gt;"",RATY_OE!BO31,"")</f>
        <v>216.32</v>
      </c>
      <c r="F26" s="1791">
        <f ca="1">IF(RATY_OE!BL31&lt;&gt;"",RATY_OE!BQ31,"")</f>
        <v>30452.22</v>
      </c>
      <c r="G26" s="1791">
        <f ca="1">IF(RATY_OE!BL31&lt;&gt;"",RATY_OE!BR31+RATY_OE!BN31,"")</f>
        <v>764.1</v>
      </c>
    </row>
    <row r="27" spans="1:8" ht="12.65" customHeight="1" x14ac:dyDescent="0.3">
      <c r="A27" s="1780">
        <f>IF(RATY_OE!BL32&lt;&gt;"",RATY_OE!BL32,"")</f>
        <v>2</v>
      </c>
      <c r="B27" s="1796">
        <f ca="1">IF(RATY_OE!BL32&lt;&gt;"",RATY_OE!BM32,"")</f>
        <v>46260</v>
      </c>
      <c r="C27" s="1795">
        <f ca="1">IF(RATY_OE!BL32&lt;&gt;"",RATY_OE!BN32,"")</f>
        <v>764.1</v>
      </c>
      <c r="D27" s="1795">
        <f ca="1">IF(RATY_OE!BL32&lt;&gt;"",RATY_OE!BP32,"")</f>
        <v>544.52</v>
      </c>
      <c r="E27" s="1795">
        <f ca="1">IF(RATY_OE!BL32&lt;&gt;"",RATY_OE!BO32,"")</f>
        <v>219.58</v>
      </c>
      <c r="F27" s="1795">
        <f ca="1">IF(RATY_OE!BL32&lt;&gt;"",RATY_OE!BQ32,"")</f>
        <v>29907.7</v>
      </c>
      <c r="G27" s="1795">
        <f ca="1">IF(RATY_OE!BL32&lt;&gt;"",RATY_OE!BR32+RATY_OE!BN32,"")</f>
        <v>764.1</v>
      </c>
    </row>
    <row r="28" spans="1:8" ht="12.65" customHeight="1" x14ac:dyDescent="0.3">
      <c r="A28" s="1783">
        <f>IF(RATY_OE!BL33&lt;&gt;"",RATY_OE!BL33,"")</f>
        <v>3</v>
      </c>
      <c r="B28" s="1788">
        <f ca="1">IF(RATY_OE!BL33&lt;&gt;"",RATY_OE!BM33,"")</f>
        <v>46291</v>
      </c>
      <c r="C28" s="1791">
        <f ca="1">IF(RATY_OE!BL33&lt;&gt;"",RATY_OE!BN33,"")</f>
        <v>764.1</v>
      </c>
      <c r="D28" s="1791">
        <f ca="1">IF(RATY_OE!BL33&lt;&gt;"",RATY_OE!BP33,"")</f>
        <v>548.44000000000005</v>
      </c>
      <c r="E28" s="1791">
        <f ca="1">IF(RATY_OE!BL33&lt;&gt;"",RATY_OE!BO33,"")</f>
        <v>215.66</v>
      </c>
      <c r="F28" s="1791">
        <f ca="1">IF(RATY_OE!BL33&lt;&gt;"",RATY_OE!BQ33,"")</f>
        <v>29359.26</v>
      </c>
      <c r="G28" s="1791">
        <f ca="1">IF(RATY_OE!BL33&lt;&gt;"",RATY_OE!BR33+RATY_OE!BN33,"")</f>
        <v>764.1</v>
      </c>
    </row>
    <row r="29" spans="1:8" ht="12.65" customHeight="1" x14ac:dyDescent="0.3">
      <c r="A29" s="1780">
        <f>IF(RATY_OE!BL34&lt;&gt;"",RATY_OE!BL34,"")</f>
        <v>4</v>
      </c>
      <c r="B29" s="1796">
        <f ca="1">IF(RATY_OE!BL34&lt;&gt;"",RATY_OE!BM34,"")</f>
        <v>46321</v>
      </c>
      <c r="C29" s="1795">
        <f ca="1">IF(RATY_OE!BL34&lt;&gt;"",RATY_OE!BN34,"")</f>
        <v>764.1</v>
      </c>
      <c r="D29" s="1795">
        <f ca="1">IF(RATY_OE!BL34&lt;&gt;"",RATY_OE!BP34,"")</f>
        <v>559.23</v>
      </c>
      <c r="E29" s="1795">
        <f ca="1">IF(RATY_OE!BL34&lt;&gt;"",RATY_OE!BO34,"")</f>
        <v>204.87</v>
      </c>
      <c r="F29" s="1795">
        <f ca="1">IF(RATY_OE!BL34&lt;&gt;"",RATY_OE!BQ34,"")</f>
        <v>28800.03</v>
      </c>
      <c r="G29" s="1795">
        <f ca="1">IF(RATY_OE!BL34&lt;&gt;"",RATY_OE!BR34+RATY_OE!BN34,"")</f>
        <v>764.1</v>
      </c>
    </row>
    <row r="30" spans="1:8" ht="12.65" customHeight="1" x14ac:dyDescent="0.3">
      <c r="A30" s="1783">
        <f>IF(RATY_OE!BL35&lt;&gt;"",RATY_OE!BL35,"")</f>
        <v>5</v>
      </c>
      <c r="B30" s="1788">
        <f ca="1">IF(RATY_OE!BL35&lt;&gt;"",RATY_OE!BM35,"")</f>
        <v>46352</v>
      </c>
      <c r="C30" s="1791">
        <f ca="1">IF(RATY_OE!BL35&lt;&gt;"",RATY_OE!BN35,"")</f>
        <v>764.1</v>
      </c>
      <c r="D30" s="1791">
        <f ca="1">IF(RATY_OE!BL35&lt;&gt;"",RATY_OE!BP35,"")</f>
        <v>556.42999999999995</v>
      </c>
      <c r="E30" s="1791">
        <f ca="1">IF(RATY_OE!BL35&lt;&gt;"",RATY_OE!BO35,"")</f>
        <v>207.67</v>
      </c>
      <c r="F30" s="1791">
        <f ca="1">IF(RATY_OE!BL35&lt;&gt;"",RATY_OE!BQ35,"")</f>
        <v>28243.599999999999</v>
      </c>
      <c r="G30" s="1791">
        <f ca="1">IF(RATY_OE!BL35&lt;&gt;"",RATY_OE!BR35+RATY_OE!BN35,"")</f>
        <v>764.1</v>
      </c>
    </row>
    <row r="31" spans="1:8" ht="12.65" customHeight="1" x14ac:dyDescent="0.3">
      <c r="A31" s="1780">
        <f>IF(RATY_OE!BL36&lt;&gt;"",RATY_OE!BL36,"")</f>
        <v>6</v>
      </c>
      <c r="B31" s="1796">
        <f ca="1">IF(RATY_OE!BL36&lt;&gt;"",RATY_OE!BM36,"")</f>
        <v>46382</v>
      </c>
      <c r="C31" s="1795">
        <f ca="1">IF(RATY_OE!BL36&lt;&gt;"",RATY_OE!BN36,"")</f>
        <v>764.1</v>
      </c>
      <c r="D31" s="1795">
        <f ca="1">IF(RATY_OE!BL36&lt;&gt;"",RATY_OE!BP36,"")</f>
        <v>567.02</v>
      </c>
      <c r="E31" s="1795">
        <f ca="1">IF(RATY_OE!BL36&lt;&gt;"",RATY_OE!BO36,"")</f>
        <v>197.08</v>
      </c>
      <c r="F31" s="1795">
        <f ca="1">IF(RATY_OE!BL36&lt;&gt;"",RATY_OE!BQ36,"")</f>
        <v>27676.58</v>
      </c>
      <c r="G31" s="1795">
        <f ca="1">IF(RATY_OE!BL36&lt;&gt;"",RATY_OE!BR36+RATY_OE!BN36,"")</f>
        <v>764.1</v>
      </c>
    </row>
    <row r="32" spans="1:8" ht="12.65" customHeight="1" x14ac:dyDescent="0.3">
      <c r="A32" s="1783">
        <f>IF(RATY_OE!BL37&lt;&gt;"",RATY_OE!BL37,"")</f>
        <v>7</v>
      </c>
      <c r="B32" s="1788">
        <f ca="1">IF(RATY_OE!BL37&lt;&gt;"",RATY_OE!BM37,"")</f>
        <v>46413</v>
      </c>
      <c r="C32" s="1791">
        <f ca="1">IF(RATY_OE!BL37&lt;&gt;"",RATY_OE!BN37,"")</f>
        <v>764.1</v>
      </c>
      <c r="D32" s="1791">
        <f ca="1">IF(RATY_OE!BL37&lt;&gt;"",RATY_OE!BP37,"")</f>
        <v>564.53</v>
      </c>
      <c r="E32" s="1791">
        <f ca="1">IF(RATY_OE!BL37&lt;&gt;"",RATY_OE!BO37,"")</f>
        <v>199.57</v>
      </c>
      <c r="F32" s="1791">
        <f ca="1">IF(RATY_OE!BL37&lt;&gt;"",RATY_OE!BQ37,"")</f>
        <v>27112.05</v>
      </c>
      <c r="G32" s="1791">
        <f ca="1">IF(RATY_OE!BL37&lt;&gt;"",RATY_OE!BR37+RATY_OE!BN37,"")</f>
        <v>764.1</v>
      </c>
    </row>
    <row r="33" spans="1:7" ht="12.65" customHeight="1" x14ac:dyDescent="0.3">
      <c r="A33" s="1780">
        <f>IF(RATY_OE!BL38&lt;&gt;"",RATY_OE!BL38,"")</f>
        <v>8</v>
      </c>
      <c r="B33" s="1796">
        <f ca="1">IF(RATY_OE!BL38&lt;&gt;"",RATY_OE!BM38,"")</f>
        <v>46444</v>
      </c>
      <c r="C33" s="1795">
        <f ca="1">IF(RATY_OE!BL38&lt;&gt;"",RATY_OE!BN38,"")</f>
        <v>764.1</v>
      </c>
      <c r="D33" s="1795">
        <f ca="1">IF(RATY_OE!BL38&lt;&gt;"",RATY_OE!BP38,"")</f>
        <v>568.61</v>
      </c>
      <c r="E33" s="1795">
        <f ca="1">IF(RATY_OE!BL38&lt;&gt;"",RATY_OE!BO38,"")</f>
        <v>195.49</v>
      </c>
      <c r="F33" s="1795">
        <f ca="1">IF(RATY_OE!BL38&lt;&gt;"",RATY_OE!BQ38,"")</f>
        <v>26543.439999999999</v>
      </c>
      <c r="G33" s="1795">
        <f ca="1">IF(RATY_OE!BL38&lt;&gt;"",RATY_OE!BR38+RATY_OE!BN38,"")</f>
        <v>764.1</v>
      </c>
    </row>
    <row r="34" spans="1:7" ht="12.65" customHeight="1" x14ac:dyDescent="0.3">
      <c r="A34" s="1783">
        <f>IF(RATY_OE!BL39&lt;&gt;"",RATY_OE!BL39,"")</f>
        <v>9</v>
      </c>
      <c r="B34" s="1788">
        <f ca="1">IF(RATY_OE!BL39&lt;&gt;"",RATY_OE!BM39,"")</f>
        <v>46472</v>
      </c>
      <c r="C34" s="1791">
        <f ca="1">IF(RATY_OE!BL39&lt;&gt;"",RATY_OE!BN39,"")</f>
        <v>764.1</v>
      </c>
      <c r="D34" s="1791">
        <f ca="1">IF(RATY_OE!BL39&lt;&gt;"",RATY_OE!BP39,"")</f>
        <v>591.22</v>
      </c>
      <c r="E34" s="1791">
        <f ca="1">IF(RATY_OE!BL39&lt;&gt;"",RATY_OE!BO39,"")</f>
        <v>172.88</v>
      </c>
      <c r="F34" s="1791">
        <f ca="1">IF(RATY_OE!BL39&lt;&gt;"",RATY_OE!BQ39,"")</f>
        <v>25952.22</v>
      </c>
      <c r="G34" s="1791">
        <f ca="1">IF(RATY_OE!BL39&lt;&gt;"",RATY_OE!BR39+RATY_OE!BN39,"")</f>
        <v>764.1</v>
      </c>
    </row>
    <row r="35" spans="1:7" ht="12.65" customHeight="1" x14ac:dyDescent="0.3">
      <c r="A35" s="1780">
        <f>IF(RATY_OE!BL40&lt;&gt;"",RATY_OE!BL40,"")</f>
        <v>10</v>
      </c>
      <c r="B35" s="1796">
        <f ca="1">IF(RATY_OE!BL40&lt;&gt;"",RATY_OE!BM40,"")</f>
        <v>46503</v>
      </c>
      <c r="C35" s="1795">
        <f ca="1">IF(RATY_OE!BL40&lt;&gt;"",RATY_OE!BN40,"")</f>
        <v>764.1</v>
      </c>
      <c r="D35" s="1795">
        <f ca="1">IF(RATY_OE!BL40&lt;&gt;"",RATY_OE!BP40,"")</f>
        <v>576.97</v>
      </c>
      <c r="E35" s="1795">
        <f ca="1">IF(RATY_OE!BL40&lt;&gt;"",RATY_OE!BO40,"")</f>
        <v>187.13</v>
      </c>
      <c r="F35" s="1795">
        <f ca="1">IF(RATY_OE!BL40&lt;&gt;"",RATY_OE!BQ40,"")</f>
        <v>25375.25</v>
      </c>
      <c r="G35" s="1795">
        <f ca="1">IF(RATY_OE!BL40&lt;&gt;"",RATY_OE!BR40+RATY_OE!BN40,"")</f>
        <v>764.1</v>
      </c>
    </row>
    <row r="36" spans="1:7" ht="12.65" customHeight="1" x14ac:dyDescent="0.3">
      <c r="A36" s="1783">
        <f>IF(RATY_OE!BL41&lt;&gt;"",RATY_OE!BL41,"")</f>
        <v>11</v>
      </c>
      <c r="B36" s="1788">
        <f ca="1">IF(RATY_OE!BL41&lt;&gt;"",RATY_OE!BM41,"")</f>
        <v>46533</v>
      </c>
      <c r="C36" s="1791">
        <f ca="1">IF(RATY_OE!BL41&lt;&gt;"",RATY_OE!BN41,"")</f>
        <v>764.1</v>
      </c>
      <c r="D36" s="1791">
        <f ca="1">IF(RATY_OE!BL41&lt;&gt;"",RATY_OE!BP41,"")</f>
        <v>587.03</v>
      </c>
      <c r="E36" s="1791">
        <f ca="1">IF(RATY_OE!BL41&lt;&gt;"",RATY_OE!BO41,"")</f>
        <v>177.07</v>
      </c>
      <c r="F36" s="1791">
        <f ca="1">IF(RATY_OE!BL41&lt;&gt;"",RATY_OE!BQ41,"")</f>
        <v>24788.22</v>
      </c>
      <c r="G36" s="1791">
        <f ca="1">IF(RATY_OE!BL41&lt;&gt;"",RATY_OE!BR41+RATY_OE!BN41,"")</f>
        <v>764.1</v>
      </c>
    </row>
    <row r="37" spans="1:7" ht="12.65" customHeight="1" x14ac:dyDescent="0.3">
      <c r="A37" s="1780">
        <f>IF(RATY_OE!BL42&lt;&gt;"",RATY_OE!BL42,"")</f>
        <v>12</v>
      </c>
      <c r="B37" s="1796">
        <f ca="1">IF(RATY_OE!BL42&lt;&gt;"",RATY_OE!BM42,"")</f>
        <v>46564</v>
      </c>
      <c r="C37" s="1795">
        <f ca="1">IF(RATY_OE!BL42&lt;&gt;"",RATY_OE!BN42,"")</f>
        <v>764.1</v>
      </c>
      <c r="D37" s="1795">
        <f ca="1">IF(RATY_OE!BL42&lt;&gt;"",RATY_OE!BP42,"")</f>
        <v>585.36</v>
      </c>
      <c r="E37" s="1795">
        <f ca="1">IF(RATY_OE!BL42&lt;&gt;"",RATY_OE!BO42,"")</f>
        <v>178.74</v>
      </c>
      <c r="F37" s="1795">
        <f ca="1">IF(RATY_OE!BL42&lt;&gt;"",RATY_OE!BQ42,"")</f>
        <v>24202.86</v>
      </c>
      <c r="G37" s="1795">
        <f ca="1">IF(RATY_OE!BL42&lt;&gt;"",RATY_OE!BR42+RATY_OE!BN42,"")</f>
        <v>764.1</v>
      </c>
    </row>
    <row r="38" spans="1:7" ht="12.65" customHeight="1" x14ac:dyDescent="0.3">
      <c r="A38" s="1783">
        <f>IF(RATY_OE!BL43&lt;&gt;"",RATY_OE!BL43,"")</f>
        <v>13</v>
      </c>
      <c r="B38" s="1788">
        <f ca="1">IF(RATY_OE!BL43&lt;&gt;"",RATY_OE!BM43,"")</f>
        <v>46594</v>
      </c>
      <c r="C38" s="1791">
        <f ca="1">IF(RATY_OE!BL43&lt;&gt;"",RATY_OE!BN43,"")</f>
        <v>764.1</v>
      </c>
      <c r="D38" s="1791">
        <f ca="1">IF(RATY_OE!BL43&lt;&gt;"",RATY_OE!BP43,"")</f>
        <v>595.21</v>
      </c>
      <c r="E38" s="1791">
        <f ca="1">IF(RATY_OE!BL43&lt;&gt;"",RATY_OE!BO43,"")</f>
        <v>168.89</v>
      </c>
      <c r="F38" s="1791">
        <f ca="1">IF(RATY_OE!BL43&lt;&gt;"",RATY_OE!BQ43,"")</f>
        <v>23607.65</v>
      </c>
      <c r="G38" s="1791">
        <f ca="1">IF(RATY_OE!BL43&lt;&gt;"",RATY_OE!BR43+RATY_OE!BN43,"")</f>
        <v>764.1</v>
      </c>
    </row>
    <row r="39" spans="1:7" ht="12.65" customHeight="1" x14ac:dyDescent="0.3">
      <c r="A39" s="1780">
        <f>IF(RATY_OE!BL44&lt;&gt;"",RATY_OE!BL44,"")</f>
        <v>14</v>
      </c>
      <c r="B39" s="1796">
        <f ca="1">IF(RATY_OE!BL44&lt;&gt;"",RATY_OE!BM44,"")</f>
        <v>46625</v>
      </c>
      <c r="C39" s="1795">
        <f ca="1">IF(RATY_OE!BL44&lt;&gt;"",RATY_OE!BN44,"")</f>
        <v>764.1</v>
      </c>
      <c r="D39" s="1795">
        <f ca="1">IF(RATY_OE!BL44&lt;&gt;"",RATY_OE!BP44,"")</f>
        <v>593.87</v>
      </c>
      <c r="E39" s="1795">
        <f ca="1">IF(RATY_OE!BL44&lt;&gt;"",RATY_OE!BO44,"")</f>
        <v>170.23</v>
      </c>
      <c r="F39" s="1795">
        <f ca="1">IF(RATY_OE!BL44&lt;&gt;"",RATY_OE!BQ44,"")</f>
        <v>23013.78</v>
      </c>
      <c r="G39" s="1795">
        <f ca="1">IF(RATY_OE!BL44&lt;&gt;"",RATY_OE!BR44+RATY_OE!BN44,"")</f>
        <v>764.1</v>
      </c>
    </row>
    <row r="40" spans="1:7" ht="12.65" customHeight="1" x14ac:dyDescent="0.3">
      <c r="A40" s="1783">
        <f>IF(RATY_OE!BL45&lt;&gt;"",RATY_OE!BL45,"")</f>
        <v>15</v>
      </c>
      <c r="B40" s="1788">
        <f ca="1">IF(RATY_OE!BL45&lt;&gt;"",RATY_OE!BM45,"")</f>
        <v>46656</v>
      </c>
      <c r="C40" s="1791">
        <f ca="1">IF(RATY_OE!BL45&lt;&gt;"",RATY_OE!BN45,"")</f>
        <v>764.1</v>
      </c>
      <c r="D40" s="1791">
        <f ca="1">IF(RATY_OE!BL45&lt;&gt;"",RATY_OE!BP45,"")</f>
        <v>598.16</v>
      </c>
      <c r="E40" s="1791">
        <f ca="1">IF(RATY_OE!BL45&lt;&gt;"",RATY_OE!BO45,"")</f>
        <v>165.94</v>
      </c>
      <c r="F40" s="1791">
        <f ca="1">IF(RATY_OE!BL45&lt;&gt;"",RATY_OE!BQ45,"")</f>
        <v>22415.62</v>
      </c>
      <c r="G40" s="1791">
        <f ca="1">IF(RATY_OE!BL45&lt;&gt;"",RATY_OE!BR45+RATY_OE!BN45,"")</f>
        <v>764.1</v>
      </c>
    </row>
    <row r="41" spans="1:7" ht="12.65" customHeight="1" x14ac:dyDescent="0.3">
      <c r="A41" s="1780">
        <f>IF(RATY_OE!BL46&lt;&gt;"",RATY_OE!BL46,"")</f>
        <v>16</v>
      </c>
      <c r="B41" s="1796">
        <f ca="1">IF(RATY_OE!BL46&lt;&gt;"",RATY_OE!BM46,"")</f>
        <v>46686</v>
      </c>
      <c r="C41" s="1795">
        <f ca="1">IF(RATY_OE!BL46&lt;&gt;"",RATY_OE!BN46,"")</f>
        <v>764.1</v>
      </c>
      <c r="D41" s="1795">
        <f ca="1">IF(RATY_OE!BL46&lt;&gt;"",RATY_OE!BP46,"")</f>
        <v>607.67999999999995</v>
      </c>
      <c r="E41" s="1795">
        <f ca="1">IF(RATY_OE!BL46&lt;&gt;"",RATY_OE!BO46,"")</f>
        <v>156.41999999999999</v>
      </c>
      <c r="F41" s="1795">
        <f ca="1">IF(RATY_OE!BL46&lt;&gt;"",RATY_OE!BQ46,"")</f>
        <v>21807.94</v>
      </c>
      <c r="G41" s="1795">
        <f ca="1">IF(RATY_OE!BL46&lt;&gt;"",RATY_OE!BR46+RATY_OE!BN46,"")</f>
        <v>764.1</v>
      </c>
    </row>
    <row r="42" spans="1:7" ht="12.65" customHeight="1" x14ac:dyDescent="0.3">
      <c r="A42" s="1783">
        <f>IF(RATY_OE!BL47&lt;&gt;"",RATY_OE!BL47,"")</f>
        <v>17</v>
      </c>
      <c r="B42" s="1788">
        <f ca="1">IF(RATY_OE!BL47&lt;&gt;"",RATY_OE!BM47,"")</f>
        <v>46717</v>
      </c>
      <c r="C42" s="1791">
        <f ca="1">IF(RATY_OE!BL47&lt;&gt;"",RATY_OE!BN47,"")</f>
        <v>764.1</v>
      </c>
      <c r="D42" s="1791">
        <f ca="1">IF(RATY_OE!BL47&lt;&gt;"",RATY_OE!BP47,"")</f>
        <v>606.85</v>
      </c>
      <c r="E42" s="1791">
        <f ca="1">IF(RATY_OE!BL47&lt;&gt;"",RATY_OE!BO47,"")</f>
        <v>157.25</v>
      </c>
      <c r="F42" s="1791">
        <f ca="1">IF(RATY_OE!BL47&lt;&gt;"",RATY_OE!BQ47,"")</f>
        <v>21201.09</v>
      </c>
      <c r="G42" s="1791">
        <f ca="1">IF(RATY_OE!BL47&lt;&gt;"",RATY_OE!BR47+RATY_OE!BN47,"")</f>
        <v>764.1</v>
      </c>
    </row>
    <row r="43" spans="1:7" ht="12.65" customHeight="1" x14ac:dyDescent="0.3">
      <c r="A43" s="1780">
        <f>IF(RATY_OE!BL48&lt;&gt;"",RATY_OE!BL48,"")</f>
        <v>18</v>
      </c>
      <c r="B43" s="1796">
        <f ca="1">IF(RATY_OE!BL48&lt;&gt;"",RATY_OE!BM48,"")</f>
        <v>46747</v>
      </c>
      <c r="C43" s="1795">
        <f ca="1">IF(RATY_OE!BL48&lt;&gt;"",RATY_OE!BN48,"")</f>
        <v>764.1</v>
      </c>
      <c r="D43" s="1795">
        <f ca="1">IF(RATY_OE!BL48&lt;&gt;"",RATY_OE!BP48,"")</f>
        <v>616.16</v>
      </c>
      <c r="E43" s="1795">
        <f ca="1">IF(RATY_OE!BL48&lt;&gt;"",RATY_OE!BO48,"")</f>
        <v>147.94</v>
      </c>
      <c r="F43" s="1795">
        <f ca="1">IF(RATY_OE!BL48&lt;&gt;"",RATY_OE!BQ48,"")</f>
        <v>20584.93</v>
      </c>
      <c r="G43" s="1795">
        <f ca="1">IF(RATY_OE!BL48&lt;&gt;"",RATY_OE!BR48+RATY_OE!BN48,"")</f>
        <v>764.1</v>
      </c>
    </row>
    <row r="44" spans="1:7" ht="12.65" customHeight="1" x14ac:dyDescent="0.3">
      <c r="A44" s="1783">
        <f>IF(RATY_OE!BL49&lt;&gt;"",RATY_OE!BL49,"")</f>
        <v>19</v>
      </c>
      <c r="B44" s="1788">
        <f ca="1">IF(RATY_OE!BL49&lt;&gt;"",RATY_OE!BM49,"")</f>
        <v>46778</v>
      </c>
      <c r="C44" s="1791">
        <f ca="1">IF(RATY_OE!BL49&lt;&gt;"",RATY_OE!BN49,"")</f>
        <v>764.1</v>
      </c>
      <c r="D44" s="1791">
        <f ca="1">IF(RATY_OE!BL49&lt;&gt;"",RATY_OE!BP49,"")</f>
        <v>615.66</v>
      </c>
      <c r="E44" s="1791">
        <f ca="1">IF(RATY_OE!BL49&lt;&gt;"",RATY_OE!BO49,"")</f>
        <v>148.44</v>
      </c>
      <c r="F44" s="1791">
        <f ca="1">IF(RATY_OE!BL49&lt;&gt;"",RATY_OE!BQ49,"")</f>
        <v>19969.27</v>
      </c>
      <c r="G44" s="1791">
        <f ca="1">IF(RATY_OE!BL49&lt;&gt;"",RATY_OE!BR49+RATY_OE!BN49,"")</f>
        <v>764.1</v>
      </c>
    </row>
    <row r="45" spans="1:7" ht="12.65" customHeight="1" x14ac:dyDescent="0.3">
      <c r="A45" s="1780">
        <f>IF(RATY_OE!BL50&lt;&gt;"",RATY_OE!BL50,"")</f>
        <v>20</v>
      </c>
      <c r="B45" s="1796">
        <f ca="1">IF(RATY_OE!BL50&lt;&gt;"",RATY_OE!BM50,"")</f>
        <v>46809</v>
      </c>
      <c r="C45" s="1795">
        <f ca="1">IF(RATY_OE!BL50&lt;&gt;"",RATY_OE!BN50,"")</f>
        <v>764.1</v>
      </c>
      <c r="D45" s="1795">
        <f ca="1">IF(RATY_OE!BL50&lt;&gt;"",RATY_OE!BP50,"")</f>
        <v>620.11</v>
      </c>
      <c r="E45" s="1795">
        <f ca="1">IF(RATY_OE!BL50&lt;&gt;"",RATY_OE!BO50,"")</f>
        <v>143.99</v>
      </c>
      <c r="F45" s="1795">
        <f ca="1">IF(RATY_OE!BL50&lt;&gt;"",RATY_OE!BQ50,"")</f>
        <v>19349.16</v>
      </c>
      <c r="G45" s="1795">
        <f ca="1">IF(RATY_OE!BL50&lt;&gt;"",RATY_OE!BR50+RATY_OE!BN50,"")</f>
        <v>764.1</v>
      </c>
    </row>
    <row r="46" spans="1:7" ht="12.65" customHeight="1" x14ac:dyDescent="0.3">
      <c r="A46" s="1783">
        <f>IF(RATY_OE!BL51&lt;&gt;"",RATY_OE!BL51,"")</f>
        <v>21</v>
      </c>
      <c r="B46" s="1788">
        <f ca="1">IF(RATY_OE!BL51&lt;&gt;"",RATY_OE!BM51,"")</f>
        <v>46838</v>
      </c>
      <c r="C46" s="1791">
        <f ca="1">IF(RATY_OE!BL51&lt;&gt;"",RATY_OE!BN51,"")</f>
        <v>764.1</v>
      </c>
      <c r="D46" s="1791">
        <f ca="1">IF(RATY_OE!BL51&lt;&gt;"",RATY_OE!BP51,"")</f>
        <v>633.58000000000004</v>
      </c>
      <c r="E46" s="1791">
        <f ca="1">IF(RATY_OE!BL51&lt;&gt;"",RATY_OE!BO51,"")</f>
        <v>130.52000000000001</v>
      </c>
      <c r="F46" s="1791">
        <f ca="1">IF(RATY_OE!BL51&lt;&gt;"",RATY_OE!BQ51,"")</f>
        <v>18715.580000000002</v>
      </c>
      <c r="G46" s="1791">
        <f ca="1">IF(RATY_OE!BL51&lt;&gt;"",RATY_OE!BR51+RATY_OE!BN51,"")</f>
        <v>764.1</v>
      </c>
    </row>
    <row r="47" spans="1:7" ht="12.65" customHeight="1" x14ac:dyDescent="0.3">
      <c r="A47" s="1780">
        <f>IF(RATY_OE!BL52&lt;&gt;"",RATY_OE!BL52,"")</f>
        <v>22</v>
      </c>
      <c r="B47" s="1796">
        <f ca="1">IF(RATY_OE!BL52&lt;&gt;"",RATY_OE!BM52,"")</f>
        <v>46869</v>
      </c>
      <c r="C47" s="1795">
        <f ca="1">IF(RATY_OE!BL52&lt;&gt;"",RATY_OE!BN52,"")</f>
        <v>764.1</v>
      </c>
      <c r="D47" s="1795">
        <f ca="1">IF(RATY_OE!BL52&lt;&gt;"",RATY_OE!BP52,"")</f>
        <v>629.15</v>
      </c>
      <c r="E47" s="1795">
        <f ca="1">IF(RATY_OE!BL52&lt;&gt;"",RATY_OE!BO52,"")</f>
        <v>134.94999999999999</v>
      </c>
      <c r="F47" s="1795">
        <f ca="1">IF(RATY_OE!BL52&lt;&gt;"",RATY_OE!BQ52,"")</f>
        <v>18086.43</v>
      </c>
      <c r="G47" s="1795">
        <f ca="1">IF(RATY_OE!BL52&lt;&gt;"",RATY_OE!BR52+RATY_OE!BN52,"")</f>
        <v>764.1</v>
      </c>
    </row>
    <row r="48" spans="1:7" ht="12.65" customHeight="1" x14ac:dyDescent="0.3">
      <c r="A48" s="1783">
        <f>IF(RATY_OE!BL53&lt;&gt;"",RATY_OE!BL53,"")</f>
        <v>23</v>
      </c>
      <c r="B48" s="1788">
        <f ca="1">IF(RATY_OE!BL53&lt;&gt;"",RATY_OE!BM53,"")</f>
        <v>46899</v>
      </c>
      <c r="C48" s="1791">
        <f ca="1">IF(RATY_OE!BL53&lt;&gt;"",RATY_OE!BN53,"")</f>
        <v>764.1</v>
      </c>
      <c r="D48" s="1791">
        <f ca="1">IF(RATY_OE!BL53&lt;&gt;"",RATY_OE!BP53,"")</f>
        <v>637.89</v>
      </c>
      <c r="E48" s="1791">
        <f ca="1">IF(RATY_OE!BL53&lt;&gt;"",RATY_OE!BO53,"")</f>
        <v>126.21</v>
      </c>
      <c r="F48" s="1791">
        <f ca="1">IF(RATY_OE!BL53&lt;&gt;"",RATY_OE!BQ53,"")</f>
        <v>17448.54</v>
      </c>
      <c r="G48" s="1791">
        <f ca="1">IF(RATY_OE!BL53&lt;&gt;"",RATY_OE!BR53+RATY_OE!BN53,"")</f>
        <v>764.1</v>
      </c>
    </row>
    <row r="49" spans="1:7" ht="12.65" customHeight="1" x14ac:dyDescent="0.3">
      <c r="A49" s="1780">
        <f>IF(RATY_OE!BL54&lt;&gt;"",RATY_OE!BL54,"")</f>
        <v>24</v>
      </c>
      <c r="B49" s="1796">
        <f ca="1">IF(RATY_OE!BL54&lt;&gt;"",RATY_OE!BM54,"")</f>
        <v>46930</v>
      </c>
      <c r="C49" s="1795">
        <f ca="1">IF(RATY_OE!BL54&lt;&gt;"",RATY_OE!BN54,"")</f>
        <v>764.1</v>
      </c>
      <c r="D49" s="1795">
        <f ca="1">IF(RATY_OE!BL54&lt;&gt;"",RATY_OE!BP54,"")</f>
        <v>638.29</v>
      </c>
      <c r="E49" s="1795">
        <f ca="1">IF(RATY_OE!BL54&lt;&gt;"",RATY_OE!BO54,"")</f>
        <v>125.81</v>
      </c>
      <c r="F49" s="1795">
        <f ca="1">IF(RATY_OE!BL54&lt;&gt;"",RATY_OE!BQ54,"")</f>
        <v>16810.25</v>
      </c>
      <c r="G49" s="1795">
        <f ca="1">IF(RATY_OE!BL54&lt;&gt;"",RATY_OE!BR54+RATY_OE!BN54,"")</f>
        <v>764.1</v>
      </c>
    </row>
    <row r="50" spans="1:7" ht="12.65" customHeight="1" x14ac:dyDescent="0.3">
      <c r="A50" s="1783">
        <f>IF(RATY_OE!BL55&lt;&gt;"",RATY_OE!BL55,"")</f>
        <v>25</v>
      </c>
      <c r="B50" s="1788">
        <f ca="1">IF(RATY_OE!BL55&lt;&gt;"",RATY_OE!BM55,"")</f>
        <v>46960</v>
      </c>
      <c r="C50" s="1791">
        <f ca="1">IF(RATY_OE!BL55&lt;&gt;"",RATY_OE!BN55,"")</f>
        <v>764.1</v>
      </c>
      <c r="D50" s="1791">
        <f ca="1">IF(RATY_OE!BL55&lt;&gt;"",RATY_OE!BP55,"")</f>
        <v>646.79</v>
      </c>
      <c r="E50" s="1791">
        <f ca="1">IF(RATY_OE!BL55&lt;&gt;"",RATY_OE!BO55,"")</f>
        <v>117.31</v>
      </c>
      <c r="F50" s="1791">
        <f ca="1">IF(RATY_OE!BL55&lt;&gt;"",RATY_OE!BQ55,"")</f>
        <v>16163.46</v>
      </c>
      <c r="G50" s="1791">
        <f ca="1">IF(RATY_OE!BL55&lt;&gt;"",RATY_OE!BR55+RATY_OE!BN55,"")</f>
        <v>764.1</v>
      </c>
    </row>
    <row r="51" spans="1:7" ht="12.65" customHeight="1" x14ac:dyDescent="0.3">
      <c r="A51" s="1780">
        <f>IF(RATY_OE!BL56&lt;&gt;"",RATY_OE!BL56,"")</f>
        <v>26</v>
      </c>
      <c r="B51" s="1796">
        <f ca="1">IF(RATY_OE!BL56&lt;&gt;"",RATY_OE!BM56,"")</f>
        <v>46991</v>
      </c>
      <c r="C51" s="1795">
        <f ca="1">IF(RATY_OE!BL56&lt;&gt;"",RATY_OE!BN56,"")</f>
        <v>764.1</v>
      </c>
      <c r="D51" s="1795">
        <f ca="1">IF(RATY_OE!BL56&lt;&gt;"",RATY_OE!BP56,"")</f>
        <v>647.54999999999995</v>
      </c>
      <c r="E51" s="1795">
        <f ca="1">IF(RATY_OE!BL56&lt;&gt;"",RATY_OE!BO56,"")</f>
        <v>116.55</v>
      </c>
      <c r="F51" s="1795">
        <f ca="1">IF(RATY_OE!BL56&lt;&gt;"",RATY_OE!BQ56,"")</f>
        <v>15515.91</v>
      </c>
      <c r="G51" s="1795">
        <f ca="1">IF(RATY_OE!BL56&lt;&gt;"",RATY_OE!BR56+RATY_OE!BN56,"")</f>
        <v>764.1</v>
      </c>
    </row>
    <row r="52" spans="1:7" ht="12.65" customHeight="1" x14ac:dyDescent="0.3">
      <c r="A52" s="1783">
        <f>IF(RATY_OE!BL57&lt;&gt;"",RATY_OE!BL57,"")</f>
        <v>27</v>
      </c>
      <c r="B52" s="1788">
        <f ca="1">IF(RATY_OE!BL57&lt;&gt;"",RATY_OE!BM57,"")</f>
        <v>47022</v>
      </c>
      <c r="C52" s="1791">
        <f ca="1">IF(RATY_OE!BL57&lt;&gt;"",RATY_OE!BN57,"")</f>
        <v>764.1</v>
      </c>
      <c r="D52" s="1791">
        <f ca="1">IF(RATY_OE!BL57&lt;&gt;"",RATY_OE!BP57,"")</f>
        <v>652.22</v>
      </c>
      <c r="E52" s="1791">
        <f ca="1">IF(RATY_OE!BL57&lt;&gt;"",RATY_OE!BO57,"")</f>
        <v>111.88</v>
      </c>
      <c r="F52" s="1791">
        <f ca="1">IF(RATY_OE!BL57&lt;&gt;"",RATY_OE!BQ57,"")</f>
        <v>14863.69</v>
      </c>
      <c r="G52" s="1791">
        <f ca="1">IF(RATY_OE!BL57&lt;&gt;"",RATY_OE!BR57+RATY_OE!BN57,"")</f>
        <v>764.1</v>
      </c>
    </row>
    <row r="53" spans="1:7" ht="12.65" customHeight="1" x14ac:dyDescent="0.3">
      <c r="A53" s="1780">
        <f>IF(RATY_OE!BL58&lt;&gt;"",RATY_OE!BL58,"")</f>
        <v>28</v>
      </c>
      <c r="B53" s="1796">
        <f ca="1">IF(RATY_OE!BL58&lt;&gt;"",RATY_OE!BM58,"")</f>
        <v>47052</v>
      </c>
      <c r="C53" s="1795">
        <f ca="1">IF(RATY_OE!BL58&lt;&gt;"",RATY_OE!BN58,"")</f>
        <v>764.1</v>
      </c>
      <c r="D53" s="1795">
        <f ca="1">IF(RATY_OE!BL58&lt;&gt;"",RATY_OE!BP58,"")</f>
        <v>660.38</v>
      </c>
      <c r="E53" s="1795">
        <f ca="1">IF(RATY_OE!BL58&lt;&gt;"",RATY_OE!BO58,"")</f>
        <v>103.72</v>
      </c>
      <c r="F53" s="1795">
        <f ca="1">IF(RATY_OE!BL58&lt;&gt;"",RATY_OE!BQ58,"")</f>
        <v>14203.31</v>
      </c>
      <c r="G53" s="1795">
        <f ca="1">IF(RATY_OE!BL58&lt;&gt;"",RATY_OE!BR58+RATY_OE!BN58,"")</f>
        <v>764.1</v>
      </c>
    </row>
    <row r="54" spans="1:7" ht="12.65" customHeight="1" x14ac:dyDescent="0.3">
      <c r="A54" s="1783">
        <f>IF(RATY_OE!BL59&lt;&gt;"",RATY_OE!BL59,"")</f>
        <v>29</v>
      </c>
      <c r="B54" s="1788">
        <f ca="1">IF(RATY_OE!BL59&lt;&gt;"",RATY_OE!BM59,"")</f>
        <v>47083</v>
      </c>
      <c r="C54" s="1791">
        <f ca="1">IF(RATY_OE!BL59&lt;&gt;"",RATY_OE!BN59,"")</f>
        <v>764.1</v>
      </c>
      <c r="D54" s="1791">
        <f ca="1">IF(RATY_OE!BL59&lt;&gt;"",RATY_OE!BP59,"")</f>
        <v>661.69</v>
      </c>
      <c r="E54" s="1791">
        <f ca="1">IF(RATY_OE!BL59&lt;&gt;"",RATY_OE!BO59,"")</f>
        <v>102.41</v>
      </c>
      <c r="F54" s="1791">
        <f ca="1">IF(RATY_OE!BL59&lt;&gt;"",RATY_OE!BQ59,"")</f>
        <v>13541.62</v>
      </c>
      <c r="G54" s="1791">
        <f ca="1">IF(RATY_OE!BL59&lt;&gt;"",RATY_OE!BR59+RATY_OE!BN59,"")</f>
        <v>764.1</v>
      </c>
    </row>
    <row r="55" spans="1:7" ht="12.65" customHeight="1" x14ac:dyDescent="0.3">
      <c r="A55" s="1780">
        <f>IF(RATY_OE!BL60&lt;&gt;"",RATY_OE!BL60,"")</f>
        <v>30</v>
      </c>
      <c r="B55" s="1796">
        <f ca="1">IF(RATY_OE!BL60&lt;&gt;"",RATY_OE!BM60,"")</f>
        <v>47113</v>
      </c>
      <c r="C55" s="1795">
        <f ca="1">IF(RATY_OE!BL60&lt;&gt;"",RATY_OE!BN60,"")</f>
        <v>764.1</v>
      </c>
      <c r="D55" s="1795">
        <f ca="1">IF(RATY_OE!BL60&lt;&gt;"",RATY_OE!BP60,"")</f>
        <v>669.6</v>
      </c>
      <c r="E55" s="1795">
        <f ca="1">IF(RATY_OE!BL60&lt;&gt;"",RATY_OE!BO60,"")</f>
        <v>94.5</v>
      </c>
      <c r="F55" s="1795">
        <f ca="1">IF(RATY_OE!BL60&lt;&gt;"",RATY_OE!BQ60,"")</f>
        <v>12872.02</v>
      </c>
      <c r="G55" s="1795">
        <f ca="1">IF(RATY_OE!BL60&lt;&gt;"",RATY_OE!BR60+RATY_OE!BN60,"")</f>
        <v>764.1</v>
      </c>
    </row>
    <row r="56" spans="1:7" ht="12.65" customHeight="1" x14ac:dyDescent="0.3">
      <c r="A56" s="1783">
        <f>IF(RATY_OE!BL61&lt;&gt;"",RATY_OE!BL61,"")</f>
        <v>31</v>
      </c>
      <c r="B56" s="1788">
        <f ca="1">IF(RATY_OE!BL61&lt;&gt;"",RATY_OE!BM61,"")</f>
        <v>47144</v>
      </c>
      <c r="C56" s="1791">
        <f ca="1">IF(RATY_OE!BL61&lt;&gt;"",RATY_OE!BN61,"")</f>
        <v>764.1</v>
      </c>
      <c r="D56" s="1791">
        <f ca="1">IF(RATY_OE!BL61&lt;&gt;"",RATY_OE!BP61,"")</f>
        <v>671.29</v>
      </c>
      <c r="E56" s="1791">
        <f ca="1">IF(RATY_OE!BL61&lt;&gt;"",RATY_OE!BO61,"")</f>
        <v>92.81</v>
      </c>
      <c r="F56" s="1791">
        <f ca="1">IF(RATY_OE!BL61&lt;&gt;"",RATY_OE!BQ61,"")</f>
        <v>12200.73</v>
      </c>
      <c r="G56" s="1791">
        <f ca="1">IF(RATY_OE!BL61&lt;&gt;"",RATY_OE!BR61+RATY_OE!BN61,"")</f>
        <v>764.1</v>
      </c>
    </row>
    <row r="57" spans="1:7" ht="12.65" customHeight="1" x14ac:dyDescent="0.3">
      <c r="A57" s="1780">
        <f>IF(RATY_OE!BL62&lt;&gt;"",RATY_OE!BL62,"")</f>
        <v>32</v>
      </c>
      <c r="B57" s="1796">
        <f ca="1">IF(RATY_OE!BL62&lt;&gt;"",RATY_OE!BM62,"")</f>
        <v>47175</v>
      </c>
      <c r="C57" s="1795">
        <f ca="1">IF(RATY_OE!BL62&lt;&gt;"",RATY_OE!BN62,"")</f>
        <v>764.1</v>
      </c>
      <c r="D57" s="1795">
        <f ca="1">IF(RATY_OE!BL62&lt;&gt;"",RATY_OE!BP62,"")</f>
        <v>676.12</v>
      </c>
      <c r="E57" s="1795">
        <f ca="1">IF(RATY_OE!BL62&lt;&gt;"",RATY_OE!BO62,"")</f>
        <v>87.98</v>
      </c>
      <c r="F57" s="1795">
        <f ca="1">IF(RATY_OE!BL62&lt;&gt;"",RATY_OE!BQ62,"")</f>
        <v>11524.61</v>
      </c>
      <c r="G57" s="1795">
        <f ca="1">IF(RATY_OE!BL62&lt;&gt;"",RATY_OE!BR62+RATY_OE!BN62,"")</f>
        <v>764.1</v>
      </c>
    </row>
    <row r="58" spans="1:7" ht="12.65" customHeight="1" x14ac:dyDescent="0.3">
      <c r="A58" s="1783">
        <f>IF(RATY_OE!BL63&lt;&gt;"",RATY_OE!BL63,"")</f>
        <v>33</v>
      </c>
      <c r="B58" s="1788">
        <f ca="1">IF(RATY_OE!BL63&lt;&gt;"",RATY_OE!BM63,"")</f>
        <v>47203</v>
      </c>
      <c r="C58" s="1791">
        <f ca="1">IF(RATY_OE!BL63&lt;&gt;"",RATY_OE!BN63,"")</f>
        <v>764.1</v>
      </c>
      <c r="D58" s="1791">
        <f ca="1">IF(RATY_OE!BL63&lt;&gt;"",RATY_OE!BP63,"")</f>
        <v>689.05</v>
      </c>
      <c r="E58" s="1791">
        <f ca="1">IF(RATY_OE!BL63&lt;&gt;"",RATY_OE!BO63,"")</f>
        <v>75.05</v>
      </c>
      <c r="F58" s="1791">
        <f ca="1">IF(RATY_OE!BL63&lt;&gt;"",RATY_OE!BQ63,"")</f>
        <v>10835.56</v>
      </c>
      <c r="G58" s="1791">
        <f ca="1">IF(RATY_OE!BL63&lt;&gt;"",RATY_OE!BR63+RATY_OE!BN63,"")</f>
        <v>764.1</v>
      </c>
    </row>
    <row r="59" spans="1:7" ht="12.65" customHeight="1" x14ac:dyDescent="0.3">
      <c r="A59" s="1780">
        <f>IF(RATY_OE!BL64&lt;&gt;"",RATY_OE!BL64,"")</f>
        <v>34</v>
      </c>
      <c r="B59" s="1796">
        <f ca="1">IF(RATY_OE!BL64&lt;&gt;"",RATY_OE!BM64,"")</f>
        <v>47234</v>
      </c>
      <c r="C59" s="1795">
        <f ca="1">IF(RATY_OE!BL64&lt;&gt;"",RATY_OE!BN64,"")</f>
        <v>764.1</v>
      </c>
      <c r="D59" s="1795">
        <f ca="1">IF(RATY_OE!BL64&lt;&gt;"",RATY_OE!BP64,"")</f>
        <v>685.96</v>
      </c>
      <c r="E59" s="1795">
        <f ca="1">IF(RATY_OE!BL64&lt;&gt;"",RATY_OE!BO64,"")</f>
        <v>78.14</v>
      </c>
      <c r="F59" s="1795">
        <f ca="1">IF(RATY_OE!BL64&lt;&gt;"",RATY_OE!BQ64,"")</f>
        <v>10149.6</v>
      </c>
      <c r="G59" s="1795">
        <f ca="1">IF(RATY_OE!BL64&lt;&gt;"",RATY_OE!BR64+RATY_OE!BN64,"")</f>
        <v>764.1</v>
      </c>
    </row>
    <row r="60" spans="1:7" ht="12.65" customHeight="1" x14ac:dyDescent="0.3">
      <c r="A60" s="1783">
        <f>IF(RATY_OE!BL65&lt;&gt;"",RATY_OE!BL65,"")</f>
        <v>35</v>
      </c>
      <c r="B60" s="1788">
        <f ca="1">IF(RATY_OE!BL65&lt;&gt;"",RATY_OE!BM65,"")</f>
        <v>47264</v>
      </c>
      <c r="C60" s="1791">
        <f ca="1">IF(RATY_OE!BL65&lt;&gt;"",RATY_OE!BN65,"")</f>
        <v>764.1</v>
      </c>
      <c r="D60" s="1791">
        <f ca="1">IF(RATY_OE!BL65&lt;&gt;"",RATY_OE!BP65,"")</f>
        <v>693.28</v>
      </c>
      <c r="E60" s="1791">
        <f ca="1">IF(RATY_OE!BL65&lt;&gt;"",RATY_OE!BO65,"")</f>
        <v>70.819999999999993</v>
      </c>
      <c r="F60" s="1791">
        <f ca="1">IF(RATY_OE!BL65&lt;&gt;"",RATY_OE!BQ65,"")</f>
        <v>9456.32</v>
      </c>
      <c r="G60" s="1791">
        <f ca="1">IF(RATY_OE!BL65&lt;&gt;"",RATY_OE!BR65+RATY_OE!BN65,"")</f>
        <v>764.1</v>
      </c>
    </row>
    <row r="61" spans="1:7" ht="12.65" customHeight="1" x14ac:dyDescent="0.3">
      <c r="A61" s="1780">
        <f>IF(RATY_OE!BL66&lt;&gt;"",RATY_OE!BL66,"")</f>
        <v>36</v>
      </c>
      <c r="B61" s="1796">
        <f ca="1">IF(RATY_OE!BL66&lt;&gt;"",RATY_OE!BM66,"")</f>
        <v>47295</v>
      </c>
      <c r="C61" s="1795">
        <f ca="1">IF(RATY_OE!BL66&lt;&gt;"",RATY_OE!BN66,"")</f>
        <v>764.1</v>
      </c>
      <c r="D61" s="1795">
        <f ca="1">IF(RATY_OE!BL66&lt;&gt;"",RATY_OE!BP66,"")</f>
        <v>695.91</v>
      </c>
      <c r="E61" s="1795">
        <f ca="1">IF(RATY_OE!BL66&lt;&gt;"",RATY_OE!BO66,"")</f>
        <v>68.19</v>
      </c>
      <c r="F61" s="1795">
        <f ca="1">IF(RATY_OE!BL66&lt;&gt;"",RATY_OE!BQ66,"")</f>
        <v>8760.41</v>
      </c>
      <c r="G61" s="1795">
        <f ca="1">IF(RATY_OE!BL66&lt;&gt;"",RATY_OE!BR66+RATY_OE!BN66,"")</f>
        <v>764.1</v>
      </c>
    </row>
    <row r="62" spans="1:7" ht="12.65" customHeight="1" x14ac:dyDescent="0.3">
      <c r="A62" s="1783">
        <f>IF(RATY_OE!BL67&lt;&gt;"",RATY_OE!BL67,"")</f>
        <v>37</v>
      </c>
      <c r="B62" s="1788">
        <f ca="1">IF(RATY_OE!BL67&lt;&gt;"",RATY_OE!BM67,"")</f>
        <v>47325</v>
      </c>
      <c r="C62" s="1791">
        <f ca="1">IF(RATY_OE!BL67&lt;&gt;"",RATY_OE!BN67,"")</f>
        <v>764.1</v>
      </c>
      <c r="D62" s="1791">
        <f ca="1">IF(RATY_OE!BL67&lt;&gt;"",RATY_OE!BP67,"")</f>
        <v>702.97</v>
      </c>
      <c r="E62" s="1791">
        <f ca="1">IF(RATY_OE!BL67&lt;&gt;"",RATY_OE!BO67,"")</f>
        <v>61.13</v>
      </c>
      <c r="F62" s="1791">
        <f ca="1">IF(RATY_OE!BL67&lt;&gt;"",RATY_OE!BQ67,"")</f>
        <v>8057.44</v>
      </c>
      <c r="G62" s="1791">
        <f ca="1">IF(RATY_OE!BL67&lt;&gt;"",RATY_OE!BR67+RATY_OE!BN67,"")</f>
        <v>764.1</v>
      </c>
    </row>
    <row r="63" spans="1:7" ht="12.65" customHeight="1" x14ac:dyDescent="0.3">
      <c r="A63" s="1780">
        <f>IF(RATY_OE!BL68&lt;&gt;"",RATY_OE!BL68,"")</f>
        <v>38</v>
      </c>
      <c r="B63" s="1796">
        <f ca="1">IF(RATY_OE!BL68&lt;&gt;"",RATY_OE!BM68,"")</f>
        <v>47356</v>
      </c>
      <c r="C63" s="1795">
        <f ca="1">IF(RATY_OE!BL68&lt;&gt;"",RATY_OE!BN68,"")</f>
        <v>764.1</v>
      </c>
      <c r="D63" s="1795">
        <f ca="1">IF(RATY_OE!BL68&lt;&gt;"",RATY_OE!BP68,"")</f>
        <v>706</v>
      </c>
      <c r="E63" s="1795">
        <f ca="1">IF(RATY_OE!BL68&lt;&gt;"",RATY_OE!BO68,"")</f>
        <v>58.1</v>
      </c>
      <c r="F63" s="1795">
        <f ca="1">IF(RATY_OE!BL68&lt;&gt;"",RATY_OE!BQ68,"")</f>
        <v>7351.44</v>
      </c>
      <c r="G63" s="1795">
        <f ca="1">IF(RATY_OE!BL68&lt;&gt;"",RATY_OE!BR68+RATY_OE!BN68,"")</f>
        <v>764.1</v>
      </c>
    </row>
    <row r="64" spans="1:7" ht="12.65" customHeight="1" x14ac:dyDescent="0.3">
      <c r="A64" s="1783">
        <f>IF(RATY_OE!BL69&lt;&gt;"",RATY_OE!BL69,"")</f>
        <v>39</v>
      </c>
      <c r="B64" s="1788">
        <f ca="1">IF(RATY_OE!BL69&lt;&gt;"",RATY_OE!BM69,"")</f>
        <v>47387</v>
      </c>
      <c r="C64" s="1791">
        <f ca="1">IF(RATY_OE!BL69&lt;&gt;"",RATY_OE!BN69,"")</f>
        <v>764.1</v>
      </c>
      <c r="D64" s="1791">
        <f ca="1">IF(RATY_OE!BL69&lt;&gt;"",RATY_OE!BP69,"")</f>
        <v>711.09</v>
      </c>
      <c r="E64" s="1791">
        <f ca="1">IF(RATY_OE!BL69&lt;&gt;"",RATY_OE!BO69,"")</f>
        <v>53.01</v>
      </c>
      <c r="F64" s="1791">
        <f ca="1">IF(RATY_OE!BL69&lt;&gt;"",RATY_OE!BQ69,"")</f>
        <v>6640.35</v>
      </c>
      <c r="G64" s="1791">
        <f ca="1">IF(RATY_OE!BL69&lt;&gt;"",RATY_OE!BR69+RATY_OE!BN69,"")</f>
        <v>764.1</v>
      </c>
    </row>
    <row r="65" spans="1:7" ht="12.65" customHeight="1" x14ac:dyDescent="0.3">
      <c r="A65" s="1780">
        <f>IF(RATY_OE!BL70&lt;&gt;"",RATY_OE!BL70,"")</f>
        <v>40</v>
      </c>
      <c r="B65" s="1796">
        <f ca="1">IF(RATY_OE!BL70&lt;&gt;"",RATY_OE!BM70,"")</f>
        <v>47417</v>
      </c>
      <c r="C65" s="1795">
        <f ca="1">IF(RATY_OE!BL70&lt;&gt;"",RATY_OE!BN70,"")</f>
        <v>764.1</v>
      </c>
      <c r="D65" s="1795">
        <f ca="1">IF(RATY_OE!BL70&lt;&gt;"",RATY_OE!BP70,"")</f>
        <v>717.77</v>
      </c>
      <c r="E65" s="1795">
        <f ca="1">IF(RATY_OE!BL70&lt;&gt;"",RATY_OE!BO70,"")</f>
        <v>46.33</v>
      </c>
      <c r="F65" s="1795">
        <f ca="1">IF(RATY_OE!BL70&lt;&gt;"",RATY_OE!BQ70,"")</f>
        <v>5922.58</v>
      </c>
      <c r="G65" s="1795">
        <f ca="1">IF(RATY_OE!BL70&lt;&gt;"",RATY_OE!BR70+RATY_OE!BN70,"")</f>
        <v>764.1</v>
      </c>
    </row>
    <row r="66" spans="1:7" ht="12.65" customHeight="1" x14ac:dyDescent="0.3">
      <c r="A66" s="1783">
        <f>IF(RATY_OE!BL71&lt;&gt;"",RATY_OE!BL71,"")</f>
        <v>41</v>
      </c>
      <c r="B66" s="1788">
        <f ca="1">IF(RATY_OE!BL71&lt;&gt;"",RATY_OE!BM71,"")</f>
        <v>47448</v>
      </c>
      <c r="C66" s="1791">
        <f ca="1">IF(RATY_OE!BL71&lt;&gt;"",RATY_OE!BN71,"")</f>
        <v>764.1</v>
      </c>
      <c r="D66" s="1791">
        <f ca="1">IF(RATY_OE!BL71&lt;&gt;"",RATY_OE!BP71,"")</f>
        <v>721.39</v>
      </c>
      <c r="E66" s="1791">
        <f ca="1">IF(RATY_OE!BL71&lt;&gt;"",RATY_OE!BO71,"")</f>
        <v>42.71</v>
      </c>
      <c r="F66" s="1791">
        <f ca="1">IF(RATY_OE!BL71&lt;&gt;"",RATY_OE!BQ71,"")</f>
        <v>5201.1899999999996</v>
      </c>
      <c r="G66" s="1791">
        <f ca="1">IF(RATY_OE!BL71&lt;&gt;"",RATY_OE!BR71+RATY_OE!BN71,"")</f>
        <v>764.1</v>
      </c>
    </row>
    <row r="67" spans="1:7" ht="12.65" customHeight="1" x14ac:dyDescent="0.3">
      <c r="A67" s="1780">
        <f>IF(RATY_OE!BL72&lt;&gt;"",RATY_OE!BL72,"")</f>
        <v>42</v>
      </c>
      <c r="B67" s="1796">
        <f ca="1">IF(RATY_OE!BL72&lt;&gt;"",RATY_OE!BM72,"")</f>
        <v>47478</v>
      </c>
      <c r="C67" s="1795">
        <f ca="1">IF(RATY_OE!BL72&lt;&gt;"",RATY_OE!BN72,"")</f>
        <v>764.1</v>
      </c>
      <c r="D67" s="1795">
        <f ca="1">IF(RATY_OE!BL72&lt;&gt;"",RATY_OE!BP72,"")</f>
        <v>727.81</v>
      </c>
      <c r="E67" s="1795">
        <f ca="1">IF(RATY_OE!BL72&lt;&gt;"",RATY_OE!BO72,"")</f>
        <v>36.29</v>
      </c>
      <c r="F67" s="1795">
        <f ca="1">IF(RATY_OE!BL72&lt;&gt;"",RATY_OE!BQ72,"")</f>
        <v>4473.38</v>
      </c>
      <c r="G67" s="1795">
        <f ca="1">IF(RATY_OE!BL72&lt;&gt;"",RATY_OE!BR72+RATY_OE!BN72,"")</f>
        <v>764.1</v>
      </c>
    </row>
    <row r="68" spans="1:7" ht="12.65" customHeight="1" x14ac:dyDescent="0.3">
      <c r="A68" s="1783">
        <f>IF(RATY_OE!BL73&lt;&gt;"",RATY_OE!BL73,"")</f>
        <v>43</v>
      </c>
      <c r="B68" s="1788">
        <f ca="1">IF(RATY_OE!BL73&lt;&gt;"",RATY_OE!BM73,"")</f>
        <v>47509</v>
      </c>
      <c r="C68" s="1791">
        <f ca="1">IF(RATY_OE!BL73&lt;&gt;"",RATY_OE!BN73,"")</f>
        <v>764.1</v>
      </c>
      <c r="D68" s="1791">
        <f ca="1">IF(RATY_OE!BL73&lt;&gt;"",RATY_OE!BP73,"")</f>
        <v>731.84</v>
      </c>
      <c r="E68" s="1791">
        <f ca="1">IF(RATY_OE!BL73&lt;&gt;"",RATY_OE!BO73,"")</f>
        <v>32.26</v>
      </c>
      <c r="F68" s="1791">
        <f ca="1">IF(RATY_OE!BL73&lt;&gt;"",RATY_OE!BQ73,"")</f>
        <v>3741.54</v>
      </c>
      <c r="G68" s="1791">
        <f ca="1">IF(RATY_OE!BL73&lt;&gt;"",RATY_OE!BR73+RATY_OE!BN73,"")</f>
        <v>764.1</v>
      </c>
    </row>
    <row r="69" spans="1:7" ht="12.65" customHeight="1" x14ac:dyDescent="0.3">
      <c r="A69" s="1780">
        <f>IF(RATY_OE!BL74&lt;&gt;"",RATY_OE!BL74,"")</f>
        <v>44</v>
      </c>
      <c r="B69" s="1796">
        <f ca="1">IF(RATY_OE!BL74&lt;&gt;"",RATY_OE!BM74,"")</f>
        <v>47540</v>
      </c>
      <c r="C69" s="1795">
        <f ca="1">IF(RATY_OE!BL74&lt;&gt;"",RATY_OE!BN74,"")</f>
        <v>764.1</v>
      </c>
      <c r="D69" s="1795">
        <f ca="1">IF(RATY_OE!BL74&lt;&gt;"",RATY_OE!BP74,"")</f>
        <v>737.12</v>
      </c>
      <c r="E69" s="1795">
        <f ca="1">IF(RATY_OE!BL74&lt;&gt;"",RATY_OE!BO74,"")</f>
        <v>26.98</v>
      </c>
      <c r="F69" s="1795">
        <f ca="1">IF(RATY_OE!BL74&lt;&gt;"",RATY_OE!BQ74,"")</f>
        <v>3004.42</v>
      </c>
      <c r="G69" s="1795">
        <f ca="1">IF(RATY_OE!BL74&lt;&gt;"",RATY_OE!BR74+RATY_OE!BN74,"")</f>
        <v>764.1</v>
      </c>
    </row>
    <row r="70" spans="1:7" ht="12.65" customHeight="1" x14ac:dyDescent="0.3">
      <c r="A70" s="1783">
        <f>IF(RATY_OE!BL75&lt;&gt;"",RATY_OE!BL75,"")</f>
        <v>45</v>
      </c>
      <c r="B70" s="1788">
        <f ca="1">IF(RATY_OE!BL75&lt;&gt;"",RATY_OE!BM75,"")</f>
        <v>47568</v>
      </c>
      <c r="C70" s="1791">
        <f ca="1">IF(RATY_OE!BL75&lt;&gt;"",RATY_OE!BN75,"")</f>
        <v>764.1</v>
      </c>
      <c r="D70" s="1791">
        <f ca="1">IF(RATY_OE!BL75&lt;&gt;"",RATY_OE!BP75,"")</f>
        <v>744.53</v>
      </c>
      <c r="E70" s="1791">
        <f ca="1">IF(RATY_OE!BL75&lt;&gt;"",RATY_OE!BO75,"")</f>
        <v>19.57</v>
      </c>
      <c r="F70" s="1791">
        <f ca="1">IF(RATY_OE!BL75&lt;&gt;"",RATY_OE!BQ75,"")</f>
        <v>2259.89</v>
      </c>
      <c r="G70" s="1791">
        <f ca="1">IF(RATY_OE!BL75&lt;&gt;"",RATY_OE!BR75+RATY_OE!BN75,"")</f>
        <v>764.1</v>
      </c>
    </row>
    <row r="71" spans="1:7" ht="12.65" customHeight="1" x14ac:dyDescent="0.3">
      <c r="A71" s="1780">
        <f>IF(RATY_OE!BL76&lt;&gt;"",RATY_OE!BL76,"")</f>
        <v>46</v>
      </c>
      <c r="B71" s="1796">
        <f ca="1">IF(RATY_OE!BL76&lt;&gt;"",RATY_OE!BM76,"")</f>
        <v>47599</v>
      </c>
      <c r="C71" s="1795">
        <f ca="1">IF(RATY_OE!BL76&lt;&gt;"",RATY_OE!BN76,"")</f>
        <v>764.1</v>
      </c>
      <c r="D71" s="1795">
        <f ca="1">IF(RATY_OE!BL76&lt;&gt;"",RATY_OE!BP76,"")</f>
        <v>747.81</v>
      </c>
      <c r="E71" s="1795">
        <f ca="1">IF(RATY_OE!BL76&lt;&gt;"",RATY_OE!BO76,"")</f>
        <v>16.29</v>
      </c>
      <c r="F71" s="1795">
        <f ca="1">IF(RATY_OE!BL76&lt;&gt;"",RATY_OE!BQ76,"")</f>
        <v>1512.08</v>
      </c>
      <c r="G71" s="1795">
        <f ca="1">IF(RATY_OE!BL76&lt;&gt;"",RATY_OE!BR76+RATY_OE!BN76,"")</f>
        <v>764.1</v>
      </c>
    </row>
    <row r="72" spans="1:7" ht="12.65" customHeight="1" x14ac:dyDescent="0.3">
      <c r="A72" s="1783">
        <f>IF(RATY_OE!BL77&lt;&gt;"",RATY_OE!BL77,"")</f>
        <v>47</v>
      </c>
      <c r="B72" s="1788">
        <f ca="1">IF(RATY_OE!BL77&lt;&gt;"",RATY_OE!BM77,"")</f>
        <v>47629</v>
      </c>
      <c r="C72" s="1791">
        <f ca="1">IF(RATY_OE!BL77&lt;&gt;"",RATY_OE!BN77,"")</f>
        <v>764.1</v>
      </c>
      <c r="D72" s="1791">
        <f ca="1">IF(RATY_OE!BL77&lt;&gt;"",RATY_OE!BP77,"")</f>
        <v>753.55</v>
      </c>
      <c r="E72" s="1791">
        <f ca="1">IF(RATY_OE!BL77&lt;&gt;"",RATY_OE!BO77,"")</f>
        <v>10.55</v>
      </c>
      <c r="F72" s="1791">
        <f ca="1">IF(RATY_OE!BL77&lt;&gt;"",RATY_OE!BQ77,"")</f>
        <v>758.53</v>
      </c>
      <c r="G72" s="1791">
        <f ca="1">IF(RATY_OE!BL77&lt;&gt;"",RATY_OE!BR77+RATY_OE!BN77,"")</f>
        <v>764.1</v>
      </c>
    </row>
    <row r="73" spans="1:7" ht="12.65" customHeight="1" x14ac:dyDescent="0.3">
      <c r="A73" s="1780">
        <f>IF(RATY_OE!BL78&lt;&gt;"",RATY_OE!BL78,"")</f>
        <v>48</v>
      </c>
      <c r="B73" s="1796">
        <f ca="1">IF(RATY_OE!BL78&lt;&gt;"",RATY_OE!BM78,"")</f>
        <v>47660</v>
      </c>
      <c r="C73" s="1795">
        <f ca="1">IF(RATY_OE!BL78&lt;&gt;"",RATY_OE!BN78,"")</f>
        <v>764</v>
      </c>
      <c r="D73" s="1795">
        <f ca="1">IF(RATY_OE!BL78&lt;&gt;"",RATY_OE!BP78,"")</f>
        <v>758.53</v>
      </c>
      <c r="E73" s="1795">
        <f ca="1">IF(RATY_OE!BL78&lt;&gt;"",RATY_OE!BO78,"")</f>
        <v>5.47</v>
      </c>
      <c r="F73" s="1795">
        <f ca="1">IF(RATY_OE!BL78&lt;&gt;"",RATY_OE!BQ78,"")</f>
        <v>0</v>
      </c>
      <c r="G73" s="1795">
        <f ca="1">IF(RATY_OE!BL78&lt;&gt;"",RATY_OE!BR78+RATY_OE!BN78,"")</f>
        <v>764</v>
      </c>
    </row>
    <row r="74" spans="1:7" ht="12.65" customHeight="1" x14ac:dyDescent="0.3">
      <c r="A74" s="1783" t="str">
        <f>IF(RATY_OE!BL79&lt;&gt;"",RATY_OE!BL79,"")</f>
        <v/>
      </c>
      <c r="B74" s="1788" t="str">
        <f>IF(RATY_OE!BL79&lt;&gt;"",RATY_OE!BM79,"")</f>
        <v/>
      </c>
      <c r="C74" s="1791" t="str">
        <f>IF(RATY_OE!BL79&lt;&gt;"",RATY_OE!BN79,"")</f>
        <v/>
      </c>
      <c r="D74" s="1791" t="str">
        <f>IF(RATY_OE!BL79&lt;&gt;"",RATY_OE!BP79,"")</f>
        <v/>
      </c>
      <c r="E74" s="1791" t="str">
        <f>IF(RATY_OE!BL79&lt;&gt;"",RATY_OE!BO79,"")</f>
        <v/>
      </c>
      <c r="F74" s="1791" t="str">
        <f>IF(RATY_OE!BL79&lt;&gt;"",RATY_OE!BQ79,"")</f>
        <v/>
      </c>
      <c r="G74" s="1791" t="str">
        <f>IF(RATY_OE!BL79&lt;&gt;"",RATY_OE!BR79+RATY_OE!BN79,"")</f>
        <v/>
      </c>
    </row>
    <row r="75" spans="1:7" ht="12.65" customHeight="1" x14ac:dyDescent="0.3">
      <c r="A75" s="1780" t="str">
        <f>IF(RATY_OE!BL80&lt;&gt;"",RATY_OE!BL80,"")</f>
        <v/>
      </c>
      <c r="B75" s="1796" t="str">
        <f>IF(RATY_OE!BL80&lt;&gt;"",RATY_OE!BM80,"")</f>
        <v/>
      </c>
      <c r="C75" s="1795" t="str">
        <f>IF(RATY_OE!BL80&lt;&gt;"",RATY_OE!BN80,"")</f>
        <v/>
      </c>
      <c r="D75" s="1795" t="str">
        <f>IF(RATY_OE!BL80&lt;&gt;"",RATY_OE!BP80,"")</f>
        <v/>
      </c>
      <c r="E75" s="1795" t="str">
        <f>IF(RATY_OE!BL80&lt;&gt;"",RATY_OE!BO80,"")</f>
        <v/>
      </c>
      <c r="F75" s="1795" t="str">
        <f>IF(RATY_OE!BL80&lt;&gt;"",RATY_OE!BQ80,"")</f>
        <v/>
      </c>
      <c r="G75" s="1795" t="str">
        <f>IF(RATY_OE!BL80&lt;&gt;"",RATY_OE!BR80+RATY_OE!BN80,"")</f>
        <v/>
      </c>
    </row>
    <row r="76" spans="1:7" ht="12.65" customHeight="1" x14ac:dyDescent="0.3">
      <c r="A76" s="1783" t="str">
        <f>IF(RATY_OE!BL81&lt;&gt;"",RATY_OE!BL81,"")</f>
        <v/>
      </c>
      <c r="B76" s="1788" t="str">
        <f>IF(RATY_OE!BL81&lt;&gt;"",RATY_OE!BM81,"")</f>
        <v/>
      </c>
      <c r="C76" s="1791" t="str">
        <f>IF(RATY_OE!BL81&lt;&gt;"",RATY_OE!BN81,"")</f>
        <v/>
      </c>
      <c r="D76" s="1791" t="str">
        <f>IF(RATY_OE!BL81&lt;&gt;"",RATY_OE!BP81,"")</f>
        <v/>
      </c>
      <c r="E76" s="1791" t="str">
        <f>IF(RATY_OE!BL81&lt;&gt;"",RATY_OE!BO81,"")</f>
        <v/>
      </c>
      <c r="F76" s="1791" t="str">
        <f>IF(RATY_OE!BL81&lt;&gt;"",RATY_OE!BQ81,"")</f>
        <v/>
      </c>
      <c r="G76" s="1791" t="str">
        <f>IF(RATY_OE!BL81&lt;&gt;"",RATY_OE!BR81+RATY_OE!BN81,"")</f>
        <v/>
      </c>
    </row>
    <row r="77" spans="1:7" ht="12.65" customHeight="1" x14ac:dyDescent="0.3">
      <c r="A77" s="1780" t="str">
        <f>IF(RATY_OE!BL82&lt;&gt;"",RATY_OE!BL82,"")</f>
        <v/>
      </c>
      <c r="B77" s="1796" t="str">
        <f>IF(RATY_OE!BL82&lt;&gt;"",RATY_OE!BM82,"")</f>
        <v/>
      </c>
      <c r="C77" s="1795" t="str">
        <f>IF(RATY_OE!BL82&lt;&gt;"",RATY_OE!BN82,"")</f>
        <v/>
      </c>
      <c r="D77" s="1795" t="str">
        <f>IF(RATY_OE!BL82&lt;&gt;"",RATY_OE!BP82,"")</f>
        <v/>
      </c>
      <c r="E77" s="1795" t="str">
        <f>IF(RATY_OE!BL82&lt;&gt;"",RATY_OE!BO82,"")</f>
        <v/>
      </c>
      <c r="F77" s="1795" t="str">
        <f>IF(RATY_OE!BL82&lt;&gt;"",RATY_OE!BQ82,"")</f>
        <v/>
      </c>
      <c r="G77" s="1795" t="str">
        <f>IF(RATY_OE!BL82&lt;&gt;"",RATY_OE!BR82+RATY_OE!BN82,"")</f>
        <v/>
      </c>
    </row>
    <row r="78" spans="1:7" ht="12.65" customHeight="1" x14ac:dyDescent="0.3">
      <c r="A78" s="1783" t="str">
        <f>IF(RATY_OE!BL83&lt;&gt;"",RATY_OE!BL83,"")</f>
        <v/>
      </c>
      <c r="B78" s="1788" t="str">
        <f>IF(RATY_OE!BL83&lt;&gt;"",RATY_OE!BM83,"")</f>
        <v/>
      </c>
      <c r="C78" s="1791" t="str">
        <f>IF(RATY_OE!BL83&lt;&gt;"",RATY_OE!BN83,"")</f>
        <v/>
      </c>
      <c r="D78" s="1791" t="str">
        <f>IF(RATY_OE!BL83&lt;&gt;"",RATY_OE!BP83,"")</f>
        <v/>
      </c>
      <c r="E78" s="1791" t="str">
        <f>IF(RATY_OE!BL83&lt;&gt;"",RATY_OE!BO83,"")</f>
        <v/>
      </c>
      <c r="F78" s="1791" t="str">
        <f>IF(RATY_OE!BL83&lt;&gt;"",RATY_OE!BQ83,"")</f>
        <v/>
      </c>
      <c r="G78" s="1791" t="str">
        <f>IF(RATY_OE!BL83&lt;&gt;"",RATY_OE!BR83+RATY_OE!BN83,"")</f>
        <v/>
      </c>
    </row>
    <row r="79" spans="1:7" ht="12.65" customHeight="1" x14ac:dyDescent="0.3">
      <c r="A79" s="1780" t="str">
        <f>IF(RATY_OE!BL84&lt;&gt;"",RATY_OE!BL84,"")</f>
        <v/>
      </c>
      <c r="B79" s="1796" t="str">
        <f>IF(RATY_OE!BL84&lt;&gt;"",RATY_OE!BM84,"")</f>
        <v/>
      </c>
      <c r="C79" s="1795" t="str">
        <f>IF(RATY_OE!BL84&lt;&gt;"",RATY_OE!BN84,"")</f>
        <v/>
      </c>
      <c r="D79" s="1795" t="str">
        <f>IF(RATY_OE!BL84&lt;&gt;"",RATY_OE!BP84,"")</f>
        <v/>
      </c>
      <c r="E79" s="1795" t="str">
        <f>IF(RATY_OE!BL84&lt;&gt;"",RATY_OE!BO84,"")</f>
        <v/>
      </c>
      <c r="F79" s="1795" t="str">
        <f>IF(RATY_OE!BL84&lt;&gt;"",RATY_OE!BQ84,"")</f>
        <v/>
      </c>
      <c r="G79" s="1795" t="str">
        <f>IF(RATY_OE!BL84&lt;&gt;"",RATY_OE!BR84+RATY_OE!BN84,"")</f>
        <v/>
      </c>
    </row>
    <row r="80" spans="1:7" ht="12.65" customHeight="1" x14ac:dyDescent="0.3">
      <c r="A80" s="1783" t="str">
        <f>IF(RATY_OE!BL85&lt;&gt;"",RATY_OE!BL85,"")</f>
        <v/>
      </c>
      <c r="B80" s="1788" t="str">
        <f>IF(RATY_OE!BL85&lt;&gt;"",RATY_OE!BM85,"")</f>
        <v/>
      </c>
      <c r="C80" s="1791" t="str">
        <f>IF(RATY_OE!BL85&lt;&gt;"",RATY_OE!BN85,"")</f>
        <v/>
      </c>
      <c r="D80" s="1791" t="str">
        <f>IF(RATY_OE!BL85&lt;&gt;"",RATY_OE!BP85,"")</f>
        <v/>
      </c>
      <c r="E80" s="1791" t="str">
        <f>IF(RATY_OE!BL85&lt;&gt;"",RATY_OE!BO85,"")</f>
        <v/>
      </c>
      <c r="F80" s="1791" t="str">
        <f>IF(RATY_OE!BL85&lt;&gt;"",RATY_OE!BQ85,"")</f>
        <v/>
      </c>
      <c r="G80" s="1791" t="str">
        <f>IF(RATY_OE!BL85&lt;&gt;"",RATY_OE!BR85+RATY_OE!BN85,"")</f>
        <v/>
      </c>
    </row>
    <row r="81" spans="1:7" s="663" customFormat="1" ht="12.65" customHeight="1" x14ac:dyDescent="0.3">
      <c r="A81" s="1780" t="str">
        <f>IF(RATY_OE!BL86&lt;&gt;"",RATY_OE!BL86,"")</f>
        <v/>
      </c>
      <c r="B81" s="1796" t="str">
        <f>IF(RATY_OE!BL86&lt;&gt;"",RATY_OE!BM86,"")</f>
        <v/>
      </c>
      <c r="C81" s="1795" t="str">
        <f>IF(RATY_OE!BL86&lt;&gt;"",RATY_OE!BN86,"")</f>
        <v/>
      </c>
      <c r="D81" s="1795" t="str">
        <f>IF(RATY_OE!BL86&lt;&gt;"",RATY_OE!BP86,"")</f>
        <v/>
      </c>
      <c r="E81" s="1795" t="str">
        <f>IF(RATY_OE!BL86&lt;&gt;"",RATY_OE!BO86,"")</f>
        <v/>
      </c>
      <c r="F81" s="1795" t="str">
        <f>IF(RATY_OE!BL86&lt;&gt;"",RATY_OE!BQ86,"")</f>
        <v/>
      </c>
      <c r="G81" s="1795" t="str">
        <f>IF(RATY_OE!BL86&lt;&gt;"",RATY_OE!BR86+RATY_OE!BN86,"")</f>
        <v/>
      </c>
    </row>
    <row r="82" spans="1:7" ht="12.65" customHeight="1" x14ac:dyDescent="0.3">
      <c r="A82" s="1783" t="str">
        <f>IF(RATY_OE!BL87&lt;&gt;"",RATY_OE!BL87,"")</f>
        <v/>
      </c>
      <c r="B82" s="1788" t="str">
        <f>IF(RATY_OE!BL87&lt;&gt;"",RATY_OE!BM87,"")</f>
        <v/>
      </c>
      <c r="C82" s="1791" t="str">
        <f>IF(RATY_OE!BL87&lt;&gt;"",RATY_OE!BN87,"")</f>
        <v/>
      </c>
      <c r="D82" s="1791" t="str">
        <f>IF(RATY_OE!BL87&lt;&gt;"",RATY_OE!BP87,"")</f>
        <v/>
      </c>
      <c r="E82" s="1791" t="str">
        <f>IF(RATY_OE!BL87&lt;&gt;"",RATY_OE!BO87,"")</f>
        <v/>
      </c>
      <c r="F82" s="1791" t="str">
        <f>IF(RATY_OE!BL87&lt;&gt;"",RATY_OE!BQ87,"")</f>
        <v/>
      </c>
      <c r="G82" s="1791" t="str">
        <f>IF(RATY_OE!BL87&lt;&gt;"",RATY_OE!BR87+RATY_OE!BN87,"")</f>
        <v/>
      </c>
    </row>
    <row r="83" spans="1:7" ht="12.65" customHeight="1" x14ac:dyDescent="0.3">
      <c r="A83" s="1780" t="str">
        <f>IF(RATY_OE!BL88&lt;&gt;"",RATY_OE!BL88,"")</f>
        <v/>
      </c>
      <c r="B83" s="1796" t="str">
        <f>IF(RATY_OE!BL88&lt;&gt;"",RATY_OE!BM88,"")</f>
        <v/>
      </c>
      <c r="C83" s="1795" t="str">
        <f>IF(RATY_OE!BL88&lt;&gt;"",RATY_OE!BN88,"")</f>
        <v/>
      </c>
      <c r="D83" s="1795" t="str">
        <f>IF(RATY_OE!BL88&lt;&gt;"",RATY_OE!BP88,"")</f>
        <v/>
      </c>
      <c r="E83" s="1795" t="str">
        <f>IF(RATY_OE!BL88&lt;&gt;"",RATY_OE!BO88,"")</f>
        <v/>
      </c>
      <c r="F83" s="1795" t="str">
        <f>IF(RATY_OE!BL88&lt;&gt;"",RATY_OE!BQ88,"")</f>
        <v/>
      </c>
      <c r="G83" s="1795" t="str">
        <f>IF(RATY_OE!BL88&lt;&gt;"",RATY_OE!BR88+RATY_OE!BN88,"")</f>
        <v/>
      </c>
    </row>
    <row r="84" spans="1:7" ht="12.65" customHeight="1" x14ac:dyDescent="0.3">
      <c r="A84" s="1783" t="str">
        <f>IF(RATY_OE!BL89&lt;&gt;"",RATY_OE!BL89,"")</f>
        <v/>
      </c>
      <c r="B84" s="1788" t="str">
        <f>IF(RATY_OE!BL89&lt;&gt;"",RATY_OE!BM89,"")</f>
        <v/>
      </c>
      <c r="C84" s="1791" t="str">
        <f>IF(RATY_OE!BL89&lt;&gt;"",RATY_OE!BN89,"")</f>
        <v/>
      </c>
      <c r="D84" s="1791" t="str">
        <f>IF(RATY_OE!BL89&lt;&gt;"",RATY_OE!BP89,"")</f>
        <v/>
      </c>
      <c r="E84" s="1791" t="str">
        <f>IF(RATY_OE!BL89&lt;&gt;"",RATY_OE!BO89,"")</f>
        <v/>
      </c>
      <c r="F84" s="1791" t="str">
        <f>IF(RATY_OE!BL89&lt;&gt;"",RATY_OE!BQ89,"")</f>
        <v/>
      </c>
      <c r="G84" s="1791" t="str">
        <f>IF(RATY_OE!BL89&lt;&gt;"",RATY_OE!BR89+RATY_OE!BN89,"")</f>
        <v/>
      </c>
    </row>
    <row r="85" spans="1:7" ht="12.65" customHeight="1" x14ac:dyDescent="0.3">
      <c r="A85" s="1780" t="str">
        <f>IF(RATY_OE!BL90&lt;&gt;"",RATY_OE!BL90,"")</f>
        <v/>
      </c>
      <c r="B85" s="1796" t="str">
        <f>IF(RATY_OE!BL90&lt;&gt;"",RATY_OE!BM90,"")</f>
        <v/>
      </c>
      <c r="C85" s="1795" t="str">
        <f>IF(RATY_OE!BL90&lt;&gt;"",RATY_OE!BN90,"")</f>
        <v/>
      </c>
      <c r="D85" s="1795" t="str">
        <f>IF(RATY_OE!BL90&lt;&gt;"",RATY_OE!BP90,"")</f>
        <v/>
      </c>
      <c r="E85" s="1795" t="str">
        <f>IF(RATY_OE!BL90&lt;&gt;"",RATY_OE!BO90,"")</f>
        <v/>
      </c>
      <c r="F85" s="1795" t="str">
        <f>IF(RATY_OE!BL90&lt;&gt;"",RATY_OE!BQ90,"")</f>
        <v/>
      </c>
      <c r="G85" s="1795" t="str">
        <f>IF(RATY_OE!BL90&lt;&gt;"",RATY_OE!BR90+RATY_OE!BN90,"")</f>
        <v/>
      </c>
    </row>
    <row r="86" spans="1:7" ht="12.65" customHeight="1" x14ac:dyDescent="0.3">
      <c r="A86" s="1783" t="str">
        <f>IF(RATY_OE!BL91&lt;&gt;"",RATY_OE!BL91,"")</f>
        <v/>
      </c>
      <c r="B86" s="1788" t="str">
        <f>IF(RATY_OE!BL91&lt;&gt;"",RATY_OE!BM91,"")</f>
        <v/>
      </c>
      <c r="C86" s="1791" t="str">
        <f>IF(RATY_OE!BL91&lt;&gt;"",RATY_OE!BN91,"")</f>
        <v/>
      </c>
      <c r="D86" s="1791" t="str">
        <f>IF(RATY_OE!BL91&lt;&gt;"",RATY_OE!BP91,"")</f>
        <v/>
      </c>
      <c r="E86" s="1791" t="str">
        <f>IF(RATY_OE!BL91&lt;&gt;"",RATY_OE!BO91,"")</f>
        <v/>
      </c>
      <c r="F86" s="1791" t="str">
        <f>IF(RATY_OE!BL91&lt;&gt;"",RATY_OE!BQ91,"")</f>
        <v/>
      </c>
      <c r="G86" s="1791" t="str">
        <f>IF(RATY_OE!BL91&lt;&gt;"",RATY_OE!BR91+RATY_OE!BN91,"")</f>
        <v/>
      </c>
    </row>
    <row r="87" spans="1:7" ht="12.65" customHeight="1" x14ac:dyDescent="0.3">
      <c r="A87" s="1780" t="str">
        <f>IF(RATY_OE!BL92&lt;&gt;"",RATY_OE!BL92,"")</f>
        <v/>
      </c>
      <c r="B87" s="1796" t="str">
        <f>IF(RATY_OE!BL92&lt;&gt;"",RATY_OE!BM92,"")</f>
        <v/>
      </c>
      <c r="C87" s="1795" t="str">
        <f>IF(RATY_OE!BL92&lt;&gt;"",RATY_OE!BN92,"")</f>
        <v/>
      </c>
      <c r="D87" s="1795" t="str">
        <f>IF(RATY_OE!BL92&lt;&gt;"",RATY_OE!BP92,"")</f>
        <v/>
      </c>
      <c r="E87" s="1795" t="str">
        <f>IF(RATY_OE!BL92&lt;&gt;"",RATY_OE!BO92,"")</f>
        <v/>
      </c>
      <c r="F87" s="1795" t="str">
        <f>IF(RATY_OE!BL92&lt;&gt;"",RATY_OE!BQ92,"")</f>
        <v/>
      </c>
      <c r="G87" s="1795" t="str">
        <f>IF(RATY_OE!BL92&lt;&gt;"",RATY_OE!BR92+RATY_OE!BN92,"")</f>
        <v/>
      </c>
    </row>
    <row r="88" spans="1:7" ht="12.65" customHeight="1" x14ac:dyDescent="0.3">
      <c r="A88" s="1783" t="str">
        <f>IF(RATY_OE!BL93&lt;&gt;"",RATY_OE!BL93,"")</f>
        <v/>
      </c>
      <c r="B88" s="1788" t="str">
        <f>IF(RATY_OE!BL93&lt;&gt;"",RATY_OE!BM93,"")</f>
        <v/>
      </c>
      <c r="C88" s="1791" t="str">
        <f>IF(RATY_OE!BL93&lt;&gt;"",RATY_OE!BN93,"")</f>
        <v/>
      </c>
      <c r="D88" s="1791" t="str">
        <f>IF(RATY_OE!BL93&lt;&gt;"",RATY_OE!BP93,"")</f>
        <v/>
      </c>
      <c r="E88" s="1791" t="str">
        <f>IF(RATY_OE!BL93&lt;&gt;"",RATY_OE!BO93,"")</f>
        <v/>
      </c>
      <c r="F88" s="1791" t="str">
        <f>IF(RATY_OE!BL93&lt;&gt;"",RATY_OE!BQ93,"")</f>
        <v/>
      </c>
      <c r="G88" s="1791" t="str">
        <f>IF(RATY_OE!BL93&lt;&gt;"",RATY_OE!BR93+RATY_OE!BN93,"")</f>
        <v/>
      </c>
    </row>
    <row r="89" spans="1:7" ht="12.65" customHeight="1" x14ac:dyDescent="0.3">
      <c r="A89" s="1780" t="str">
        <f>IF(RATY_OE!BL94&lt;&gt;"",RATY_OE!BL94,"")</f>
        <v/>
      </c>
      <c r="B89" s="1796" t="str">
        <f>IF(RATY_OE!BL94&lt;&gt;"",RATY_OE!BM94,"")</f>
        <v/>
      </c>
      <c r="C89" s="1795" t="str">
        <f>IF(RATY_OE!BL94&lt;&gt;"",RATY_OE!BN94,"")</f>
        <v/>
      </c>
      <c r="D89" s="1795" t="str">
        <f>IF(RATY_OE!BL94&lt;&gt;"",RATY_OE!BP94,"")</f>
        <v/>
      </c>
      <c r="E89" s="1795" t="str">
        <f>IF(RATY_OE!BL94&lt;&gt;"",RATY_OE!BO94,"")</f>
        <v/>
      </c>
      <c r="F89" s="1795" t="str">
        <f>IF(RATY_OE!BL94&lt;&gt;"",RATY_OE!BQ94,"")</f>
        <v/>
      </c>
      <c r="G89" s="1795" t="str">
        <f>IF(RATY_OE!BL94&lt;&gt;"",RATY_OE!BR94+RATY_OE!BN94,"")</f>
        <v/>
      </c>
    </row>
    <row r="90" spans="1:7" ht="12.65" customHeight="1" x14ac:dyDescent="0.3">
      <c r="A90" s="1783" t="str">
        <f>IF(RATY_OE!BL95&lt;&gt;"",RATY_OE!BL95,"")</f>
        <v/>
      </c>
      <c r="B90" s="1788" t="str">
        <f>IF(RATY_OE!BL95&lt;&gt;"",RATY_OE!BM95,"")</f>
        <v/>
      </c>
      <c r="C90" s="1791" t="str">
        <f>IF(RATY_OE!BL95&lt;&gt;"",RATY_OE!BN95,"")</f>
        <v/>
      </c>
      <c r="D90" s="1791" t="str">
        <f>IF(RATY_OE!BL95&lt;&gt;"",RATY_OE!BP95,"")</f>
        <v/>
      </c>
      <c r="E90" s="1791" t="str">
        <f>IF(RATY_OE!BL95&lt;&gt;"",RATY_OE!BO95,"")</f>
        <v/>
      </c>
      <c r="F90" s="1791" t="str">
        <f>IF(RATY_OE!BL95&lt;&gt;"",RATY_OE!BQ95,"")</f>
        <v/>
      </c>
      <c r="G90" s="1791" t="str">
        <f>IF(RATY_OE!BL95&lt;&gt;"",RATY_OE!BR95+RATY_OE!BN95,"")</f>
        <v/>
      </c>
    </row>
    <row r="91" spans="1:7" ht="12.65" customHeight="1" x14ac:dyDescent="0.3">
      <c r="A91" s="1780" t="str">
        <f>IF(RATY_OE!BL96&lt;&gt;"",RATY_OE!BL96,"")</f>
        <v/>
      </c>
      <c r="B91" s="1796" t="str">
        <f>IF(RATY_OE!BL96&lt;&gt;"",RATY_OE!BM96,"")</f>
        <v/>
      </c>
      <c r="C91" s="1795" t="str">
        <f>IF(RATY_OE!BL96&lt;&gt;"",RATY_OE!BN96,"")</f>
        <v/>
      </c>
      <c r="D91" s="1795" t="str">
        <f>IF(RATY_OE!BL96&lt;&gt;"",RATY_OE!BP96,"")</f>
        <v/>
      </c>
      <c r="E91" s="1795" t="str">
        <f>IF(RATY_OE!BL96&lt;&gt;"",RATY_OE!BO96,"")</f>
        <v/>
      </c>
      <c r="F91" s="1795" t="str">
        <f>IF(RATY_OE!BL96&lt;&gt;"",RATY_OE!BQ96,"")</f>
        <v/>
      </c>
      <c r="G91" s="1795" t="str">
        <f>IF(RATY_OE!BL96&lt;&gt;"",RATY_OE!BR96+RATY_OE!BN96,"")</f>
        <v/>
      </c>
    </row>
    <row r="92" spans="1:7" ht="12.65" customHeight="1" x14ac:dyDescent="0.3">
      <c r="A92" s="1783" t="str">
        <f>IF(RATY_OE!BL97&lt;&gt;"",RATY_OE!BL97,"")</f>
        <v/>
      </c>
      <c r="B92" s="1788" t="str">
        <f>IF(RATY_OE!BL97&lt;&gt;"",RATY_OE!BM97,"")</f>
        <v/>
      </c>
      <c r="C92" s="1791" t="str">
        <f>IF(RATY_OE!BL97&lt;&gt;"",RATY_OE!BN97,"")</f>
        <v/>
      </c>
      <c r="D92" s="1791" t="str">
        <f>IF(RATY_OE!BL97&lt;&gt;"",RATY_OE!BP97,"")</f>
        <v/>
      </c>
      <c r="E92" s="1791" t="str">
        <f>IF(RATY_OE!BL97&lt;&gt;"",RATY_OE!BO97,"")</f>
        <v/>
      </c>
      <c r="F92" s="1791" t="str">
        <f>IF(RATY_OE!BL97&lt;&gt;"",RATY_OE!BQ97,"")</f>
        <v/>
      </c>
      <c r="G92" s="1791" t="str">
        <f>IF(RATY_OE!BL97&lt;&gt;"",RATY_OE!BR97+RATY_OE!BN97,"")</f>
        <v/>
      </c>
    </row>
    <row r="93" spans="1:7" ht="12.65" customHeight="1" x14ac:dyDescent="0.3">
      <c r="A93" s="1780" t="str">
        <f>IF(RATY_OE!BL98&lt;&gt;"",RATY_OE!BL98,"")</f>
        <v/>
      </c>
      <c r="B93" s="1796" t="str">
        <f>IF(RATY_OE!BL98&lt;&gt;"",RATY_OE!BM98,"")</f>
        <v/>
      </c>
      <c r="C93" s="1795" t="str">
        <f>IF(RATY_OE!BL98&lt;&gt;"",RATY_OE!BN98,"")</f>
        <v/>
      </c>
      <c r="D93" s="1795" t="str">
        <f>IF(RATY_OE!BL98&lt;&gt;"",RATY_OE!BP98,"")</f>
        <v/>
      </c>
      <c r="E93" s="1795" t="str">
        <f>IF(RATY_OE!BL98&lt;&gt;"",RATY_OE!BO98,"")</f>
        <v/>
      </c>
      <c r="F93" s="1795" t="str">
        <f>IF(RATY_OE!BL98&lt;&gt;"",RATY_OE!BQ98,"")</f>
        <v/>
      </c>
      <c r="G93" s="1795" t="str">
        <f>IF(RATY_OE!BL98&lt;&gt;"",RATY_OE!BR98+RATY_OE!BN98,"")</f>
        <v/>
      </c>
    </row>
    <row r="94" spans="1:7" ht="12.65" customHeight="1" x14ac:dyDescent="0.3">
      <c r="A94" s="1783" t="str">
        <f>IF(RATY_OE!BL99&lt;&gt;"",RATY_OE!BL99,"")</f>
        <v/>
      </c>
      <c r="B94" s="1788" t="str">
        <f>IF(RATY_OE!BL99&lt;&gt;"",RATY_OE!BM99,"")</f>
        <v/>
      </c>
      <c r="C94" s="1791" t="str">
        <f>IF(RATY_OE!BL99&lt;&gt;"",RATY_OE!BN99,"")</f>
        <v/>
      </c>
      <c r="D94" s="1791" t="str">
        <f>IF(RATY_OE!BL99&lt;&gt;"",RATY_OE!BP99,"")</f>
        <v/>
      </c>
      <c r="E94" s="1791" t="str">
        <f>IF(RATY_OE!BL99&lt;&gt;"",RATY_OE!BO99,"")</f>
        <v/>
      </c>
      <c r="F94" s="1791" t="str">
        <f>IF(RATY_OE!BL99&lt;&gt;"",RATY_OE!BQ99,"")</f>
        <v/>
      </c>
      <c r="G94" s="1791" t="str">
        <f>IF(RATY_OE!BL99&lt;&gt;"",RATY_OE!BR99+RATY_OE!BN99,"")</f>
        <v/>
      </c>
    </row>
    <row r="95" spans="1:7" ht="12.65" customHeight="1" x14ac:dyDescent="0.3">
      <c r="A95" s="1780" t="str">
        <f>IF(RATY_OE!BL100&lt;&gt;"",RATY_OE!BL100,"")</f>
        <v/>
      </c>
      <c r="B95" s="1796" t="str">
        <f>IF(RATY_OE!BL100&lt;&gt;"",RATY_OE!BM100,"")</f>
        <v/>
      </c>
      <c r="C95" s="1795" t="str">
        <f>IF(RATY_OE!BL100&lt;&gt;"",RATY_OE!BN100,"")</f>
        <v/>
      </c>
      <c r="D95" s="1795" t="str">
        <f>IF(RATY_OE!BL100&lt;&gt;"",RATY_OE!BP100,"")</f>
        <v/>
      </c>
      <c r="E95" s="1795" t="str">
        <f>IF(RATY_OE!BL100&lt;&gt;"",RATY_OE!BO100,"")</f>
        <v/>
      </c>
      <c r="F95" s="1795" t="str">
        <f>IF(RATY_OE!BL100&lt;&gt;"",RATY_OE!BQ100,"")</f>
        <v/>
      </c>
      <c r="G95" s="1795" t="str">
        <f>IF(RATY_OE!BL100&lt;&gt;"",RATY_OE!BR100+RATY_OE!BN100,"")</f>
        <v/>
      </c>
    </row>
    <row r="96" spans="1:7" ht="12.65" customHeight="1" x14ac:dyDescent="0.3">
      <c r="A96" s="1783" t="str">
        <f>IF(RATY_OE!BL101&lt;&gt;"",RATY_OE!BL101,"")</f>
        <v/>
      </c>
      <c r="B96" s="1788" t="str">
        <f>IF(RATY_OE!BL101&lt;&gt;"",RATY_OE!BM101,"")</f>
        <v/>
      </c>
      <c r="C96" s="1791" t="str">
        <f>IF(RATY_OE!BL101&lt;&gt;"",RATY_OE!BN101,"")</f>
        <v/>
      </c>
      <c r="D96" s="1791" t="str">
        <f>IF(RATY_OE!BL101&lt;&gt;"",RATY_OE!BP101,"")</f>
        <v/>
      </c>
      <c r="E96" s="1791" t="str">
        <f>IF(RATY_OE!BL101&lt;&gt;"",RATY_OE!BO101,"")</f>
        <v/>
      </c>
      <c r="F96" s="1791" t="str">
        <f>IF(RATY_OE!BL101&lt;&gt;"",RATY_OE!BQ101,"")</f>
        <v/>
      </c>
      <c r="G96" s="1791" t="str">
        <f>IF(RATY_OE!BL101&lt;&gt;"",RATY_OE!BR101+RATY_OE!BN101,"")</f>
        <v/>
      </c>
    </row>
    <row r="97" spans="1:7" ht="12.65" customHeight="1" x14ac:dyDescent="0.3">
      <c r="A97" s="1780" t="str">
        <f>IF(RATY_OE!BL102&lt;&gt;"",RATY_OE!BL102,"")</f>
        <v/>
      </c>
      <c r="B97" s="1796" t="str">
        <f>IF(RATY_OE!BL102&lt;&gt;"",RATY_OE!BM102,"")</f>
        <v/>
      </c>
      <c r="C97" s="1795" t="str">
        <f>IF(RATY_OE!BL102&lt;&gt;"",RATY_OE!BN102,"")</f>
        <v/>
      </c>
      <c r="D97" s="1795" t="str">
        <f>IF(RATY_OE!BL102&lt;&gt;"",RATY_OE!BP102,"")</f>
        <v/>
      </c>
      <c r="E97" s="1795" t="str">
        <f>IF(RATY_OE!BL102&lt;&gt;"",RATY_OE!BO102,"")</f>
        <v/>
      </c>
      <c r="F97" s="1795" t="str">
        <f>IF(RATY_OE!BL102&lt;&gt;"",RATY_OE!BQ102,"")</f>
        <v/>
      </c>
      <c r="G97" s="1795" t="str">
        <f>IF(RATY_OE!BL102&lt;&gt;"",RATY_OE!BR102+RATY_OE!BN102,"")</f>
        <v/>
      </c>
    </row>
    <row r="98" spans="1:7" ht="12.65" customHeight="1" x14ac:dyDescent="0.3">
      <c r="A98" s="1783" t="str">
        <f>IF(RATY_OE!BL103&lt;&gt;"",RATY_OE!BL103,"")</f>
        <v/>
      </c>
      <c r="B98" s="1788" t="str">
        <f>IF(RATY_OE!BL103&lt;&gt;"",RATY_OE!BM103,"")</f>
        <v/>
      </c>
      <c r="C98" s="1791" t="str">
        <f>IF(RATY_OE!BL103&lt;&gt;"",RATY_OE!BN103,"")</f>
        <v/>
      </c>
      <c r="D98" s="1791" t="str">
        <f>IF(RATY_OE!BL103&lt;&gt;"",RATY_OE!BP103,"")</f>
        <v/>
      </c>
      <c r="E98" s="1791" t="str">
        <f>IF(RATY_OE!BL103&lt;&gt;"",RATY_OE!BO103,"")</f>
        <v/>
      </c>
      <c r="F98" s="1791" t="str">
        <f>IF(RATY_OE!BL103&lt;&gt;"",RATY_OE!BQ103,"")</f>
        <v/>
      </c>
      <c r="G98" s="1791" t="str">
        <f>IF(RATY_OE!BL103&lt;&gt;"",RATY_OE!BR103+RATY_OE!BN103,"")</f>
        <v/>
      </c>
    </row>
    <row r="99" spans="1:7" ht="12.65" customHeight="1" x14ac:dyDescent="0.3">
      <c r="A99" s="1780" t="str">
        <f>IF(RATY_OE!BL104&lt;&gt;"",RATY_OE!BL104,"")</f>
        <v/>
      </c>
      <c r="B99" s="1796" t="str">
        <f>IF(RATY_OE!BL104&lt;&gt;"",RATY_OE!BM104,"")</f>
        <v/>
      </c>
      <c r="C99" s="1795" t="str">
        <f>IF(RATY_OE!BL104&lt;&gt;"",RATY_OE!BN104,"")</f>
        <v/>
      </c>
      <c r="D99" s="1795" t="str">
        <f>IF(RATY_OE!BL104&lt;&gt;"",RATY_OE!BP104,"")</f>
        <v/>
      </c>
      <c r="E99" s="1795" t="str">
        <f>IF(RATY_OE!BL104&lt;&gt;"",RATY_OE!BO104,"")</f>
        <v/>
      </c>
      <c r="F99" s="1795" t="str">
        <f>IF(RATY_OE!BL104&lt;&gt;"",RATY_OE!BQ104,"")</f>
        <v/>
      </c>
      <c r="G99" s="1795" t="str">
        <f>IF(RATY_OE!BL104&lt;&gt;"",RATY_OE!BR104+RATY_OE!BN104,"")</f>
        <v/>
      </c>
    </row>
    <row r="100" spans="1:7" ht="12.65" customHeight="1" x14ac:dyDescent="0.3">
      <c r="A100" s="1783" t="str">
        <f>IF(RATY_OE!BL105&lt;&gt;"",RATY_OE!BL105,"")</f>
        <v/>
      </c>
      <c r="B100" s="1788" t="str">
        <f>IF(RATY_OE!BL105&lt;&gt;"",RATY_OE!BM105,"")</f>
        <v/>
      </c>
      <c r="C100" s="1791" t="str">
        <f>IF(RATY_OE!BL105&lt;&gt;"",RATY_OE!BN105,"")</f>
        <v/>
      </c>
      <c r="D100" s="1791" t="str">
        <f>IF(RATY_OE!BL105&lt;&gt;"",RATY_OE!BP105,"")</f>
        <v/>
      </c>
      <c r="E100" s="1791" t="str">
        <f>IF(RATY_OE!BL105&lt;&gt;"",RATY_OE!BO105,"")</f>
        <v/>
      </c>
      <c r="F100" s="1791" t="str">
        <f>IF(RATY_OE!BL105&lt;&gt;"",RATY_OE!BQ105,"")</f>
        <v/>
      </c>
      <c r="G100" s="1791" t="str">
        <f>IF(RATY_OE!BL105&lt;&gt;"",RATY_OE!BR105+RATY_OE!BN105,"")</f>
        <v/>
      </c>
    </row>
    <row r="101" spans="1:7" ht="12.65" customHeight="1" x14ac:dyDescent="0.3">
      <c r="A101" s="1780" t="str">
        <f>IF(RATY_OE!BL106&lt;&gt;"",RATY_OE!BL106,"")</f>
        <v/>
      </c>
      <c r="B101" s="1796" t="str">
        <f>IF(RATY_OE!BL106&lt;&gt;"",RATY_OE!BM106,"")</f>
        <v/>
      </c>
      <c r="C101" s="1795" t="str">
        <f>IF(RATY_OE!BL106&lt;&gt;"",RATY_OE!BN106,"")</f>
        <v/>
      </c>
      <c r="D101" s="1795" t="str">
        <f>IF(RATY_OE!BL106&lt;&gt;"",RATY_OE!BP106,"")</f>
        <v/>
      </c>
      <c r="E101" s="1795" t="str">
        <f>IF(RATY_OE!BL106&lt;&gt;"",RATY_OE!BO106,"")</f>
        <v/>
      </c>
      <c r="F101" s="1795" t="str">
        <f>IF(RATY_OE!BL106&lt;&gt;"",RATY_OE!BQ106,"")</f>
        <v/>
      </c>
      <c r="G101" s="1795" t="str">
        <f>IF(RATY_OE!BL106&lt;&gt;"",RATY_OE!BR106+RATY_OE!BN106,"")</f>
        <v/>
      </c>
    </row>
    <row r="102" spans="1:7" ht="12.65" customHeight="1" x14ac:dyDescent="0.3">
      <c r="A102" s="1783" t="str">
        <f>IF(RATY_OE!BL107&lt;&gt;"",RATY_OE!BL107,"")</f>
        <v/>
      </c>
      <c r="B102" s="1788" t="str">
        <f>IF(RATY_OE!BL107&lt;&gt;"",RATY_OE!BM107,"")</f>
        <v/>
      </c>
      <c r="C102" s="1791" t="str">
        <f>IF(RATY_OE!BL107&lt;&gt;"",RATY_OE!BN107,"")</f>
        <v/>
      </c>
      <c r="D102" s="1791" t="str">
        <f>IF(RATY_OE!BL107&lt;&gt;"",RATY_OE!BP107,"")</f>
        <v/>
      </c>
      <c r="E102" s="1791" t="str">
        <f>IF(RATY_OE!BL107&lt;&gt;"",RATY_OE!BO107,"")</f>
        <v/>
      </c>
      <c r="F102" s="1791" t="str">
        <f>IF(RATY_OE!BL107&lt;&gt;"",RATY_OE!BQ107,"")</f>
        <v/>
      </c>
      <c r="G102" s="1791" t="str">
        <f>IF(RATY_OE!BL107&lt;&gt;"",RATY_OE!BR107+RATY_OE!BN107,"")</f>
        <v/>
      </c>
    </row>
    <row r="103" spans="1:7" ht="12.65" customHeight="1" x14ac:dyDescent="0.3">
      <c r="A103" s="1780" t="str">
        <f>IF(RATY_OE!BL108&lt;&gt;"",RATY_OE!BL108,"")</f>
        <v/>
      </c>
      <c r="B103" s="1796" t="str">
        <f>IF(RATY_OE!BL108&lt;&gt;"",RATY_OE!BM108,"")</f>
        <v/>
      </c>
      <c r="C103" s="1795" t="str">
        <f>IF(RATY_OE!BL108&lt;&gt;"",RATY_OE!BN108,"")</f>
        <v/>
      </c>
      <c r="D103" s="1795" t="str">
        <f>IF(RATY_OE!BL108&lt;&gt;"",RATY_OE!BP108,"")</f>
        <v/>
      </c>
      <c r="E103" s="1795" t="str">
        <f>IF(RATY_OE!BL108&lt;&gt;"",RATY_OE!BO108,"")</f>
        <v/>
      </c>
      <c r="F103" s="1795" t="str">
        <f>IF(RATY_OE!BL108&lt;&gt;"",RATY_OE!BQ108,"")</f>
        <v/>
      </c>
      <c r="G103" s="1795" t="str">
        <f>IF(RATY_OE!BL108&lt;&gt;"",RATY_OE!BR108+RATY_OE!BN108,"")</f>
        <v/>
      </c>
    </row>
    <row r="104" spans="1:7" ht="12.65" customHeight="1" x14ac:dyDescent="0.3">
      <c r="A104" s="1783" t="str">
        <f>IF(RATY_OE!BL109&lt;&gt;"",RATY_OE!BL109,"")</f>
        <v/>
      </c>
      <c r="B104" s="1788" t="str">
        <f>IF(RATY_OE!BL109&lt;&gt;"",RATY_OE!BM109,"")</f>
        <v/>
      </c>
      <c r="C104" s="1791" t="str">
        <f>IF(RATY_OE!BL109&lt;&gt;"",RATY_OE!BN109,"")</f>
        <v/>
      </c>
      <c r="D104" s="1791" t="str">
        <f>IF(RATY_OE!BL109&lt;&gt;"",RATY_OE!BP109,"")</f>
        <v/>
      </c>
      <c r="E104" s="1791" t="str">
        <f>IF(RATY_OE!BL109&lt;&gt;"",RATY_OE!BO109,"")</f>
        <v/>
      </c>
      <c r="F104" s="1791" t="str">
        <f>IF(RATY_OE!BL109&lt;&gt;"",RATY_OE!BQ109,"")</f>
        <v/>
      </c>
      <c r="G104" s="1791" t="str">
        <f>IF(RATY_OE!BL109&lt;&gt;"",RATY_OE!BR109+RATY_OE!BN109,"")</f>
        <v/>
      </c>
    </row>
    <row r="105" spans="1:7" ht="12.65" customHeight="1" x14ac:dyDescent="0.3">
      <c r="A105" s="1780" t="str">
        <f>IF(RATY_OE!BL110&lt;&gt;"",RATY_OE!BL110,"")</f>
        <v/>
      </c>
      <c r="B105" s="1796" t="str">
        <f>IF(RATY_OE!BL110&lt;&gt;"",RATY_OE!BM110,"")</f>
        <v/>
      </c>
      <c r="C105" s="1795" t="str">
        <f>IF(RATY_OE!BL110&lt;&gt;"",RATY_OE!BN110,"")</f>
        <v/>
      </c>
      <c r="D105" s="1795" t="str">
        <f>IF(RATY_OE!BL110&lt;&gt;"",RATY_OE!BP110,"")</f>
        <v/>
      </c>
      <c r="E105" s="1795" t="str">
        <f>IF(RATY_OE!BL110&lt;&gt;"",RATY_OE!BO110,"")</f>
        <v/>
      </c>
      <c r="F105" s="1795" t="str">
        <f>IF(RATY_OE!BL110&lt;&gt;"",RATY_OE!BQ110,"")</f>
        <v/>
      </c>
      <c r="G105" s="1795" t="str">
        <f>IF(RATY_OE!BL110&lt;&gt;"",RATY_OE!BR110+RATY_OE!BN110,"")</f>
        <v/>
      </c>
    </row>
    <row r="106" spans="1:7" ht="12.65" customHeight="1" x14ac:dyDescent="0.3">
      <c r="A106" s="1783" t="str">
        <f>IF(RATY_OE!BL111&lt;&gt;"",RATY_OE!BL111,"")</f>
        <v/>
      </c>
      <c r="B106" s="1788" t="str">
        <f>IF(RATY_OE!BL111&lt;&gt;"",RATY_OE!BM111,"")</f>
        <v/>
      </c>
      <c r="C106" s="1791" t="str">
        <f>IF(RATY_OE!BL111&lt;&gt;"",RATY_OE!BN111,"")</f>
        <v/>
      </c>
      <c r="D106" s="1791" t="str">
        <f>IF(RATY_OE!BL111&lt;&gt;"",RATY_OE!BP111,"")</f>
        <v/>
      </c>
      <c r="E106" s="1791" t="str">
        <f>IF(RATY_OE!BL111&lt;&gt;"",RATY_OE!BO111,"")</f>
        <v/>
      </c>
      <c r="F106" s="1791" t="str">
        <f>IF(RATY_OE!BL111&lt;&gt;"",RATY_OE!BQ111,"")</f>
        <v/>
      </c>
      <c r="G106" s="1791" t="str">
        <f>IF(RATY_OE!BL111&lt;&gt;"",RATY_OE!BR111+RATY_OE!BN111,"")</f>
        <v/>
      </c>
    </row>
    <row r="107" spans="1:7" ht="12.65" customHeight="1" x14ac:dyDescent="0.3">
      <c r="A107" s="1780" t="str">
        <f>IF(RATY_OE!BL112&lt;&gt;"",RATY_OE!BL112,"")</f>
        <v/>
      </c>
      <c r="B107" s="1796" t="str">
        <f>IF(RATY_OE!BL112&lt;&gt;"",RATY_OE!BM112,"")</f>
        <v/>
      </c>
      <c r="C107" s="1795" t="str">
        <f>IF(RATY_OE!BL112&lt;&gt;"",RATY_OE!BN112,"")</f>
        <v/>
      </c>
      <c r="D107" s="1795" t="str">
        <f>IF(RATY_OE!BL112&lt;&gt;"",RATY_OE!BP112,"")</f>
        <v/>
      </c>
      <c r="E107" s="1795" t="str">
        <f>IF(RATY_OE!BL112&lt;&gt;"",RATY_OE!BO112,"")</f>
        <v/>
      </c>
      <c r="F107" s="1795" t="str">
        <f>IF(RATY_OE!BL112&lt;&gt;"",RATY_OE!BQ112,"")</f>
        <v/>
      </c>
      <c r="G107" s="1795" t="str">
        <f>IF(RATY_OE!BL112&lt;&gt;"",RATY_OE!BR112+RATY_OE!BN112,"")</f>
        <v/>
      </c>
    </row>
    <row r="108" spans="1:7" ht="12.65" customHeight="1" x14ac:dyDescent="0.3">
      <c r="A108" s="1783" t="str">
        <f>IF(RATY_OE!BL113&lt;&gt;"",RATY_OE!BL113,"")</f>
        <v/>
      </c>
      <c r="B108" s="1788" t="str">
        <f>IF(RATY_OE!BL113&lt;&gt;"",RATY_OE!BM113,"")</f>
        <v/>
      </c>
      <c r="C108" s="1791" t="str">
        <f>IF(RATY_OE!BL113&lt;&gt;"",RATY_OE!BN113,"")</f>
        <v/>
      </c>
      <c r="D108" s="1791" t="str">
        <f>IF(RATY_OE!BL113&lt;&gt;"",RATY_OE!BP113,"")</f>
        <v/>
      </c>
      <c r="E108" s="1791" t="str">
        <f>IF(RATY_OE!BL113&lt;&gt;"",RATY_OE!BO113,"")</f>
        <v/>
      </c>
      <c r="F108" s="1791" t="str">
        <f>IF(RATY_OE!BL113&lt;&gt;"",RATY_OE!BQ113,"")</f>
        <v/>
      </c>
      <c r="G108" s="1791" t="str">
        <f>IF(RATY_OE!BL113&lt;&gt;"",RATY_OE!BR113+RATY_OE!BN113,"")</f>
        <v/>
      </c>
    </row>
    <row r="109" spans="1:7" ht="12.65" customHeight="1" x14ac:dyDescent="0.3">
      <c r="A109" s="1780" t="str">
        <f>IF(RATY_OE!BL114&lt;&gt;"",RATY_OE!BL114,"")</f>
        <v/>
      </c>
      <c r="B109" s="1796" t="str">
        <f>IF(RATY_OE!BL114&lt;&gt;"",RATY_OE!BM114,"")</f>
        <v/>
      </c>
      <c r="C109" s="1795" t="str">
        <f>IF(RATY_OE!BL114&lt;&gt;"",RATY_OE!BN114,"")</f>
        <v/>
      </c>
      <c r="D109" s="1795" t="str">
        <f>IF(RATY_OE!BL114&lt;&gt;"",RATY_OE!BP114,"")</f>
        <v/>
      </c>
      <c r="E109" s="1795" t="str">
        <f>IF(RATY_OE!BL114&lt;&gt;"",RATY_OE!BO114,"")</f>
        <v/>
      </c>
      <c r="F109" s="1795" t="str">
        <f>IF(RATY_OE!BL114&lt;&gt;"",RATY_OE!BQ114,"")</f>
        <v/>
      </c>
      <c r="G109" s="1795" t="str">
        <f>IF(RATY_OE!BL114&lt;&gt;"",RATY_OE!BR114+RATY_OE!BN114,"")</f>
        <v/>
      </c>
    </row>
    <row r="110" spans="1:7" ht="12.65" customHeight="1" x14ac:dyDescent="0.3">
      <c r="A110" s="1783" t="str">
        <f>IF(RATY_OE!BL115&lt;&gt;"",RATY_OE!BL115,"")</f>
        <v/>
      </c>
      <c r="B110" s="1788" t="str">
        <f>IF(RATY_OE!BL115&lt;&gt;"",RATY_OE!BM115,"")</f>
        <v/>
      </c>
      <c r="C110" s="1791" t="str">
        <f>IF(RATY_OE!BL115&lt;&gt;"",RATY_OE!BN115,"")</f>
        <v/>
      </c>
      <c r="D110" s="1791" t="str">
        <f>IF(RATY_OE!BL115&lt;&gt;"",RATY_OE!BP115,"")</f>
        <v/>
      </c>
      <c r="E110" s="1791" t="str">
        <f>IF(RATY_OE!BL115&lt;&gt;"",RATY_OE!BO115,"")</f>
        <v/>
      </c>
      <c r="F110" s="1791" t="str">
        <f>IF(RATY_OE!BL115&lt;&gt;"",RATY_OE!BQ115,"")</f>
        <v/>
      </c>
      <c r="G110" s="1791" t="str">
        <f>IF(RATY_OE!BL115&lt;&gt;"",RATY_OE!BR115+RATY_OE!BN115,"")</f>
        <v/>
      </c>
    </row>
    <row r="111" spans="1:7" ht="12.65" customHeight="1" x14ac:dyDescent="0.3">
      <c r="A111" s="1780" t="str">
        <f>IF(RATY_OE!BL116&lt;&gt;"",RATY_OE!BL116,"")</f>
        <v/>
      </c>
      <c r="B111" s="1796" t="str">
        <f>IF(RATY_OE!BL116&lt;&gt;"",RATY_OE!BM116,"")</f>
        <v/>
      </c>
      <c r="C111" s="1795" t="str">
        <f>IF(RATY_OE!BL116&lt;&gt;"",RATY_OE!BN116,"")</f>
        <v/>
      </c>
      <c r="D111" s="1795" t="str">
        <f>IF(RATY_OE!BL116&lt;&gt;"",RATY_OE!BP116,"")</f>
        <v/>
      </c>
      <c r="E111" s="1795" t="str">
        <f>IF(RATY_OE!BL116&lt;&gt;"",RATY_OE!BO116,"")</f>
        <v/>
      </c>
      <c r="F111" s="1795" t="str">
        <f>IF(RATY_OE!BL116&lt;&gt;"",RATY_OE!BQ116,"")</f>
        <v/>
      </c>
      <c r="G111" s="1795" t="str">
        <f>IF(RATY_OE!BL116&lt;&gt;"",RATY_OE!BR116+RATY_OE!BN116,"")</f>
        <v/>
      </c>
    </row>
    <row r="112" spans="1:7" ht="12.65" customHeight="1" x14ac:dyDescent="0.3">
      <c r="A112" s="1783" t="str">
        <f>IF(RATY_OE!BL117&lt;&gt;"",RATY_OE!BL117,"")</f>
        <v/>
      </c>
      <c r="B112" s="1788" t="str">
        <f>IF(RATY_OE!BL117&lt;&gt;"",RATY_OE!BM117,"")</f>
        <v/>
      </c>
      <c r="C112" s="1791" t="str">
        <f>IF(RATY_OE!BL117&lt;&gt;"",RATY_OE!BN117,"")</f>
        <v/>
      </c>
      <c r="D112" s="1791" t="str">
        <f>IF(RATY_OE!BL117&lt;&gt;"",RATY_OE!BP117,"")</f>
        <v/>
      </c>
      <c r="E112" s="1791" t="str">
        <f>IF(RATY_OE!BL117&lt;&gt;"",RATY_OE!BO117,"")</f>
        <v/>
      </c>
      <c r="F112" s="1791" t="str">
        <f>IF(RATY_OE!BL117&lt;&gt;"",RATY_OE!BQ117,"")</f>
        <v/>
      </c>
      <c r="G112" s="1791" t="str">
        <f>IF(RATY_OE!BL117&lt;&gt;"",RATY_OE!BR117+RATY_OE!BN117,"")</f>
        <v/>
      </c>
    </row>
    <row r="113" spans="1:14" ht="12.65" customHeight="1" x14ac:dyDescent="0.3">
      <c r="A113" s="1780" t="str">
        <f>IF(RATY_OE!BL118&lt;&gt;"",RATY_OE!BL118,"")</f>
        <v/>
      </c>
      <c r="B113" s="1796" t="str">
        <f>IF(RATY_OE!BL118&lt;&gt;"",RATY_OE!BM118,"")</f>
        <v/>
      </c>
      <c r="C113" s="1795" t="str">
        <f>IF(RATY_OE!BL118&lt;&gt;"",RATY_OE!BN118,"")</f>
        <v/>
      </c>
      <c r="D113" s="1795" t="str">
        <f>IF(RATY_OE!BL118&lt;&gt;"",RATY_OE!BP118,"")</f>
        <v/>
      </c>
      <c r="E113" s="1795" t="str">
        <f>IF(RATY_OE!BL118&lt;&gt;"",RATY_OE!BO118,"")</f>
        <v/>
      </c>
      <c r="F113" s="1795" t="str">
        <f>IF(RATY_OE!BL118&lt;&gt;"",RATY_OE!BQ118,"")</f>
        <v/>
      </c>
      <c r="G113" s="1795" t="str">
        <f>IF(RATY_OE!BL118&lt;&gt;"",RATY_OE!BR118+RATY_OE!BN118,"")</f>
        <v/>
      </c>
    </row>
    <row r="114" spans="1:14" ht="12.65" customHeight="1" x14ac:dyDescent="0.3">
      <c r="A114" s="1783" t="str">
        <f>IF(RATY_OE!BL119&lt;&gt;"",RATY_OE!BL119,"")</f>
        <v/>
      </c>
      <c r="B114" s="1788" t="str">
        <f>IF(RATY_OE!BL119&lt;&gt;"",RATY_OE!BM119,"")</f>
        <v/>
      </c>
      <c r="C114" s="1791" t="str">
        <f>IF(RATY_OE!BL119&lt;&gt;"",RATY_OE!BN119,"")</f>
        <v/>
      </c>
      <c r="D114" s="1791" t="str">
        <f>IF(RATY_OE!BL119&lt;&gt;"",RATY_OE!BP119,"")</f>
        <v/>
      </c>
      <c r="E114" s="1791" t="str">
        <f>IF(RATY_OE!BL119&lt;&gt;"",RATY_OE!BO119,"")</f>
        <v/>
      </c>
      <c r="F114" s="1791" t="str">
        <f>IF(RATY_OE!BL119&lt;&gt;"",RATY_OE!BQ119,"")</f>
        <v/>
      </c>
      <c r="G114" s="1791" t="str">
        <f>IF(RATY_OE!BL119&lt;&gt;"",RATY_OE!BR119+RATY_OE!BN119,"")</f>
        <v/>
      </c>
      <c r="I114" s="609" t="s">
        <v>47</v>
      </c>
      <c r="J114" s="609" t="s">
        <v>47</v>
      </c>
      <c r="K114" s="609" t="s">
        <v>47</v>
      </c>
      <c r="L114" s="609" t="s">
        <v>47</v>
      </c>
      <c r="M114" s="609" t="s">
        <v>47</v>
      </c>
      <c r="N114" s="609" t="s">
        <v>47</v>
      </c>
    </row>
    <row r="115" spans="1:14" ht="12.65" customHeight="1" x14ac:dyDescent="0.3">
      <c r="A115" s="1780" t="str">
        <f>IF(RATY_OE!BL120&lt;&gt;"",RATY_OE!BL120,"")</f>
        <v/>
      </c>
      <c r="B115" s="1796" t="str">
        <f>IF(RATY_OE!BL120&lt;&gt;"",RATY_OE!BM120,"")</f>
        <v/>
      </c>
      <c r="C115" s="1795" t="str">
        <f>IF(RATY_OE!BL120&lt;&gt;"",RATY_OE!BN120,"")</f>
        <v/>
      </c>
      <c r="D115" s="1795" t="str">
        <f>IF(RATY_OE!BL120&lt;&gt;"",RATY_OE!BP120,"")</f>
        <v/>
      </c>
      <c r="E115" s="1795" t="str">
        <f>IF(RATY_OE!BL120&lt;&gt;"",RATY_OE!BO120,"")</f>
        <v/>
      </c>
      <c r="F115" s="1795" t="str">
        <f>IF(RATY_OE!BL120&lt;&gt;"",RATY_OE!BQ120,"")</f>
        <v/>
      </c>
      <c r="G115" s="1795" t="str">
        <f>IF(RATY_OE!BL120&lt;&gt;"",RATY_OE!BR120+RATY_OE!BN120,"")</f>
        <v/>
      </c>
    </row>
    <row r="116" spans="1:14" ht="12.65" customHeight="1" x14ac:dyDescent="0.3">
      <c r="A116" s="1783" t="str">
        <f>IF(RATY_OE!BL121&lt;&gt;"",RATY_OE!BL121,"")</f>
        <v/>
      </c>
      <c r="B116" s="1788" t="str">
        <f>IF(RATY_OE!BL121&lt;&gt;"",RATY_OE!BM121,"")</f>
        <v/>
      </c>
      <c r="C116" s="1791" t="str">
        <f>IF(RATY_OE!BL121&lt;&gt;"",RATY_OE!BN121,"")</f>
        <v/>
      </c>
      <c r="D116" s="1791" t="str">
        <f>IF(RATY_OE!BL121&lt;&gt;"",RATY_OE!BP121,"")</f>
        <v/>
      </c>
      <c r="E116" s="1791" t="str">
        <f>IF(RATY_OE!BL121&lt;&gt;"",RATY_OE!BO121,"")</f>
        <v/>
      </c>
      <c r="F116" s="1791" t="str">
        <f>IF(RATY_OE!BL121&lt;&gt;"",RATY_OE!BQ121,"")</f>
        <v/>
      </c>
      <c r="G116" s="1791" t="str">
        <f>IF(RATY_OE!BL121&lt;&gt;"",RATY_OE!BR121+RATY_OE!BN121,"")</f>
        <v/>
      </c>
    </row>
    <row r="117" spans="1:14" ht="12.65" customHeight="1" x14ac:dyDescent="0.3">
      <c r="A117" s="1780" t="str">
        <f>IF(RATY_OE!BL122&lt;&gt;"",RATY_OE!BL122,"")</f>
        <v/>
      </c>
      <c r="B117" s="1796" t="str">
        <f>IF(RATY_OE!BL122&lt;&gt;"",RATY_OE!BM122,"")</f>
        <v/>
      </c>
      <c r="C117" s="1795" t="str">
        <f>IF(RATY_OE!BL122&lt;&gt;"",RATY_OE!BN122,"")</f>
        <v/>
      </c>
      <c r="D117" s="1795" t="str">
        <f>IF(RATY_OE!BL122&lt;&gt;"",RATY_OE!BP122,"")</f>
        <v/>
      </c>
      <c r="E117" s="1795" t="str">
        <f>IF(RATY_OE!BL122&lt;&gt;"",RATY_OE!BO122,"")</f>
        <v/>
      </c>
      <c r="F117" s="1795" t="str">
        <f>IF(RATY_OE!BL122&lt;&gt;"",RATY_OE!BQ122,"")</f>
        <v/>
      </c>
      <c r="G117" s="1795" t="str">
        <f>IF(RATY_OE!BL122&lt;&gt;"",RATY_OE!BR122+RATY_OE!BN122,"")</f>
        <v/>
      </c>
    </row>
    <row r="118" spans="1:14" ht="12.65" customHeight="1" x14ac:dyDescent="0.3">
      <c r="A118" s="1783" t="str">
        <f>IF(RATY_OE!BL123&lt;&gt;"",RATY_OE!BL123,"")</f>
        <v/>
      </c>
      <c r="B118" s="1788" t="str">
        <f>IF(RATY_OE!BL123&lt;&gt;"",RATY_OE!BM123,"")</f>
        <v/>
      </c>
      <c r="C118" s="1791" t="str">
        <f>IF(RATY_OE!BL123&lt;&gt;"",RATY_OE!BN123,"")</f>
        <v/>
      </c>
      <c r="D118" s="1791" t="str">
        <f>IF(RATY_OE!BL123&lt;&gt;"",RATY_OE!BP123,"")</f>
        <v/>
      </c>
      <c r="E118" s="1791" t="str">
        <f>IF(RATY_OE!BL123&lt;&gt;"",RATY_OE!BO123,"")</f>
        <v/>
      </c>
      <c r="F118" s="1791" t="str">
        <f>IF(RATY_OE!BL123&lt;&gt;"",RATY_OE!BQ123,"")</f>
        <v/>
      </c>
      <c r="G118" s="1791" t="str">
        <f>IF(RATY_OE!BL123&lt;&gt;"",RATY_OE!BR123+RATY_OE!BN123,"")</f>
        <v/>
      </c>
    </row>
    <row r="119" spans="1:14" ht="12.65" customHeight="1" x14ac:dyDescent="0.3">
      <c r="A119" s="1780" t="str">
        <f>IF(RATY_OE!BL124&lt;&gt;"",RATY_OE!BL124,"")</f>
        <v/>
      </c>
      <c r="B119" s="1796" t="str">
        <f>IF(RATY_OE!BL124&lt;&gt;"",RATY_OE!BM124,"")</f>
        <v/>
      </c>
      <c r="C119" s="1795" t="str">
        <f>IF(RATY_OE!BL124&lt;&gt;"",RATY_OE!BN124,"")</f>
        <v/>
      </c>
      <c r="D119" s="1795" t="str">
        <f>IF(RATY_OE!BL124&lt;&gt;"",RATY_OE!BP124,"")</f>
        <v/>
      </c>
      <c r="E119" s="1795" t="str">
        <f>IF(RATY_OE!BL124&lt;&gt;"",RATY_OE!BO124,"")</f>
        <v/>
      </c>
      <c r="F119" s="1795" t="str">
        <f>IF(RATY_OE!BL124&lt;&gt;"",RATY_OE!BQ124,"")</f>
        <v/>
      </c>
      <c r="G119" s="1795" t="str">
        <f>IF(RATY_OE!BL124&lt;&gt;"",RATY_OE!BR124+RATY_OE!BN124,"")</f>
        <v/>
      </c>
    </row>
    <row r="120" spans="1:14" ht="12.65" customHeight="1" x14ac:dyDescent="0.3">
      <c r="A120" s="1783" t="str">
        <f>IF(RATY_OE!BL125&lt;&gt;"",RATY_OE!BL125,"")</f>
        <v/>
      </c>
      <c r="B120" s="1788" t="str">
        <f>IF(RATY_OE!BL125&lt;&gt;"",RATY_OE!BM125,"")</f>
        <v/>
      </c>
      <c r="C120" s="1791" t="str">
        <f>IF(RATY_OE!BL125&lt;&gt;"",RATY_OE!BN125,"")</f>
        <v/>
      </c>
      <c r="D120" s="1791" t="str">
        <f>IF(RATY_OE!BL125&lt;&gt;"",RATY_OE!BP125,"")</f>
        <v/>
      </c>
      <c r="E120" s="1791" t="str">
        <f>IF(RATY_OE!BL125&lt;&gt;"",RATY_OE!BO125,"")</f>
        <v/>
      </c>
      <c r="F120" s="1791" t="str">
        <f>IF(RATY_OE!BL125&lt;&gt;"",RATY_OE!BQ125,"")</f>
        <v/>
      </c>
      <c r="G120" s="1791" t="str">
        <f>IF(RATY_OE!BL125&lt;&gt;"",RATY_OE!BR125+RATY_OE!BN125,"")</f>
        <v/>
      </c>
    </row>
    <row r="121" spans="1:14" ht="12.65" customHeight="1" x14ac:dyDescent="0.3">
      <c r="A121" s="1780" t="str">
        <f>IF(RATY_OE!BL126&lt;&gt;"",RATY_OE!BL126,"")</f>
        <v/>
      </c>
      <c r="B121" s="1796" t="str">
        <f>IF(RATY_OE!BL126&lt;&gt;"",RATY_OE!BM126,"")</f>
        <v/>
      </c>
      <c r="C121" s="1795" t="str">
        <f>IF(RATY_OE!BL126&lt;&gt;"",RATY_OE!BN126,"")</f>
        <v/>
      </c>
      <c r="D121" s="1795" t="str">
        <f>IF(RATY_OE!BL126&lt;&gt;"",RATY_OE!BP126,"")</f>
        <v/>
      </c>
      <c r="E121" s="1795" t="str">
        <f>IF(RATY_OE!BL126&lt;&gt;"",RATY_OE!BO126,"")</f>
        <v/>
      </c>
      <c r="F121" s="1795" t="str">
        <f>IF(RATY_OE!BL126&lt;&gt;"",RATY_OE!BQ126,"")</f>
        <v/>
      </c>
      <c r="G121" s="1795" t="str">
        <f>IF(RATY_OE!BL126&lt;&gt;"",RATY_OE!BR126+RATY_OE!BN126,"")</f>
        <v/>
      </c>
    </row>
    <row r="122" spans="1:14" ht="12.65" customHeight="1" x14ac:dyDescent="0.3">
      <c r="A122" s="1783" t="str">
        <f>IF(RATY_OE!BL127&lt;&gt;"",RATY_OE!BL127,"")</f>
        <v/>
      </c>
      <c r="B122" s="1788" t="str">
        <f>IF(RATY_OE!BL127&lt;&gt;"",RATY_OE!BM127,"")</f>
        <v/>
      </c>
      <c r="C122" s="1791" t="str">
        <f>IF(RATY_OE!BL127&lt;&gt;"",RATY_OE!BN127,"")</f>
        <v/>
      </c>
      <c r="D122" s="1791" t="str">
        <f>IF(RATY_OE!BL127&lt;&gt;"",RATY_OE!BP127,"")</f>
        <v/>
      </c>
      <c r="E122" s="1791" t="str">
        <f>IF(RATY_OE!BL127&lt;&gt;"",RATY_OE!BO127,"")</f>
        <v/>
      </c>
      <c r="F122" s="1791" t="str">
        <f>IF(RATY_OE!BL127&lt;&gt;"",RATY_OE!BQ127,"")</f>
        <v/>
      </c>
      <c r="G122" s="1791" t="str">
        <f>IF(RATY_OE!BL127&lt;&gt;"",RATY_OE!BR127+RATY_OE!BN127,"")</f>
        <v/>
      </c>
    </row>
    <row r="123" spans="1:14" ht="13" x14ac:dyDescent="0.3">
      <c r="A123" s="1780" t="str">
        <f>IF(RATY_OE!BL128&lt;&gt;"",RATY_OE!BL128,"")</f>
        <v/>
      </c>
      <c r="B123" s="1796" t="str">
        <f>IF(RATY_OE!BL128&lt;&gt;"",RATY_OE!BM128,"")</f>
        <v/>
      </c>
      <c r="C123" s="1795" t="str">
        <f>IF(RATY_OE!BL128&lt;&gt;"",RATY_OE!BN128,"")</f>
        <v/>
      </c>
      <c r="D123" s="1795" t="str">
        <f>IF(RATY_OE!BL128&lt;&gt;"",RATY_OE!BP128,"")</f>
        <v/>
      </c>
      <c r="E123" s="1795" t="str">
        <f>IF(RATY_OE!BL128&lt;&gt;"",RATY_OE!BO128,"")</f>
        <v/>
      </c>
      <c r="F123" s="1795" t="str">
        <f>IF(RATY_OE!BL128&lt;&gt;"",RATY_OE!BQ128,"")</f>
        <v/>
      </c>
      <c r="G123" s="1795" t="str">
        <f>IF(RATY_OE!BL128&lt;&gt;"",RATY_OE!BR128+RATY_OE!BN128,"")</f>
        <v/>
      </c>
    </row>
    <row r="124" spans="1:14" ht="13" x14ac:dyDescent="0.3">
      <c r="A124" s="1783" t="str">
        <f>IF(RATY_OE!BL129&lt;&gt;"",RATY_OE!BL129,"")</f>
        <v/>
      </c>
      <c r="B124" s="1788" t="str">
        <f>IF(RATY_OE!BL129&lt;&gt;"",RATY_OE!BM129,"")</f>
        <v/>
      </c>
      <c r="C124" s="1791" t="str">
        <f>IF(RATY_OE!BL129&lt;&gt;"",RATY_OE!BN129,"")</f>
        <v/>
      </c>
      <c r="D124" s="1791" t="str">
        <f>IF(RATY_OE!BL129&lt;&gt;"",RATY_OE!BP129,"")</f>
        <v/>
      </c>
      <c r="E124" s="1791" t="str">
        <f>IF(RATY_OE!BL129&lt;&gt;"",RATY_OE!BO129,"")</f>
        <v/>
      </c>
      <c r="F124" s="1791" t="str">
        <f>IF(RATY_OE!BL129&lt;&gt;"",RATY_OE!BQ129,"")</f>
        <v/>
      </c>
      <c r="G124" s="1791" t="str">
        <f>IF(RATY_OE!BL129&lt;&gt;"",RATY_OE!BR129+RATY_OE!BN129,"")</f>
        <v/>
      </c>
      <c r="H124" s="609" t="s">
        <v>47</v>
      </c>
    </row>
    <row r="125" spans="1:14" ht="13" x14ac:dyDescent="0.3">
      <c r="A125" s="1780" t="str">
        <f>IF(RATY_OE!BL130&lt;&gt;"",RATY_OE!BL130,"")</f>
        <v/>
      </c>
      <c r="B125" s="1796" t="str">
        <f>IF(RATY_OE!BL130&lt;&gt;"",RATY_OE!BM130,"")</f>
        <v/>
      </c>
      <c r="C125" s="1795" t="str">
        <f>IF(RATY_OE!BL130&lt;&gt;"",RATY_OE!BN130,"")</f>
        <v/>
      </c>
      <c r="D125" s="1795" t="str">
        <f>IF(RATY_OE!BL130&lt;&gt;"",RATY_OE!BP130,"")</f>
        <v/>
      </c>
      <c r="E125" s="1795" t="str">
        <f>IF(RATY_OE!BL130&lt;&gt;"",RATY_OE!BO130,"")</f>
        <v/>
      </c>
      <c r="F125" s="1795" t="str">
        <f>IF(RATY_OE!BL130&lt;&gt;"",RATY_OE!BQ130,"")</f>
        <v/>
      </c>
      <c r="G125" s="1795" t="str">
        <f>IF(RATY_OE!BL130&lt;&gt;"",RATY_OE!BR130+RATY_OE!BN130,"")</f>
        <v/>
      </c>
    </row>
    <row r="126" spans="1:14" ht="13" x14ac:dyDescent="0.3">
      <c r="A126" s="1783" t="str">
        <f>IF(RATY_OE!BL131&lt;&gt;"",RATY_OE!BL131,"")</f>
        <v/>
      </c>
      <c r="B126" s="1788" t="str">
        <f>IF(RATY_OE!BL131&lt;&gt;"",RATY_OE!BM131,"")</f>
        <v/>
      </c>
      <c r="C126" s="1791" t="str">
        <f>IF(RATY_OE!BL131&lt;&gt;"",RATY_OE!BN131,"")</f>
        <v/>
      </c>
      <c r="D126" s="1791" t="str">
        <f>IF(RATY_OE!BL131&lt;&gt;"",RATY_OE!BP131,"")</f>
        <v/>
      </c>
      <c r="E126" s="1791" t="str">
        <f>IF(RATY_OE!BL131&lt;&gt;"",RATY_OE!BO131,"")</f>
        <v/>
      </c>
      <c r="F126" s="1791" t="str">
        <f>IF(RATY_OE!BL131&lt;&gt;"",RATY_OE!BQ131,"")</f>
        <v/>
      </c>
      <c r="G126" s="1791" t="str">
        <f>IF(RATY_OE!BL131&lt;&gt;"",RATY_OE!BR131+RATY_OE!BN131,"")</f>
        <v/>
      </c>
    </row>
    <row r="127" spans="1:14" ht="13" x14ac:dyDescent="0.3">
      <c r="A127" s="1780" t="str">
        <f>IF(RATY_OE!BL132&lt;&gt;"",RATY_OE!BL132,"")</f>
        <v/>
      </c>
      <c r="B127" s="1796" t="str">
        <f>IF(RATY_OE!BL132&lt;&gt;"",RATY_OE!BM132,"")</f>
        <v/>
      </c>
      <c r="C127" s="1795" t="str">
        <f>IF(RATY_OE!BL132&lt;&gt;"",RATY_OE!BN132,"")</f>
        <v/>
      </c>
      <c r="D127" s="1795" t="str">
        <f>IF(RATY_OE!BL132&lt;&gt;"",RATY_OE!BP132,"")</f>
        <v/>
      </c>
      <c r="E127" s="1795" t="str">
        <f>IF(RATY_OE!BL132&lt;&gt;"",RATY_OE!BO132,"")</f>
        <v/>
      </c>
      <c r="F127" s="1795" t="str">
        <f>IF(RATY_OE!BL132&lt;&gt;"",RATY_OE!BQ132,"")</f>
        <v/>
      </c>
      <c r="G127" s="1795" t="str">
        <f>IF(RATY_OE!BL132&lt;&gt;"",RATY_OE!BR132+RATY_OE!BN132,"")</f>
        <v/>
      </c>
    </row>
    <row r="128" spans="1:14" ht="13" x14ac:dyDescent="0.3">
      <c r="A128" s="1783" t="str">
        <f>IF(RATY_OE!BL133&lt;&gt;"",RATY_OE!BL133,"")</f>
        <v/>
      </c>
      <c r="B128" s="1788" t="str">
        <f>IF(RATY_OE!BL133&lt;&gt;"",RATY_OE!BM133,"")</f>
        <v/>
      </c>
      <c r="C128" s="1791" t="str">
        <f>IF(RATY_OE!BL133&lt;&gt;"",RATY_OE!BN133,"")</f>
        <v/>
      </c>
      <c r="D128" s="1791" t="str">
        <f>IF(RATY_OE!BL133&lt;&gt;"",RATY_OE!BP133,"")</f>
        <v/>
      </c>
      <c r="E128" s="1791" t="str">
        <f>IF(RATY_OE!BL133&lt;&gt;"",RATY_OE!BO133,"")</f>
        <v/>
      </c>
      <c r="F128" s="1791" t="str">
        <f>IF(RATY_OE!BL133&lt;&gt;"",RATY_OE!BQ133,"")</f>
        <v/>
      </c>
      <c r="G128" s="1791" t="str">
        <f>IF(RATY_OE!BL133&lt;&gt;"",RATY_OE!BR133+RATY_OE!BN133,"")</f>
        <v/>
      </c>
    </row>
    <row r="129" spans="1:7" ht="13" x14ac:dyDescent="0.3">
      <c r="A129" s="1780" t="str">
        <f>IF(RATY_OE!BL134&lt;&gt;"",RATY_OE!BL134,"")</f>
        <v/>
      </c>
      <c r="B129" s="1796" t="str">
        <f>IF(RATY_OE!BL134&lt;&gt;"",RATY_OE!BM134,"")</f>
        <v/>
      </c>
      <c r="C129" s="1795" t="str">
        <f>IF(RATY_OE!BL134&lt;&gt;"",RATY_OE!BN134,"")</f>
        <v/>
      </c>
      <c r="D129" s="1795" t="str">
        <f>IF(RATY_OE!BL134&lt;&gt;"",RATY_OE!BP134,"")</f>
        <v/>
      </c>
      <c r="E129" s="1795" t="str">
        <f>IF(RATY_OE!BL134&lt;&gt;"",RATY_OE!BO134,"")</f>
        <v/>
      </c>
      <c r="F129" s="1795" t="str">
        <f>IF(RATY_OE!BL134&lt;&gt;"",RATY_OE!BQ134,"")</f>
        <v/>
      </c>
      <c r="G129" s="1795" t="str">
        <f>IF(RATY_OE!BL134&lt;&gt;"",RATY_OE!BR134+RATY_OE!BN134,"")</f>
        <v/>
      </c>
    </row>
    <row r="130" spans="1:7" ht="13" x14ac:dyDescent="0.3">
      <c r="A130" s="1783" t="str">
        <f>IF(RATY_OE!BL135&lt;&gt;"",RATY_OE!BL135,"")</f>
        <v/>
      </c>
      <c r="B130" s="1788" t="str">
        <f>IF(RATY_OE!BL135&lt;&gt;"",RATY_OE!BM135,"")</f>
        <v/>
      </c>
      <c r="C130" s="1791" t="str">
        <f>IF(RATY_OE!BL135&lt;&gt;"",RATY_OE!BN135,"")</f>
        <v/>
      </c>
      <c r="D130" s="1791" t="str">
        <f>IF(RATY_OE!BL135&lt;&gt;"",RATY_OE!BP135,"")</f>
        <v/>
      </c>
      <c r="E130" s="1791" t="str">
        <f>IF(RATY_OE!BL135&lt;&gt;"",RATY_OE!BO135,"")</f>
        <v/>
      </c>
      <c r="F130" s="1791" t="str">
        <f>IF(RATY_OE!BL135&lt;&gt;"",RATY_OE!BQ135,"")</f>
        <v/>
      </c>
      <c r="G130" s="1791" t="str">
        <f>IF(RATY_OE!BL135&lt;&gt;"",RATY_OE!BR135+RATY_OE!BN135,"")</f>
        <v/>
      </c>
    </row>
    <row r="131" spans="1:7" ht="13" x14ac:dyDescent="0.3">
      <c r="A131" s="1780" t="str">
        <f>IF(RATY_OE!BL136&lt;&gt;"",RATY_OE!BL136,"")</f>
        <v/>
      </c>
      <c r="B131" s="1796" t="str">
        <f>IF(RATY_OE!BL136&lt;&gt;"",RATY_OE!BM136,"")</f>
        <v/>
      </c>
      <c r="C131" s="1795" t="str">
        <f>IF(RATY_OE!BL136&lt;&gt;"",RATY_OE!BN136,"")</f>
        <v/>
      </c>
      <c r="D131" s="1795" t="str">
        <f>IF(RATY_OE!BL136&lt;&gt;"",RATY_OE!BP136,"")</f>
        <v/>
      </c>
      <c r="E131" s="1795" t="str">
        <f>IF(RATY_OE!BL136&lt;&gt;"",RATY_OE!BO136,"")</f>
        <v/>
      </c>
      <c r="F131" s="1795" t="str">
        <f>IF(RATY_OE!BL136&lt;&gt;"",RATY_OE!BQ136,"")</f>
        <v/>
      </c>
      <c r="G131" s="1795" t="str">
        <f>IF(RATY_OE!BL136&lt;&gt;"",RATY_OE!BR136+RATY_OE!BN136,"")</f>
        <v/>
      </c>
    </row>
    <row r="132" spans="1:7" ht="13" x14ac:dyDescent="0.3">
      <c r="A132" s="1783" t="str">
        <f>IF(RATY_OE!BL137&lt;&gt;"",RATY_OE!BL137,"")</f>
        <v/>
      </c>
      <c r="B132" s="1788" t="str">
        <f>IF(RATY_OE!BL137&lt;&gt;"",RATY_OE!BM137,"")</f>
        <v/>
      </c>
      <c r="C132" s="1791" t="str">
        <f>IF(RATY_OE!BL137&lt;&gt;"",RATY_OE!BN137,"")</f>
        <v/>
      </c>
      <c r="D132" s="1791" t="str">
        <f>IF(RATY_OE!BL137&lt;&gt;"",RATY_OE!BP137,"")</f>
        <v/>
      </c>
      <c r="E132" s="1791" t="str">
        <f>IF(RATY_OE!BL137&lt;&gt;"",RATY_OE!BO137,"")</f>
        <v/>
      </c>
      <c r="F132" s="1791" t="str">
        <f>IF(RATY_OE!BL137&lt;&gt;"",RATY_OE!BQ137,"")</f>
        <v/>
      </c>
      <c r="G132" s="1791" t="str">
        <f>IF(RATY_OE!BL137&lt;&gt;"",RATY_OE!BR137+RATY_OE!BN137,"")</f>
        <v/>
      </c>
    </row>
    <row r="133" spans="1:7" ht="13" x14ac:dyDescent="0.3">
      <c r="A133" s="1780" t="str">
        <f>IF(RATY_OE!BL138&lt;&gt;"",RATY_OE!BL138,"")</f>
        <v/>
      </c>
      <c r="B133" s="1796" t="str">
        <f>IF(RATY_OE!BL138&lt;&gt;"",RATY_OE!BM138,"")</f>
        <v/>
      </c>
      <c r="C133" s="1795" t="str">
        <f>IF(RATY_OE!BL138&lt;&gt;"",RATY_OE!BN138,"")</f>
        <v/>
      </c>
      <c r="D133" s="1795" t="str">
        <f>IF(RATY_OE!BL138&lt;&gt;"",RATY_OE!BP138,"")</f>
        <v/>
      </c>
      <c r="E133" s="1795" t="str">
        <f>IF(RATY_OE!BL138&lt;&gt;"",RATY_OE!BO138,"")</f>
        <v/>
      </c>
      <c r="F133" s="1795" t="str">
        <f>IF(RATY_OE!BL138&lt;&gt;"",RATY_OE!BQ138,"")</f>
        <v/>
      </c>
      <c r="G133" s="1795" t="str">
        <f>IF(RATY_OE!BL138&lt;&gt;"",RATY_OE!BR138+RATY_OE!BN138,"")</f>
        <v/>
      </c>
    </row>
    <row r="134" spans="1:7" ht="13" x14ac:dyDescent="0.3">
      <c r="A134" s="1783" t="str">
        <f>IF(RATY_OE!BL139&lt;&gt;"",RATY_OE!BL139,"")</f>
        <v/>
      </c>
      <c r="B134" s="1788" t="str">
        <f>IF(RATY_OE!BL139&lt;&gt;"",RATY_OE!BM139,"")</f>
        <v/>
      </c>
      <c r="C134" s="1791" t="str">
        <f>IF(RATY_OE!BL139&lt;&gt;"",RATY_OE!BN139,"")</f>
        <v/>
      </c>
      <c r="D134" s="1791" t="str">
        <f>IF(RATY_OE!BL139&lt;&gt;"",RATY_OE!BP139,"")</f>
        <v/>
      </c>
      <c r="E134" s="1791" t="str">
        <f>IF(RATY_OE!BL139&lt;&gt;"",RATY_OE!BO139,"")</f>
        <v/>
      </c>
      <c r="F134" s="1791" t="str">
        <f>IF(RATY_OE!BL139&lt;&gt;"",RATY_OE!BQ139,"")</f>
        <v/>
      </c>
      <c r="G134" s="1791" t="str">
        <f>IF(RATY_OE!BL139&lt;&gt;"",RATY_OE!BR139+RATY_OE!BN139,"")</f>
        <v/>
      </c>
    </row>
    <row r="135" spans="1:7" ht="13" x14ac:dyDescent="0.3">
      <c r="A135" s="1780" t="str">
        <f>IF(RATY_OE!BL140&lt;&gt;"",RATY_OE!BL140,"")</f>
        <v/>
      </c>
      <c r="B135" s="1796" t="str">
        <f>IF(RATY_OE!BL140&lt;&gt;"",RATY_OE!BM140,"")</f>
        <v/>
      </c>
      <c r="C135" s="1795" t="str">
        <f>IF(RATY_OE!BL140&lt;&gt;"",RATY_OE!BN140,"")</f>
        <v/>
      </c>
      <c r="D135" s="1795" t="str">
        <f>IF(RATY_OE!BL140&lt;&gt;"",RATY_OE!BP140,"")</f>
        <v/>
      </c>
      <c r="E135" s="1795" t="str">
        <f>IF(RATY_OE!BL140&lt;&gt;"",RATY_OE!BO140,"")</f>
        <v/>
      </c>
      <c r="F135" s="1795" t="str">
        <f>IF(RATY_OE!BL140&lt;&gt;"",RATY_OE!BQ140,"")</f>
        <v/>
      </c>
      <c r="G135" s="1795" t="str">
        <f>IF(RATY_OE!BL140&lt;&gt;"",RATY_OE!BR140+RATY_OE!BN140,"")</f>
        <v/>
      </c>
    </row>
    <row r="136" spans="1:7" ht="13" x14ac:dyDescent="0.3">
      <c r="A136" s="1783" t="str">
        <f>IF(RATY_OE!BL141&lt;&gt;"",RATY_OE!BL141,"")</f>
        <v/>
      </c>
      <c r="B136" s="1788" t="str">
        <f>IF(RATY_OE!BL141&lt;&gt;"",RATY_OE!BM141,"")</f>
        <v/>
      </c>
      <c r="C136" s="1791" t="str">
        <f>IF(RATY_OE!BL141&lt;&gt;"",RATY_OE!BN141,"")</f>
        <v/>
      </c>
      <c r="D136" s="1791" t="str">
        <f>IF(RATY_OE!BL141&lt;&gt;"",RATY_OE!BP141,"")</f>
        <v/>
      </c>
      <c r="E136" s="1791" t="str">
        <f>IF(RATY_OE!BL141&lt;&gt;"",RATY_OE!BO141,"")</f>
        <v/>
      </c>
      <c r="F136" s="1791" t="str">
        <f>IF(RATY_OE!BL141&lt;&gt;"",RATY_OE!BQ141,"")</f>
        <v/>
      </c>
      <c r="G136" s="1791" t="str">
        <f>IF(RATY_OE!BL141&lt;&gt;"",RATY_OE!BR141+RATY_OE!BN141,"")</f>
        <v/>
      </c>
    </row>
    <row r="137" spans="1:7" ht="13" x14ac:dyDescent="0.3">
      <c r="A137" s="1780" t="str">
        <f>IF(RATY_OE!BL142&lt;&gt;"",RATY_OE!BL142,"")</f>
        <v/>
      </c>
      <c r="B137" s="1796" t="str">
        <f>IF(RATY_OE!BL142&lt;&gt;"",RATY_OE!BM142,"")</f>
        <v/>
      </c>
      <c r="C137" s="1795" t="str">
        <f>IF(RATY_OE!BL142&lt;&gt;"",RATY_OE!BN142,"")</f>
        <v/>
      </c>
      <c r="D137" s="1795" t="str">
        <f>IF(RATY_OE!BL142&lt;&gt;"",RATY_OE!BP142,"")</f>
        <v/>
      </c>
      <c r="E137" s="1795" t="str">
        <f>IF(RATY_OE!BL142&lt;&gt;"",RATY_OE!BO142,"")</f>
        <v/>
      </c>
      <c r="F137" s="1795" t="str">
        <f>IF(RATY_OE!BL142&lt;&gt;"",RATY_OE!BQ142,"")</f>
        <v/>
      </c>
      <c r="G137" s="1795" t="str">
        <f>IF(RATY_OE!BL142&lt;&gt;"",RATY_OE!BR142+RATY_OE!BN142,"")</f>
        <v/>
      </c>
    </row>
    <row r="138" spans="1:7" ht="13" x14ac:dyDescent="0.3">
      <c r="A138" s="1783" t="str">
        <f>IF(RATY_OE!BL143&lt;&gt;"",RATY_OE!BL143,"")</f>
        <v/>
      </c>
      <c r="B138" s="1788" t="str">
        <f>IF(RATY_OE!BL143&lt;&gt;"",RATY_OE!BM143,"")</f>
        <v/>
      </c>
      <c r="C138" s="1791" t="str">
        <f>IF(RATY_OE!BL143&lt;&gt;"",RATY_OE!BN143,"")</f>
        <v/>
      </c>
      <c r="D138" s="1791" t="str">
        <f>IF(RATY_OE!BL143&lt;&gt;"",RATY_OE!BP143,"")</f>
        <v/>
      </c>
      <c r="E138" s="1791" t="str">
        <f>IF(RATY_OE!BL143&lt;&gt;"",RATY_OE!BO143,"")</f>
        <v/>
      </c>
      <c r="F138" s="1791" t="str">
        <f>IF(RATY_OE!BL143&lt;&gt;"",RATY_OE!BQ143,"")</f>
        <v/>
      </c>
      <c r="G138" s="1791" t="str">
        <f>IF(RATY_OE!BL143&lt;&gt;"",RATY_OE!BR143+RATY_OE!BN143,"")</f>
        <v/>
      </c>
    </row>
    <row r="139" spans="1:7" ht="13" x14ac:dyDescent="0.3">
      <c r="A139" s="1780" t="str">
        <f>IF(RATY_OE!BL144&lt;&gt;"",RATY_OE!BL144,"")</f>
        <v/>
      </c>
      <c r="B139" s="1796" t="str">
        <f>IF(RATY_OE!BL144&lt;&gt;"",RATY_OE!BM144,"")</f>
        <v/>
      </c>
      <c r="C139" s="1795" t="str">
        <f>IF(RATY_OE!BL144&lt;&gt;"",RATY_OE!BN144,"")</f>
        <v/>
      </c>
      <c r="D139" s="1795" t="str">
        <f>IF(RATY_OE!BL144&lt;&gt;"",RATY_OE!BP144,"")</f>
        <v/>
      </c>
      <c r="E139" s="1795" t="str">
        <f>IF(RATY_OE!BL144&lt;&gt;"",RATY_OE!BO144,"")</f>
        <v/>
      </c>
      <c r="F139" s="1795" t="str">
        <f>IF(RATY_OE!BL144&lt;&gt;"",RATY_OE!BQ144,"")</f>
        <v/>
      </c>
      <c r="G139" s="1795" t="str">
        <f>IF(RATY_OE!BL144&lt;&gt;"",RATY_OE!BR144+RATY_OE!BN144,"")</f>
        <v/>
      </c>
    </row>
    <row r="140" spans="1:7" ht="13" x14ac:dyDescent="0.3">
      <c r="A140" s="1783" t="str">
        <f>IF(RATY_OE!BL145&lt;&gt;"",RATY_OE!BL145,"")</f>
        <v/>
      </c>
      <c r="B140" s="1788" t="str">
        <f>IF(RATY_OE!BL145&lt;&gt;"",RATY_OE!BM145,"")</f>
        <v/>
      </c>
      <c r="C140" s="1791" t="str">
        <f>IF(RATY_OE!BL145&lt;&gt;"",RATY_OE!BN145,"")</f>
        <v/>
      </c>
      <c r="D140" s="1791" t="str">
        <f>IF(RATY_OE!BL145&lt;&gt;"",RATY_OE!BP145,"")</f>
        <v/>
      </c>
      <c r="E140" s="1791" t="str">
        <f>IF(RATY_OE!BL145&lt;&gt;"",RATY_OE!BO145,"")</f>
        <v/>
      </c>
      <c r="F140" s="1791" t="str">
        <f>IF(RATY_OE!BL145&lt;&gt;"",RATY_OE!BQ145,"")</f>
        <v/>
      </c>
      <c r="G140" s="1791" t="str">
        <f>IF(RATY_OE!BL145&lt;&gt;"",RATY_OE!BR145+RATY_OE!BN145,"")</f>
        <v/>
      </c>
    </row>
    <row r="141" spans="1:7" ht="13" x14ac:dyDescent="0.3">
      <c r="A141" s="1780" t="str">
        <f>IF(RATY_OE!BL146&lt;&gt;"",RATY_OE!BL146,"")</f>
        <v/>
      </c>
      <c r="B141" s="1796" t="str">
        <f>IF(RATY_OE!BL146&lt;&gt;"",RATY_OE!BM146,"")</f>
        <v/>
      </c>
      <c r="C141" s="1795" t="str">
        <f>IF(RATY_OE!BL146&lt;&gt;"",RATY_OE!BN146,"")</f>
        <v/>
      </c>
      <c r="D141" s="1795" t="str">
        <f>IF(RATY_OE!BL146&lt;&gt;"",RATY_OE!BP146,"")</f>
        <v/>
      </c>
      <c r="E141" s="1795" t="str">
        <f>IF(RATY_OE!BL146&lt;&gt;"",RATY_OE!BO146,"")</f>
        <v/>
      </c>
      <c r="F141" s="1795" t="str">
        <f>IF(RATY_OE!BL146&lt;&gt;"",RATY_OE!BQ146,"")</f>
        <v/>
      </c>
      <c r="G141" s="1795" t="str">
        <f>IF(RATY_OE!BL146&lt;&gt;"",RATY_OE!BR146+RATY_OE!BN146,"")</f>
        <v/>
      </c>
    </row>
    <row r="142" spans="1:7" ht="13" x14ac:dyDescent="0.3">
      <c r="A142" s="1783" t="str">
        <f>IF(RATY_OE!BL147&lt;&gt;"",RATY_OE!BL147,"")</f>
        <v/>
      </c>
      <c r="B142" s="1788" t="str">
        <f>IF(RATY_OE!BL147&lt;&gt;"",RATY_OE!BM147,"")</f>
        <v/>
      </c>
      <c r="C142" s="1791" t="str">
        <f>IF(RATY_OE!BL147&lt;&gt;"",RATY_OE!BN147,"")</f>
        <v/>
      </c>
      <c r="D142" s="1791" t="str">
        <f>IF(RATY_OE!BL147&lt;&gt;"",RATY_OE!BP147,"")</f>
        <v/>
      </c>
      <c r="E142" s="1791" t="str">
        <f>IF(RATY_OE!BL147&lt;&gt;"",RATY_OE!BO147,"")</f>
        <v/>
      </c>
      <c r="F142" s="1791" t="str">
        <f>IF(RATY_OE!BL147&lt;&gt;"",RATY_OE!BQ147,"")</f>
        <v/>
      </c>
      <c r="G142" s="1791" t="str">
        <f>IF(RATY_OE!BL147&lt;&gt;"",RATY_OE!BR147+RATY_OE!BN147,"")</f>
        <v/>
      </c>
    </row>
    <row r="143" spans="1:7" ht="13" x14ac:dyDescent="0.3">
      <c r="A143" s="1780" t="str">
        <f>IF(RATY_OE!BL148&lt;&gt;"",RATY_OE!BL148,"")</f>
        <v/>
      </c>
      <c r="B143" s="1796" t="str">
        <f>IF(RATY_OE!BL148&lt;&gt;"",RATY_OE!BM148,"")</f>
        <v/>
      </c>
      <c r="C143" s="1795" t="str">
        <f>IF(RATY_OE!BL148&lt;&gt;"",RATY_OE!BN148,"")</f>
        <v/>
      </c>
      <c r="D143" s="1795" t="str">
        <f>IF(RATY_OE!BL148&lt;&gt;"",RATY_OE!BP148,"")</f>
        <v/>
      </c>
      <c r="E143" s="1795" t="str">
        <f>IF(RATY_OE!BL148&lt;&gt;"",RATY_OE!BO148,"")</f>
        <v/>
      </c>
      <c r="F143" s="1795" t="str">
        <f>IF(RATY_OE!BL148&lt;&gt;"",RATY_OE!BQ148,"")</f>
        <v/>
      </c>
      <c r="G143" s="1795" t="str">
        <f>IF(RATY_OE!BL148&lt;&gt;"",RATY_OE!BR148+RATY_OE!BN148,"")</f>
        <v/>
      </c>
    </row>
    <row r="144" spans="1:7" ht="13" x14ac:dyDescent="0.3">
      <c r="A144" s="1783" t="str">
        <f>IF(RATY_OE!BL149&lt;&gt;"",RATY_OE!BL149,"")</f>
        <v/>
      </c>
      <c r="B144" s="1788" t="str">
        <f>IF(RATY_OE!BL149&lt;&gt;"",RATY_OE!BM149,"")</f>
        <v/>
      </c>
      <c r="C144" s="1791" t="str">
        <f>IF(RATY_OE!BL149&lt;&gt;"",RATY_OE!BN149,"")</f>
        <v/>
      </c>
      <c r="D144" s="1791" t="str">
        <f>IF(RATY_OE!BL149&lt;&gt;"",RATY_OE!BP149,"")</f>
        <v/>
      </c>
      <c r="E144" s="1791" t="str">
        <f>IF(RATY_OE!BL149&lt;&gt;"",RATY_OE!BO149,"")</f>
        <v/>
      </c>
      <c r="F144" s="1791" t="str">
        <f>IF(RATY_OE!BL149&lt;&gt;"",RATY_OE!BQ149,"")</f>
        <v/>
      </c>
      <c r="G144" s="1791" t="str">
        <f>IF(RATY_OE!BL149&lt;&gt;"",RATY_OE!BR149+RATY_OE!BN149,"")</f>
        <v/>
      </c>
    </row>
    <row r="145" spans="1:7" ht="13" x14ac:dyDescent="0.3">
      <c r="A145" s="1780" t="str">
        <f>IF(RATY_OE!BL150&lt;&gt;"",RATY_OE!BL150,"")</f>
        <v/>
      </c>
      <c r="B145" s="1796" t="str">
        <f>IF(RATY_OE!BL150&lt;&gt;"",RATY_OE!BM150,"")</f>
        <v/>
      </c>
      <c r="C145" s="1795" t="str">
        <f>IF(RATY_OE!BL150&lt;&gt;"",RATY_OE!BN150,"")</f>
        <v/>
      </c>
      <c r="D145" s="1795" t="str">
        <f>IF(RATY_OE!BL150&lt;&gt;"",RATY_OE!BP150,"")</f>
        <v/>
      </c>
      <c r="E145" s="1795" t="str">
        <f>IF(RATY_OE!BL150&lt;&gt;"",RATY_OE!BO150,"")</f>
        <v/>
      </c>
      <c r="F145" s="1795" t="str">
        <f>IF(RATY_OE!BL150&lt;&gt;"",RATY_OE!BQ150,"")</f>
        <v/>
      </c>
      <c r="G145" s="1795" t="str">
        <f>IF(RATY_OE!BL150&lt;&gt;"",RATY_OE!BR150+RATY_OE!BN150,"")</f>
        <v/>
      </c>
    </row>
    <row r="146" spans="1:7" x14ac:dyDescent="0.25">
      <c r="A146" s="609" t="s">
        <v>47</v>
      </c>
      <c r="B146" s="265" t="str">
        <f>IF(Raty_RRSO!B107&lt;&gt;"",Raty_RRSO!D107,"")</f>
        <v/>
      </c>
      <c r="C146" s="611" t="str">
        <f>IF(Raty_RRSO!B107&lt;&gt;"",Raty_RRSO!H107,"")</f>
        <v/>
      </c>
      <c r="D146" s="611" t="str">
        <f>IF(Raty_RRSO!B107&lt;&gt;"",Raty_RRSO!F107,"")</f>
        <v/>
      </c>
      <c r="E146" s="611" t="str">
        <f>IF(Raty_RRSO!B107&lt;&gt;"",Raty_RRSO!E107,"")</f>
        <v/>
      </c>
      <c r="F146" s="611" t="str">
        <f>IF(Raty_RRSO!B107&lt;&gt;"",Raty_RRSO!G107,"")</f>
        <v/>
      </c>
    </row>
    <row r="147" spans="1:7" x14ac:dyDescent="0.25">
      <c r="A147" s="609" t="s">
        <v>47</v>
      </c>
      <c r="B147" s="609" t="s">
        <v>47</v>
      </c>
      <c r="C147" s="612" t="s">
        <v>47</v>
      </c>
      <c r="D147" s="609" t="s">
        <v>47</v>
      </c>
      <c r="E147" s="609" t="s">
        <v>47</v>
      </c>
      <c r="F147" s="609" t="s">
        <v>47</v>
      </c>
      <c r="G147" s="609" t="s">
        <v>47</v>
      </c>
    </row>
  </sheetData>
  <mergeCells count="18">
    <mergeCell ref="F20:G20"/>
    <mergeCell ref="F21:G21"/>
    <mergeCell ref="A16:E16"/>
    <mergeCell ref="A23:B23"/>
    <mergeCell ref="F18:G18"/>
    <mergeCell ref="F17:G17"/>
    <mergeCell ref="A18:E18"/>
    <mergeCell ref="A17:E17"/>
    <mergeCell ref="A20:E20"/>
    <mergeCell ref="A19:E19"/>
    <mergeCell ref="A21:E21"/>
    <mergeCell ref="A22:E22"/>
    <mergeCell ref="F22:G22"/>
    <mergeCell ref="A12:G14"/>
    <mergeCell ref="C5:G5"/>
    <mergeCell ref="A15:G15"/>
    <mergeCell ref="F16:G16"/>
    <mergeCell ref="F19:G19"/>
  </mergeCells>
  <pageMargins left="0.70866141732283472" right="0.70866141732283472" top="0.74803149606299213" bottom="0.74803149606299213" header="0.31496062992125984" footer="0.31496062992125984"/>
  <pageSetup paperSize="9" scale="96" fitToHeight="0" orientation="portrait" r:id="rId1"/>
  <headerFooter>
    <oddHeader>&amp;L&amp;"ING Me,Standardowy"&amp;K00-034Data: &amp;D&amp;R&amp;G</oddHeader>
    <oddFooter>&amp;C&amp;G&amp;R&amp;"ING Me,Standardowy"&amp;K00-034&amp;P/&amp;N</oddFooter>
    <evenFooter>&amp;R&amp;P/&amp;N</evenFooter>
  </headerFooter>
  <ignoredErrors>
    <ignoredError sqref="A26:A27 B27:E27 B26 D26:E26" calculatedColumn="1"/>
  </ignoredErrors>
  <drawing r:id="rId2"/>
  <legacyDrawing r:id="rId3"/>
  <legacyDrawingHF r:id="rId4"/>
  <controls>
    <mc:AlternateContent xmlns:mc="http://schemas.openxmlformats.org/markup-compatibility/2006">
      <mc:Choice Requires="x14">
        <control shapeId="31748" r:id="rId5" name="cmdPrintArea">
          <controlPr autoLine="0" r:id="rId6">
            <anchor moveWithCells="1">
              <from>
                <xdr:col>2</xdr:col>
                <xdr:colOff>0</xdr:colOff>
                <xdr:row>0</xdr:row>
                <xdr:rowOff>0</xdr:rowOff>
              </from>
              <to>
                <xdr:col>3</xdr:col>
                <xdr:colOff>704850</xdr:colOff>
                <xdr:row>2</xdr:row>
                <xdr:rowOff>107950</xdr:rowOff>
              </to>
            </anchor>
          </controlPr>
        </control>
      </mc:Choice>
      <mc:Fallback>
        <control shapeId="31748" r:id="rId5" name="cmdPrintArea"/>
      </mc:Fallback>
    </mc:AlternateContent>
    <mc:AlternateContent xmlns:mc="http://schemas.openxmlformats.org/markup-compatibility/2006">
      <mc:Choice Requires="x14">
        <control shapeId="31746" r:id="rId7" name="Button 2">
          <controlPr defaultSize="0" print="0" autoFill="0" autoPict="0" macro="[0]!PRZYCISKPowrotDoGlownegoARK" altText="POWRÓT">
            <anchor moveWithCells="1" sizeWithCells="1">
              <from>
                <xdr:col>4</xdr:col>
                <xdr:colOff>0</xdr:colOff>
                <xdr:row>0</xdr:row>
                <xdr:rowOff>12700</xdr:rowOff>
              </from>
              <to>
                <xdr:col>6</xdr:col>
                <xdr:colOff>184150</xdr:colOff>
                <xdr:row>2</xdr:row>
                <xdr:rowOff>114300</xdr:rowOff>
              </to>
            </anchor>
          </controlPr>
        </control>
      </mc:Choice>
    </mc:AlternateContent>
  </controls>
  <tableParts count="1">
    <tablePart r:id="rId8"/>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6"/>
  <dimension ref="N1:N27"/>
  <sheetViews>
    <sheetView topLeftCell="A27" workbookViewId="0">
      <selection activeCell="L45" sqref="L45"/>
    </sheetView>
  </sheetViews>
  <sheetFormatPr defaultColWidth="8.81640625" defaultRowHeight="12.5" outlineLevelRow="1" x14ac:dyDescent="0.25"/>
  <cols>
    <col min="1" max="13" width="8.81640625" style="684"/>
    <col min="14" max="14" width="21.54296875" style="684" customWidth="1"/>
    <col min="15" max="16384" width="8.81640625" style="684"/>
  </cols>
  <sheetData>
    <row r="1" spans="14:14" hidden="1" outlineLevel="1" x14ac:dyDescent="0.25"/>
    <row r="2" spans="14:14" hidden="1" outlineLevel="1" x14ac:dyDescent="0.25"/>
    <row r="3" spans="14:14" hidden="1" outlineLevel="1" x14ac:dyDescent="0.25">
      <c r="N3" s="684" t="s">
        <v>1827</v>
      </c>
    </row>
    <row r="4" spans="14:14" hidden="1" outlineLevel="1" x14ac:dyDescent="0.25">
      <c r="N4" s="685" t="s">
        <v>1828</v>
      </c>
    </row>
    <row r="5" spans="14:14" hidden="1" outlineLevel="1" x14ac:dyDescent="0.25"/>
    <row r="6" spans="14:14" hidden="1" outlineLevel="1" x14ac:dyDescent="0.25"/>
    <row r="7" spans="14:14" hidden="1" outlineLevel="1" x14ac:dyDescent="0.25"/>
    <row r="8" spans="14:14" hidden="1" outlineLevel="1" x14ac:dyDescent="0.25"/>
    <row r="9" spans="14:14" hidden="1" outlineLevel="1" x14ac:dyDescent="0.25"/>
    <row r="10" spans="14:14" hidden="1" outlineLevel="1" x14ac:dyDescent="0.25"/>
    <row r="11" spans="14:14" hidden="1" outlineLevel="1" x14ac:dyDescent="0.25"/>
    <row r="12" spans="14:14" hidden="1" outlineLevel="1" x14ac:dyDescent="0.25"/>
    <row r="13" spans="14:14" hidden="1" outlineLevel="1" x14ac:dyDescent="0.25"/>
    <row r="14" spans="14:14" hidden="1" outlineLevel="1" x14ac:dyDescent="0.25"/>
    <row r="15" spans="14:14" hidden="1" outlineLevel="1" x14ac:dyDescent="0.25"/>
    <row r="16" spans="14:14" hidden="1" outlineLevel="1" x14ac:dyDescent="0.25"/>
    <row r="17" hidden="1" outlineLevel="1" x14ac:dyDescent="0.25"/>
    <row r="18" hidden="1" outlineLevel="1" x14ac:dyDescent="0.25"/>
    <row r="19" hidden="1" outlineLevel="1" x14ac:dyDescent="0.25"/>
    <row r="20" hidden="1" outlineLevel="1" x14ac:dyDescent="0.25"/>
    <row r="21" hidden="1" outlineLevel="1" x14ac:dyDescent="0.25"/>
    <row r="22" hidden="1" outlineLevel="1" x14ac:dyDescent="0.25"/>
    <row r="23" hidden="1" outlineLevel="1" x14ac:dyDescent="0.25"/>
    <row r="24" hidden="1" outlineLevel="1" x14ac:dyDescent="0.25"/>
    <row r="25" hidden="1" outlineLevel="1" x14ac:dyDescent="0.25"/>
    <row r="26" hidden="1" outlineLevel="1" x14ac:dyDescent="0.25"/>
    <row r="27" collapsed="1" x14ac:dyDescent="0.25"/>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5"/>
  <dimension ref="A1:AY72"/>
  <sheetViews>
    <sheetView zoomScaleNormal="100" workbookViewId="0">
      <pane ySplit="10" topLeftCell="A11" activePane="bottomLeft" state="frozen"/>
      <selection activeCell="D5" sqref="D5"/>
      <selection pane="bottomLeft" activeCell="H1" sqref="H1:I1"/>
    </sheetView>
  </sheetViews>
  <sheetFormatPr defaultColWidth="8.81640625" defaultRowHeight="12.5" x14ac:dyDescent="0.25"/>
  <cols>
    <col min="1" max="1" width="25.26953125" style="814" customWidth="1"/>
    <col min="2" max="2" width="22.7265625" style="814" customWidth="1"/>
    <col min="3" max="3" width="22.54296875" style="814" customWidth="1"/>
    <col min="4" max="4" width="7.26953125" style="814" customWidth="1"/>
    <col min="5" max="6" width="7.7265625" style="814" customWidth="1"/>
    <col min="7" max="7" width="12.7265625" style="814" customWidth="1"/>
    <col min="8" max="8" width="13" style="814" customWidth="1"/>
    <col min="9" max="9" width="13.54296875" style="814" customWidth="1"/>
    <col min="10" max="10" width="2.7265625" style="814" customWidth="1"/>
    <col min="11" max="11" width="10.54296875" style="814" customWidth="1"/>
    <col min="12" max="12" width="14" style="814" customWidth="1"/>
    <col min="13" max="13" width="20.26953125" style="814" customWidth="1"/>
    <col min="14" max="30" width="8.81640625" style="814"/>
    <col min="31" max="31" width="7.54296875" style="814" customWidth="1"/>
    <col min="32" max="32" width="13" style="814" customWidth="1"/>
    <col min="33" max="34" width="10.26953125" style="814" customWidth="1"/>
    <col min="35" max="38" width="9.81640625" style="814" customWidth="1"/>
    <col min="39" max="43" width="8.81640625" style="814"/>
    <col min="44" max="44" width="12.26953125" style="814" customWidth="1"/>
    <col min="45" max="16384" width="8.81640625" style="814"/>
  </cols>
  <sheetData>
    <row r="1" spans="1:51" ht="18" customHeight="1" thickBot="1" x14ac:dyDescent="0.3">
      <c r="A1" s="815"/>
      <c r="B1" s="816" t="s">
        <v>1853</v>
      </c>
      <c r="C1" s="813"/>
      <c r="E1" s="1938" t="s">
        <v>1887</v>
      </c>
      <c r="F1" s="1939"/>
      <c r="G1" s="1939"/>
      <c r="H1" s="1940" t="s">
        <v>1893</v>
      </c>
      <c r="I1" s="1941"/>
      <c r="K1" s="854" t="str">
        <f>IF(MID(H1,1,1)&lt;&gt;" ",MID(H1,1,1),0)</f>
        <v>2</v>
      </c>
      <c r="AG1" s="1128" t="str">
        <f>WERSJA2!T8</f>
        <v>MOJE ING</v>
      </c>
      <c r="AH1" s="1132">
        <v>20</v>
      </c>
    </row>
    <row r="2" spans="1:51" ht="13" x14ac:dyDescent="0.25">
      <c r="B2" s="830" t="s">
        <v>34</v>
      </c>
      <c r="C2" s="1134" t="s">
        <v>1</v>
      </c>
      <c r="D2" s="1287" t="str">
        <f>WERSJA2!D9</f>
        <v>MOJE ING</v>
      </c>
      <c r="E2" s="1286" t="str">
        <f>PreOfertownik!E4</f>
        <v>UWAGA Wszystkie obliczenia tylko dla ubezpieczenia jednorazowego</v>
      </c>
      <c r="K2" s="855">
        <v>0</v>
      </c>
      <c r="L2" s="814" t="s">
        <v>1927</v>
      </c>
      <c r="AG2" s="1128" t="str">
        <f>WERSJA2!T9</f>
        <v>INNY KANAŁ SPRZEDAŻY</v>
      </c>
      <c r="AH2" s="1132">
        <v>12</v>
      </c>
    </row>
    <row r="3" spans="1:51" ht="13.5" thickBot="1" x14ac:dyDescent="0.3">
      <c r="B3" s="795" t="s">
        <v>42</v>
      </c>
      <c r="C3" s="856">
        <f>WDochNETTO</f>
        <v>1000000</v>
      </c>
      <c r="E3" s="1942" t="s">
        <v>1885</v>
      </c>
      <c r="F3" s="1942"/>
      <c r="G3" s="1942"/>
      <c r="H3" s="1458">
        <v>20000</v>
      </c>
      <c r="I3" s="827" t="str">
        <f>IF(AND($K$1="1",H3&lt;=0),"Wpisz liczbę większą od 0","")</f>
        <v/>
      </c>
      <c r="K3" s="855">
        <f>IF(H3&gt;0,1,0)</f>
        <v>1</v>
      </c>
      <c r="L3" s="829"/>
      <c r="AG3" s="1128" t="str">
        <f>WERSJA2!T10</f>
        <v>MOBILE</v>
      </c>
      <c r="AH3" s="1132">
        <v>6</v>
      </c>
    </row>
    <row r="4" spans="1:51" ht="13" x14ac:dyDescent="0.25">
      <c r="B4" s="822" t="s">
        <v>1821</v>
      </c>
      <c r="C4" s="857">
        <f>'Miesieczne Obciazenia'!E11-'Miesieczne Obciazenia'!E57</f>
        <v>0</v>
      </c>
      <c r="E4" s="1943" t="s">
        <v>1894</v>
      </c>
      <c r="F4" s="1943"/>
      <c r="G4" s="1943"/>
      <c r="H4" s="831"/>
      <c r="I4" s="827" t="str">
        <f>IF(AND($K$1="1",H4&lt;=0),"Wpisz liczbę od 2 do 96","")</f>
        <v/>
      </c>
      <c r="K4" s="855">
        <f>IF(I4="",1,0)</f>
        <v>1</v>
      </c>
      <c r="L4" s="831"/>
      <c r="Q4" s="827" t="s">
        <v>1910</v>
      </c>
      <c r="AG4" s="1128">
        <f>WERSJA2!T12</f>
        <v>0</v>
      </c>
      <c r="AH4" s="1132">
        <v>20</v>
      </c>
      <c r="AK4" s="814">
        <f>1-WSP_TNkrU</f>
        <v>1</v>
      </c>
      <c r="AV4" s="876" t="s">
        <v>1926</v>
      </c>
    </row>
    <row r="5" spans="1:51" ht="13.5" thickBot="1" x14ac:dyDescent="0.3">
      <c r="B5" s="795" t="s">
        <v>43</v>
      </c>
      <c r="C5" s="858">
        <f>WERSJA2!D28</f>
        <v>1</v>
      </c>
      <c r="E5" s="1942" t="s">
        <v>1891</v>
      </c>
      <c r="F5" s="1942"/>
      <c r="G5" s="1942"/>
      <c r="H5" s="1458">
        <v>450</v>
      </c>
      <c r="I5" s="827" t="str">
        <f>IF(AND($K$1="2",$C$7&lt;$H$5),"Wpisz kwotę nie przekraczającą zdolności","")</f>
        <v/>
      </c>
      <c r="J5" s="839"/>
      <c r="K5" s="855">
        <f>IF(I5="",1,0)</f>
        <v>1</v>
      </c>
      <c r="L5" s="829"/>
      <c r="AG5" s="1128">
        <f>WERSJA2!T13</f>
        <v>0</v>
      </c>
      <c r="AH5" s="1132">
        <v>12</v>
      </c>
      <c r="AK5" s="814">
        <f>WSP_TNkrU</f>
        <v>0</v>
      </c>
      <c r="AV5" s="877" t="e">
        <f>SUM(AV11:AV42)</f>
        <v>#N/A</v>
      </c>
    </row>
    <row r="6" spans="1:51" ht="13" x14ac:dyDescent="0.25">
      <c r="B6" s="822" t="s">
        <v>172</v>
      </c>
      <c r="C6" s="859">
        <f>Wgd</f>
        <v>200</v>
      </c>
      <c r="K6" s="878" t="s">
        <v>1917</v>
      </c>
      <c r="Q6" s="827" t="s">
        <v>1907</v>
      </c>
      <c r="AH6" s="1135" t="e">
        <f>VLOOKUP(C2,AG1:AH5,2,FALSE)</f>
        <v>#N/A</v>
      </c>
      <c r="AK6" s="827" t="s">
        <v>1902</v>
      </c>
      <c r="AL6" s="827"/>
      <c r="AM6" s="827"/>
    </row>
    <row r="7" spans="1:51" ht="13.5" thickBot="1" x14ac:dyDescent="0.35">
      <c r="B7" s="795" t="s">
        <v>45</v>
      </c>
      <c r="C7" s="860">
        <f>WskazZdolnosc</f>
        <v>600000</v>
      </c>
      <c r="K7" s="877">
        <f>K1*K3*K4*K5</f>
        <v>2</v>
      </c>
      <c r="AF7" s="828" t="s">
        <v>1918</v>
      </c>
      <c r="AK7" s="827" t="s">
        <v>1919</v>
      </c>
      <c r="AL7" s="827"/>
    </row>
    <row r="8" spans="1:51" ht="13" x14ac:dyDescent="0.3">
      <c r="A8" s="1222" t="s">
        <v>2122</v>
      </c>
      <c r="B8" s="835" t="s">
        <v>1858</v>
      </c>
      <c r="C8" s="861">
        <f>'Miesieczne Obciazenia'!D55</f>
        <v>0</v>
      </c>
      <c r="U8" s="827"/>
      <c r="V8" s="827"/>
      <c r="W8" s="827" t="s">
        <v>2179</v>
      </c>
      <c r="AB8" s="827"/>
      <c r="AC8" s="827"/>
      <c r="AD8" s="827"/>
      <c r="AE8" s="827"/>
      <c r="AF8" s="863">
        <f>WskazZdolnosc-2</f>
        <v>599998</v>
      </c>
      <c r="AI8" s="827" t="s">
        <v>1900</v>
      </c>
      <c r="AK8" s="827" t="s">
        <v>1903</v>
      </c>
      <c r="AL8" s="827"/>
      <c r="AW8" s="873" t="s">
        <v>1922</v>
      </c>
      <c r="AY8" s="873" t="s">
        <v>1929</v>
      </c>
    </row>
    <row r="9" spans="1:51" ht="27" customHeight="1" x14ac:dyDescent="0.25">
      <c r="A9" s="1223" t="str">
        <f>APLIKACJA</f>
        <v>FrontEnd</v>
      </c>
      <c r="B9" s="1936" t="str">
        <f>"Liczba rat ograniczona w ramach granic Szablonów Ofert.
 Kwota ograniczona również zdolnością dla wniosku."</f>
        <v>Liczba rat ograniczona w ramach granic Szablonów Ofert.
 Kwota ograniczona również zdolnością dla wniosku.</v>
      </c>
      <c r="C9" s="1937"/>
      <c r="D9" s="1937"/>
      <c r="E9" s="1937"/>
      <c r="F9" s="1937"/>
      <c r="G9" s="1937"/>
      <c r="H9" s="1937"/>
      <c r="I9" s="1937"/>
      <c r="N9" s="1133" t="str">
        <f>IF((MID(C2,1,5)="STAŁY"),"STAŁY","POZOSTAŁY")</f>
        <v>POZOSTAŁY</v>
      </c>
      <c r="W9" s="1464">
        <v>0</v>
      </c>
      <c r="AA9" s="873"/>
      <c r="AF9" s="827" t="s">
        <v>1859</v>
      </c>
      <c r="AI9" s="827" t="s">
        <v>1861</v>
      </c>
      <c r="AK9" s="827"/>
      <c r="AL9" s="1934" t="s">
        <v>1904</v>
      </c>
      <c r="AN9" s="827" t="s">
        <v>2121</v>
      </c>
      <c r="AP9" s="1932" t="s">
        <v>1906</v>
      </c>
      <c r="AT9" s="874"/>
      <c r="AU9" s="873"/>
      <c r="AV9" s="827" t="s">
        <v>1916</v>
      </c>
      <c r="AW9" s="875" t="s">
        <v>1923</v>
      </c>
      <c r="AX9" s="902" t="s">
        <v>1925</v>
      </c>
      <c r="AY9" s="902" t="s">
        <v>1930</v>
      </c>
    </row>
    <row r="10" spans="1:51" s="721" customFormat="1" ht="42" customHeight="1" thickBot="1" x14ac:dyDescent="0.3">
      <c r="A10" s="798" t="s">
        <v>1882</v>
      </c>
      <c r="B10" s="796" t="s">
        <v>31</v>
      </c>
      <c r="C10" s="722" t="s">
        <v>32</v>
      </c>
      <c r="D10" s="722" t="s">
        <v>1884</v>
      </c>
      <c r="E10" s="722" t="s">
        <v>5</v>
      </c>
      <c r="F10" s="722" t="s">
        <v>6</v>
      </c>
      <c r="G10" s="722" t="s">
        <v>1849</v>
      </c>
      <c r="H10" s="722" t="s">
        <v>1836</v>
      </c>
      <c r="I10" s="864" t="s">
        <v>2148</v>
      </c>
      <c r="J10" s="855"/>
      <c r="K10" s="724" t="s">
        <v>1895</v>
      </c>
      <c r="L10" s="723" t="s">
        <v>31</v>
      </c>
      <c r="M10" s="723" t="s">
        <v>32</v>
      </c>
      <c r="N10" s="799" t="s">
        <v>2084</v>
      </c>
      <c r="O10" s="723" t="s">
        <v>1854</v>
      </c>
      <c r="P10" s="724" t="s">
        <v>1855</v>
      </c>
      <c r="Q10" s="723" t="s">
        <v>1911</v>
      </c>
      <c r="R10" s="723" t="s">
        <v>1912</v>
      </c>
      <c r="S10" s="723" t="s">
        <v>1908</v>
      </c>
      <c r="T10" s="723" t="s">
        <v>1909</v>
      </c>
      <c r="U10" s="836" t="s">
        <v>5</v>
      </c>
      <c r="V10" s="723" t="s">
        <v>6</v>
      </c>
      <c r="W10" s="744" t="s">
        <v>1848</v>
      </c>
      <c r="X10" s="723" t="s">
        <v>1896</v>
      </c>
      <c r="Y10" s="723" t="s">
        <v>1897</v>
      </c>
      <c r="Z10" s="724" t="s">
        <v>1928</v>
      </c>
      <c r="AA10" s="723" t="s">
        <v>1920</v>
      </c>
      <c r="AB10" s="849" t="s">
        <v>1914</v>
      </c>
      <c r="AC10" s="735" t="s">
        <v>1898</v>
      </c>
      <c r="AD10" s="723" t="s">
        <v>5</v>
      </c>
      <c r="AE10" s="736" t="s">
        <v>1856</v>
      </c>
      <c r="AF10" s="723" t="s">
        <v>1862</v>
      </c>
      <c r="AG10" s="749" t="s">
        <v>1857</v>
      </c>
      <c r="AH10" s="735" t="s">
        <v>1863</v>
      </c>
      <c r="AI10" s="736" t="s">
        <v>1899</v>
      </c>
      <c r="AJ10" s="834" t="s">
        <v>1905</v>
      </c>
      <c r="AK10" s="736" t="s">
        <v>1901</v>
      </c>
      <c r="AL10" s="1935"/>
      <c r="AM10" s="723" t="s">
        <v>1850</v>
      </c>
      <c r="AN10" s="723" t="s">
        <v>1867</v>
      </c>
      <c r="AO10" s="723" t="s">
        <v>1868</v>
      </c>
      <c r="AP10" s="1933"/>
      <c r="AQ10" s="724" t="s">
        <v>1876</v>
      </c>
      <c r="AR10" s="741" t="s">
        <v>1872</v>
      </c>
      <c r="AS10" s="741" t="s">
        <v>1873</v>
      </c>
      <c r="AT10" s="850" t="s">
        <v>1915</v>
      </c>
      <c r="AU10" s="741" t="s">
        <v>1924</v>
      </c>
      <c r="AV10" s="742" t="s">
        <v>1871</v>
      </c>
      <c r="AW10" s="720"/>
      <c r="AX10" s="720"/>
    </row>
    <row r="11" spans="1:51" s="728" customFormat="1" ht="16.899999999999999" customHeight="1" thickTop="1" thickBot="1" x14ac:dyDescent="0.35">
      <c r="A11" s="794" t="s">
        <v>174</v>
      </c>
      <c r="B11" s="797" t="str">
        <f t="shared" ref="B11:B39" si="0">IF(AV11=0,"",L11)</f>
        <v/>
      </c>
      <c r="C11" s="726" t="str">
        <f t="shared" ref="C11:C39" si="1">IF(AV11=0,"",M11)</f>
        <v/>
      </c>
      <c r="D11" s="748" t="str">
        <f t="shared" ref="D11:D39" si="2">IF(AV11=0,"",AB11)</f>
        <v/>
      </c>
      <c r="E11" s="727" t="str">
        <f t="shared" ref="E11:E39" si="3">IF(AV11=0,"",U11)</f>
        <v/>
      </c>
      <c r="F11" s="727" t="str">
        <f t="shared" ref="F11:F39" si="4">IF(AV11=0,"",V11)</f>
        <v/>
      </c>
      <c r="G11" s="743" t="str">
        <f t="shared" ref="G11:G39" si="5">IF(AV11=0,"",AR11)</f>
        <v/>
      </c>
      <c r="H11" s="743" t="str">
        <f t="shared" ref="H11:H39" si="6">IF(AV11=0,"",AP11)</f>
        <v/>
      </c>
      <c r="I11" s="871" t="str">
        <f t="shared" ref="I11:I39" si="7">IF(AV11=0,"",AS11)</f>
        <v/>
      </c>
      <c r="J11" s="855"/>
      <c r="K11" s="734">
        <f t="shared" ref="K11:K24" si="8">IF($K$1="1",1,0)</f>
        <v>0</v>
      </c>
      <c r="L11" s="806" t="s">
        <v>2040</v>
      </c>
      <c r="M11" s="804" t="s">
        <v>184</v>
      </c>
      <c r="N11" s="800" t="str">
        <f t="shared" ref="N11:N24" si="9">DccStatusKliUproszcz</f>
        <v>POZOSTAŁY</v>
      </c>
      <c r="O11" s="740">
        <v>800</v>
      </c>
      <c r="P11" s="734">
        <f t="shared" ref="P11:P22" si="10">IF(WDochNETTO&gt;=O11,1,0)</f>
        <v>1</v>
      </c>
      <c r="Q11" s="837" t="s">
        <v>47</v>
      </c>
      <c r="R11" s="837" t="s">
        <v>47</v>
      </c>
      <c r="S11" s="747">
        <v>0.155</v>
      </c>
      <c r="T11" s="747">
        <v>0.17</v>
      </c>
      <c r="U11" s="745">
        <f>IF(DccStatusKliUproszcz="STAŁY",S11,0)+IF(DccStatusKliUproszcz="POZOSTAŁY",T11,0)</f>
        <v>0.17</v>
      </c>
      <c r="V11" s="747">
        <v>0</v>
      </c>
      <c r="W11" s="745">
        <f>IF(L11="BEZ UBEZPIECZENIA",0,0.27%)</f>
        <v>2.7000000000000001E-3</v>
      </c>
      <c r="X11" s="732">
        <v>1</v>
      </c>
      <c r="Y11" s="732">
        <v>60</v>
      </c>
      <c r="Z11" s="734">
        <f>IF($H$4&gt;=AB11,1,0)</f>
        <v>0</v>
      </c>
      <c r="AA11" s="845"/>
      <c r="AB11" s="750">
        <f>MIN($H$4,Y11)</f>
        <v>60</v>
      </c>
      <c r="AC11" s="732">
        <v>36</v>
      </c>
      <c r="AD11" s="910" t="s">
        <v>163</v>
      </c>
      <c r="AE11" s="832">
        <f>IF(AD11="ZMIENNE",1-0.0075,1)</f>
        <v>1</v>
      </c>
      <c r="AF11" s="731">
        <f t="shared" ref="AF11:AF22" si="11">ROUNDDOWN(AE11*(Zdolnosc_2zl*(((1+(U11/12))^AB11)-1))/((1+(U11/12))^AB11*(U11/12)),-2)</f>
        <v>24142200</v>
      </c>
      <c r="AG11" s="1129" t="e">
        <f>$AH$6</f>
        <v>#N/A</v>
      </c>
      <c r="AH11" s="833" t="e">
        <f t="shared" ref="AH11:AH19" si="12">WDochNETTO*AG11</f>
        <v>#N/A</v>
      </c>
      <c r="AI11" s="733" t="e">
        <f t="shared" ref="AI11:AI16" si="13">MAX(0,AH11-$C$8)</f>
        <v>#N/A</v>
      </c>
      <c r="AJ11" s="733" t="e">
        <f>MAX(MIN(AF11,AI11),0)</f>
        <v>#N/A</v>
      </c>
      <c r="AK11" s="733">
        <f>ROUND($H$3/(1-AB11*W11-(1+AB11*W11*0)*V11),0)</f>
        <v>23866</v>
      </c>
      <c r="AL11" s="733" t="e">
        <f>MIN(AJ11,AK11)</f>
        <v>#N/A</v>
      </c>
      <c r="AM11" s="739">
        <v>1000</v>
      </c>
      <c r="AN11" s="739">
        <v>50000</v>
      </c>
      <c r="AO11" s="833">
        <f t="shared" ref="AO11:AO16" si="14">IF(APLIKACJA="FrondEnd",50000,60000)</f>
        <v>60000</v>
      </c>
      <c r="AP11" s="733" t="e">
        <f t="shared" ref="AP11:AP18" si="15">IF(AL11&gt;=AM11,MIN(AL11,AO11),0)</f>
        <v>#N/A</v>
      </c>
      <c r="AQ11" s="734" t="e">
        <f>IF(AP11&gt;0,1,0)</f>
        <v>#N/A</v>
      </c>
      <c r="AR11" s="1465" t="e">
        <f t="shared" ref="AR11:AR17" si="16">ROUND(AP11*((1-AB11*W11*$W$9)-(1+AB11*W11*$W$9*0)*V11),0)</f>
        <v>#N/A</v>
      </c>
      <c r="AS11" s="733" t="e">
        <f t="shared" ref="AS11:AS19" si="17">(AP11*(U11/12))/(1-(1+(U11/12))^(-AB11))</f>
        <v>#N/A</v>
      </c>
      <c r="AT11" s="833"/>
      <c r="AU11" s="733" t="s">
        <v>47</v>
      </c>
      <c r="AV11" s="734">
        <v>0</v>
      </c>
      <c r="AW11" s="720" t="s">
        <v>2178</v>
      </c>
      <c r="AX11" s="720"/>
    </row>
    <row r="12" spans="1:51" s="728" customFormat="1" ht="16.899999999999999" customHeight="1" thickTop="1" thickBot="1" x14ac:dyDescent="0.35">
      <c r="A12" s="794" t="s">
        <v>174</v>
      </c>
      <c r="B12" s="797" t="str">
        <f t="shared" si="0"/>
        <v/>
      </c>
      <c r="C12" s="726" t="str">
        <f t="shared" si="1"/>
        <v/>
      </c>
      <c r="D12" s="748" t="str">
        <f t="shared" si="2"/>
        <v/>
      </c>
      <c r="E12" s="727" t="str">
        <f t="shared" si="3"/>
        <v/>
      </c>
      <c r="F12" s="727" t="str">
        <f t="shared" si="4"/>
        <v/>
      </c>
      <c r="G12" s="743" t="str">
        <f t="shared" si="5"/>
        <v/>
      </c>
      <c r="H12" s="743" t="str">
        <f t="shared" si="6"/>
        <v/>
      </c>
      <c r="I12" s="871" t="str">
        <f t="shared" si="7"/>
        <v/>
      </c>
      <c r="J12" s="855"/>
      <c r="K12" s="734">
        <f t="shared" si="8"/>
        <v>0</v>
      </c>
      <c r="L12" s="806" t="s">
        <v>2040</v>
      </c>
      <c r="M12" s="804" t="s">
        <v>184</v>
      </c>
      <c r="N12" s="800" t="str">
        <f t="shared" si="9"/>
        <v>POZOSTAŁY</v>
      </c>
      <c r="O12" s="740">
        <v>800</v>
      </c>
      <c r="P12" s="734">
        <f t="shared" si="10"/>
        <v>1</v>
      </c>
      <c r="Q12" s="837" t="s">
        <v>47</v>
      </c>
      <c r="R12" s="837" t="s">
        <v>47</v>
      </c>
      <c r="S12" s="747">
        <v>0.18</v>
      </c>
      <c r="T12" s="747">
        <v>0.19</v>
      </c>
      <c r="U12" s="745">
        <f>IF(DccStatusKliUproszcz="STAŁY",S12,0)+IF(DccStatusKliUproszcz="POZOSTAŁY",T12,0)</f>
        <v>0.19</v>
      </c>
      <c r="V12" s="747">
        <v>0</v>
      </c>
      <c r="W12" s="745">
        <f t="shared" ref="W12:W22" si="18">IF(L12="BEZ UBEZPIECZENIA",0,0.27%)</f>
        <v>2.7000000000000001E-3</v>
      </c>
      <c r="X12" s="732">
        <v>1</v>
      </c>
      <c r="Y12" s="732">
        <v>60</v>
      </c>
      <c r="Z12" s="734">
        <f t="shared" ref="Z12:Z22" si="19">IF($H$4&gt;=AB12,1,0)</f>
        <v>0</v>
      </c>
      <c r="AA12" s="845"/>
      <c r="AB12" s="750">
        <f t="shared" ref="AB12:AB24" si="20">MIN($H$4,Y12)</f>
        <v>60</v>
      </c>
      <c r="AC12" s="732">
        <v>36</v>
      </c>
      <c r="AD12" s="910" t="s">
        <v>163</v>
      </c>
      <c r="AE12" s="832">
        <f t="shared" ref="AE12:AE19" si="21">IF(AD12="ZMIENNE",1-0.0075,1)</f>
        <v>1</v>
      </c>
      <c r="AF12" s="731">
        <f t="shared" si="11"/>
        <v>23129700</v>
      </c>
      <c r="AG12" s="1129" t="e">
        <f t="shared" ref="AG12:AG24" si="22">$AH$6</f>
        <v>#N/A</v>
      </c>
      <c r="AH12" s="833" t="e">
        <f t="shared" si="12"/>
        <v>#N/A</v>
      </c>
      <c r="AI12" s="733" t="e">
        <f t="shared" si="13"/>
        <v>#N/A</v>
      </c>
      <c r="AJ12" s="733" t="e">
        <f t="shared" ref="AJ12:AJ19" si="23">MAX(MIN(AF12,AI12),0)</f>
        <v>#N/A</v>
      </c>
      <c r="AK12" s="733">
        <f t="shared" ref="AK12:AK38" si="24">ROUND($H$3/(1-AB12*W12-(1+AB12*W12*0)*V12),0)</f>
        <v>23866</v>
      </c>
      <c r="AL12" s="733" t="e">
        <f t="shared" ref="AL12:AL22" si="25">MIN(AJ12,AK12)</f>
        <v>#N/A</v>
      </c>
      <c r="AM12" s="739">
        <v>1000</v>
      </c>
      <c r="AN12" s="739">
        <v>50000</v>
      </c>
      <c r="AO12" s="833">
        <f t="shared" si="14"/>
        <v>60000</v>
      </c>
      <c r="AP12" s="733" t="e">
        <f t="shared" si="15"/>
        <v>#N/A</v>
      </c>
      <c r="AQ12" s="734" t="e">
        <f t="shared" ref="AQ12:AQ22" si="26">IF(AP12&gt;0,1,0)</f>
        <v>#N/A</v>
      </c>
      <c r="AR12" s="1465" t="e">
        <f t="shared" si="16"/>
        <v>#N/A</v>
      </c>
      <c r="AS12" s="733" t="e">
        <f t="shared" si="17"/>
        <v>#N/A</v>
      </c>
      <c r="AT12" s="833"/>
      <c r="AU12" s="733" t="s">
        <v>47</v>
      </c>
      <c r="AV12" s="734">
        <v>0</v>
      </c>
      <c r="AW12" s="720" t="s">
        <v>2178</v>
      </c>
      <c r="AX12" s="720"/>
    </row>
    <row r="13" spans="1:51" s="728" customFormat="1" ht="16.899999999999999" customHeight="1" thickTop="1" thickBot="1" x14ac:dyDescent="0.35">
      <c r="A13" s="794" t="s">
        <v>174</v>
      </c>
      <c r="B13" s="797" t="e">
        <f t="shared" si="0"/>
        <v>#N/A</v>
      </c>
      <c r="C13" s="726" t="e">
        <f t="shared" si="1"/>
        <v>#N/A</v>
      </c>
      <c r="D13" s="748" t="e">
        <f t="shared" si="2"/>
        <v>#N/A</v>
      </c>
      <c r="E13" s="727" t="e">
        <f t="shared" si="3"/>
        <v>#N/A</v>
      </c>
      <c r="F13" s="727" t="e">
        <f t="shared" si="4"/>
        <v>#N/A</v>
      </c>
      <c r="G13" s="743" t="e">
        <f t="shared" si="5"/>
        <v>#N/A</v>
      </c>
      <c r="H13" s="743" t="e">
        <f t="shared" si="6"/>
        <v>#N/A</v>
      </c>
      <c r="I13" s="871" t="e">
        <f t="shared" si="7"/>
        <v>#N/A</v>
      </c>
      <c r="J13" s="855"/>
      <c r="K13" s="734">
        <f t="shared" si="8"/>
        <v>0</v>
      </c>
      <c r="L13" s="806" t="s">
        <v>7</v>
      </c>
      <c r="M13" s="804" t="s">
        <v>0</v>
      </c>
      <c r="N13" s="800" t="str">
        <f t="shared" si="9"/>
        <v>POZOSTAŁY</v>
      </c>
      <c r="O13" s="740">
        <v>800</v>
      </c>
      <c r="P13" s="734">
        <f>IF(WDochNETTO&gt;=O13,1,0)</f>
        <v>1</v>
      </c>
      <c r="Q13" s="837" t="s">
        <v>47</v>
      </c>
      <c r="R13" s="837" t="s">
        <v>47</v>
      </c>
      <c r="S13" s="747">
        <v>0.14000000000000001</v>
      </c>
      <c r="T13" s="747">
        <v>0.15</v>
      </c>
      <c r="U13" s="745">
        <f>IF(DccStatusKliUproszcz="STAŁY",S13,0)+IF(DccStatusKliUproszcz="POZOSTAŁY",T13,0)</f>
        <v>0.15</v>
      </c>
      <c r="V13" s="745">
        <f>IF(DccStatusKliUproszcz="STAŁY",3%,0)+IF(DccStatusKliUproszcz="POZOSTAŁY",5%,0)</f>
        <v>0.05</v>
      </c>
      <c r="W13" s="745">
        <f t="shared" si="18"/>
        <v>2.7000000000000001E-3</v>
      </c>
      <c r="X13" s="732">
        <v>1</v>
      </c>
      <c r="Y13" s="732">
        <v>84</v>
      </c>
      <c r="Z13" s="734">
        <f t="shared" si="19"/>
        <v>0</v>
      </c>
      <c r="AA13" s="845"/>
      <c r="AB13" s="750">
        <f t="shared" si="20"/>
        <v>84</v>
      </c>
      <c r="AC13" s="732">
        <v>84</v>
      </c>
      <c r="AD13" s="910" t="s">
        <v>163</v>
      </c>
      <c r="AE13" s="832">
        <f t="shared" si="21"/>
        <v>1</v>
      </c>
      <c r="AF13" s="731">
        <f t="shared" si="11"/>
        <v>31093200</v>
      </c>
      <c r="AG13" s="1129" t="e">
        <f t="shared" si="22"/>
        <v>#N/A</v>
      </c>
      <c r="AH13" s="833" t="e">
        <f>WDochNETTO*AG13</f>
        <v>#N/A</v>
      </c>
      <c r="AI13" s="733" t="e">
        <f t="shared" si="13"/>
        <v>#N/A</v>
      </c>
      <c r="AJ13" s="733" t="e">
        <f t="shared" si="23"/>
        <v>#N/A</v>
      </c>
      <c r="AK13" s="733">
        <f t="shared" si="24"/>
        <v>27655</v>
      </c>
      <c r="AL13" s="733" t="e">
        <f t="shared" si="25"/>
        <v>#N/A</v>
      </c>
      <c r="AM13" s="739">
        <v>1000</v>
      </c>
      <c r="AN13" s="739">
        <v>20000</v>
      </c>
      <c r="AO13" s="739">
        <v>20000</v>
      </c>
      <c r="AP13" s="733" t="e">
        <f t="shared" si="15"/>
        <v>#N/A</v>
      </c>
      <c r="AQ13" s="734" t="e">
        <f t="shared" si="26"/>
        <v>#N/A</v>
      </c>
      <c r="AR13" s="1465" t="e">
        <f t="shared" si="16"/>
        <v>#N/A</v>
      </c>
      <c r="AS13" s="733" t="e">
        <f t="shared" si="17"/>
        <v>#N/A</v>
      </c>
      <c r="AT13" s="833"/>
      <c r="AU13" s="733" t="s">
        <v>47</v>
      </c>
      <c r="AV13" s="734" t="e">
        <f t="shared" ref="AV13:AV29" si="27">K13*Z13*AQ13*P13*$K$2</f>
        <v>#N/A</v>
      </c>
      <c r="AW13" s="720"/>
      <c r="AX13" s="720"/>
    </row>
    <row r="14" spans="1:51" s="728" customFormat="1" ht="16.899999999999999" customHeight="1" thickTop="1" thickBot="1" x14ac:dyDescent="0.35">
      <c r="A14" s="794" t="s">
        <v>174</v>
      </c>
      <c r="B14" s="797" t="e">
        <f t="shared" si="0"/>
        <v>#N/A</v>
      </c>
      <c r="C14" s="726" t="e">
        <f t="shared" si="1"/>
        <v>#N/A</v>
      </c>
      <c r="D14" s="748" t="e">
        <f t="shared" si="2"/>
        <v>#N/A</v>
      </c>
      <c r="E14" s="727" t="e">
        <f t="shared" si="3"/>
        <v>#N/A</v>
      </c>
      <c r="F14" s="727" t="e">
        <f t="shared" si="4"/>
        <v>#N/A</v>
      </c>
      <c r="G14" s="743" t="e">
        <f t="shared" si="5"/>
        <v>#N/A</v>
      </c>
      <c r="H14" s="743" t="e">
        <f t="shared" si="6"/>
        <v>#N/A</v>
      </c>
      <c r="I14" s="871" t="e">
        <f t="shared" si="7"/>
        <v>#N/A</v>
      </c>
      <c r="J14" s="855"/>
      <c r="K14" s="734">
        <f t="shared" si="8"/>
        <v>0</v>
      </c>
      <c r="L14" s="804" t="s">
        <v>3</v>
      </c>
      <c r="M14" s="804" t="s">
        <v>0</v>
      </c>
      <c r="N14" s="800" t="str">
        <f t="shared" si="9"/>
        <v>POZOSTAŁY</v>
      </c>
      <c r="O14" s="740">
        <v>800</v>
      </c>
      <c r="P14" s="734">
        <f>IF(WDochNETTO&gt;=O14,1,0)</f>
        <v>1</v>
      </c>
      <c r="Q14" s="837" t="s">
        <v>47</v>
      </c>
      <c r="R14" s="837" t="s">
        <v>47</v>
      </c>
      <c r="S14" s="747">
        <v>0.16</v>
      </c>
      <c r="T14" s="747">
        <v>0.17</v>
      </c>
      <c r="U14" s="745">
        <f>IF(DccStatusKliUproszcz="STAŁY",S14,0)+IF(DccStatusKliUproszcz="POZOSTAŁY",T14,0)</f>
        <v>0.17</v>
      </c>
      <c r="V14" s="745">
        <f>IF(DccStatusKliUproszcz="STAŁY",3%,0)+IF(DccStatusKliUproszcz="POZOSTAŁY",5%,0)</f>
        <v>0.05</v>
      </c>
      <c r="W14" s="745">
        <f t="shared" si="18"/>
        <v>0</v>
      </c>
      <c r="X14" s="732">
        <v>1</v>
      </c>
      <c r="Y14" s="732">
        <v>84</v>
      </c>
      <c r="Z14" s="734">
        <f t="shared" si="19"/>
        <v>0</v>
      </c>
      <c r="AA14" s="845"/>
      <c r="AB14" s="750">
        <f t="shared" si="20"/>
        <v>84</v>
      </c>
      <c r="AC14" s="732">
        <v>84</v>
      </c>
      <c r="AD14" s="910" t="s">
        <v>163</v>
      </c>
      <c r="AE14" s="832">
        <f t="shared" si="21"/>
        <v>1</v>
      </c>
      <c r="AF14" s="731">
        <f t="shared" si="11"/>
        <v>29360100</v>
      </c>
      <c r="AG14" s="1129" t="e">
        <f t="shared" si="22"/>
        <v>#N/A</v>
      </c>
      <c r="AH14" s="833" t="e">
        <f>WDochNETTO*AG14</f>
        <v>#N/A</v>
      </c>
      <c r="AI14" s="733" t="e">
        <f t="shared" si="13"/>
        <v>#N/A</v>
      </c>
      <c r="AJ14" s="733" t="e">
        <f t="shared" si="23"/>
        <v>#N/A</v>
      </c>
      <c r="AK14" s="733">
        <f t="shared" si="24"/>
        <v>21053</v>
      </c>
      <c r="AL14" s="733" t="e">
        <f t="shared" si="25"/>
        <v>#N/A</v>
      </c>
      <c r="AM14" s="739">
        <v>1000</v>
      </c>
      <c r="AN14" s="739">
        <v>20000</v>
      </c>
      <c r="AO14" s="739">
        <v>20000</v>
      </c>
      <c r="AP14" s="733" t="e">
        <f t="shared" si="15"/>
        <v>#N/A</v>
      </c>
      <c r="AQ14" s="734" t="e">
        <f t="shared" si="26"/>
        <v>#N/A</v>
      </c>
      <c r="AR14" s="1465" t="e">
        <f t="shared" si="16"/>
        <v>#N/A</v>
      </c>
      <c r="AS14" s="733" t="e">
        <f t="shared" si="17"/>
        <v>#N/A</v>
      </c>
      <c r="AT14" s="833"/>
      <c r="AU14" s="733" t="s">
        <v>47</v>
      </c>
      <c r="AV14" s="734" t="e">
        <f t="shared" si="27"/>
        <v>#N/A</v>
      </c>
      <c r="AW14" s="720"/>
      <c r="AX14" s="720"/>
    </row>
    <row r="15" spans="1:51" s="728" customFormat="1" ht="16.899999999999999" customHeight="1" thickTop="1" thickBot="1" x14ac:dyDescent="0.35">
      <c r="A15" s="794" t="s">
        <v>174</v>
      </c>
      <c r="B15" s="797" t="e">
        <f t="shared" si="0"/>
        <v>#N/A</v>
      </c>
      <c r="C15" s="726" t="e">
        <f t="shared" si="1"/>
        <v>#N/A</v>
      </c>
      <c r="D15" s="748" t="e">
        <f t="shared" si="2"/>
        <v>#N/A</v>
      </c>
      <c r="E15" s="727" t="e">
        <f t="shared" si="3"/>
        <v>#N/A</v>
      </c>
      <c r="F15" s="727" t="e">
        <f t="shared" si="4"/>
        <v>#N/A</v>
      </c>
      <c r="G15" s="743" t="e">
        <f t="shared" si="5"/>
        <v>#N/A</v>
      </c>
      <c r="H15" s="743" t="e">
        <f t="shared" si="6"/>
        <v>#N/A</v>
      </c>
      <c r="I15" s="871" t="e">
        <f t="shared" si="7"/>
        <v>#N/A</v>
      </c>
      <c r="J15" s="855"/>
      <c r="K15" s="734">
        <f t="shared" si="8"/>
        <v>0</v>
      </c>
      <c r="L15" s="806" t="s">
        <v>7</v>
      </c>
      <c r="M15" s="909" t="s">
        <v>185</v>
      </c>
      <c r="N15" s="800" t="str">
        <f t="shared" si="9"/>
        <v>POZOSTAŁY</v>
      </c>
      <c r="O15" s="740">
        <v>2000</v>
      </c>
      <c r="P15" s="734">
        <f t="shared" si="10"/>
        <v>1</v>
      </c>
      <c r="Q15" s="910">
        <v>0.115</v>
      </c>
      <c r="R15" s="910">
        <v>0.13</v>
      </c>
      <c r="S15" s="747" t="s">
        <v>164</v>
      </c>
      <c r="T15" s="747" t="s">
        <v>164</v>
      </c>
      <c r="U15" s="848">
        <f>IF(AD15="ZMIENNE",R15,Q15)</f>
        <v>0.115</v>
      </c>
      <c r="V15" s="747">
        <v>0</v>
      </c>
      <c r="W15" s="745">
        <f t="shared" si="18"/>
        <v>2.7000000000000001E-3</v>
      </c>
      <c r="X15" s="732">
        <v>1</v>
      </c>
      <c r="Y15" s="732">
        <v>60</v>
      </c>
      <c r="Z15" s="734">
        <f t="shared" si="19"/>
        <v>0</v>
      </c>
      <c r="AA15" s="845"/>
      <c r="AB15" s="750">
        <f t="shared" si="20"/>
        <v>60</v>
      </c>
      <c r="AC15" s="732"/>
      <c r="AD15" s="910" t="s">
        <v>163</v>
      </c>
      <c r="AE15" s="832">
        <f>IF(AD15="ZMIENNE",1-0.0075,1)</f>
        <v>1</v>
      </c>
      <c r="AF15" s="731">
        <f t="shared" si="11"/>
        <v>27281800</v>
      </c>
      <c r="AG15" s="1129" t="e">
        <f t="shared" si="22"/>
        <v>#N/A</v>
      </c>
      <c r="AH15" s="833" t="e">
        <f t="shared" si="12"/>
        <v>#N/A</v>
      </c>
      <c r="AI15" s="733" t="e">
        <f t="shared" si="13"/>
        <v>#N/A</v>
      </c>
      <c r="AJ15" s="733" t="e">
        <f t="shared" si="23"/>
        <v>#N/A</v>
      </c>
      <c r="AK15" s="733">
        <f t="shared" si="24"/>
        <v>23866</v>
      </c>
      <c r="AL15" s="733" t="e">
        <f t="shared" si="25"/>
        <v>#N/A</v>
      </c>
      <c r="AM15" s="739">
        <v>20000</v>
      </c>
      <c r="AN15" s="739">
        <v>50000</v>
      </c>
      <c r="AO15" s="833">
        <f t="shared" si="14"/>
        <v>60000</v>
      </c>
      <c r="AP15" s="733" t="e">
        <f t="shared" si="15"/>
        <v>#N/A</v>
      </c>
      <c r="AQ15" s="734" t="e">
        <f t="shared" si="26"/>
        <v>#N/A</v>
      </c>
      <c r="AR15" s="1465" t="e">
        <f t="shared" si="16"/>
        <v>#N/A</v>
      </c>
      <c r="AS15" s="733" t="e">
        <f t="shared" si="17"/>
        <v>#N/A</v>
      </c>
      <c r="AT15" s="833"/>
      <c r="AU15" s="733" t="s">
        <v>47</v>
      </c>
      <c r="AV15" s="734" t="e">
        <f t="shared" si="27"/>
        <v>#N/A</v>
      </c>
      <c r="AW15" s="720"/>
      <c r="AX15" s="720"/>
    </row>
    <row r="16" spans="1:51" s="728" customFormat="1" ht="16.899999999999999" customHeight="1" thickTop="1" thickBot="1" x14ac:dyDescent="0.35">
      <c r="A16" s="794" t="s">
        <v>174</v>
      </c>
      <c r="B16" s="797" t="e">
        <f t="shared" si="0"/>
        <v>#N/A</v>
      </c>
      <c r="C16" s="726" t="e">
        <f t="shared" si="1"/>
        <v>#N/A</v>
      </c>
      <c r="D16" s="748" t="e">
        <f t="shared" si="2"/>
        <v>#N/A</v>
      </c>
      <c r="E16" s="727" t="e">
        <f t="shared" si="3"/>
        <v>#N/A</v>
      </c>
      <c r="F16" s="727" t="e">
        <f t="shared" si="4"/>
        <v>#N/A</v>
      </c>
      <c r="G16" s="743" t="e">
        <f t="shared" si="5"/>
        <v>#N/A</v>
      </c>
      <c r="H16" s="743" t="e">
        <f t="shared" si="6"/>
        <v>#N/A</v>
      </c>
      <c r="I16" s="871" t="e">
        <f t="shared" si="7"/>
        <v>#N/A</v>
      </c>
      <c r="J16" s="855"/>
      <c r="K16" s="734">
        <f t="shared" si="8"/>
        <v>0</v>
      </c>
      <c r="L16" s="804" t="s">
        <v>3</v>
      </c>
      <c r="M16" s="909" t="s">
        <v>185</v>
      </c>
      <c r="N16" s="800" t="str">
        <f t="shared" si="9"/>
        <v>POZOSTAŁY</v>
      </c>
      <c r="O16" s="740">
        <v>2000</v>
      </c>
      <c r="P16" s="734">
        <f t="shared" si="10"/>
        <v>1</v>
      </c>
      <c r="Q16" s="910">
        <v>0.115</v>
      </c>
      <c r="R16" s="910">
        <v>0.13</v>
      </c>
      <c r="S16" s="747" t="s">
        <v>164</v>
      </c>
      <c r="T16" s="747" t="s">
        <v>164</v>
      </c>
      <c r="U16" s="848">
        <f>IF(AD16="ZMIENNE",R16,Q16)</f>
        <v>0.115</v>
      </c>
      <c r="V16" s="747">
        <v>0</v>
      </c>
      <c r="W16" s="745">
        <f t="shared" si="18"/>
        <v>0</v>
      </c>
      <c r="X16" s="732">
        <v>1</v>
      </c>
      <c r="Y16" s="757">
        <v>96</v>
      </c>
      <c r="Z16" s="734">
        <f t="shared" si="19"/>
        <v>0</v>
      </c>
      <c r="AA16" s="846"/>
      <c r="AB16" s="750">
        <f t="shared" si="20"/>
        <v>96</v>
      </c>
      <c r="AC16" s="732"/>
      <c r="AD16" s="910" t="s">
        <v>163</v>
      </c>
      <c r="AE16" s="832">
        <f t="shared" si="21"/>
        <v>1</v>
      </c>
      <c r="AF16" s="731">
        <f t="shared" si="11"/>
        <v>37548200</v>
      </c>
      <c r="AG16" s="1129" t="e">
        <f t="shared" si="22"/>
        <v>#N/A</v>
      </c>
      <c r="AH16" s="833" t="e">
        <f t="shared" si="12"/>
        <v>#N/A</v>
      </c>
      <c r="AI16" s="733" t="e">
        <f t="shared" si="13"/>
        <v>#N/A</v>
      </c>
      <c r="AJ16" s="733" t="e">
        <f t="shared" si="23"/>
        <v>#N/A</v>
      </c>
      <c r="AK16" s="733">
        <f t="shared" si="24"/>
        <v>20000</v>
      </c>
      <c r="AL16" s="733" t="e">
        <f t="shared" si="25"/>
        <v>#N/A</v>
      </c>
      <c r="AM16" s="739">
        <v>20000</v>
      </c>
      <c r="AN16" s="739">
        <v>50000</v>
      </c>
      <c r="AO16" s="833">
        <f t="shared" si="14"/>
        <v>60000</v>
      </c>
      <c r="AP16" s="733" t="e">
        <f t="shared" si="15"/>
        <v>#N/A</v>
      </c>
      <c r="AQ16" s="734" t="e">
        <f t="shared" si="26"/>
        <v>#N/A</v>
      </c>
      <c r="AR16" s="1465" t="e">
        <f t="shared" si="16"/>
        <v>#N/A</v>
      </c>
      <c r="AS16" s="733" t="e">
        <f t="shared" si="17"/>
        <v>#N/A</v>
      </c>
      <c r="AT16" s="833"/>
      <c r="AU16" s="733" t="s">
        <v>47</v>
      </c>
      <c r="AV16" s="734" t="e">
        <f t="shared" si="27"/>
        <v>#N/A</v>
      </c>
      <c r="AW16" s="720"/>
      <c r="AX16" s="720"/>
    </row>
    <row r="17" spans="1:50" s="810" customFormat="1" ht="16.899999999999999" customHeight="1" thickTop="1" thickBot="1" x14ac:dyDescent="0.35">
      <c r="A17" s="808" t="s">
        <v>174</v>
      </c>
      <c r="B17" s="797" t="e">
        <f t="shared" si="0"/>
        <v>#N/A</v>
      </c>
      <c r="C17" s="726" t="e">
        <f t="shared" si="1"/>
        <v>#N/A</v>
      </c>
      <c r="D17" s="748" t="e">
        <f t="shared" si="2"/>
        <v>#N/A</v>
      </c>
      <c r="E17" s="727" t="e">
        <f t="shared" si="3"/>
        <v>#N/A</v>
      </c>
      <c r="F17" s="727" t="e">
        <f t="shared" si="4"/>
        <v>#N/A</v>
      </c>
      <c r="G17" s="743" t="e">
        <f t="shared" si="5"/>
        <v>#N/A</v>
      </c>
      <c r="H17" s="743" t="e">
        <f t="shared" si="6"/>
        <v>#N/A</v>
      </c>
      <c r="I17" s="871" t="e">
        <f t="shared" si="7"/>
        <v>#N/A</v>
      </c>
      <c r="J17" s="855"/>
      <c r="K17" s="734">
        <f t="shared" si="8"/>
        <v>0</v>
      </c>
      <c r="L17" s="806" t="s">
        <v>7</v>
      </c>
      <c r="M17" s="804" t="s">
        <v>185</v>
      </c>
      <c r="N17" s="800" t="str">
        <f t="shared" si="9"/>
        <v>POZOSTAŁY</v>
      </c>
      <c r="O17" s="740">
        <v>2000</v>
      </c>
      <c r="P17" s="734">
        <f t="shared" si="10"/>
        <v>1</v>
      </c>
      <c r="Q17" s="910">
        <v>0.105</v>
      </c>
      <c r="R17" s="910">
        <v>0.125</v>
      </c>
      <c r="S17" s="747" t="s">
        <v>164</v>
      </c>
      <c r="T17" s="747" t="s">
        <v>164</v>
      </c>
      <c r="U17" s="848">
        <f t="shared" ref="U17:U18" si="28">IF(AD17="ZMIENNE",R17,Q17)</f>
        <v>0.105</v>
      </c>
      <c r="V17" s="747">
        <v>0</v>
      </c>
      <c r="W17" s="745">
        <f t="shared" si="18"/>
        <v>2.7000000000000001E-3</v>
      </c>
      <c r="X17" s="732">
        <v>1</v>
      </c>
      <c r="Y17" s="732">
        <v>60</v>
      </c>
      <c r="Z17" s="734">
        <f t="shared" si="19"/>
        <v>0</v>
      </c>
      <c r="AA17" s="845"/>
      <c r="AB17" s="750">
        <f t="shared" si="20"/>
        <v>60</v>
      </c>
      <c r="AC17" s="732"/>
      <c r="AD17" s="910" t="s">
        <v>163</v>
      </c>
      <c r="AE17" s="832">
        <f t="shared" si="21"/>
        <v>1</v>
      </c>
      <c r="AF17" s="731">
        <f t="shared" si="11"/>
        <v>27914800</v>
      </c>
      <c r="AG17" s="1129" t="e">
        <f t="shared" si="22"/>
        <v>#N/A</v>
      </c>
      <c r="AH17" s="833" t="e">
        <f t="shared" ref="AH17" si="29">WDochNETTO*AG17</f>
        <v>#N/A</v>
      </c>
      <c r="AI17" s="733" t="e">
        <f t="shared" ref="AI17" si="30">MAX(0,AH17-$C$8)</f>
        <v>#N/A</v>
      </c>
      <c r="AJ17" s="733" t="e">
        <f t="shared" ref="AJ17" si="31">MAX(MIN(AF17,AI17),0)</f>
        <v>#N/A</v>
      </c>
      <c r="AK17" s="733">
        <f t="shared" si="24"/>
        <v>23866</v>
      </c>
      <c r="AL17" s="733" t="e">
        <f t="shared" si="25"/>
        <v>#N/A</v>
      </c>
      <c r="AM17" s="739">
        <v>50000.01</v>
      </c>
      <c r="AN17" s="739">
        <v>100000</v>
      </c>
      <c r="AO17" s="739">
        <v>100000</v>
      </c>
      <c r="AP17" s="733" t="e">
        <f t="shared" si="15"/>
        <v>#N/A</v>
      </c>
      <c r="AQ17" s="734" t="e">
        <f t="shared" si="26"/>
        <v>#N/A</v>
      </c>
      <c r="AR17" s="1465" t="e">
        <f t="shared" si="16"/>
        <v>#N/A</v>
      </c>
      <c r="AS17" s="733" t="e">
        <f t="shared" si="17"/>
        <v>#N/A</v>
      </c>
      <c r="AT17" s="833"/>
      <c r="AU17" s="733" t="s">
        <v>47</v>
      </c>
      <c r="AV17" s="734" t="e">
        <f t="shared" si="27"/>
        <v>#N/A</v>
      </c>
      <c r="AW17" s="752"/>
      <c r="AX17" s="752"/>
    </row>
    <row r="18" spans="1:50" s="728" customFormat="1" ht="16.899999999999999" customHeight="1" thickTop="1" thickBot="1" x14ac:dyDescent="0.35">
      <c r="A18" s="794" t="s">
        <v>174</v>
      </c>
      <c r="B18" s="797" t="e">
        <f t="shared" si="0"/>
        <v>#N/A</v>
      </c>
      <c r="C18" s="726" t="e">
        <f t="shared" si="1"/>
        <v>#N/A</v>
      </c>
      <c r="D18" s="748" t="e">
        <f t="shared" si="2"/>
        <v>#N/A</v>
      </c>
      <c r="E18" s="727" t="e">
        <f t="shared" si="3"/>
        <v>#N/A</v>
      </c>
      <c r="F18" s="727" t="e">
        <f t="shared" si="4"/>
        <v>#N/A</v>
      </c>
      <c r="G18" s="743" t="e">
        <f t="shared" si="5"/>
        <v>#N/A</v>
      </c>
      <c r="H18" s="743" t="e">
        <f t="shared" si="6"/>
        <v>#N/A</v>
      </c>
      <c r="I18" s="871" t="e">
        <f t="shared" si="7"/>
        <v>#N/A</v>
      </c>
      <c r="J18" s="855"/>
      <c r="K18" s="734">
        <f t="shared" si="8"/>
        <v>0</v>
      </c>
      <c r="L18" s="804" t="s">
        <v>3</v>
      </c>
      <c r="M18" s="804" t="s">
        <v>185</v>
      </c>
      <c r="N18" s="800" t="str">
        <f t="shared" si="9"/>
        <v>POZOSTAŁY</v>
      </c>
      <c r="O18" s="740">
        <v>2000</v>
      </c>
      <c r="P18" s="734">
        <f t="shared" si="10"/>
        <v>1</v>
      </c>
      <c r="Q18" s="910">
        <v>0.105</v>
      </c>
      <c r="R18" s="910">
        <v>0.125</v>
      </c>
      <c r="S18" s="747" t="s">
        <v>164</v>
      </c>
      <c r="T18" s="747" t="s">
        <v>164</v>
      </c>
      <c r="U18" s="848">
        <f t="shared" si="28"/>
        <v>0.105</v>
      </c>
      <c r="V18" s="747">
        <v>0</v>
      </c>
      <c r="W18" s="745">
        <f t="shared" si="18"/>
        <v>0</v>
      </c>
      <c r="X18" s="732">
        <v>1</v>
      </c>
      <c r="Y18" s="757">
        <v>96</v>
      </c>
      <c r="Z18" s="734">
        <f t="shared" si="19"/>
        <v>0</v>
      </c>
      <c r="AA18" s="846"/>
      <c r="AB18" s="750">
        <f t="shared" si="20"/>
        <v>96</v>
      </c>
      <c r="AC18" s="732"/>
      <c r="AD18" s="910" t="s">
        <v>163</v>
      </c>
      <c r="AE18" s="832">
        <f t="shared" si="21"/>
        <v>1</v>
      </c>
      <c r="AF18" s="731">
        <f t="shared" si="11"/>
        <v>38859900</v>
      </c>
      <c r="AG18" s="1129" t="e">
        <f t="shared" si="22"/>
        <v>#N/A</v>
      </c>
      <c r="AH18" s="833" t="e">
        <f t="shared" si="12"/>
        <v>#N/A</v>
      </c>
      <c r="AI18" s="733" t="e">
        <f>MAX(0,AH18-$C$8)</f>
        <v>#N/A</v>
      </c>
      <c r="AJ18" s="733" t="e">
        <f t="shared" si="23"/>
        <v>#N/A</v>
      </c>
      <c r="AK18" s="733">
        <f t="shared" si="24"/>
        <v>20000</v>
      </c>
      <c r="AL18" s="733" t="e">
        <f t="shared" si="25"/>
        <v>#N/A</v>
      </c>
      <c r="AM18" s="739">
        <v>50000.01</v>
      </c>
      <c r="AN18" s="739">
        <v>100000</v>
      </c>
      <c r="AO18" s="739">
        <v>100000</v>
      </c>
      <c r="AP18" s="733" t="e">
        <f t="shared" si="15"/>
        <v>#N/A</v>
      </c>
      <c r="AQ18" s="734" t="e">
        <f t="shared" si="26"/>
        <v>#N/A</v>
      </c>
      <c r="AR18" s="838" t="e">
        <f t="shared" ref="AR18:AR22" si="32">ROUND(AP18*((1-AB18*W18)-(1+AB18*W18*0)*V18),0)</f>
        <v>#N/A</v>
      </c>
      <c r="AS18" s="733" t="e">
        <f t="shared" si="17"/>
        <v>#N/A</v>
      </c>
      <c r="AT18" s="833"/>
      <c r="AU18" s="733" t="s">
        <v>47</v>
      </c>
      <c r="AV18" s="734" t="e">
        <f t="shared" si="27"/>
        <v>#N/A</v>
      </c>
      <c r="AW18" s="720"/>
      <c r="AX18" s="720"/>
    </row>
    <row r="19" spans="1:50" s="728" customFormat="1" ht="16.899999999999999" customHeight="1" thickTop="1" thickBot="1" x14ac:dyDescent="0.35">
      <c r="A19" s="892" t="s">
        <v>174</v>
      </c>
      <c r="B19" s="893" t="e">
        <f t="shared" si="0"/>
        <v>#N/A</v>
      </c>
      <c r="C19" s="901" t="e">
        <f t="shared" si="1"/>
        <v>#N/A</v>
      </c>
      <c r="D19" s="895" t="e">
        <f t="shared" si="2"/>
        <v>#N/A</v>
      </c>
      <c r="E19" s="896" t="e">
        <f t="shared" si="3"/>
        <v>#N/A</v>
      </c>
      <c r="F19" s="896" t="e">
        <f t="shared" si="4"/>
        <v>#N/A</v>
      </c>
      <c r="G19" s="897" t="e">
        <f t="shared" si="5"/>
        <v>#N/A</v>
      </c>
      <c r="H19" s="897" t="e">
        <f t="shared" si="6"/>
        <v>#N/A</v>
      </c>
      <c r="I19" s="871" t="e">
        <f t="shared" si="7"/>
        <v>#N/A</v>
      </c>
      <c r="J19" s="855"/>
      <c r="K19" s="734">
        <f t="shared" si="8"/>
        <v>0</v>
      </c>
      <c r="L19" s="806" t="s">
        <v>7</v>
      </c>
      <c r="M19" s="805" t="s">
        <v>2164</v>
      </c>
      <c r="N19" s="800" t="str">
        <f t="shared" si="9"/>
        <v>POZOSTAŁY</v>
      </c>
      <c r="O19" s="740">
        <v>900</v>
      </c>
      <c r="P19" s="734">
        <f t="shared" si="10"/>
        <v>1</v>
      </c>
      <c r="Q19" s="747" t="s">
        <v>164</v>
      </c>
      <c r="R19" s="747" t="s">
        <v>164</v>
      </c>
      <c r="S19" s="747" t="s">
        <v>164</v>
      </c>
      <c r="T19" s="747" t="s">
        <v>164</v>
      </c>
      <c r="U19" s="729">
        <v>0.14000000000000001</v>
      </c>
      <c r="V19" s="747">
        <v>0</v>
      </c>
      <c r="W19" s="745">
        <f t="shared" si="18"/>
        <v>2.7000000000000001E-3</v>
      </c>
      <c r="X19" s="732">
        <v>1</v>
      </c>
      <c r="Y19" s="732">
        <v>84</v>
      </c>
      <c r="Z19" s="734">
        <f t="shared" si="19"/>
        <v>0</v>
      </c>
      <c r="AA19" s="845"/>
      <c r="AB19" s="750">
        <f t="shared" si="20"/>
        <v>84</v>
      </c>
      <c r="AC19" s="732"/>
      <c r="AD19" s="910" t="s">
        <v>163</v>
      </c>
      <c r="AE19" s="832">
        <f t="shared" si="21"/>
        <v>1</v>
      </c>
      <c r="AF19" s="731">
        <f t="shared" si="11"/>
        <v>32016900</v>
      </c>
      <c r="AG19" s="1129" t="e">
        <f t="shared" si="22"/>
        <v>#N/A</v>
      </c>
      <c r="AH19" s="833" t="e">
        <f t="shared" si="12"/>
        <v>#N/A</v>
      </c>
      <c r="AI19" s="733" t="e">
        <f>MAX(0,AH19-$C$8)</f>
        <v>#N/A</v>
      </c>
      <c r="AJ19" s="733" t="e">
        <f t="shared" si="23"/>
        <v>#N/A</v>
      </c>
      <c r="AK19" s="900">
        <f>ROUND($H$3/(1-AB19*W19-(1+AB19*W19*0)*V19),0)</f>
        <v>25867</v>
      </c>
      <c r="AL19" s="733" t="e">
        <f t="shared" si="25"/>
        <v>#N/A</v>
      </c>
      <c r="AM19" s="739">
        <v>5000</v>
      </c>
      <c r="AN19" s="739">
        <v>15000</v>
      </c>
      <c r="AO19" s="739">
        <v>15000</v>
      </c>
      <c r="AP19" s="733" t="e">
        <f t="shared" ref="AP19:AP22" si="33">IF(AL19&gt;=AM19,MIN(AL19,AO19),0)</f>
        <v>#N/A</v>
      </c>
      <c r="AQ19" s="734" t="e">
        <f t="shared" si="26"/>
        <v>#N/A</v>
      </c>
      <c r="AR19" s="838" t="e">
        <f t="shared" si="32"/>
        <v>#N/A</v>
      </c>
      <c r="AS19" s="733" t="e">
        <f t="shared" si="17"/>
        <v>#N/A</v>
      </c>
      <c r="AT19" s="833"/>
      <c r="AU19" s="733" t="s">
        <v>47</v>
      </c>
      <c r="AV19" s="734" t="e">
        <f t="shared" si="27"/>
        <v>#N/A</v>
      </c>
      <c r="AW19" s="720"/>
      <c r="AX19" s="720"/>
    </row>
    <row r="20" spans="1:50" ht="16.899999999999999" customHeight="1" thickTop="1" thickBot="1" x14ac:dyDescent="0.35">
      <c r="A20" s="892" t="s">
        <v>174</v>
      </c>
      <c r="B20" s="893" t="e">
        <f t="shared" si="0"/>
        <v>#N/A</v>
      </c>
      <c r="C20" s="901" t="e">
        <f t="shared" si="1"/>
        <v>#N/A</v>
      </c>
      <c r="D20" s="895" t="e">
        <f t="shared" si="2"/>
        <v>#N/A</v>
      </c>
      <c r="E20" s="896" t="e">
        <f t="shared" si="3"/>
        <v>#N/A</v>
      </c>
      <c r="F20" s="896" t="e">
        <f t="shared" si="4"/>
        <v>#N/A</v>
      </c>
      <c r="G20" s="897" t="e">
        <f t="shared" si="5"/>
        <v>#N/A</v>
      </c>
      <c r="H20" s="897" t="e">
        <f t="shared" si="6"/>
        <v>#N/A</v>
      </c>
      <c r="I20" s="871" t="e">
        <f t="shared" si="7"/>
        <v>#N/A</v>
      </c>
      <c r="J20" s="855"/>
      <c r="K20" s="734">
        <f t="shared" si="8"/>
        <v>0</v>
      </c>
      <c r="L20" s="804" t="s">
        <v>3</v>
      </c>
      <c r="M20" s="805" t="s">
        <v>2164</v>
      </c>
      <c r="N20" s="800" t="str">
        <f t="shared" si="9"/>
        <v>POZOSTAŁY</v>
      </c>
      <c r="O20" s="740">
        <v>900</v>
      </c>
      <c r="P20" s="734">
        <f t="shared" si="10"/>
        <v>1</v>
      </c>
      <c r="Q20" s="747" t="s">
        <v>164</v>
      </c>
      <c r="R20" s="747" t="s">
        <v>164</v>
      </c>
      <c r="S20" s="747" t="s">
        <v>164</v>
      </c>
      <c r="T20" s="747" t="s">
        <v>164</v>
      </c>
      <c r="U20" s="729">
        <v>0.16</v>
      </c>
      <c r="V20" s="747">
        <v>0</v>
      </c>
      <c r="W20" s="745">
        <f t="shared" si="18"/>
        <v>0</v>
      </c>
      <c r="X20" s="732">
        <v>1</v>
      </c>
      <c r="Y20" s="732">
        <v>84</v>
      </c>
      <c r="Z20" s="734">
        <f t="shared" si="19"/>
        <v>0</v>
      </c>
      <c r="AA20" s="845"/>
      <c r="AB20" s="750">
        <f t="shared" si="20"/>
        <v>84</v>
      </c>
      <c r="AC20" s="732"/>
      <c r="AD20" s="910" t="s">
        <v>163</v>
      </c>
      <c r="AE20" s="832">
        <f t="shared" ref="AE20:AE23" si="34">IF(AD20="ZMIENNE",1-0.0075,1)</f>
        <v>1</v>
      </c>
      <c r="AF20" s="731">
        <f t="shared" si="11"/>
        <v>30208200</v>
      </c>
      <c r="AG20" s="1129" t="e">
        <f t="shared" si="22"/>
        <v>#N/A</v>
      </c>
      <c r="AH20" s="833" t="e">
        <f t="shared" ref="AH20:AH23" si="35">WDochNETTO*AG20</f>
        <v>#N/A</v>
      </c>
      <c r="AI20" s="733" t="e">
        <f t="shared" ref="AI20:AI22" si="36">MAX(0,AH20-$C$8)</f>
        <v>#N/A</v>
      </c>
      <c r="AJ20" s="733" t="e">
        <f t="shared" ref="AJ20:AJ23" si="37">MAX(MIN(AF20,AI20),0)</f>
        <v>#N/A</v>
      </c>
      <c r="AK20" s="733">
        <f t="shared" si="24"/>
        <v>20000</v>
      </c>
      <c r="AL20" s="733" t="e">
        <f t="shared" si="25"/>
        <v>#N/A</v>
      </c>
      <c r="AM20" s="739">
        <v>5000</v>
      </c>
      <c r="AN20" s="739">
        <v>15000</v>
      </c>
      <c r="AO20" s="739">
        <v>15000</v>
      </c>
      <c r="AP20" s="733" t="e">
        <f t="shared" si="33"/>
        <v>#N/A</v>
      </c>
      <c r="AQ20" s="734" t="e">
        <f t="shared" si="26"/>
        <v>#N/A</v>
      </c>
      <c r="AR20" s="838" t="e">
        <f t="shared" si="32"/>
        <v>#N/A</v>
      </c>
      <c r="AS20" s="733" t="e">
        <f t="shared" ref="AS20:AS23" si="38">(AP20*(U20/12))/(1-(1+(U20/12))^(-AB20))</f>
        <v>#N/A</v>
      </c>
      <c r="AT20" s="833"/>
      <c r="AU20" s="733" t="s">
        <v>47</v>
      </c>
      <c r="AV20" s="734" t="e">
        <f t="shared" si="27"/>
        <v>#N/A</v>
      </c>
    </row>
    <row r="21" spans="1:50" s="828" customFormat="1" ht="16.899999999999999" customHeight="1" thickTop="1" thickBot="1" x14ac:dyDescent="0.35">
      <c r="A21" s="1207" t="s">
        <v>174</v>
      </c>
      <c r="B21" s="1200" t="e">
        <f t="shared" si="0"/>
        <v>#N/A</v>
      </c>
      <c r="C21" s="1208" t="e">
        <f t="shared" si="1"/>
        <v>#N/A</v>
      </c>
      <c r="D21" s="1202" t="e">
        <f t="shared" si="2"/>
        <v>#N/A</v>
      </c>
      <c r="E21" s="1203" t="e">
        <f t="shared" si="3"/>
        <v>#N/A</v>
      </c>
      <c r="F21" s="1203" t="e">
        <f t="shared" si="4"/>
        <v>#N/A</v>
      </c>
      <c r="G21" s="1204" t="e">
        <f t="shared" si="5"/>
        <v>#N/A</v>
      </c>
      <c r="H21" s="1204" t="e">
        <f t="shared" si="6"/>
        <v>#N/A</v>
      </c>
      <c r="I21" s="1205" t="e">
        <f t="shared" si="7"/>
        <v>#N/A</v>
      </c>
      <c r="J21" s="1209"/>
      <c r="K21" s="903">
        <f t="shared" si="8"/>
        <v>0</v>
      </c>
      <c r="L21" s="806" t="s">
        <v>7</v>
      </c>
      <c r="M21" s="806" t="s">
        <v>2120</v>
      </c>
      <c r="N21" s="1210" t="str">
        <f t="shared" si="9"/>
        <v>POZOSTAŁY</v>
      </c>
      <c r="O21" s="1220">
        <v>800</v>
      </c>
      <c r="P21" s="903">
        <f t="shared" si="10"/>
        <v>1</v>
      </c>
      <c r="Q21" s="1221" t="s">
        <v>164</v>
      </c>
      <c r="R21" s="1221" t="s">
        <v>164</v>
      </c>
      <c r="S21" s="1221" t="s">
        <v>164</v>
      </c>
      <c r="T21" s="1221" t="s">
        <v>164</v>
      </c>
      <c r="U21" s="1206">
        <v>0.14000000000000001</v>
      </c>
      <c r="V21" s="1221">
        <v>0</v>
      </c>
      <c r="W21" s="1198">
        <f t="shared" si="18"/>
        <v>2.7000000000000001E-3</v>
      </c>
      <c r="X21" s="757">
        <v>1</v>
      </c>
      <c r="Y21" s="757">
        <v>84</v>
      </c>
      <c r="Z21" s="903">
        <f t="shared" si="19"/>
        <v>0</v>
      </c>
      <c r="AA21" s="846"/>
      <c r="AB21" s="750">
        <f t="shared" si="20"/>
        <v>84</v>
      </c>
      <c r="AC21" s="757"/>
      <c r="AD21" s="910" t="s">
        <v>163</v>
      </c>
      <c r="AE21" s="1215">
        <f t="shared" si="34"/>
        <v>1</v>
      </c>
      <c r="AF21" s="900">
        <f t="shared" si="11"/>
        <v>32016900</v>
      </c>
      <c r="AG21" s="1216" t="e">
        <f t="shared" si="22"/>
        <v>#N/A</v>
      </c>
      <c r="AH21" s="1217" t="e">
        <f t="shared" si="35"/>
        <v>#N/A</v>
      </c>
      <c r="AI21" s="1218" t="e">
        <f t="shared" si="36"/>
        <v>#N/A</v>
      </c>
      <c r="AJ21" s="1218" t="e">
        <f t="shared" si="37"/>
        <v>#N/A</v>
      </c>
      <c r="AK21" s="1218">
        <f t="shared" si="24"/>
        <v>25867</v>
      </c>
      <c r="AL21" s="1218" t="e">
        <f t="shared" si="25"/>
        <v>#N/A</v>
      </c>
      <c r="AM21" s="807">
        <v>1000</v>
      </c>
      <c r="AN21" s="807">
        <v>50000</v>
      </c>
      <c r="AO21" s="1217">
        <f>IF(APLIKACJA="FrondEnd",50000,60000)</f>
        <v>60000</v>
      </c>
      <c r="AP21" s="1218" t="e">
        <f t="shared" si="33"/>
        <v>#N/A</v>
      </c>
      <c r="AQ21" s="903" t="e">
        <f t="shared" si="26"/>
        <v>#N/A</v>
      </c>
      <c r="AR21" s="904" t="e">
        <f t="shared" si="32"/>
        <v>#N/A</v>
      </c>
      <c r="AS21" s="1218" t="e">
        <f t="shared" si="38"/>
        <v>#N/A</v>
      </c>
      <c r="AT21" s="1217"/>
      <c r="AU21" s="1218" t="s">
        <v>47</v>
      </c>
      <c r="AV21" s="903" t="e">
        <f t="shared" si="27"/>
        <v>#N/A</v>
      </c>
    </row>
    <row r="22" spans="1:50" s="828" customFormat="1" ht="16.899999999999999" customHeight="1" thickTop="1" thickBot="1" x14ac:dyDescent="0.35">
      <c r="A22" s="1207" t="s">
        <v>174</v>
      </c>
      <c r="B22" s="1200" t="e">
        <f t="shared" si="0"/>
        <v>#N/A</v>
      </c>
      <c r="C22" s="1208" t="e">
        <f t="shared" si="1"/>
        <v>#N/A</v>
      </c>
      <c r="D22" s="1202" t="e">
        <f t="shared" si="2"/>
        <v>#N/A</v>
      </c>
      <c r="E22" s="1203" t="e">
        <f t="shared" si="3"/>
        <v>#N/A</v>
      </c>
      <c r="F22" s="1203" t="e">
        <f t="shared" si="4"/>
        <v>#N/A</v>
      </c>
      <c r="G22" s="1204" t="e">
        <f t="shared" si="5"/>
        <v>#N/A</v>
      </c>
      <c r="H22" s="1204" t="e">
        <f t="shared" si="6"/>
        <v>#N/A</v>
      </c>
      <c r="I22" s="1205" t="e">
        <f t="shared" si="7"/>
        <v>#N/A</v>
      </c>
      <c r="J22" s="1209"/>
      <c r="K22" s="903">
        <f t="shared" si="8"/>
        <v>0</v>
      </c>
      <c r="L22" s="806" t="s">
        <v>3</v>
      </c>
      <c r="M22" s="806" t="s">
        <v>2120</v>
      </c>
      <c r="N22" s="1210" t="str">
        <f t="shared" si="9"/>
        <v>POZOSTAŁY</v>
      </c>
      <c r="O22" s="1220">
        <v>800</v>
      </c>
      <c r="P22" s="903">
        <f t="shared" si="10"/>
        <v>1</v>
      </c>
      <c r="Q22" s="1221" t="s">
        <v>164</v>
      </c>
      <c r="R22" s="1221" t="s">
        <v>164</v>
      </c>
      <c r="S22" s="1221" t="s">
        <v>164</v>
      </c>
      <c r="T22" s="1221" t="s">
        <v>164</v>
      </c>
      <c r="U22" s="1206">
        <v>0.16</v>
      </c>
      <c r="V22" s="1221">
        <v>0</v>
      </c>
      <c r="W22" s="1198">
        <f t="shared" si="18"/>
        <v>0</v>
      </c>
      <c r="X22" s="757">
        <v>1</v>
      </c>
      <c r="Y22" s="757">
        <v>84</v>
      </c>
      <c r="Z22" s="903">
        <f t="shared" si="19"/>
        <v>0</v>
      </c>
      <c r="AA22" s="846"/>
      <c r="AB22" s="750">
        <f t="shared" si="20"/>
        <v>84</v>
      </c>
      <c r="AC22" s="757"/>
      <c r="AD22" s="910" t="s">
        <v>163</v>
      </c>
      <c r="AE22" s="1215">
        <f t="shared" si="34"/>
        <v>1</v>
      </c>
      <c r="AF22" s="900">
        <f t="shared" si="11"/>
        <v>30208200</v>
      </c>
      <c r="AG22" s="1216" t="e">
        <f t="shared" si="22"/>
        <v>#N/A</v>
      </c>
      <c r="AH22" s="1217" t="e">
        <f t="shared" si="35"/>
        <v>#N/A</v>
      </c>
      <c r="AI22" s="1218" t="e">
        <f t="shared" si="36"/>
        <v>#N/A</v>
      </c>
      <c r="AJ22" s="1218" t="e">
        <f t="shared" si="37"/>
        <v>#N/A</v>
      </c>
      <c r="AK22" s="1218">
        <f t="shared" si="24"/>
        <v>20000</v>
      </c>
      <c r="AL22" s="1218" t="e">
        <f t="shared" si="25"/>
        <v>#N/A</v>
      </c>
      <c r="AM22" s="807">
        <v>1000</v>
      </c>
      <c r="AN22" s="807">
        <v>50000</v>
      </c>
      <c r="AO22" s="1217">
        <f>IF(APLIKACJA="FrondEnd",50000,60000)</f>
        <v>60000</v>
      </c>
      <c r="AP22" s="1218" t="e">
        <f t="shared" si="33"/>
        <v>#N/A</v>
      </c>
      <c r="AQ22" s="903" t="e">
        <f t="shared" si="26"/>
        <v>#N/A</v>
      </c>
      <c r="AR22" s="904" t="e">
        <f t="shared" si="32"/>
        <v>#N/A</v>
      </c>
      <c r="AS22" s="1218" t="e">
        <f t="shared" si="38"/>
        <v>#N/A</v>
      </c>
      <c r="AT22" s="1217"/>
      <c r="AU22" s="1218" t="s">
        <v>47</v>
      </c>
      <c r="AV22" s="903" t="e">
        <f t="shared" si="27"/>
        <v>#N/A</v>
      </c>
    </row>
    <row r="23" spans="1:50" s="728" customFormat="1" ht="16.899999999999999" customHeight="1" thickTop="1" thickBot="1" x14ac:dyDescent="0.35">
      <c r="A23" s="892" t="s">
        <v>174</v>
      </c>
      <c r="B23" s="893" t="e">
        <f t="shared" ref="B23:B24" si="39">IF(AV23=0,"",L23)</f>
        <v>#N/A</v>
      </c>
      <c r="C23" s="901" t="e">
        <f t="shared" ref="C23:C24" si="40">IF(AV23=0,"",M23)</f>
        <v>#N/A</v>
      </c>
      <c r="D23" s="895" t="e">
        <f t="shared" ref="D23:D24" si="41">IF(AV23=0,"",AB23)</f>
        <v>#N/A</v>
      </c>
      <c r="E23" s="896" t="e">
        <f t="shared" ref="E23:E24" si="42">IF(AV23=0,"",U23)</f>
        <v>#N/A</v>
      </c>
      <c r="F23" s="896" t="e">
        <f t="shared" ref="F23:F24" si="43">IF(AV23=0,"",V23)</f>
        <v>#N/A</v>
      </c>
      <c r="G23" s="897" t="e">
        <f t="shared" ref="G23:G24" si="44">IF(AV23=0,"",AR23)</f>
        <v>#N/A</v>
      </c>
      <c r="H23" s="897" t="e">
        <f t="shared" ref="H23:H24" si="45">IF(AV23=0,"",AP23)</f>
        <v>#N/A</v>
      </c>
      <c r="I23" s="871" t="e">
        <f t="shared" ref="I23:I24" si="46">IF(AV23=0,"",AS23)</f>
        <v>#N/A</v>
      </c>
      <c r="J23" s="855"/>
      <c r="K23" s="734">
        <f t="shared" si="8"/>
        <v>0</v>
      </c>
      <c r="L23" s="806" t="s">
        <v>7</v>
      </c>
      <c r="M23" s="804" t="s">
        <v>2048</v>
      </c>
      <c r="N23" s="800" t="str">
        <f t="shared" si="9"/>
        <v>POZOSTAŁY</v>
      </c>
      <c r="O23" s="740">
        <v>800</v>
      </c>
      <c r="P23" s="734">
        <f t="shared" ref="P23:P24" si="47">IF(WDochNETTO&gt;=O23,1,0)</f>
        <v>1</v>
      </c>
      <c r="Q23" s="747" t="s">
        <v>164</v>
      </c>
      <c r="R23" s="747" t="s">
        <v>164</v>
      </c>
      <c r="S23" s="747" t="s">
        <v>164</v>
      </c>
      <c r="T23" s="747" t="s">
        <v>164</v>
      </c>
      <c r="U23" s="729">
        <v>0.12</v>
      </c>
      <c r="V23" s="747">
        <v>0</v>
      </c>
      <c r="W23" s="747">
        <v>0</v>
      </c>
      <c r="X23" s="732">
        <v>84</v>
      </c>
      <c r="Y23" s="732">
        <v>84</v>
      </c>
      <c r="Z23" s="734">
        <f t="shared" ref="Z23:Z24" si="48">IF($H$4&gt;=AB23,1,0)</f>
        <v>0</v>
      </c>
      <c r="AA23" s="845"/>
      <c r="AB23" s="750">
        <f t="shared" si="20"/>
        <v>84</v>
      </c>
      <c r="AC23" s="732"/>
      <c r="AD23" s="910" t="s">
        <v>163</v>
      </c>
      <c r="AE23" s="832">
        <f t="shared" si="34"/>
        <v>1</v>
      </c>
      <c r="AF23" s="731">
        <f t="shared" ref="AF23:AF24" si="49">ROUNDDOWN(AE23*(Zdolnosc_2zl*(((1+(U23/12))^AB23)-1))/((1+(U23/12))^AB23*(U23/12)),-2)</f>
        <v>33988900</v>
      </c>
      <c r="AG23" s="1129" t="e">
        <f t="shared" si="22"/>
        <v>#N/A</v>
      </c>
      <c r="AH23" s="833" t="e">
        <f t="shared" si="35"/>
        <v>#N/A</v>
      </c>
      <c r="AI23" s="733" t="e">
        <f>MAX(0,AH23-$C$8)</f>
        <v>#N/A</v>
      </c>
      <c r="AJ23" s="733" t="e">
        <f t="shared" si="37"/>
        <v>#N/A</v>
      </c>
      <c r="AK23" s="900">
        <f>ROUND($H$3/(1-AB23*W23-(1+AB23*W23*0)*V23),2)</f>
        <v>20000</v>
      </c>
      <c r="AL23" s="733" t="e">
        <f t="shared" ref="AL23:AL24" si="50">MIN(AJ23,AK23)</f>
        <v>#N/A</v>
      </c>
      <c r="AM23" s="739">
        <v>5000</v>
      </c>
      <c r="AN23" s="739">
        <v>5000</v>
      </c>
      <c r="AO23" s="899">
        <f>ROUND($AN23/(1-AB23*W23-(1+AB23*W23*0)*V23),2)</f>
        <v>5000</v>
      </c>
      <c r="AP23" s="733" t="e">
        <f t="shared" ref="AP23:AP24" si="51">IF(AL23&gt;=AM23,MIN(AL23,AO23),0)</f>
        <v>#N/A</v>
      </c>
      <c r="AQ23" s="734" t="e">
        <f t="shared" ref="AQ23:AQ24" si="52">IF(AP23&gt;0,1,0)</f>
        <v>#N/A</v>
      </c>
      <c r="AR23" s="838" t="e">
        <f t="shared" ref="AR23:AR24" si="53">ROUND(AP23*((1-AB23*W23)-(1+AB23*W23*0)*V23),0)</f>
        <v>#N/A</v>
      </c>
      <c r="AS23" s="733" t="e">
        <f t="shared" si="38"/>
        <v>#N/A</v>
      </c>
      <c r="AT23" s="833"/>
      <c r="AU23" s="733" t="s">
        <v>47</v>
      </c>
      <c r="AV23" s="734" t="e">
        <f t="shared" ref="AV23" si="54">K23*Z23*AQ23*P23*$K$2</f>
        <v>#N/A</v>
      </c>
      <c r="AW23" s="720"/>
      <c r="AX23" s="720"/>
    </row>
    <row r="24" spans="1:50" ht="16.899999999999999" customHeight="1" thickTop="1" thickBot="1" x14ac:dyDescent="0.35">
      <c r="A24" s="892" t="s">
        <v>174</v>
      </c>
      <c r="B24" s="893" t="str">
        <f t="shared" si="39"/>
        <v/>
      </c>
      <c r="C24" s="901" t="str">
        <f t="shared" si="40"/>
        <v/>
      </c>
      <c r="D24" s="895" t="str">
        <f t="shared" si="41"/>
        <v/>
      </c>
      <c r="E24" s="896" t="str">
        <f t="shared" si="42"/>
        <v/>
      </c>
      <c r="F24" s="896" t="str">
        <f t="shared" si="43"/>
        <v/>
      </c>
      <c r="G24" s="897" t="str">
        <f t="shared" si="44"/>
        <v/>
      </c>
      <c r="H24" s="897" t="str">
        <f t="shared" si="45"/>
        <v/>
      </c>
      <c r="I24" s="871" t="str">
        <f t="shared" si="46"/>
        <v/>
      </c>
      <c r="J24" s="855"/>
      <c r="K24" s="734">
        <f t="shared" si="8"/>
        <v>0</v>
      </c>
      <c r="L24" s="804" t="s">
        <v>3</v>
      </c>
      <c r="M24" s="804" t="s">
        <v>2040</v>
      </c>
      <c r="N24" s="800" t="str">
        <f t="shared" si="9"/>
        <v>POZOSTAŁY</v>
      </c>
      <c r="O24" s="740">
        <v>800</v>
      </c>
      <c r="P24" s="734">
        <f t="shared" si="47"/>
        <v>1</v>
      </c>
      <c r="Q24" s="747" t="s">
        <v>164</v>
      </c>
      <c r="R24" s="747" t="s">
        <v>164</v>
      </c>
      <c r="S24" s="747" t="s">
        <v>164</v>
      </c>
      <c r="T24" s="747" t="s">
        <v>164</v>
      </c>
      <c r="U24" s="729">
        <v>99.99</v>
      </c>
      <c r="V24" s="747">
        <v>0</v>
      </c>
      <c r="W24" s="745">
        <f t="shared" ref="W24" si="55">IF(L24="BEZ UBEZPIECZENIA",0,0.27%)</f>
        <v>0</v>
      </c>
      <c r="X24" s="732">
        <v>84</v>
      </c>
      <c r="Y24" s="732">
        <v>84</v>
      </c>
      <c r="Z24" s="734">
        <f t="shared" si="48"/>
        <v>0</v>
      </c>
      <c r="AA24" s="845"/>
      <c r="AB24" s="750">
        <f t="shared" si="20"/>
        <v>84</v>
      </c>
      <c r="AC24" s="732"/>
      <c r="AD24" s="910" t="s">
        <v>163</v>
      </c>
      <c r="AE24" s="832">
        <f t="shared" ref="AE24" si="56">IF(AD24="ZMIENNE",1-0.0075,1)</f>
        <v>1</v>
      </c>
      <c r="AF24" s="731">
        <f t="shared" si="49"/>
        <v>72000</v>
      </c>
      <c r="AG24" s="1129" t="e">
        <f t="shared" si="22"/>
        <v>#N/A</v>
      </c>
      <c r="AH24" s="833" t="e">
        <f t="shared" ref="AH24" si="57">WDochNETTO*AG24</f>
        <v>#N/A</v>
      </c>
      <c r="AI24" s="733" t="e">
        <f t="shared" ref="AI24" si="58">MAX(0,AH24-$C$8)</f>
        <v>#N/A</v>
      </c>
      <c r="AJ24" s="733" t="e">
        <f t="shared" ref="AJ24" si="59">MAX(MIN(AF24,AI24),0)</f>
        <v>#N/A</v>
      </c>
      <c r="AK24" s="733">
        <f t="shared" ref="AK24" si="60">ROUND($H$3/(1-AB24*W24-(1+AB24*W24*0)*V24),0)</f>
        <v>20000</v>
      </c>
      <c r="AL24" s="733" t="e">
        <f t="shared" si="50"/>
        <v>#N/A</v>
      </c>
      <c r="AM24" s="739"/>
      <c r="AN24" s="739"/>
      <c r="AO24" s="739"/>
      <c r="AP24" s="733" t="e">
        <f t="shared" si="51"/>
        <v>#N/A</v>
      </c>
      <c r="AQ24" s="734" t="e">
        <f t="shared" si="52"/>
        <v>#N/A</v>
      </c>
      <c r="AR24" s="838" t="e">
        <f t="shared" si="53"/>
        <v>#N/A</v>
      </c>
      <c r="AS24" s="733" t="e">
        <f t="shared" ref="AS24" si="61">(AP24*(U24/12))/(1-(1+(U24/12))^(-AB24))</f>
        <v>#N/A</v>
      </c>
      <c r="AT24" s="833"/>
      <c r="AU24" s="733" t="s">
        <v>47</v>
      </c>
      <c r="AV24" s="903">
        <v>0</v>
      </c>
      <c r="AW24" s="827" t="s">
        <v>2041</v>
      </c>
    </row>
    <row r="25" spans="1:50" ht="16.899999999999999" customHeight="1" thickTop="1" x14ac:dyDescent="0.3">
      <c r="A25" s="797" t="s">
        <v>174</v>
      </c>
      <c r="B25" s="797" t="str">
        <f t="shared" si="0"/>
        <v/>
      </c>
      <c r="C25" s="726" t="str">
        <f t="shared" si="1"/>
        <v/>
      </c>
      <c r="D25" s="748" t="str">
        <f t="shared" si="2"/>
        <v/>
      </c>
      <c r="E25" s="727" t="str">
        <f t="shared" si="3"/>
        <v/>
      </c>
      <c r="F25" s="727" t="str">
        <f t="shared" si="4"/>
        <v/>
      </c>
      <c r="G25" s="743" t="str">
        <f t="shared" si="5"/>
        <v/>
      </c>
      <c r="H25" s="743" t="str">
        <f t="shared" si="6"/>
        <v/>
      </c>
      <c r="I25" s="756" t="str">
        <f t="shared" si="7"/>
        <v/>
      </c>
      <c r="J25" s="855"/>
      <c r="K25" s="814">
        <v>0</v>
      </c>
      <c r="AK25" s="733"/>
      <c r="AT25" s="851"/>
      <c r="AV25" s="734">
        <f t="shared" si="27"/>
        <v>0</v>
      </c>
    </row>
    <row r="26" spans="1:50" ht="16.899999999999999" customHeight="1" x14ac:dyDescent="0.3">
      <c r="A26" s="797" t="s">
        <v>174</v>
      </c>
      <c r="B26" s="797" t="str">
        <f t="shared" si="0"/>
        <v/>
      </c>
      <c r="C26" s="726" t="str">
        <f t="shared" si="1"/>
        <v/>
      </c>
      <c r="D26" s="748" t="str">
        <f t="shared" si="2"/>
        <v/>
      </c>
      <c r="E26" s="727" t="str">
        <f t="shared" si="3"/>
        <v/>
      </c>
      <c r="F26" s="727" t="str">
        <f t="shared" si="4"/>
        <v/>
      </c>
      <c r="G26" s="743" t="str">
        <f t="shared" si="5"/>
        <v/>
      </c>
      <c r="H26" s="743" t="str">
        <f t="shared" si="6"/>
        <v/>
      </c>
      <c r="I26" s="756" t="str">
        <f t="shared" si="7"/>
        <v/>
      </c>
      <c r="J26" s="855"/>
      <c r="K26" s="814">
        <v>0</v>
      </c>
      <c r="AK26" s="733"/>
      <c r="AT26" s="851"/>
      <c r="AV26" s="734">
        <f t="shared" si="27"/>
        <v>0</v>
      </c>
    </row>
    <row r="27" spans="1:50" ht="16.899999999999999" customHeight="1" x14ac:dyDescent="0.3">
      <c r="A27" s="797" t="s">
        <v>174</v>
      </c>
      <c r="B27" s="797" t="str">
        <f t="shared" si="0"/>
        <v/>
      </c>
      <c r="C27" s="726" t="str">
        <f t="shared" si="1"/>
        <v/>
      </c>
      <c r="D27" s="748" t="str">
        <f t="shared" si="2"/>
        <v/>
      </c>
      <c r="E27" s="727" t="str">
        <f t="shared" si="3"/>
        <v/>
      </c>
      <c r="F27" s="727" t="str">
        <f t="shared" si="4"/>
        <v/>
      </c>
      <c r="G27" s="743" t="str">
        <f t="shared" si="5"/>
        <v/>
      </c>
      <c r="H27" s="743" t="str">
        <f t="shared" si="6"/>
        <v/>
      </c>
      <c r="I27" s="756" t="str">
        <f t="shared" si="7"/>
        <v/>
      </c>
      <c r="J27" s="855"/>
      <c r="K27" s="814">
        <v>0</v>
      </c>
      <c r="AK27" s="733"/>
      <c r="AT27" s="851"/>
      <c r="AV27" s="734">
        <f t="shared" si="27"/>
        <v>0</v>
      </c>
    </row>
    <row r="28" spans="1:50" ht="16.899999999999999" customHeight="1" x14ac:dyDescent="0.3">
      <c r="A28" s="797" t="s">
        <v>174</v>
      </c>
      <c r="B28" s="797" t="str">
        <f t="shared" si="0"/>
        <v/>
      </c>
      <c r="C28" s="726" t="str">
        <f t="shared" si="1"/>
        <v/>
      </c>
      <c r="D28" s="748" t="str">
        <f t="shared" si="2"/>
        <v/>
      </c>
      <c r="E28" s="727" t="str">
        <f t="shared" si="3"/>
        <v/>
      </c>
      <c r="F28" s="727" t="str">
        <f t="shared" si="4"/>
        <v/>
      </c>
      <c r="G28" s="743" t="str">
        <f t="shared" si="5"/>
        <v/>
      </c>
      <c r="H28" s="743" t="str">
        <f t="shared" si="6"/>
        <v/>
      </c>
      <c r="I28" s="756" t="str">
        <f t="shared" si="7"/>
        <v/>
      </c>
      <c r="J28" s="855"/>
      <c r="K28" s="814">
        <v>0</v>
      </c>
      <c r="AK28" s="733"/>
      <c r="AT28" s="851"/>
      <c r="AV28" s="734">
        <f t="shared" si="27"/>
        <v>0</v>
      </c>
    </row>
    <row r="29" spans="1:50" ht="16.899999999999999" customHeight="1" x14ac:dyDescent="0.3">
      <c r="A29" s="797" t="s">
        <v>174</v>
      </c>
      <c r="B29" s="797" t="str">
        <f t="shared" si="0"/>
        <v/>
      </c>
      <c r="C29" s="726" t="str">
        <f t="shared" si="1"/>
        <v/>
      </c>
      <c r="D29" s="748" t="str">
        <f t="shared" si="2"/>
        <v/>
      </c>
      <c r="E29" s="727" t="str">
        <f t="shared" si="3"/>
        <v/>
      </c>
      <c r="F29" s="727" t="str">
        <f t="shared" si="4"/>
        <v/>
      </c>
      <c r="G29" s="743" t="str">
        <f t="shared" si="5"/>
        <v/>
      </c>
      <c r="H29" s="743" t="str">
        <f t="shared" si="6"/>
        <v/>
      </c>
      <c r="I29" s="756" t="str">
        <f t="shared" si="7"/>
        <v/>
      </c>
      <c r="J29" s="855"/>
      <c r="K29" s="814">
        <v>0</v>
      </c>
      <c r="AK29" s="733"/>
      <c r="AT29" s="851"/>
      <c r="AV29" s="734">
        <f t="shared" si="27"/>
        <v>0</v>
      </c>
    </row>
    <row r="30" spans="1:50" ht="16.899999999999999" customHeight="1" thickBot="1" x14ac:dyDescent="0.35">
      <c r="A30" s="797" t="s">
        <v>174</v>
      </c>
      <c r="B30" s="797" t="str">
        <f t="shared" si="0"/>
        <v/>
      </c>
      <c r="C30" s="726" t="str">
        <f t="shared" si="1"/>
        <v/>
      </c>
      <c r="D30" s="748" t="str">
        <f t="shared" si="2"/>
        <v/>
      </c>
      <c r="E30" s="727" t="str">
        <f t="shared" si="3"/>
        <v/>
      </c>
      <c r="F30" s="727" t="str">
        <f t="shared" si="4"/>
        <v/>
      </c>
      <c r="G30" s="743" t="str">
        <f t="shared" si="5"/>
        <v/>
      </c>
      <c r="H30" s="743" t="str">
        <f t="shared" si="6"/>
        <v/>
      </c>
      <c r="I30" s="756" t="str">
        <f t="shared" si="7"/>
        <v/>
      </c>
      <c r="J30" s="855"/>
      <c r="K30" s="814">
        <v>0</v>
      </c>
      <c r="Z30" s="828" t="s">
        <v>1913</v>
      </c>
      <c r="AK30" s="733"/>
      <c r="AT30" s="851"/>
      <c r="AU30" s="827" t="s">
        <v>1921</v>
      </c>
      <c r="AV30" s="734">
        <v>0</v>
      </c>
    </row>
    <row r="31" spans="1:50" ht="16.899999999999999" customHeight="1" thickTop="1" thickBot="1" x14ac:dyDescent="0.35">
      <c r="A31" s="865" t="s">
        <v>174</v>
      </c>
      <c r="B31" s="866" t="e">
        <f t="shared" si="0"/>
        <v>#N/A</v>
      </c>
      <c r="C31" s="867" t="e">
        <f t="shared" si="1"/>
        <v>#N/A</v>
      </c>
      <c r="D31" s="868" t="e">
        <f t="shared" si="2"/>
        <v>#N/A</v>
      </c>
      <c r="E31" s="869" t="e">
        <f t="shared" si="3"/>
        <v>#N/A</v>
      </c>
      <c r="F31" s="869" t="e">
        <f t="shared" si="4"/>
        <v>#N/A</v>
      </c>
      <c r="G31" s="870" t="e">
        <f t="shared" si="5"/>
        <v>#N/A</v>
      </c>
      <c r="H31" s="870" t="e">
        <f t="shared" si="6"/>
        <v>#N/A</v>
      </c>
      <c r="I31" s="871" t="e">
        <f t="shared" si="7"/>
        <v>#N/A</v>
      </c>
      <c r="J31" s="855"/>
      <c r="K31" s="734">
        <f>IF($K$1="2",1,0)</f>
        <v>1</v>
      </c>
      <c r="L31" s="1197" t="str">
        <f>L11</f>
        <v>nie oferujemy</v>
      </c>
      <c r="M31" s="840" t="str">
        <f>M11</f>
        <v>0%_STANDARDOWA</v>
      </c>
      <c r="N31" s="800" t="str">
        <f t="shared" ref="N31:N44" si="62">DccStatusKliUproszcz</f>
        <v>POZOSTAŁY</v>
      </c>
      <c r="O31" s="842">
        <f t="shared" ref="O31:O44" si="63">O11</f>
        <v>800</v>
      </c>
      <c r="P31" s="734">
        <f t="shared" ref="P31" si="64">IF(WDochNETTO&gt;=O31,1,0)</f>
        <v>1</v>
      </c>
      <c r="Q31" s="843" t="str">
        <f t="shared" ref="Q31:R31" si="65">Q11</f>
        <v>x</v>
      </c>
      <c r="R31" s="843" t="str">
        <f t="shared" si="65"/>
        <v>x</v>
      </c>
      <c r="S31" s="843">
        <f>S11</f>
        <v>0.155</v>
      </c>
      <c r="T31" s="843">
        <f>T11</f>
        <v>0.17</v>
      </c>
      <c r="U31" s="745">
        <f>IF(DccStatusKliUproszcz="STAŁY",S31,0)+IF(DccStatusKliUproszcz="POZOSTAŁY",T31,0)</f>
        <v>0.17</v>
      </c>
      <c r="V31" s="843">
        <f>V11</f>
        <v>0</v>
      </c>
      <c r="W31" s="1198">
        <f>IF(L31="BEZ UBEZPIECZENIA",0,0.27%)</f>
        <v>2.7000000000000001E-3</v>
      </c>
      <c r="X31" s="844">
        <f>X11</f>
        <v>1</v>
      </c>
      <c r="Y31" s="844">
        <f>Y11</f>
        <v>60</v>
      </c>
      <c r="Z31" s="862">
        <v>30</v>
      </c>
      <c r="AA31" s="847" t="e">
        <f t="shared" ref="AA31:AA39" si="66">IF(AND(AR31&lt;$H$3,Z31&lt;Y31),0,1)</f>
        <v>#N/A</v>
      </c>
      <c r="AB31" s="841">
        <f>MIN(Z31,Y31)</f>
        <v>30</v>
      </c>
      <c r="AC31" s="840">
        <f>AC11</f>
        <v>36</v>
      </c>
      <c r="AD31" s="910" t="s">
        <v>163</v>
      </c>
      <c r="AE31" s="832">
        <f>IF(AD31="ZMIENNE",1-0.0075,1)</f>
        <v>1</v>
      </c>
      <c r="AF31" s="731">
        <f t="shared" ref="AF31:AF39" si="67">ROUNDDOWN(AE31*(Zdolnosc_2zl*(((1+(U31/12))^AB31)-1))/((1+(U31/12))^AB31*(U31/12)),-2)</f>
        <v>14581100</v>
      </c>
      <c r="AG31" s="1129" t="e">
        <f t="shared" ref="AG31:AG44" si="68">$AH$6</f>
        <v>#N/A</v>
      </c>
      <c r="AH31" s="833" t="e">
        <f t="shared" ref="AH31:AH39" si="69">WDochNETTO*AG31</f>
        <v>#N/A</v>
      </c>
      <c r="AI31" s="733" t="e">
        <f t="shared" ref="AI31:AI39" si="70">MAX(0,AH31-$C$8)</f>
        <v>#N/A</v>
      </c>
      <c r="AJ31" s="733" t="e">
        <f>MAX(MIN(AF31,AI31),0)</f>
        <v>#N/A</v>
      </c>
      <c r="AK31" s="733">
        <f t="shared" si="24"/>
        <v>21763</v>
      </c>
      <c r="AL31" s="733" t="e">
        <f>MIN(AJ31,AK31)</f>
        <v>#N/A</v>
      </c>
      <c r="AM31" s="842">
        <f t="shared" ref="AM31:AO32" si="71">AM11</f>
        <v>1000</v>
      </c>
      <c r="AN31" s="842">
        <f t="shared" si="71"/>
        <v>50000</v>
      </c>
      <c r="AO31" s="842">
        <f t="shared" si="71"/>
        <v>60000</v>
      </c>
      <c r="AP31" s="733" t="e">
        <f t="shared" ref="AP31:AP39" si="72">IF(AL31&gt;=AM31,MIN(AL31,AO31),0)</f>
        <v>#N/A</v>
      </c>
      <c r="AQ31" s="734" t="e">
        <f>IF(AP31&gt;0,1,0)</f>
        <v>#N/A</v>
      </c>
      <c r="AR31" s="838" t="e">
        <f t="shared" ref="AR31:AR39" si="73">ROUND(AP31*((1-AB31*W31)-(1+AB31*W31*0)*V31),0)</f>
        <v>#N/A</v>
      </c>
      <c r="AS31" s="731" t="e">
        <f t="shared" ref="AS31:AS39" si="74">(AP31*(U31/12))/(1-(1+(U31/12))^(-AB31))</f>
        <v>#N/A</v>
      </c>
      <c r="AT31" s="853">
        <v>1</v>
      </c>
      <c r="AU31" s="872" t="e">
        <f>AW31*AX31</f>
        <v>#N/A</v>
      </c>
      <c r="AV31" s="903" t="e">
        <f t="shared" ref="AV31:AV38" si="75">K31*AQ31*P31*$K$2</f>
        <v>#N/A</v>
      </c>
      <c r="AW31" s="814" t="e">
        <f>IF(AND(AS31&gt;0,AS31&lt;=$H$5),1,0)</f>
        <v>#N/A</v>
      </c>
      <c r="AX31" s="814" t="e">
        <f>IF(AR31&gt;=$H$3,1,0)</f>
        <v>#N/A</v>
      </c>
    </row>
    <row r="32" spans="1:50" ht="16.899999999999999" customHeight="1" thickTop="1" thickBot="1" x14ac:dyDescent="0.35">
      <c r="A32" s="865" t="s">
        <v>174</v>
      </c>
      <c r="B32" s="866" t="e">
        <f t="shared" si="0"/>
        <v>#N/A</v>
      </c>
      <c r="C32" s="867" t="e">
        <f t="shared" si="1"/>
        <v>#N/A</v>
      </c>
      <c r="D32" s="868" t="e">
        <f t="shared" si="2"/>
        <v>#N/A</v>
      </c>
      <c r="E32" s="869" t="e">
        <f t="shared" si="3"/>
        <v>#N/A</v>
      </c>
      <c r="F32" s="869" t="e">
        <f t="shared" si="4"/>
        <v>#N/A</v>
      </c>
      <c r="G32" s="870" t="e">
        <f t="shared" si="5"/>
        <v>#N/A</v>
      </c>
      <c r="H32" s="870" t="e">
        <f t="shared" si="6"/>
        <v>#N/A</v>
      </c>
      <c r="I32" s="871" t="e">
        <f t="shared" si="7"/>
        <v>#N/A</v>
      </c>
      <c r="J32" s="855"/>
      <c r="K32" s="734">
        <f>IF($K$1="2",1,0)</f>
        <v>1</v>
      </c>
      <c r="L32" s="840" t="str">
        <f>L12</f>
        <v>nie oferujemy</v>
      </c>
      <c r="M32" s="840" t="str">
        <f>M12</f>
        <v>0%_STANDARDOWA</v>
      </c>
      <c r="N32" s="800" t="str">
        <f t="shared" si="62"/>
        <v>POZOSTAŁY</v>
      </c>
      <c r="O32" s="842">
        <f t="shared" si="63"/>
        <v>800</v>
      </c>
      <c r="P32" s="734">
        <f t="shared" ref="P32" si="76">IF(WDochNETTO&gt;=O32,1,0)</f>
        <v>1</v>
      </c>
      <c r="Q32" s="843" t="str">
        <f t="shared" ref="Q32:T32" si="77">Q12</f>
        <v>x</v>
      </c>
      <c r="R32" s="843" t="str">
        <f t="shared" si="77"/>
        <v>x</v>
      </c>
      <c r="S32" s="843">
        <f t="shared" si="77"/>
        <v>0.18</v>
      </c>
      <c r="T32" s="843">
        <f t="shared" si="77"/>
        <v>0.19</v>
      </c>
      <c r="U32" s="745">
        <f>IF(DccStatusKliUproszcz="STAŁY",S32,0)+IF(DccStatusKliUproszcz="POZOSTAŁY",T32,0)</f>
        <v>0.19</v>
      </c>
      <c r="V32" s="843">
        <f t="shared" ref="V32:Y39" si="78">V12</f>
        <v>0</v>
      </c>
      <c r="W32" s="745">
        <f>IF(L32="BEZ UBEZPIECZENIA",0,0.27%)</f>
        <v>2.7000000000000001E-3</v>
      </c>
      <c r="X32" s="844">
        <f>X12</f>
        <v>1</v>
      </c>
      <c r="Y32" s="844">
        <f>Y12</f>
        <v>60</v>
      </c>
      <c r="Z32" s="862">
        <v>28</v>
      </c>
      <c r="AA32" s="847" t="e">
        <f t="shared" si="66"/>
        <v>#N/A</v>
      </c>
      <c r="AB32" s="841">
        <f>MIN(Z32,Y32)</f>
        <v>28</v>
      </c>
      <c r="AC32" s="840">
        <f t="shared" ref="AB32:AC39" si="79">AC12</f>
        <v>36</v>
      </c>
      <c r="AD32" s="910" t="s">
        <v>163</v>
      </c>
      <c r="AE32" s="832">
        <f>IF(AD32="ZMIENNE",1-0.0075,1)</f>
        <v>1</v>
      </c>
      <c r="AF32" s="731">
        <f t="shared" si="67"/>
        <v>13485600</v>
      </c>
      <c r="AG32" s="1129" t="e">
        <f t="shared" si="68"/>
        <v>#N/A</v>
      </c>
      <c r="AH32" s="833" t="e">
        <f t="shared" si="69"/>
        <v>#N/A</v>
      </c>
      <c r="AI32" s="733" t="e">
        <f t="shared" si="70"/>
        <v>#N/A</v>
      </c>
      <c r="AJ32" s="733" t="e">
        <f t="shared" ref="AJ32:AJ39" si="80">MAX(MIN(AF32,AI32),0)</f>
        <v>#N/A</v>
      </c>
      <c r="AK32" s="733">
        <f t="shared" si="24"/>
        <v>21636</v>
      </c>
      <c r="AL32" s="733" t="e">
        <f t="shared" ref="AL32:AL39" si="81">MIN(AJ32,AK32)</f>
        <v>#N/A</v>
      </c>
      <c r="AM32" s="842">
        <f t="shared" si="71"/>
        <v>1000</v>
      </c>
      <c r="AN32" s="842">
        <f t="shared" si="71"/>
        <v>50000</v>
      </c>
      <c r="AO32" s="842">
        <f t="shared" si="71"/>
        <v>60000</v>
      </c>
      <c r="AP32" s="733" t="e">
        <f t="shared" si="72"/>
        <v>#N/A</v>
      </c>
      <c r="AQ32" s="734" t="e">
        <f>IF(AP32&gt;0,1,0)</f>
        <v>#N/A</v>
      </c>
      <c r="AR32" s="838" t="e">
        <f t="shared" si="73"/>
        <v>#N/A</v>
      </c>
      <c r="AS32" s="731" t="e">
        <f t="shared" si="74"/>
        <v>#N/A</v>
      </c>
      <c r="AT32" s="853">
        <v>1</v>
      </c>
      <c r="AU32" s="872" t="e">
        <f t="shared" ref="AU32:AU39" si="82">AW32*AX32</f>
        <v>#N/A</v>
      </c>
      <c r="AV32" s="903" t="e">
        <f t="shared" si="75"/>
        <v>#N/A</v>
      </c>
      <c r="AW32" s="814" t="e">
        <f t="shared" ref="AW32:AW39" si="83">IF(AND(AS32&gt;0,AS32&lt;=$H$5),1,0)</f>
        <v>#N/A</v>
      </c>
      <c r="AX32" s="814" t="e">
        <f t="shared" ref="AX32:AX34" si="84">IF(AR32&gt;=$H$3,1,0)</f>
        <v>#N/A</v>
      </c>
    </row>
    <row r="33" spans="1:50" ht="16.899999999999999" customHeight="1" thickTop="1" thickBot="1" x14ac:dyDescent="0.35">
      <c r="A33" s="865" t="s">
        <v>174</v>
      </c>
      <c r="B33" s="866" t="e">
        <f t="shared" si="0"/>
        <v>#N/A</v>
      </c>
      <c r="C33" s="867" t="e">
        <f t="shared" si="1"/>
        <v>#N/A</v>
      </c>
      <c r="D33" s="868" t="e">
        <f t="shared" si="2"/>
        <v>#N/A</v>
      </c>
      <c r="E33" s="869" t="e">
        <f t="shared" si="3"/>
        <v>#N/A</v>
      </c>
      <c r="F33" s="869" t="e">
        <f t="shared" si="4"/>
        <v>#N/A</v>
      </c>
      <c r="G33" s="870" t="e">
        <f t="shared" si="5"/>
        <v>#N/A</v>
      </c>
      <c r="H33" s="870" t="e">
        <f t="shared" si="6"/>
        <v>#N/A</v>
      </c>
      <c r="I33" s="871" t="e">
        <f t="shared" si="7"/>
        <v>#N/A</v>
      </c>
      <c r="J33" s="855"/>
      <c r="K33" s="734">
        <f t="shared" ref="K33:K43" si="85">IF($K$1="2",1,0)</f>
        <v>1</v>
      </c>
      <c r="L33" s="1197" t="str">
        <f t="shared" ref="L33:M33" si="86">L13</f>
        <v xml:space="preserve">Z UBEZPIECZENIEM </v>
      </c>
      <c r="M33" s="840" t="str">
        <f t="shared" si="86"/>
        <v>STANDARDOWA</v>
      </c>
      <c r="N33" s="800" t="str">
        <f t="shared" si="62"/>
        <v>POZOSTAŁY</v>
      </c>
      <c r="O33" s="842">
        <f t="shared" si="63"/>
        <v>800</v>
      </c>
      <c r="P33" s="734">
        <f t="shared" ref="P33:P39" si="87">IF(WDochNETTO&gt;=O33,1,0)</f>
        <v>1</v>
      </c>
      <c r="Q33" s="843" t="str">
        <f t="shared" ref="Q33:T33" si="88">Q13</f>
        <v>x</v>
      </c>
      <c r="R33" s="843" t="str">
        <f t="shared" si="88"/>
        <v>x</v>
      </c>
      <c r="S33" s="843">
        <f t="shared" si="88"/>
        <v>0.14000000000000001</v>
      </c>
      <c r="T33" s="843">
        <f t="shared" si="88"/>
        <v>0.15</v>
      </c>
      <c r="U33" s="745">
        <f>IF(DccStatusKliUproszcz="STAŁY",S33,0)+IF(DccStatusKliUproszcz="POZOSTAŁY",T33,0)</f>
        <v>0.15</v>
      </c>
      <c r="V33" s="843">
        <f t="shared" si="78"/>
        <v>0.05</v>
      </c>
      <c r="W33" s="1198">
        <f t="shared" ref="W33:W39" si="89">IF(L33="BEZ UBEZPIECZENIA",0,0.27%)</f>
        <v>2.7000000000000001E-3</v>
      </c>
      <c r="X33" s="844">
        <f t="shared" ref="X33:Y33" si="90">X13</f>
        <v>1</v>
      </c>
      <c r="Y33" s="844">
        <f t="shared" si="90"/>
        <v>84</v>
      </c>
      <c r="Z33" s="862">
        <v>32</v>
      </c>
      <c r="AA33" s="847" t="e">
        <f t="shared" si="66"/>
        <v>#N/A</v>
      </c>
      <c r="AB33" s="841">
        <f t="shared" ref="AB33:AB38" si="91">MIN(Z33,Y33)</f>
        <v>32</v>
      </c>
      <c r="AC33" s="840">
        <f t="shared" si="79"/>
        <v>84</v>
      </c>
      <c r="AD33" s="910" t="s">
        <v>163</v>
      </c>
      <c r="AE33" s="832">
        <f t="shared" ref="AE33:AE39" si="92">IF(AD33="ZMIENNE",1-0.0075,1)</f>
        <v>1</v>
      </c>
      <c r="AF33" s="731">
        <f t="shared" si="67"/>
        <v>15744700</v>
      </c>
      <c r="AG33" s="1129" t="e">
        <f t="shared" si="68"/>
        <v>#N/A</v>
      </c>
      <c r="AH33" s="833" t="e">
        <f t="shared" si="69"/>
        <v>#N/A</v>
      </c>
      <c r="AI33" s="733" t="e">
        <f t="shared" si="70"/>
        <v>#N/A</v>
      </c>
      <c r="AJ33" s="733" t="e">
        <f t="shared" si="80"/>
        <v>#N/A</v>
      </c>
      <c r="AK33" s="733">
        <f t="shared" si="24"/>
        <v>23159</v>
      </c>
      <c r="AL33" s="733" t="e">
        <f t="shared" si="81"/>
        <v>#N/A</v>
      </c>
      <c r="AM33" s="842">
        <f t="shared" ref="AM33:AO33" si="93">AM13</f>
        <v>1000</v>
      </c>
      <c r="AN33" s="842">
        <f t="shared" si="93"/>
        <v>20000</v>
      </c>
      <c r="AO33" s="842">
        <f t="shared" si="93"/>
        <v>20000</v>
      </c>
      <c r="AP33" s="733" t="e">
        <f t="shared" si="72"/>
        <v>#N/A</v>
      </c>
      <c r="AQ33" s="734" t="e">
        <f t="shared" ref="AQ33:AQ42" si="94">IF(AP33&gt;0,1,0)</f>
        <v>#N/A</v>
      </c>
      <c r="AR33" s="838" t="e">
        <f t="shared" si="73"/>
        <v>#N/A</v>
      </c>
      <c r="AS33" s="731" t="e">
        <f t="shared" si="74"/>
        <v>#N/A</v>
      </c>
      <c r="AT33" s="853">
        <v>1</v>
      </c>
      <c r="AU33" s="872" t="e">
        <f t="shared" si="82"/>
        <v>#N/A</v>
      </c>
      <c r="AV33" s="903" t="e">
        <f t="shared" si="75"/>
        <v>#N/A</v>
      </c>
      <c r="AW33" s="814" t="e">
        <f t="shared" si="83"/>
        <v>#N/A</v>
      </c>
      <c r="AX33" s="814" t="e">
        <f t="shared" si="84"/>
        <v>#N/A</v>
      </c>
    </row>
    <row r="34" spans="1:50" ht="16.899999999999999" customHeight="1" thickTop="1" thickBot="1" x14ac:dyDescent="0.35">
      <c r="A34" s="865" t="s">
        <v>174</v>
      </c>
      <c r="B34" s="866" t="e">
        <f t="shared" si="0"/>
        <v>#N/A</v>
      </c>
      <c r="C34" s="867" t="e">
        <f t="shared" si="1"/>
        <v>#N/A</v>
      </c>
      <c r="D34" s="868" t="e">
        <f t="shared" si="2"/>
        <v>#N/A</v>
      </c>
      <c r="E34" s="869" t="e">
        <f t="shared" si="3"/>
        <v>#N/A</v>
      </c>
      <c r="F34" s="869" t="e">
        <f t="shared" si="4"/>
        <v>#N/A</v>
      </c>
      <c r="G34" s="870" t="e">
        <f t="shared" si="5"/>
        <v>#N/A</v>
      </c>
      <c r="H34" s="870" t="e">
        <f t="shared" si="6"/>
        <v>#N/A</v>
      </c>
      <c r="I34" s="871" t="e">
        <f t="shared" si="7"/>
        <v>#N/A</v>
      </c>
      <c r="J34" s="855"/>
      <c r="K34" s="734">
        <f t="shared" si="85"/>
        <v>1</v>
      </c>
      <c r="L34" s="840" t="str">
        <f t="shared" ref="L34:M34" si="95">L14</f>
        <v>BEZ UBEZPIECZENIA</v>
      </c>
      <c r="M34" s="840" t="str">
        <f t="shared" si="95"/>
        <v>STANDARDOWA</v>
      </c>
      <c r="N34" s="800" t="str">
        <f t="shared" si="62"/>
        <v>POZOSTAŁY</v>
      </c>
      <c r="O34" s="842">
        <f t="shared" si="63"/>
        <v>800</v>
      </c>
      <c r="P34" s="734">
        <f t="shared" si="87"/>
        <v>1</v>
      </c>
      <c r="Q34" s="843" t="str">
        <f t="shared" ref="Q34:T34" si="96">Q14</f>
        <v>x</v>
      </c>
      <c r="R34" s="843" t="str">
        <f t="shared" si="96"/>
        <v>x</v>
      </c>
      <c r="S34" s="843">
        <f t="shared" si="96"/>
        <v>0.16</v>
      </c>
      <c r="T34" s="843">
        <f t="shared" si="96"/>
        <v>0.17</v>
      </c>
      <c r="U34" s="745">
        <f>IF(DccStatusKliUproszcz="STAŁY",S34,0)+IF(DccStatusKliUproszcz="POZOSTAŁY",T34,0)</f>
        <v>0.17</v>
      </c>
      <c r="V34" s="843">
        <f t="shared" si="78"/>
        <v>0.05</v>
      </c>
      <c r="W34" s="745">
        <f t="shared" si="89"/>
        <v>0</v>
      </c>
      <c r="X34" s="844">
        <f t="shared" ref="X34:Y34" si="97">X14</f>
        <v>1</v>
      </c>
      <c r="Y34" s="844">
        <f t="shared" si="97"/>
        <v>84</v>
      </c>
      <c r="Z34" s="862">
        <v>30</v>
      </c>
      <c r="AA34" s="847" t="e">
        <f t="shared" si="66"/>
        <v>#N/A</v>
      </c>
      <c r="AB34" s="841">
        <f t="shared" si="91"/>
        <v>30</v>
      </c>
      <c r="AC34" s="840">
        <f t="shared" si="79"/>
        <v>84</v>
      </c>
      <c r="AD34" s="910" t="s">
        <v>163</v>
      </c>
      <c r="AE34" s="832">
        <f t="shared" si="92"/>
        <v>1</v>
      </c>
      <c r="AF34" s="731">
        <f t="shared" si="67"/>
        <v>14581100</v>
      </c>
      <c r="AG34" s="1129" t="e">
        <f t="shared" si="68"/>
        <v>#N/A</v>
      </c>
      <c r="AH34" s="833" t="e">
        <f t="shared" si="69"/>
        <v>#N/A</v>
      </c>
      <c r="AI34" s="733" t="e">
        <f t="shared" si="70"/>
        <v>#N/A</v>
      </c>
      <c r="AJ34" s="733" t="e">
        <f t="shared" si="80"/>
        <v>#N/A</v>
      </c>
      <c r="AK34" s="733">
        <f t="shared" si="24"/>
        <v>21053</v>
      </c>
      <c r="AL34" s="733" t="e">
        <f t="shared" si="81"/>
        <v>#N/A</v>
      </c>
      <c r="AM34" s="842">
        <f t="shared" ref="AM34:AO34" si="98">AM14</f>
        <v>1000</v>
      </c>
      <c r="AN34" s="842">
        <f t="shared" si="98"/>
        <v>20000</v>
      </c>
      <c r="AO34" s="842">
        <f t="shared" si="98"/>
        <v>20000</v>
      </c>
      <c r="AP34" s="733" t="e">
        <f t="shared" si="72"/>
        <v>#N/A</v>
      </c>
      <c r="AQ34" s="734" t="e">
        <f t="shared" si="94"/>
        <v>#N/A</v>
      </c>
      <c r="AR34" s="838" t="e">
        <f t="shared" si="73"/>
        <v>#N/A</v>
      </c>
      <c r="AS34" s="731" t="e">
        <f t="shared" si="74"/>
        <v>#N/A</v>
      </c>
      <c r="AT34" s="853">
        <v>1</v>
      </c>
      <c r="AU34" s="872" t="e">
        <f t="shared" si="82"/>
        <v>#N/A</v>
      </c>
      <c r="AV34" s="903" t="e">
        <f t="shared" si="75"/>
        <v>#N/A</v>
      </c>
      <c r="AW34" s="814" t="e">
        <f t="shared" si="83"/>
        <v>#N/A</v>
      </c>
      <c r="AX34" s="814" t="e">
        <f t="shared" si="84"/>
        <v>#N/A</v>
      </c>
    </row>
    <row r="35" spans="1:50" ht="16.899999999999999" customHeight="1" thickTop="1" thickBot="1" x14ac:dyDescent="0.35">
      <c r="A35" s="865" t="s">
        <v>174</v>
      </c>
      <c r="B35" s="866" t="e">
        <f t="shared" si="0"/>
        <v>#N/A</v>
      </c>
      <c r="C35" s="867" t="e">
        <f t="shared" si="1"/>
        <v>#N/A</v>
      </c>
      <c r="D35" s="868" t="e">
        <f t="shared" si="2"/>
        <v>#N/A</v>
      </c>
      <c r="E35" s="869" t="e">
        <f t="shared" si="3"/>
        <v>#N/A</v>
      </c>
      <c r="F35" s="869" t="e">
        <f t="shared" si="4"/>
        <v>#N/A</v>
      </c>
      <c r="G35" s="870" t="e">
        <f t="shared" si="5"/>
        <v>#N/A</v>
      </c>
      <c r="H35" s="870" t="e">
        <f t="shared" si="6"/>
        <v>#N/A</v>
      </c>
      <c r="I35" s="871" t="e">
        <f t="shared" si="7"/>
        <v>#N/A</v>
      </c>
      <c r="J35" s="855"/>
      <c r="K35" s="734">
        <f t="shared" si="85"/>
        <v>1</v>
      </c>
      <c r="L35" s="1197" t="str">
        <f t="shared" ref="L35:M35" si="99">L15</f>
        <v xml:space="preserve">Z UBEZPIECZENIEM </v>
      </c>
      <c r="M35" s="840" t="str">
        <f t="shared" si="99"/>
        <v>0%_MEGA_POŻYCZKA</v>
      </c>
      <c r="N35" s="800" t="str">
        <f t="shared" si="62"/>
        <v>POZOSTAŁY</v>
      </c>
      <c r="O35" s="842">
        <f t="shared" si="63"/>
        <v>2000</v>
      </c>
      <c r="P35" s="734">
        <f t="shared" si="87"/>
        <v>1</v>
      </c>
      <c r="Q35" s="843">
        <f t="shared" ref="Q35:T35" si="100">Q15</f>
        <v>0.115</v>
      </c>
      <c r="R35" s="843">
        <f t="shared" si="100"/>
        <v>0.13</v>
      </c>
      <c r="S35" s="843" t="str">
        <f t="shared" si="100"/>
        <v>X</v>
      </c>
      <c r="T35" s="843" t="str">
        <f t="shared" si="100"/>
        <v>X</v>
      </c>
      <c r="U35" s="848">
        <f t="shared" ref="U35:U38" si="101">IF(AD35="ZMIENNE",R35,Q35)</f>
        <v>0.115</v>
      </c>
      <c r="V35" s="843">
        <f t="shared" si="78"/>
        <v>0</v>
      </c>
      <c r="W35" s="1198">
        <f t="shared" si="89"/>
        <v>2.7000000000000001E-3</v>
      </c>
      <c r="X35" s="844">
        <f t="shared" ref="X35:Y35" si="102">X15</f>
        <v>1</v>
      </c>
      <c r="Y35" s="844">
        <f t="shared" si="102"/>
        <v>60</v>
      </c>
      <c r="Z35" s="862">
        <v>96</v>
      </c>
      <c r="AA35" s="847" t="e">
        <f t="shared" si="66"/>
        <v>#N/A</v>
      </c>
      <c r="AB35" s="841">
        <f t="shared" si="91"/>
        <v>60</v>
      </c>
      <c r="AC35" s="840">
        <f t="shared" si="79"/>
        <v>0</v>
      </c>
      <c r="AD35" s="910" t="s">
        <v>163</v>
      </c>
      <c r="AE35" s="832">
        <f t="shared" si="92"/>
        <v>1</v>
      </c>
      <c r="AF35" s="731">
        <f t="shared" si="67"/>
        <v>27281800</v>
      </c>
      <c r="AG35" s="1129" t="e">
        <f t="shared" si="68"/>
        <v>#N/A</v>
      </c>
      <c r="AH35" s="833" t="e">
        <f t="shared" si="69"/>
        <v>#N/A</v>
      </c>
      <c r="AI35" s="733" t="e">
        <f t="shared" si="70"/>
        <v>#N/A</v>
      </c>
      <c r="AJ35" s="733" t="e">
        <f t="shared" si="80"/>
        <v>#N/A</v>
      </c>
      <c r="AK35" s="733">
        <f t="shared" si="24"/>
        <v>23866</v>
      </c>
      <c r="AL35" s="733" t="e">
        <f t="shared" si="81"/>
        <v>#N/A</v>
      </c>
      <c r="AM35" s="842">
        <f t="shared" ref="AM35:AO35" si="103">AM15</f>
        <v>20000</v>
      </c>
      <c r="AN35" s="842">
        <f t="shared" si="103"/>
        <v>50000</v>
      </c>
      <c r="AO35" s="842">
        <f t="shared" si="103"/>
        <v>60000</v>
      </c>
      <c r="AP35" s="733" t="e">
        <f t="shared" si="72"/>
        <v>#N/A</v>
      </c>
      <c r="AQ35" s="734" t="e">
        <f t="shared" si="94"/>
        <v>#N/A</v>
      </c>
      <c r="AR35" s="838" t="e">
        <f t="shared" si="73"/>
        <v>#N/A</v>
      </c>
      <c r="AS35" s="731" t="e">
        <f t="shared" si="74"/>
        <v>#N/A</v>
      </c>
      <c r="AT35" s="852" t="e">
        <f>IF(AL35&gt;=AM35,1,0)</f>
        <v>#N/A</v>
      </c>
      <c r="AU35" s="872" t="e">
        <f t="shared" si="82"/>
        <v>#N/A</v>
      </c>
      <c r="AV35" s="903" t="e">
        <f t="shared" si="75"/>
        <v>#N/A</v>
      </c>
      <c r="AW35" s="814" t="e">
        <f t="shared" si="83"/>
        <v>#N/A</v>
      </c>
      <c r="AX35" s="814" t="e">
        <f t="shared" ref="AX35:AX39" si="104">IF(AR35&gt;=$H$3,1,0)</f>
        <v>#N/A</v>
      </c>
    </row>
    <row r="36" spans="1:50" ht="16.899999999999999" customHeight="1" thickTop="1" thickBot="1" x14ac:dyDescent="0.35">
      <c r="A36" s="865" t="s">
        <v>174</v>
      </c>
      <c r="B36" s="866" t="e">
        <f t="shared" si="0"/>
        <v>#N/A</v>
      </c>
      <c r="C36" s="867" t="e">
        <f t="shared" si="1"/>
        <v>#N/A</v>
      </c>
      <c r="D36" s="868" t="e">
        <f t="shared" si="2"/>
        <v>#N/A</v>
      </c>
      <c r="E36" s="869" t="e">
        <f t="shared" si="3"/>
        <v>#N/A</v>
      </c>
      <c r="F36" s="869" t="e">
        <f t="shared" si="4"/>
        <v>#N/A</v>
      </c>
      <c r="G36" s="870" t="e">
        <f t="shared" si="5"/>
        <v>#N/A</v>
      </c>
      <c r="H36" s="870" t="e">
        <f t="shared" si="6"/>
        <v>#N/A</v>
      </c>
      <c r="I36" s="871" t="e">
        <f t="shared" si="7"/>
        <v>#N/A</v>
      </c>
      <c r="J36" s="855"/>
      <c r="K36" s="734">
        <f t="shared" si="85"/>
        <v>1</v>
      </c>
      <c r="L36" s="840" t="str">
        <f t="shared" ref="L36:M36" si="105">L16</f>
        <v>BEZ UBEZPIECZENIA</v>
      </c>
      <c r="M36" s="840" t="str">
        <f t="shared" si="105"/>
        <v>0%_MEGA_POŻYCZKA</v>
      </c>
      <c r="N36" s="800" t="str">
        <f t="shared" si="62"/>
        <v>POZOSTAŁY</v>
      </c>
      <c r="O36" s="842">
        <f t="shared" si="63"/>
        <v>2000</v>
      </c>
      <c r="P36" s="734">
        <f t="shared" si="87"/>
        <v>1</v>
      </c>
      <c r="Q36" s="843">
        <f t="shared" ref="Q36:T36" si="106">Q16</f>
        <v>0.115</v>
      </c>
      <c r="R36" s="843">
        <f t="shared" si="106"/>
        <v>0.13</v>
      </c>
      <c r="S36" s="843" t="str">
        <f t="shared" si="106"/>
        <v>X</v>
      </c>
      <c r="T36" s="843" t="str">
        <f t="shared" si="106"/>
        <v>X</v>
      </c>
      <c r="U36" s="848">
        <f t="shared" si="101"/>
        <v>0.115</v>
      </c>
      <c r="V36" s="843">
        <f t="shared" si="78"/>
        <v>0</v>
      </c>
      <c r="W36" s="745">
        <f t="shared" si="89"/>
        <v>0</v>
      </c>
      <c r="X36" s="844">
        <f t="shared" ref="X36:Y36" si="107">X16</f>
        <v>1</v>
      </c>
      <c r="Y36" s="844">
        <f t="shared" si="107"/>
        <v>96</v>
      </c>
      <c r="Z36" s="862">
        <v>96</v>
      </c>
      <c r="AA36" s="847" t="e">
        <f t="shared" si="66"/>
        <v>#N/A</v>
      </c>
      <c r="AB36" s="841">
        <f t="shared" si="91"/>
        <v>96</v>
      </c>
      <c r="AC36" s="840">
        <f t="shared" si="79"/>
        <v>0</v>
      </c>
      <c r="AD36" s="910" t="s">
        <v>163</v>
      </c>
      <c r="AE36" s="832">
        <f t="shared" si="92"/>
        <v>1</v>
      </c>
      <c r="AF36" s="731">
        <f t="shared" si="67"/>
        <v>37548200</v>
      </c>
      <c r="AG36" s="1129" t="e">
        <f t="shared" si="68"/>
        <v>#N/A</v>
      </c>
      <c r="AH36" s="833" t="e">
        <f t="shared" si="69"/>
        <v>#N/A</v>
      </c>
      <c r="AI36" s="733" t="e">
        <f t="shared" si="70"/>
        <v>#N/A</v>
      </c>
      <c r="AJ36" s="733" t="e">
        <f t="shared" si="80"/>
        <v>#N/A</v>
      </c>
      <c r="AK36" s="733">
        <f t="shared" si="24"/>
        <v>20000</v>
      </c>
      <c r="AL36" s="733" t="e">
        <f t="shared" si="81"/>
        <v>#N/A</v>
      </c>
      <c r="AM36" s="842">
        <f t="shared" ref="AM36:AO36" si="108">AM16</f>
        <v>20000</v>
      </c>
      <c r="AN36" s="842">
        <f t="shared" si="108"/>
        <v>50000</v>
      </c>
      <c r="AO36" s="842">
        <f t="shared" si="108"/>
        <v>60000</v>
      </c>
      <c r="AP36" s="733" t="e">
        <f t="shared" si="72"/>
        <v>#N/A</v>
      </c>
      <c r="AQ36" s="734" t="e">
        <f t="shared" si="94"/>
        <v>#N/A</v>
      </c>
      <c r="AR36" s="838" t="e">
        <f t="shared" si="73"/>
        <v>#N/A</v>
      </c>
      <c r="AS36" s="731" t="e">
        <f t="shared" si="74"/>
        <v>#N/A</v>
      </c>
      <c r="AT36" s="852" t="e">
        <f>IF(AL36&gt;=AM36,1,0)</f>
        <v>#N/A</v>
      </c>
      <c r="AU36" s="872" t="e">
        <f t="shared" si="82"/>
        <v>#N/A</v>
      </c>
      <c r="AV36" s="903" t="e">
        <f t="shared" si="75"/>
        <v>#N/A</v>
      </c>
      <c r="AW36" s="814" t="e">
        <f t="shared" si="83"/>
        <v>#N/A</v>
      </c>
      <c r="AX36" s="814" t="e">
        <f t="shared" si="104"/>
        <v>#N/A</v>
      </c>
    </row>
    <row r="37" spans="1:50" ht="16.899999999999999" customHeight="1" thickTop="1" thickBot="1" x14ac:dyDescent="0.35">
      <c r="A37" s="865" t="s">
        <v>174</v>
      </c>
      <c r="B37" s="866" t="e">
        <f t="shared" si="0"/>
        <v>#N/A</v>
      </c>
      <c r="C37" s="867" t="e">
        <f t="shared" si="1"/>
        <v>#N/A</v>
      </c>
      <c r="D37" s="868" t="e">
        <f t="shared" si="2"/>
        <v>#N/A</v>
      </c>
      <c r="E37" s="869" t="e">
        <f t="shared" si="3"/>
        <v>#N/A</v>
      </c>
      <c r="F37" s="869" t="e">
        <f t="shared" si="4"/>
        <v>#N/A</v>
      </c>
      <c r="G37" s="870" t="e">
        <f t="shared" si="5"/>
        <v>#N/A</v>
      </c>
      <c r="H37" s="870" t="e">
        <f t="shared" si="6"/>
        <v>#N/A</v>
      </c>
      <c r="I37" s="871" t="e">
        <f t="shared" si="7"/>
        <v>#N/A</v>
      </c>
      <c r="J37" s="855"/>
      <c r="K37" s="734">
        <f t="shared" si="85"/>
        <v>1</v>
      </c>
      <c r="L37" s="1197" t="str">
        <f t="shared" ref="L37:M37" si="109">L17</f>
        <v xml:space="preserve">Z UBEZPIECZENIEM </v>
      </c>
      <c r="M37" s="840" t="str">
        <f t="shared" si="109"/>
        <v>0%_MEGA_POŻYCZKA</v>
      </c>
      <c r="N37" s="800" t="str">
        <f t="shared" si="62"/>
        <v>POZOSTAŁY</v>
      </c>
      <c r="O37" s="842">
        <f t="shared" si="63"/>
        <v>2000</v>
      </c>
      <c r="P37" s="734">
        <f t="shared" si="87"/>
        <v>1</v>
      </c>
      <c r="Q37" s="843">
        <f t="shared" ref="Q37:T37" si="110">Q17</f>
        <v>0.105</v>
      </c>
      <c r="R37" s="843">
        <f t="shared" si="110"/>
        <v>0.125</v>
      </c>
      <c r="S37" s="843" t="str">
        <f t="shared" si="110"/>
        <v>X</v>
      </c>
      <c r="T37" s="843" t="str">
        <f t="shared" si="110"/>
        <v>X</v>
      </c>
      <c r="U37" s="848">
        <f t="shared" si="101"/>
        <v>0.105</v>
      </c>
      <c r="V37" s="843">
        <f t="shared" si="78"/>
        <v>0</v>
      </c>
      <c r="W37" s="1198">
        <f t="shared" si="89"/>
        <v>2.7000000000000001E-3</v>
      </c>
      <c r="X37" s="844">
        <f t="shared" ref="X37:Y37" si="111">X17</f>
        <v>1</v>
      </c>
      <c r="Y37" s="844">
        <f t="shared" si="111"/>
        <v>60</v>
      </c>
      <c r="Z37" s="862">
        <v>96</v>
      </c>
      <c r="AA37" s="847" t="e">
        <f t="shared" si="66"/>
        <v>#N/A</v>
      </c>
      <c r="AB37" s="841">
        <f t="shared" si="91"/>
        <v>60</v>
      </c>
      <c r="AC37" s="840">
        <f t="shared" si="79"/>
        <v>0</v>
      </c>
      <c r="AD37" s="910" t="s">
        <v>163</v>
      </c>
      <c r="AE37" s="832">
        <f t="shared" si="92"/>
        <v>1</v>
      </c>
      <c r="AF37" s="731">
        <f t="shared" si="67"/>
        <v>27914800</v>
      </c>
      <c r="AG37" s="1129" t="e">
        <f t="shared" si="68"/>
        <v>#N/A</v>
      </c>
      <c r="AH37" s="833" t="e">
        <f t="shared" si="69"/>
        <v>#N/A</v>
      </c>
      <c r="AI37" s="733" t="e">
        <f t="shared" si="70"/>
        <v>#N/A</v>
      </c>
      <c r="AJ37" s="733" t="e">
        <f t="shared" si="80"/>
        <v>#N/A</v>
      </c>
      <c r="AK37" s="733">
        <f t="shared" si="24"/>
        <v>23866</v>
      </c>
      <c r="AL37" s="733" t="e">
        <f t="shared" si="81"/>
        <v>#N/A</v>
      </c>
      <c r="AM37" s="842">
        <f t="shared" ref="AM37:AO37" si="112">AM17</f>
        <v>50000.01</v>
      </c>
      <c r="AN37" s="842">
        <f t="shared" si="112"/>
        <v>100000</v>
      </c>
      <c r="AO37" s="842">
        <f t="shared" si="112"/>
        <v>100000</v>
      </c>
      <c r="AP37" s="733" t="e">
        <f t="shared" si="72"/>
        <v>#N/A</v>
      </c>
      <c r="AQ37" s="734" t="e">
        <f t="shared" si="94"/>
        <v>#N/A</v>
      </c>
      <c r="AR37" s="838" t="e">
        <f t="shared" si="73"/>
        <v>#N/A</v>
      </c>
      <c r="AS37" s="731" t="e">
        <f t="shared" si="74"/>
        <v>#N/A</v>
      </c>
      <c r="AT37" s="852" t="e">
        <f>IF(AL37&gt;=AM37,1,0)</f>
        <v>#N/A</v>
      </c>
      <c r="AU37" s="872" t="e">
        <f t="shared" si="82"/>
        <v>#N/A</v>
      </c>
      <c r="AV37" s="903" t="e">
        <f t="shared" si="75"/>
        <v>#N/A</v>
      </c>
      <c r="AW37" s="814" t="e">
        <f t="shared" si="83"/>
        <v>#N/A</v>
      </c>
      <c r="AX37" s="814" t="e">
        <f t="shared" si="104"/>
        <v>#N/A</v>
      </c>
    </row>
    <row r="38" spans="1:50" ht="16.899999999999999" customHeight="1" thickTop="1" thickBot="1" x14ac:dyDescent="0.35">
      <c r="A38" s="865" t="s">
        <v>174</v>
      </c>
      <c r="B38" s="866" t="e">
        <f t="shared" si="0"/>
        <v>#N/A</v>
      </c>
      <c r="C38" s="867" t="e">
        <f t="shared" si="1"/>
        <v>#N/A</v>
      </c>
      <c r="D38" s="868" t="e">
        <f t="shared" si="2"/>
        <v>#N/A</v>
      </c>
      <c r="E38" s="869" t="e">
        <f t="shared" si="3"/>
        <v>#N/A</v>
      </c>
      <c r="F38" s="869" t="e">
        <f t="shared" si="4"/>
        <v>#N/A</v>
      </c>
      <c r="G38" s="870" t="e">
        <f t="shared" si="5"/>
        <v>#N/A</v>
      </c>
      <c r="H38" s="870" t="e">
        <f t="shared" si="6"/>
        <v>#N/A</v>
      </c>
      <c r="I38" s="871" t="e">
        <f t="shared" si="7"/>
        <v>#N/A</v>
      </c>
      <c r="J38" s="855"/>
      <c r="K38" s="734">
        <f t="shared" si="85"/>
        <v>1</v>
      </c>
      <c r="L38" s="840" t="str">
        <f t="shared" ref="L38:M38" si="113">L18</f>
        <v>BEZ UBEZPIECZENIA</v>
      </c>
      <c r="M38" s="840" t="str">
        <f t="shared" si="113"/>
        <v>0%_MEGA_POŻYCZKA</v>
      </c>
      <c r="N38" s="800" t="str">
        <f t="shared" si="62"/>
        <v>POZOSTAŁY</v>
      </c>
      <c r="O38" s="842">
        <f t="shared" si="63"/>
        <v>2000</v>
      </c>
      <c r="P38" s="734">
        <f t="shared" si="87"/>
        <v>1</v>
      </c>
      <c r="Q38" s="843">
        <f t="shared" ref="Q38:T38" si="114">Q18</f>
        <v>0.105</v>
      </c>
      <c r="R38" s="843">
        <f t="shared" si="114"/>
        <v>0.125</v>
      </c>
      <c r="S38" s="843" t="str">
        <f t="shared" si="114"/>
        <v>X</v>
      </c>
      <c r="T38" s="843" t="str">
        <f t="shared" si="114"/>
        <v>X</v>
      </c>
      <c r="U38" s="848">
        <f t="shared" si="101"/>
        <v>0.105</v>
      </c>
      <c r="V38" s="843">
        <f t="shared" si="78"/>
        <v>0</v>
      </c>
      <c r="W38" s="745">
        <f t="shared" si="89"/>
        <v>0</v>
      </c>
      <c r="X38" s="844">
        <f t="shared" ref="X38:Y38" si="115">X18</f>
        <v>1</v>
      </c>
      <c r="Y38" s="844">
        <f t="shared" si="115"/>
        <v>96</v>
      </c>
      <c r="Z38" s="862">
        <v>96</v>
      </c>
      <c r="AA38" s="847" t="e">
        <f t="shared" si="66"/>
        <v>#N/A</v>
      </c>
      <c r="AB38" s="841">
        <f t="shared" si="91"/>
        <v>96</v>
      </c>
      <c r="AC38" s="840">
        <f t="shared" si="79"/>
        <v>0</v>
      </c>
      <c r="AD38" s="910" t="s">
        <v>163</v>
      </c>
      <c r="AE38" s="832">
        <f t="shared" si="92"/>
        <v>1</v>
      </c>
      <c r="AF38" s="731">
        <f t="shared" si="67"/>
        <v>38859900</v>
      </c>
      <c r="AG38" s="1129" t="e">
        <f t="shared" si="68"/>
        <v>#N/A</v>
      </c>
      <c r="AH38" s="833" t="e">
        <f t="shared" si="69"/>
        <v>#N/A</v>
      </c>
      <c r="AI38" s="733" t="e">
        <f t="shared" si="70"/>
        <v>#N/A</v>
      </c>
      <c r="AJ38" s="733" t="e">
        <f t="shared" si="80"/>
        <v>#N/A</v>
      </c>
      <c r="AK38" s="733">
        <f t="shared" si="24"/>
        <v>20000</v>
      </c>
      <c r="AL38" s="733" t="e">
        <f t="shared" si="81"/>
        <v>#N/A</v>
      </c>
      <c r="AM38" s="842">
        <f t="shared" ref="AM38:AO38" si="116">AM18</f>
        <v>50000.01</v>
      </c>
      <c r="AN38" s="842">
        <f t="shared" si="116"/>
        <v>100000</v>
      </c>
      <c r="AO38" s="842">
        <f t="shared" si="116"/>
        <v>100000</v>
      </c>
      <c r="AP38" s="733" t="e">
        <f t="shared" si="72"/>
        <v>#N/A</v>
      </c>
      <c r="AQ38" s="734" t="e">
        <f t="shared" si="94"/>
        <v>#N/A</v>
      </c>
      <c r="AR38" s="838" t="e">
        <f t="shared" si="73"/>
        <v>#N/A</v>
      </c>
      <c r="AS38" s="731" t="e">
        <f t="shared" si="74"/>
        <v>#N/A</v>
      </c>
      <c r="AT38" s="852" t="e">
        <f>IF(AL38&gt;=AM38,1,0)</f>
        <v>#N/A</v>
      </c>
      <c r="AU38" s="872" t="e">
        <f t="shared" si="82"/>
        <v>#N/A</v>
      </c>
      <c r="AV38" s="903" t="e">
        <f t="shared" si="75"/>
        <v>#N/A</v>
      </c>
      <c r="AW38" s="814" t="e">
        <f t="shared" si="83"/>
        <v>#N/A</v>
      </c>
      <c r="AX38" s="814" t="e">
        <f t="shared" si="104"/>
        <v>#N/A</v>
      </c>
    </row>
    <row r="39" spans="1:50" ht="16.899999999999999" customHeight="1" thickTop="1" thickBot="1" x14ac:dyDescent="0.35">
      <c r="A39" s="892" t="s">
        <v>174</v>
      </c>
      <c r="B39" s="893" t="e">
        <f t="shared" si="0"/>
        <v>#N/A</v>
      </c>
      <c r="C39" s="901" t="e">
        <f t="shared" si="1"/>
        <v>#N/A</v>
      </c>
      <c r="D39" s="895" t="e">
        <f t="shared" si="2"/>
        <v>#N/A</v>
      </c>
      <c r="E39" s="896" t="e">
        <f t="shared" si="3"/>
        <v>#N/A</v>
      </c>
      <c r="F39" s="896" t="e">
        <f t="shared" si="4"/>
        <v>#N/A</v>
      </c>
      <c r="G39" s="897" t="e">
        <f t="shared" si="5"/>
        <v>#N/A</v>
      </c>
      <c r="H39" s="897" t="e">
        <f t="shared" si="6"/>
        <v>#N/A</v>
      </c>
      <c r="I39" s="898" t="e">
        <f t="shared" si="7"/>
        <v>#N/A</v>
      </c>
      <c r="J39" s="855"/>
      <c r="K39" s="734">
        <f t="shared" si="85"/>
        <v>1</v>
      </c>
      <c r="L39" s="1197" t="str">
        <f t="shared" ref="L39:M39" si="117">L19</f>
        <v xml:space="preserve">Z UBEZPIECZENIEM </v>
      </c>
      <c r="M39" s="840" t="str">
        <f t="shared" si="117"/>
        <v>Pożyczka Superszybka</v>
      </c>
      <c r="N39" s="800" t="str">
        <f t="shared" si="62"/>
        <v>POZOSTAŁY</v>
      </c>
      <c r="O39" s="842">
        <f t="shared" si="63"/>
        <v>900</v>
      </c>
      <c r="P39" s="734">
        <f t="shared" si="87"/>
        <v>1</v>
      </c>
      <c r="Q39" s="843" t="str">
        <f t="shared" ref="Q39:U39" si="118">Q19</f>
        <v>X</v>
      </c>
      <c r="R39" s="843" t="str">
        <f t="shared" si="118"/>
        <v>X</v>
      </c>
      <c r="S39" s="843" t="str">
        <f t="shared" si="118"/>
        <v>X</v>
      </c>
      <c r="T39" s="843" t="str">
        <f t="shared" si="118"/>
        <v>X</v>
      </c>
      <c r="U39" s="843">
        <f t="shared" si="118"/>
        <v>0.14000000000000001</v>
      </c>
      <c r="V39" s="843">
        <f t="shared" si="78"/>
        <v>0</v>
      </c>
      <c r="W39" s="1198">
        <f t="shared" si="89"/>
        <v>2.7000000000000001E-3</v>
      </c>
      <c r="X39" s="844">
        <f t="shared" si="78"/>
        <v>1</v>
      </c>
      <c r="Y39" s="844">
        <f t="shared" si="78"/>
        <v>84</v>
      </c>
      <c r="Z39" s="862">
        <v>2</v>
      </c>
      <c r="AA39" s="847" t="e">
        <f t="shared" si="66"/>
        <v>#N/A</v>
      </c>
      <c r="AB39" s="840">
        <f t="shared" si="79"/>
        <v>84</v>
      </c>
      <c r="AC39" s="840">
        <f t="shared" si="79"/>
        <v>0</v>
      </c>
      <c r="AD39" s="910" t="s">
        <v>163</v>
      </c>
      <c r="AE39" s="832">
        <f t="shared" si="92"/>
        <v>1</v>
      </c>
      <c r="AF39" s="731">
        <f t="shared" si="67"/>
        <v>32016900</v>
      </c>
      <c r="AG39" s="1129" t="e">
        <f t="shared" si="68"/>
        <v>#N/A</v>
      </c>
      <c r="AH39" s="833" t="e">
        <f t="shared" si="69"/>
        <v>#N/A</v>
      </c>
      <c r="AI39" s="733" t="e">
        <f t="shared" si="70"/>
        <v>#N/A</v>
      </c>
      <c r="AJ39" s="733" t="e">
        <f t="shared" si="80"/>
        <v>#N/A</v>
      </c>
      <c r="AK39" s="904">
        <f>ROUND($H$3/(1-AB39*W39-(1+AB39*W39*0)*V39),2)</f>
        <v>25866.53</v>
      </c>
      <c r="AL39" s="733" t="e">
        <f t="shared" si="81"/>
        <v>#N/A</v>
      </c>
      <c r="AM39" s="905">
        <v>5000</v>
      </c>
      <c r="AN39" s="842">
        <f t="shared" ref="AN39:AO39" si="119">AN19</f>
        <v>15000</v>
      </c>
      <c r="AO39" s="842">
        <f t="shared" si="119"/>
        <v>15000</v>
      </c>
      <c r="AP39" s="733" t="e">
        <f t="shared" si="72"/>
        <v>#N/A</v>
      </c>
      <c r="AQ39" s="734" t="e">
        <f t="shared" si="94"/>
        <v>#N/A</v>
      </c>
      <c r="AR39" s="838" t="e">
        <f t="shared" si="73"/>
        <v>#N/A</v>
      </c>
      <c r="AS39" s="731" t="e">
        <f t="shared" si="74"/>
        <v>#N/A</v>
      </c>
      <c r="AT39" s="852" t="e">
        <f>IF(AL39&gt;=AM39,1,0)</f>
        <v>#N/A</v>
      </c>
      <c r="AU39" s="872" t="e">
        <f t="shared" si="82"/>
        <v>#N/A</v>
      </c>
      <c r="AV39" s="903" t="e">
        <f>K39*AQ39*P39*$K$2</f>
        <v>#N/A</v>
      </c>
      <c r="AW39" s="814" t="e">
        <f t="shared" si="83"/>
        <v>#N/A</v>
      </c>
      <c r="AX39" s="814" t="e">
        <f t="shared" si="104"/>
        <v>#N/A</v>
      </c>
    </row>
    <row r="40" spans="1:50" ht="14" thickTop="1" thickBot="1" x14ac:dyDescent="0.35">
      <c r="A40" s="892" t="s">
        <v>174</v>
      </c>
      <c r="B40" s="893" t="e">
        <f t="shared" ref="B40:B42" si="120">IF(AV40=0,"",L40)</f>
        <v>#N/A</v>
      </c>
      <c r="C40" s="901" t="e">
        <f t="shared" ref="C40:C42" si="121">IF(AV40=0,"",M40)</f>
        <v>#N/A</v>
      </c>
      <c r="D40" s="895" t="e">
        <f t="shared" ref="D40:D42" si="122">IF(AV40=0,"",AB40)</f>
        <v>#N/A</v>
      </c>
      <c r="E40" s="896" t="e">
        <f t="shared" ref="E40:E42" si="123">IF(AV40=0,"",U40)</f>
        <v>#N/A</v>
      </c>
      <c r="F40" s="896" t="e">
        <f t="shared" ref="F40:F42" si="124">IF(AV40=0,"",V40)</f>
        <v>#N/A</v>
      </c>
      <c r="G40" s="897" t="e">
        <f t="shared" ref="G40:G42" si="125">IF(AV40=0,"",AR40)</f>
        <v>#N/A</v>
      </c>
      <c r="H40" s="897" t="e">
        <f t="shared" ref="H40:H42" si="126">IF(AV40=0,"",AP40)</f>
        <v>#N/A</v>
      </c>
      <c r="I40" s="898" t="e">
        <f t="shared" ref="I40:I42" si="127">IF(AV40=0,"",AS40)</f>
        <v>#N/A</v>
      </c>
      <c r="J40" s="855"/>
      <c r="K40" s="734">
        <f t="shared" si="85"/>
        <v>1</v>
      </c>
      <c r="L40" s="840" t="str">
        <f t="shared" ref="L40:M40" si="128">L20</f>
        <v>BEZ UBEZPIECZENIA</v>
      </c>
      <c r="M40" s="840" t="str">
        <f t="shared" si="128"/>
        <v>Pożyczka Superszybka</v>
      </c>
      <c r="N40" s="800" t="str">
        <f t="shared" si="62"/>
        <v>POZOSTAŁY</v>
      </c>
      <c r="O40" s="842">
        <f t="shared" si="63"/>
        <v>900</v>
      </c>
      <c r="P40" s="734">
        <f t="shared" ref="P40:P42" si="129">IF(WDochNETTO&gt;=O40,1,0)</f>
        <v>1</v>
      </c>
      <c r="Q40" s="843" t="str">
        <f t="shared" ref="Q40:V40" si="130">Q20</f>
        <v>X</v>
      </c>
      <c r="R40" s="843" t="str">
        <f t="shared" si="130"/>
        <v>X</v>
      </c>
      <c r="S40" s="843" t="str">
        <f t="shared" si="130"/>
        <v>X</v>
      </c>
      <c r="T40" s="843" t="str">
        <f t="shared" si="130"/>
        <v>X</v>
      </c>
      <c r="U40" s="843">
        <f t="shared" si="130"/>
        <v>0.16</v>
      </c>
      <c r="V40" s="843">
        <f t="shared" si="130"/>
        <v>0</v>
      </c>
      <c r="W40" s="745">
        <f t="shared" ref="W40:W42" si="131">IF(L40="BEZ UBEZPIECZENIA",0,0.27%)</f>
        <v>0</v>
      </c>
      <c r="X40" s="844">
        <f t="shared" ref="X40:Y40" si="132">X20</f>
        <v>1</v>
      </c>
      <c r="Y40" s="844">
        <f t="shared" si="132"/>
        <v>84</v>
      </c>
      <c r="Z40" s="862">
        <v>2</v>
      </c>
      <c r="AA40" s="847" t="e">
        <f t="shared" ref="AA40:AA42" si="133">IF(AND(AR40&lt;$H$3,Z40&lt;Y40),0,1)</f>
        <v>#N/A</v>
      </c>
      <c r="AB40" s="840">
        <f t="shared" ref="AB40:AC40" si="134">AB20</f>
        <v>84</v>
      </c>
      <c r="AC40" s="840">
        <f t="shared" si="134"/>
        <v>0</v>
      </c>
      <c r="AD40" s="910" t="s">
        <v>163</v>
      </c>
      <c r="AE40" s="832">
        <f t="shared" ref="AE40:AE42" si="135">IF(AD40="ZMIENNE",1-0.0075,1)</f>
        <v>1</v>
      </c>
      <c r="AF40" s="731">
        <f t="shared" ref="AF40:AF42" si="136">ROUNDDOWN(AE40*(Zdolnosc_2zl*(((1+(U40/12))^AB40)-1))/((1+(U40/12))^AB40*(U40/12)),-2)</f>
        <v>30208200</v>
      </c>
      <c r="AG40" s="1129" t="e">
        <f t="shared" si="68"/>
        <v>#N/A</v>
      </c>
      <c r="AH40" s="833" t="e">
        <f t="shared" ref="AH40:AH42" si="137">WDochNETTO*AG40</f>
        <v>#N/A</v>
      </c>
      <c r="AI40" s="733" t="e">
        <f t="shared" ref="AI40:AI42" si="138">MAX(0,AH40-$C$8)</f>
        <v>#N/A</v>
      </c>
      <c r="AJ40" s="733" t="e">
        <f t="shared" ref="AJ40:AJ42" si="139">MAX(MIN(AF40,AI40),0)</f>
        <v>#N/A</v>
      </c>
      <c r="AK40" s="733">
        <f t="shared" ref="AK40:AK42" si="140">ROUND($H$3/(1-AB40*W40-(1+AB40*W40*0)*V40),0)</f>
        <v>20000</v>
      </c>
      <c r="AL40" s="733" t="e">
        <f t="shared" ref="AL40:AL42" si="141">MIN(AJ40,AK40)</f>
        <v>#N/A</v>
      </c>
      <c r="AM40" s="842">
        <f t="shared" ref="AM40:AO40" si="142">AM20</f>
        <v>5000</v>
      </c>
      <c r="AN40" s="842">
        <f t="shared" si="142"/>
        <v>15000</v>
      </c>
      <c r="AO40" s="842">
        <f t="shared" si="142"/>
        <v>15000</v>
      </c>
      <c r="AP40" s="733" t="e">
        <f t="shared" ref="AP40:AP42" si="143">IF(AL40&gt;=AM40,MIN(AL40,AO40),0)</f>
        <v>#N/A</v>
      </c>
      <c r="AQ40" s="734" t="e">
        <f t="shared" ref="AQ40" si="144">IF(AP40&gt;0,1,0)</f>
        <v>#N/A</v>
      </c>
      <c r="AR40" s="838" t="e">
        <f t="shared" ref="AR40:AR42" si="145">ROUND(AP40*((1-AB40*W40)-(1+AB40*W40*0)*V40),0)</f>
        <v>#N/A</v>
      </c>
      <c r="AS40" s="731" t="e">
        <f t="shared" ref="AS40:AS42" si="146">(AP40*(U40/12))/(1-(1+(U40/12))^(-AB40))</f>
        <v>#N/A</v>
      </c>
      <c r="AT40" s="852" t="e">
        <f t="shared" ref="AT40:AT42" si="147">IF(AL40&gt;=AM40,1,0)</f>
        <v>#N/A</v>
      </c>
      <c r="AU40" s="872" t="e">
        <f t="shared" ref="AU40:AU42" si="148">AW40*AX40</f>
        <v>#N/A</v>
      </c>
      <c r="AV40" s="903" t="e">
        <f t="shared" ref="AV40:AV42" si="149">K40*AQ40*P40*$K$2</f>
        <v>#N/A</v>
      </c>
      <c r="AW40" s="814" t="e">
        <f t="shared" ref="AW40:AW41" si="150">IF(AND(AS40&gt;0,AS40&lt;=$H$5),1,0)</f>
        <v>#N/A</v>
      </c>
      <c r="AX40" s="814" t="e">
        <f t="shared" ref="AX40:AX41" si="151">IF(AR40&gt;=$H$3,1,0)</f>
        <v>#N/A</v>
      </c>
    </row>
    <row r="41" spans="1:50" s="828" customFormat="1" ht="14" thickTop="1" thickBot="1" x14ac:dyDescent="0.35">
      <c r="A41" s="1207" t="s">
        <v>174</v>
      </c>
      <c r="B41" s="1200" t="e">
        <f t="shared" si="120"/>
        <v>#N/A</v>
      </c>
      <c r="C41" s="1208" t="e">
        <f t="shared" si="121"/>
        <v>#N/A</v>
      </c>
      <c r="D41" s="1202" t="e">
        <f t="shared" si="122"/>
        <v>#N/A</v>
      </c>
      <c r="E41" s="1203" t="e">
        <f t="shared" si="123"/>
        <v>#N/A</v>
      </c>
      <c r="F41" s="1203" t="e">
        <f t="shared" si="124"/>
        <v>#N/A</v>
      </c>
      <c r="G41" s="1204" t="e">
        <f t="shared" si="125"/>
        <v>#N/A</v>
      </c>
      <c r="H41" s="1204" t="e">
        <f t="shared" si="126"/>
        <v>#N/A</v>
      </c>
      <c r="I41" s="1205" t="e">
        <f t="shared" si="127"/>
        <v>#N/A</v>
      </c>
      <c r="J41" s="1209"/>
      <c r="K41" s="903">
        <f t="shared" si="85"/>
        <v>1</v>
      </c>
      <c r="L41" s="1197" t="str">
        <f t="shared" ref="L41" si="152">L21</f>
        <v xml:space="preserve">Z UBEZPIECZENIEM </v>
      </c>
      <c r="M41" s="1197" t="str">
        <f t="shared" ref="L41:M44" si="153">M21</f>
        <v>Pożyczka w IBOL</v>
      </c>
      <c r="N41" s="1210" t="str">
        <f t="shared" si="62"/>
        <v>POZOSTAŁY</v>
      </c>
      <c r="O41" s="905">
        <f t="shared" si="63"/>
        <v>800</v>
      </c>
      <c r="P41" s="903">
        <f t="shared" si="129"/>
        <v>1</v>
      </c>
      <c r="Q41" s="1211" t="str">
        <f t="shared" ref="Q41:V41" si="154">Q21</f>
        <v>X</v>
      </c>
      <c r="R41" s="1211" t="str">
        <f t="shared" si="154"/>
        <v>X</v>
      </c>
      <c r="S41" s="1211" t="str">
        <f t="shared" si="154"/>
        <v>X</v>
      </c>
      <c r="T41" s="1211" t="str">
        <f t="shared" si="154"/>
        <v>X</v>
      </c>
      <c r="U41" s="1211">
        <f t="shared" si="154"/>
        <v>0.14000000000000001</v>
      </c>
      <c r="V41" s="1211">
        <f t="shared" si="154"/>
        <v>0</v>
      </c>
      <c r="W41" s="1198">
        <f t="shared" si="131"/>
        <v>2.7000000000000001E-3</v>
      </c>
      <c r="X41" s="1212">
        <f t="shared" ref="X41:Y41" si="155">X21</f>
        <v>1</v>
      </c>
      <c r="Y41" s="1212">
        <f t="shared" si="155"/>
        <v>84</v>
      </c>
      <c r="Z41" s="862">
        <v>29</v>
      </c>
      <c r="AA41" s="1213" t="e">
        <f t="shared" si="133"/>
        <v>#N/A</v>
      </c>
      <c r="AB41" s="1214">
        <f t="shared" ref="AB41:AB42" si="156">MIN(Z41,Y41)</f>
        <v>29</v>
      </c>
      <c r="AC41" s="1197">
        <f t="shared" ref="AC41" si="157">AC21</f>
        <v>0</v>
      </c>
      <c r="AD41" s="910" t="s">
        <v>163</v>
      </c>
      <c r="AE41" s="1215">
        <f t="shared" si="135"/>
        <v>1</v>
      </c>
      <c r="AF41" s="900">
        <f t="shared" si="136"/>
        <v>14690200</v>
      </c>
      <c r="AG41" s="1216" t="e">
        <f t="shared" si="68"/>
        <v>#N/A</v>
      </c>
      <c r="AH41" s="1217" t="e">
        <f t="shared" si="137"/>
        <v>#N/A</v>
      </c>
      <c r="AI41" s="1218" t="e">
        <f t="shared" si="138"/>
        <v>#N/A</v>
      </c>
      <c r="AJ41" s="1218" t="e">
        <f t="shared" si="139"/>
        <v>#N/A</v>
      </c>
      <c r="AK41" s="1218">
        <f t="shared" si="140"/>
        <v>21699</v>
      </c>
      <c r="AL41" s="1218" t="e">
        <f t="shared" si="141"/>
        <v>#N/A</v>
      </c>
      <c r="AM41" s="905">
        <f t="shared" ref="AM41:AO41" si="158">AM21</f>
        <v>1000</v>
      </c>
      <c r="AN41" s="905">
        <f t="shared" si="158"/>
        <v>50000</v>
      </c>
      <c r="AO41" s="905">
        <f t="shared" si="158"/>
        <v>60000</v>
      </c>
      <c r="AP41" s="1218" t="e">
        <f t="shared" si="143"/>
        <v>#N/A</v>
      </c>
      <c r="AQ41" s="903" t="e">
        <f t="shared" si="94"/>
        <v>#N/A</v>
      </c>
      <c r="AR41" s="904" t="e">
        <f t="shared" si="145"/>
        <v>#N/A</v>
      </c>
      <c r="AS41" s="900" t="e">
        <f t="shared" si="146"/>
        <v>#N/A</v>
      </c>
      <c r="AT41" s="1219" t="e">
        <f t="shared" si="147"/>
        <v>#N/A</v>
      </c>
      <c r="AU41" s="872" t="e">
        <f t="shared" si="148"/>
        <v>#N/A</v>
      </c>
      <c r="AV41" s="903" t="e">
        <f t="shared" si="149"/>
        <v>#N/A</v>
      </c>
      <c r="AW41" s="828" t="e">
        <f t="shared" si="150"/>
        <v>#N/A</v>
      </c>
      <c r="AX41" s="828" t="e">
        <f t="shared" si="151"/>
        <v>#N/A</v>
      </c>
    </row>
    <row r="42" spans="1:50" s="828" customFormat="1" ht="14" thickTop="1" thickBot="1" x14ac:dyDescent="0.35">
      <c r="A42" s="1207" t="s">
        <v>174</v>
      </c>
      <c r="B42" s="1200" t="e">
        <f t="shared" si="120"/>
        <v>#N/A</v>
      </c>
      <c r="C42" s="1208" t="e">
        <f t="shared" si="121"/>
        <v>#N/A</v>
      </c>
      <c r="D42" s="1202" t="e">
        <f t="shared" si="122"/>
        <v>#N/A</v>
      </c>
      <c r="E42" s="1203" t="e">
        <f t="shared" si="123"/>
        <v>#N/A</v>
      </c>
      <c r="F42" s="1203" t="e">
        <f t="shared" si="124"/>
        <v>#N/A</v>
      </c>
      <c r="G42" s="1204" t="e">
        <f t="shared" si="125"/>
        <v>#N/A</v>
      </c>
      <c r="H42" s="1204" t="e">
        <f t="shared" si="126"/>
        <v>#N/A</v>
      </c>
      <c r="I42" s="1205" t="e">
        <f t="shared" si="127"/>
        <v>#N/A</v>
      </c>
      <c r="J42" s="1209"/>
      <c r="K42" s="903">
        <f t="shared" si="85"/>
        <v>1</v>
      </c>
      <c r="L42" s="1197" t="str">
        <f t="shared" si="153"/>
        <v>BEZ UBEZPIECZENIA</v>
      </c>
      <c r="M42" s="1197" t="str">
        <f t="shared" si="153"/>
        <v>Pożyczka w IBOL</v>
      </c>
      <c r="N42" s="1210" t="str">
        <f t="shared" si="62"/>
        <v>POZOSTAŁY</v>
      </c>
      <c r="O42" s="905">
        <f t="shared" si="63"/>
        <v>800</v>
      </c>
      <c r="P42" s="903">
        <f t="shared" si="129"/>
        <v>1</v>
      </c>
      <c r="Q42" s="1211" t="str">
        <f t="shared" ref="Q42:V42" si="159">Q22</f>
        <v>X</v>
      </c>
      <c r="R42" s="1211" t="str">
        <f t="shared" si="159"/>
        <v>X</v>
      </c>
      <c r="S42" s="1211" t="str">
        <f t="shared" si="159"/>
        <v>X</v>
      </c>
      <c r="T42" s="1211" t="str">
        <f t="shared" si="159"/>
        <v>X</v>
      </c>
      <c r="U42" s="1211">
        <f t="shared" si="159"/>
        <v>0.16</v>
      </c>
      <c r="V42" s="1211">
        <f t="shared" si="159"/>
        <v>0</v>
      </c>
      <c r="W42" s="1198">
        <f t="shared" si="131"/>
        <v>0</v>
      </c>
      <c r="X42" s="1212">
        <f t="shared" ref="X42:Y42" si="160">X22</f>
        <v>1</v>
      </c>
      <c r="Y42" s="1212">
        <f t="shared" si="160"/>
        <v>84</v>
      </c>
      <c r="Z42" s="862">
        <v>27</v>
      </c>
      <c r="AA42" s="1213" t="e">
        <f t="shared" si="133"/>
        <v>#N/A</v>
      </c>
      <c r="AB42" s="1214">
        <f t="shared" si="156"/>
        <v>27</v>
      </c>
      <c r="AC42" s="1197">
        <f t="shared" ref="AC42:AC44" si="161">AC22</f>
        <v>0</v>
      </c>
      <c r="AD42" s="910" t="s">
        <v>163</v>
      </c>
      <c r="AE42" s="1215">
        <f t="shared" si="135"/>
        <v>1</v>
      </c>
      <c r="AF42" s="900">
        <f t="shared" si="136"/>
        <v>13529700</v>
      </c>
      <c r="AG42" s="1216" t="e">
        <f t="shared" si="68"/>
        <v>#N/A</v>
      </c>
      <c r="AH42" s="1217" t="e">
        <f t="shared" si="137"/>
        <v>#N/A</v>
      </c>
      <c r="AI42" s="1218" t="e">
        <f t="shared" si="138"/>
        <v>#N/A</v>
      </c>
      <c r="AJ42" s="1218" t="e">
        <f t="shared" si="139"/>
        <v>#N/A</v>
      </c>
      <c r="AK42" s="1218">
        <f t="shared" si="140"/>
        <v>20000</v>
      </c>
      <c r="AL42" s="1218" t="e">
        <f t="shared" si="141"/>
        <v>#N/A</v>
      </c>
      <c r="AM42" s="905">
        <f t="shared" ref="AM42:AO42" si="162">AM22</f>
        <v>1000</v>
      </c>
      <c r="AN42" s="905">
        <f t="shared" si="162"/>
        <v>50000</v>
      </c>
      <c r="AO42" s="905">
        <f t="shared" si="162"/>
        <v>60000</v>
      </c>
      <c r="AP42" s="1218" t="e">
        <f t="shared" si="143"/>
        <v>#N/A</v>
      </c>
      <c r="AQ42" s="903" t="e">
        <f t="shared" si="94"/>
        <v>#N/A</v>
      </c>
      <c r="AR42" s="904" t="e">
        <f t="shared" si="145"/>
        <v>#N/A</v>
      </c>
      <c r="AS42" s="900" t="e">
        <f t="shared" si="146"/>
        <v>#N/A</v>
      </c>
      <c r="AT42" s="1219" t="e">
        <f t="shared" si="147"/>
        <v>#N/A</v>
      </c>
      <c r="AU42" s="872" t="e">
        <f t="shared" si="148"/>
        <v>#N/A</v>
      </c>
      <c r="AV42" s="903" t="e">
        <f t="shared" si="149"/>
        <v>#N/A</v>
      </c>
      <c r="AW42" s="828" t="e">
        <f t="shared" ref="AW42" si="163">IF(AND(AS42&gt;0,AS42&lt;=$H$5),1,0)</f>
        <v>#N/A</v>
      </c>
      <c r="AX42" s="828" t="e">
        <f t="shared" ref="AX42" si="164">IF(AR42&gt;=$H$3,1,0)</f>
        <v>#N/A</v>
      </c>
    </row>
    <row r="43" spans="1:50" ht="14" thickTop="1" thickBot="1" x14ac:dyDescent="0.35">
      <c r="A43" s="794" t="s">
        <v>174</v>
      </c>
      <c r="B43" s="893" t="e">
        <f t="shared" ref="B43:B44" si="165">IF(AV43=0,"",L43)</f>
        <v>#N/A</v>
      </c>
      <c r="C43" s="901" t="e">
        <f t="shared" ref="C43:C44" si="166">IF(AV43=0,"",M43)</f>
        <v>#N/A</v>
      </c>
      <c r="D43" s="895" t="e">
        <f t="shared" ref="D43:D44" si="167">IF(AV43=0,"",AB43)</f>
        <v>#N/A</v>
      </c>
      <c r="E43" s="896" t="e">
        <f t="shared" ref="E43:E44" si="168">IF(AV43=0,"",U43)</f>
        <v>#N/A</v>
      </c>
      <c r="F43" s="896" t="e">
        <f t="shared" ref="F43:F44" si="169">IF(AV43=0,"",V43)</f>
        <v>#N/A</v>
      </c>
      <c r="G43" s="897" t="e">
        <f t="shared" ref="G43:G44" si="170">IF(AV43=0,"",AR43)</f>
        <v>#N/A</v>
      </c>
      <c r="H43" s="897" t="e">
        <f t="shared" ref="H43:H44" si="171">IF(AV43=0,"",AP43)</f>
        <v>#N/A</v>
      </c>
      <c r="I43" s="898" t="e">
        <f t="shared" ref="I43:I44" si="172">IF(AV43=0,"",AS43)</f>
        <v>#N/A</v>
      </c>
      <c r="J43" s="855"/>
      <c r="K43" s="734">
        <f t="shared" si="85"/>
        <v>1</v>
      </c>
      <c r="L43" s="1197" t="str">
        <f t="shared" ref="L43:M43" si="173">L23</f>
        <v xml:space="preserve">Z UBEZPIECZENIEM </v>
      </c>
      <c r="M43" s="840" t="str">
        <f t="shared" si="173"/>
        <v>Pozyczka PAKIET 5000</v>
      </c>
      <c r="N43" s="800" t="str">
        <f t="shared" si="62"/>
        <v>POZOSTAŁY</v>
      </c>
      <c r="O43" s="842">
        <f t="shared" si="63"/>
        <v>800</v>
      </c>
      <c r="P43" s="734">
        <f t="shared" ref="P43:P44" si="174">IF(WDochNETTO&gt;=O43,1,0)</f>
        <v>1</v>
      </c>
      <c r="Q43" s="843" t="str">
        <f t="shared" ref="Q43:V43" si="175">Q23</f>
        <v>X</v>
      </c>
      <c r="R43" s="843" t="str">
        <f t="shared" si="175"/>
        <v>X</v>
      </c>
      <c r="S43" s="843" t="str">
        <f t="shared" si="175"/>
        <v>X</v>
      </c>
      <c r="T43" s="843" t="str">
        <f t="shared" si="175"/>
        <v>X</v>
      </c>
      <c r="U43" s="843">
        <f t="shared" si="175"/>
        <v>0.12</v>
      </c>
      <c r="V43" s="843">
        <f t="shared" si="175"/>
        <v>0</v>
      </c>
      <c r="W43" s="1199">
        <v>0</v>
      </c>
      <c r="X43" s="844">
        <f t="shared" ref="X43:Y43" si="176">X23</f>
        <v>84</v>
      </c>
      <c r="Y43" s="844">
        <f t="shared" si="176"/>
        <v>84</v>
      </c>
      <c r="Z43" s="862">
        <v>96</v>
      </c>
      <c r="AA43" s="847" t="e">
        <f t="shared" ref="AA43:AA44" si="177">IF(AND(AR43&lt;$H$3,Z43&lt;Y43),0,1)</f>
        <v>#N/A</v>
      </c>
      <c r="AB43" s="840">
        <f t="shared" ref="AB43" si="178">AB23</f>
        <v>84</v>
      </c>
      <c r="AC43" s="840">
        <f t="shared" si="161"/>
        <v>0</v>
      </c>
      <c r="AD43" s="910" t="s">
        <v>163</v>
      </c>
      <c r="AE43" s="832">
        <f t="shared" ref="AE43:AE44" si="179">IF(AD43="ZMIENNE",1-0.0075,1)</f>
        <v>1</v>
      </c>
      <c r="AF43" s="731">
        <f t="shared" ref="AF43:AF44" si="180">ROUNDDOWN(AE43*(Zdolnosc_2zl*(((1+(U43/12))^AB43)-1))/((1+(U43/12))^AB43*(U43/12)),-2)</f>
        <v>33988900</v>
      </c>
      <c r="AG43" s="1129" t="e">
        <f t="shared" si="68"/>
        <v>#N/A</v>
      </c>
      <c r="AH43" s="833" t="e">
        <f t="shared" ref="AH43:AH44" si="181">WDochNETTO*AG43</f>
        <v>#N/A</v>
      </c>
      <c r="AI43" s="733" t="e">
        <f t="shared" ref="AI43:AI44" si="182">MAX(0,AH43-$C$8)</f>
        <v>#N/A</v>
      </c>
      <c r="AJ43" s="733" t="e">
        <f t="shared" ref="AJ43:AJ44" si="183">MAX(MIN(AF43,AI43),0)</f>
        <v>#N/A</v>
      </c>
      <c r="AK43" s="904">
        <f>ROUND($H$3/(1-AB43*W43-(1+AB43*W43*0)*V43),2)</f>
        <v>20000</v>
      </c>
      <c r="AL43" s="733" t="e">
        <f t="shared" ref="AL43:AL44" si="184">MIN(AJ43,AK43)</f>
        <v>#N/A</v>
      </c>
      <c r="AM43" s="905">
        <v>5000</v>
      </c>
      <c r="AN43" s="842">
        <f t="shared" ref="AN43:AO43" si="185">AN23</f>
        <v>5000</v>
      </c>
      <c r="AO43" s="842">
        <f t="shared" si="185"/>
        <v>5000</v>
      </c>
      <c r="AP43" s="733" t="e">
        <f t="shared" ref="AP43:AP44" si="186">IF(AL43&gt;=AM43,MIN(AL43,AO43),0)</f>
        <v>#N/A</v>
      </c>
      <c r="AQ43" s="734" t="e">
        <f t="shared" ref="AQ43:AQ44" si="187">IF(AP43&gt;0,1,0)</f>
        <v>#N/A</v>
      </c>
      <c r="AR43" s="838" t="e">
        <f t="shared" ref="AR43:AR44" si="188">ROUND(AP43*((1-AB43*W43)-(1+AB43*W43*0)*V43),0)</f>
        <v>#N/A</v>
      </c>
      <c r="AS43" s="731" t="e">
        <f t="shared" ref="AS43:AS44" si="189">(AP43*(U43/12))/(1-(1+(U43/12))^(-AB43))</f>
        <v>#N/A</v>
      </c>
      <c r="AT43" s="852" t="e">
        <f t="shared" ref="AT43:AT44" si="190">IF(AL43&gt;=AM43,1,0)</f>
        <v>#N/A</v>
      </c>
      <c r="AU43" s="872" t="e">
        <f t="shared" ref="AU43:AU44" si="191">AW43*AX43</f>
        <v>#N/A</v>
      </c>
      <c r="AV43" s="903" t="e">
        <f t="shared" ref="AV43:AV44" si="192">K43*AQ43*P43*$K$2</f>
        <v>#N/A</v>
      </c>
      <c r="AW43" s="814" t="e">
        <f t="shared" ref="AW43:AW44" si="193">IF(AND(AS43&gt;0,AS43&lt;=$H$5),1,0)</f>
        <v>#N/A</v>
      </c>
      <c r="AX43" s="814" t="e">
        <f t="shared" ref="AX43:AX44" si="194">IF(AR43&gt;=$H$3,1,0)</f>
        <v>#N/A</v>
      </c>
    </row>
    <row r="44" spans="1:50" ht="14" thickTop="1" thickBot="1" x14ac:dyDescent="0.35">
      <c r="A44" s="794" t="s">
        <v>174</v>
      </c>
      <c r="B44" s="893" t="e">
        <f t="shared" si="165"/>
        <v>#N/A</v>
      </c>
      <c r="C44" s="901" t="e">
        <f t="shared" si="166"/>
        <v>#N/A</v>
      </c>
      <c r="D44" s="895" t="e">
        <f t="shared" si="167"/>
        <v>#N/A</v>
      </c>
      <c r="E44" s="896" t="e">
        <f t="shared" si="168"/>
        <v>#N/A</v>
      </c>
      <c r="F44" s="896" t="e">
        <f t="shared" si="169"/>
        <v>#N/A</v>
      </c>
      <c r="G44" s="897" t="e">
        <f t="shared" si="170"/>
        <v>#N/A</v>
      </c>
      <c r="H44" s="897" t="e">
        <f t="shared" si="171"/>
        <v>#N/A</v>
      </c>
      <c r="I44" s="898" t="e">
        <f t="shared" si="172"/>
        <v>#N/A</v>
      </c>
      <c r="J44" s="855" t="s">
        <v>2041</v>
      </c>
      <c r="K44" s="903">
        <v>0</v>
      </c>
      <c r="L44" s="840" t="str">
        <f t="shared" ref="L44" si="195">L24</f>
        <v>BEZ UBEZPIECZENIA</v>
      </c>
      <c r="M44" s="840" t="str">
        <f t="shared" si="153"/>
        <v>nie oferujemy</v>
      </c>
      <c r="N44" s="800" t="str">
        <f t="shared" si="62"/>
        <v>POZOSTAŁY</v>
      </c>
      <c r="O44" s="842">
        <f t="shared" si="63"/>
        <v>800</v>
      </c>
      <c r="P44" s="734">
        <f t="shared" si="174"/>
        <v>1</v>
      </c>
      <c r="Q44" s="843" t="str">
        <f t="shared" ref="Q44:V44" si="196">Q24</f>
        <v>X</v>
      </c>
      <c r="R44" s="843" t="str">
        <f t="shared" si="196"/>
        <v>X</v>
      </c>
      <c r="S44" s="843" t="str">
        <f t="shared" si="196"/>
        <v>X</v>
      </c>
      <c r="T44" s="843" t="str">
        <f t="shared" si="196"/>
        <v>X</v>
      </c>
      <c r="U44" s="843">
        <f t="shared" si="196"/>
        <v>99.99</v>
      </c>
      <c r="V44" s="843">
        <f t="shared" si="196"/>
        <v>0</v>
      </c>
      <c r="W44" s="745">
        <f t="shared" ref="W44" si="197">IF(L44="BEZ UBEZPIECZENIA",0,0.27%)</f>
        <v>0</v>
      </c>
      <c r="X44" s="844">
        <f t="shared" ref="X44:Y44" si="198">X24</f>
        <v>84</v>
      </c>
      <c r="Y44" s="844">
        <f t="shared" si="198"/>
        <v>84</v>
      </c>
      <c r="Z44" s="862">
        <v>96</v>
      </c>
      <c r="AA44" s="847" t="e">
        <f t="shared" si="177"/>
        <v>#N/A</v>
      </c>
      <c r="AB44" s="840">
        <f t="shared" ref="AB44" si="199">AB24</f>
        <v>84</v>
      </c>
      <c r="AC44" s="840">
        <f t="shared" si="161"/>
        <v>0</v>
      </c>
      <c r="AD44" s="910" t="s">
        <v>163</v>
      </c>
      <c r="AE44" s="832">
        <f t="shared" si="179"/>
        <v>1</v>
      </c>
      <c r="AF44" s="731">
        <f t="shared" si="180"/>
        <v>72000</v>
      </c>
      <c r="AG44" s="1129" t="e">
        <f t="shared" si="68"/>
        <v>#N/A</v>
      </c>
      <c r="AH44" s="833" t="e">
        <f t="shared" si="181"/>
        <v>#N/A</v>
      </c>
      <c r="AI44" s="733" t="e">
        <f t="shared" si="182"/>
        <v>#N/A</v>
      </c>
      <c r="AJ44" s="733" t="e">
        <f t="shared" si="183"/>
        <v>#N/A</v>
      </c>
      <c r="AK44" s="733">
        <f t="shared" ref="AK44" si="200">ROUND($H$3/(1-AB44*W44-(1+AB44*W44*0)*V44),0)</f>
        <v>20000</v>
      </c>
      <c r="AL44" s="733" t="e">
        <f t="shared" si="184"/>
        <v>#N/A</v>
      </c>
      <c r="AM44" s="842">
        <f t="shared" ref="AM44:AO44" si="201">AM24</f>
        <v>0</v>
      </c>
      <c r="AN44" s="842">
        <f t="shared" si="201"/>
        <v>0</v>
      </c>
      <c r="AO44" s="842">
        <f t="shared" si="201"/>
        <v>0</v>
      </c>
      <c r="AP44" s="733" t="e">
        <f t="shared" si="186"/>
        <v>#N/A</v>
      </c>
      <c r="AQ44" s="734" t="e">
        <f t="shared" si="187"/>
        <v>#N/A</v>
      </c>
      <c r="AR44" s="838" t="e">
        <f t="shared" si="188"/>
        <v>#N/A</v>
      </c>
      <c r="AS44" s="731" t="e">
        <f t="shared" si="189"/>
        <v>#N/A</v>
      </c>
      <c r="AT44" s="852" t="e">
        <f t="shared" si="190"/>
        <v>#N/A</v>
      </c>
      <c r="AU44" s="872" t="e">
        <f t="shared" si="191"/>
        <v>#N/A</v>
      </c>
      <c r="AV44" s="903" t="e">
        <f t="shared" si="192"/>
        <v>#N/A</v>
      </c>
      <c r="AW44" s="814" t="e">
        <f t="shared" si="193"/>
        <v>#N/A</v>
      </c>
      <c r="AX44" s="814" t="e">
        <f t="shared" si="194"/>
        <v>#N/A</v>
      </c>
    </row>
    <row r="45" spans="1:50" ht="13" thickTop="1" x14ac:dyDescent="0.25">
      <c r="M45" s="827"/>
    </row>
    <row r="69" spans="1:3" ht="13" x14ac:dyDescent="0.3">
      <c r="A69" s="828" t="s">
        <v>1881</v>
      </c>
      <c r="B69" s="827" t="s">
        <v>1886</v>
      </c>
    </row>
    <row r="70" spans="1:3" x14ac:dyDescent="0.25">
      <c r="A70" s="814" t="s">
        <v>174</v>
      </c>
      <c r="B70" s="827" t="s">
        <v>1890</v>
      </c>
    </row>
    <row r="71" spans="1:3" x14ac:dyDescent="0.25">
      <c r="A71" s="814" t="s">
        <v>1880</v>
      </c>
      <c r="B71" s="827" t="s">
        <v>1892</v>
      </c>
      <c r="C71" s="827" t="s">
        <v>1889</v>
      </c>
    </row>
    <row r="72" spans="1:3" x14ac:dyDescent="0.25">
      <c r="B72" s="827" t="s">
        <v>1893</v>
      </c>
      <c r="C72" s="827" t="s">
        <v>1888</v>
      </c>
    </row>
  </sheetData>
  <sheetProtection sheet="1" objects="1" scenarios="1"/>
  <mergeCells count="8">
    <mergeCell ref="AP9:AP10"/>
    <mergeCell ref="AL9:AL10"/>
    <mergeCell ref="B9:I9"/>
    <mergeCell ref="E1:G1"/>
    <mergeCell ref="H1:I1"/>
    <mergeCell ref="E3:G3"/>
    <mergeCell ref="E4:G4"/>
    <mergeCell ref="E5:G5"/>
  </mergeCells>
  <conditionalFormatting sqref="P15:P18 P12">
    <cfRule type="colorScale" priority="59">
      <colorScale>
        <cfvo type="min"/>
        <cfvo type="percentile" val="50"/>
        <cfvo type="max"/>
        <color rgb="FFF8696B"/>
        <color rgb="FFFFEB84"/>
        <color rgb="FF63BE7B"/>
      </colorScale>
    </cfRule>
  </conditionalFormatting>
  <conditionalFormatting sqref="AV25:AV44 AV12:AV22">
    <cfRule type="colorScale" priority="58">
      <colorScale>
        <cfvo type="min"/>
        <cfvo type="percentile" val="50"/>
        <cfvo type="max"/>
        <color rgb="FFF8696B"/>
        <color rgb="FFFFEB84"/>
        <color rgb="FF63BE7B"/>
      </colorScale>
    </cfRule>
  </conditionalFormatting>
  <conditionalFormatting sqref="AQ12:AQ22">
    <cfRule type="colorScale" priority="57">
      <colorScale>
        <cfvo type="min"/>
        <cfvo type="percentile" val="50"/>
        <cfvo type="max"/>
        <color rgb="FFF8696B"/>
        <color rgb="FFFFEB84"/>
        <color rgb="FF63BE7B"/>
      </colorScale>
    </cfRule>
  </conditionalFormatting>
  <conditionalFormatting sqref="P13">
    <cfRule type="colorScale" priority="55">
      <colorScale>
        <cfvo type="min"/>
        <cfvo type="percentile" val="50"/>
        <cfvo type="max"/>
        <color rgb="FFF8696B"/>
        <color rgb="FFFFEB84"/>
        <color rgb="FF63BE7B"/>
      </colorScale>
    </cfRule>
  </conditionalFormatting>
  <conditionalFormatting sqref="P19:P22 P14">
    <cfRule type="colorScale" priority="60">
      <colorScale>
        <cfvo type="min"/>
        <cfvo type="percentile" val="50"/>
        <cfvo type="max"/>
        <color rgb="FFF8696B"/>
        <color rgb="FFFFEB84"/>
        <color rgb="FF63BE7B"/>
      </colorScale>
    </cfRule>
  </conditionalFormatting>
  <conditionalFormatting sqref="K13:K22">
    <cfRule type="colorScale" priority="51">
      <colorScale>
        <cfvo type="min"/>
        <cfvo type="percentile" val="50"/>
        <cfvo type="max"/>
        <color rgb="FFF8696B"/>
        <color rgb="FFFFEB84"/>
        <color rgb="FF63BE7B"/>
      </colorScale>
    </cfRule>
  </conditionalFormatting>
  <conditionalFormatting sqref="K31:K43">
    <cfRule type="colorScale" priority="50">
      <colorScale>
        <cfvo type="min"/>
        <cfvo type="percentile" val="50"/>
        <cfvo type="max"/>
        <color rgb="FFF8696B"/>
        <color rgb="FFFFEB84"/>
        <color rgb="FF63BE7B"/>
      </colorScale>
    </cfRule>
  </conditionalFormatting>
  <conditionalFormatting sqref="AQ31:AQ44">
    <cfRule type="colorScale" priority="49">
      <colorScale>
        <cfvo type="min"/>
        <cfvo type="percentile" val="50"/>
        <cfvo type="max"/>
        <color rgb="FFF8696B"/>
        <color rgb="FFFFEB84"/>
        <color rgb="FF63BE7B"/>
      </colorScale>
    </cfRule>
  </conditionalFormatting>
  <conditionalFormatting sqref="P31:P44">
    <cfRule type="colorScale" priority="48">
      <colorScale>
        <cfvo type="min"/>
        <cfvo type="percentile" val="50"/>
        <cfvo type="max"/>
        <color rgb="FFF8696B"/>
        <color rgb="FFFFEB84"/>
        <color rgb="FF63BE7B"/>
      </colorScale>
    </cfRule>
  </conditionalFormatting>
  <conditionalFormatting sqref="AV40">
    <cfRule type="colorScale" priority="47">
      <colorScale>
        <cfvo type="min"/>
        <cfvo type="percentile" val="50"/>
        <cfvo type="max"/>
        <color rgb="FFF8696B"/>
        <color rgb="FFFFEB84"/>
        <color rgb="FF63BE7B"/>
      </colorScale>
    </cfRule>
  </conditionalFormatting>
  <conditionalFormatting sqref="AU31:AU44">
    <cfRule type="colorScale" priority="46">
      <colorScale>
        <cfvo type="min"/>
        <cfvo type="percentile" val="50"/>
        <cfvo type="max"/>
        <color rgb="FFF8696B"/>
        <color rgb="FFFFEB84"/>
        <color rgb="FF63BE7B"/>
      </colorScale>
    </cfRule>
  </conditionalFormatting>
  <conditionalFormatting sqref="AT35:AT38">
    <cfRule type="colorScale" priority="45">
      <colorScale>
        <cfvo type="min"/>
        <cfvo type="percentile" val="50"/>
        <cfvo type="max"/>
        <color rgb="FFF8696B"/>
        <color rgb="FFFFEB84"/>
        <color rgb="FF63BE7B"/>
      </colorScale>
    </cfRule>
  </conditionalFormatting>
  <conditionalFormatting sqref="AT39:AT44">
    <cfRule type="colorScale" priority="44">
      <colorScale>
        <cfvo type="min"/>
        <cfvo type="percentile" val="50"/>
        <cfvo type="max"/>
        <color rgb="FFF8696B"/>
        <color rgb="FFFFEB84"/>
        <color rgb="FF63BE7B"/>
      </colorScale>
    </cfRule>
  </conditionalFormatting>
  <conditionalFormatting sqref="AU41">
    <cfRule type="colorScale" priority="43">
      <colorScale>
        <cfvo type="min"/>
        <cfvo type="percentile" val="50"/>
        <cfvo type="max"/>
        <color rgb="FFF8696B"/>
        <color rgb="FFFFEB84"/>
        <color rgb="FF63BE7B"/>
      </colorScale>
    </cfRule>
  </conditionalFormatting>
  <conditionalFormatting sqref="Z12:Z22">
    <cfRule type="colorScale" priority="42">
      <colorScale>
        <cfvo type="min"/>
        <cfvo type="percentile" val="50"/>
        <cfvo type="max"/>
        <color rgb="FFF8696B"/>
        <color rgb="FFFFEB84"/>
        <color rgb="FF63BE7B"/>
      </colorScale>
    </cfRule>
  </conditionalFormatting>
  <conditionalFormatting sqref="AV25:AV44 AV11:AV22">
    <cfRule type="colorScale" priority="39">
      <colorScale>
        <cfvo type="min"/>
        <cfvo type="percentile" val="50"/>
        <cfvo type="max"/>
        <color rgb="FFF8696B"/>
        <color rgb="FFFFEB84"/>
        <color rgb="FF63BE7B"/>
      </colorScale>
    </cfRule>
  </conditionalFormatting>
  <conditionalFormatting sqref="AQ11">
    <cfRule type="colorScale" priority="38">
      <colorScale>
        <cfvo type="min"/>
        <cfvo type="percentile" val="50"/>
        <cfvo type="max"/>
        <color rgb="FFF8696B"/>
        <color rgb="FFFFEB84"/>
        <color rgb="FF63BE7B"/>
      </colorScale>
    </cfRule>
  </conditionalFormatting>
  <conditionalFormatting sqref="P11">
    <cfRule type="colorScale" priority="37">
      <colorScale>
        <cfvo type="min"/>
        <cfvo type="percentile" val="50"/>
        <cfvo type="max"/>
        <color rgb="FFF8696B"/>
        <color rgb="FFFFEB84"/>
        <color rgb="FF63BE7B"/>
      </colorScale>
    </cfRule>
  </conditionalFormatting>
  <conditionalFormatting sqref="Z11:Z22">
    <cfRule type="colorScale" priority="35">
      <colorScale>
        <cfvo type="min"/>
        <cfvo type="percentile" val="50"/>
        <cfvo type="max"/>
        <color rgb="FFF8696B"/>
        <color rgb="FFFFEB84"/>
        <color rgb="FF63BE7B"/>
      </colorScale>
    </cfRule>
  </conditionalFormatting>
  <conditionalFormatting sqref="A11:I22 A25:I44 L44:M44 O21:R22 L11:AF11 O12:AC18 AH25:AY44 K25:AE30 AG25:AG30 K21:L22 AH14:AM14 AH11:AN13 AH15:AN16 AH21:AN22 AP21:AY22 K31:M43 AE12:AF22 O31:AF44 O19:T20 V19:AA22 AC19:AC22 AB19:AB24 K13:M20 L12:M12 AP11:AY16 AH17:AY20">
    <cfRule type="expression" dxfId="73" priority="33">
      <formula xml:space="preserve"> ROW(A11)=AktywnyW</formula>
    </cfRule>
  </conditionalFormatting>
  <conditionalFormatting sqref="A45:AY50">
    <cfRule type="expression" dxfId="72" priority="32">
      <formula xml:space="preserve"> ROW(A45)=AktywnyW</formula>
    </cfRule>
  </conditionalFormatting>
  <conditionalFormatting sqref="AV23">
    <cfRule type="colorScale" priority="30">
      <colorScale>
        <cfvo type="min"/>
        <cfvo type="percentile" val="50"/>
        <cfvo type="max"/>
        <color rgb="FFF8696B"/>
        <color rgb="FFFFEB84"/>
        <color rgb="FF63BE7B"/>
      </colorScale>
    </cfRule>
  </conditionalFormatting>
  <conditionalFormatting sqref="AQ23:AQ24">
    <cfRule type="colorScale" priority="29">
      <colorScale>
        <cfvo type="min"/>
        <cfvo type="percentile" val="50"/>
        <cfvo type="max"/>
        <color rgb="FFF8696B"/>
        <color rgb="FFFFEB84"/>
        <color rgb="FF63BE7B"/>
      </colorScale>
    </cfRule>
  </conditionalFormatting>
  <conditionalFormatting sqref="P23:P24">
    <cfRule type="colorScale" priority="31">
      <colorScale>
        <cfvo type="min"/>
        <cfvo type="percentile" val="50"/>
        <cfvo type="max"/>
        <color rgb="FFF8696B"/>
        <color rgb="FFFFEB84"/>
        <color rgb="FF63BE7B"/>
      </colorScale>
    </cfRule>
  </conditionalFormatting>
  <conditionalFormatting sqref="K23:K24">
    <cfRule type="colorScale" priority="28">
      <colorScale>
        <cfvo type="min"/>
        <cfvo type="percentile" val="50"/>
        <cfvo type="max"/>
        <color rgb="FFF8696B"/>
        <color rgb="FFFFEB84"/>
        <color rgb="FF63BE7B"/>
      </colorScale>
    </cfRule>
  </conditionalFormatting>
  <conditionalFormatting sqref="Z23:Z24">
    <cfRule type="colorScale" priority="27">
      <colorScale>
        <cfvo type="min"/>
        <cfvo type="percentile" val="50"/>
        <cfvo type="max"/>
        <color rgb="FFF8696B"/>
        <color rgb="FFFFEB84"/>
        <color rgb="FF63BE7B"/>
      </colorScale>
    </cfRule>
  </conditionalFormatting>
  <conditionalFormatting sqref="AV23">
    <cfRule type="colorScale" priority="26">
      <colorScale>
        <cfvo type="min"/>
        <cfvo type="percentile" val="50"/>
        <cfvo type="max"/>
        <color rgb="FFF8696B"/>
        <color rgb="FFFFEB84"/>
        <color rgb="FF63BE7B"/>
      </colorScale>
    </cfRule>
  </conditionalFormatting>
  <conditionalFormatting sqref="Z23:Z24">
    <cfRule type="colorScale" priority="25">
      <colorScale>
        <cfvo type="min"/>
        <cfvo type="percentile" val="50"/>
        <cfvo type="max"/>
        <color rgb="FFF8696B"/>
        <color rgb="FFFFEB84"/>
        <color rgb="FF63BE7B"/>
      </colorScale>
    </cfRule>
  </conditionalFormatting>
  <conditionalFormatting sqref="A23:I24 O23:P24 X23:AA23 K23:K24 W24:AA24 AX24:AY24 AH24:AU24 AH23:AY23 AE23:AF24 AC23:AC24">
    <cfRule type="expression" dxfId="71" priority="24">
      <formula xml:space="preserve"> ROW(A23)=AktywnyW</formula>
    </cfRule>
  </conditionalFormatting>
  <conditionalFormatting sqref="L23:M24">
    <cfRule type="expression" dxfId="70" priority="23">
      <formula xml:space="preserve"> ROW(L23)=AktywnyW</formula>
    </cfRule>
  </conditionalFormatting>
  <conditionalFormatting sqref="Q23:V24">
    <cfRule type="expression" dxfId="69" priority="22">
      <formula xml:space="preserve"> ROW(Q23)=AktywnyW</formula>
    </cfRule>
  </conditionalFormatting>
  <conditionalFormatting sqref="J10:J43">
    <cfRule type="expression" dxfId="68" priority="21">
      <formula xml:space="preserve"> ROW(J10)=AktywnyW</formula>
    </cfRule>
  </conditionalFormatting>
  <conditionalFormatting sqref="AV24">
    <cfRule type="colorScale" priority="20">
      <colorScale>
        <cfvo type="min"/>
        <cfvo type="percentile" val="50"/>
        <cfvo type="max"/>
        <color rgb="FFF8696B"/>
        <color rgb="FFFFEB84"/>
        <color rgb="FF63BE7B"/>
      </colorScale>
    </cfRule>
  </conditionalFormatting>
  <conditionalFormatting sqref="AV24">
    <cfRule type="colorScale" priority="19">
      <colorScale>
        <cfvo type="min"/>
        <cfvo type="percentile" val="50"/>
        <cfvo type="max"/>
        <color rgb="FFF8696B"/>
        <color rgb="FFFFEB84"/>
        <color rgb="FF63BE7B"/>
      </colorScale>
    </cfRule>
  </conditionalFormatting>
  <conditionalFormatting sqref="AV24:AW24">
    <cfRule type="expression" dxfId="67" priority="18">
      <formula xml:space="preserve"> ROW(AV24)=AktywnyW</formula>
    </cfRule>
  </conditionalFormatting>
  <conditionalFormatting sqref="W23">
    <cfRule type="expression" dxfId="66" priority="17">
      <formula xml:space="preserve"> ROW(W23)=AktywnyW</formula>
    </cfRule>
  </conditionalFormatting>
  <conditionalFormatting sqref="K44">
    <cfRule type="colorScale" priority="16">
      <colorScale>
        <cfvo type="min"/>
        <cfvo type="percentile" val="50"/>
        <cfvo type="max"/>
        <color rgb="FFF8696B"/>
        <color rgb="FFFFEB84"/>
        <color rgb="FF63BE7B"/>
      </colorScale>
    </cfRule>
  </conditionalFormatting>
  <conditionalFormatting sqref="K44">
    <cfRule type="expression" dxfId="65" priority="15">
      <formula xml:space="preserve"> ROW(K44)=AktywnyW</formula>
    </cfRule>
  </conditionalFormatting>
  <conditionalFormatting sqref="J44">
    <cfRule type="expression" dxfId="64" priority="14">
      <formula xml:space="preserve"> ROW(J44)=AktywnyW</formula>
    </cfRule>
  </conditionalFormatting>
  <conditionalFormatting sqref="S21:T22">
    <cfRule type="expression" dxfId="63" priority="12">
      <formula xml:space="preserve"> ROW(S21)=AktywnyW</formula>
    </cfRule>
  </conditionalFormatting>
  <conditionalFormatting sqref="N12:N24">
    <cfRule type="expression" dxfId="62" priority="9">
      <formula xml:space="preserve"> ROW(N12)=AktywnyW</formula>
    </cfRule>
  </conditionalFormatting>
  <conditionalFormatting sqref="N31:N44">
    <cfRule type="expression" dxfId="61" priority="8">
      <formula xml:space="preserve"> ROW(N31)=AktywnyW</formula>
    </cfRule>
  </conditionalFormatting>
  <conditionalFormatting sqref="U21:U22">
    <cfRule type="expression" dxfId="60" priority="7">
      <formula xml:space="preserve"> ROW(U21)=AktywnyW</formula>
    </cfRule>
  </conditionalFormatting>
  <conditionalFormatting sqref="AN14">
    <cfRule type="expression" dxfId="59" priority="6">
      <formula xml:space="preserve"> ROW(AN14)=AktywnyW</formula>
    </cfRule>
  </conditionalFormatting>
  <conditionalFormatting sqref="AD12:AD24">
    <cfRule type="expression" dxfId="58" priority="5">
      <formula xml:space="preserve"> ROW(AD12)=AktywnyW</formula>
    </cfRule>
  </conditionalFormatting>
  <conditionalFormatting sqref="U19:U20">
    <cfRule type="expression" dxfId="57" priority="4">
      <formula xml:space="preserve"> ROW(U19)=AktywnyW</formula>
    </cfRule>
  </conditionalFormatting>
  <conditionalFormatting sqref="K11:K12">
    <cfRule type="colorScale" priority="3">
      <colorScale>
        <cfvo type="min"/>
        <cfvo type="percentile" val="50"/>
        <cfvo type="max"/>
        <color rgb="FFF8696B"/>
        <color rgb="FFFFEB84"/>
        <color rgb="FF63BE7B"/>
      </colorScale>
    </cfRule>
  </conditionalFormatting>
  <conditionalFormatting sqref="K11:K12">
    <cfRule type="expression" dxfId="56" priority="2">
      <formula xml:space="preserve"> ROW(K11)=AktywnyW</formula>
    </cfRule>
  </conditionalFormatting>
  <conditionalFormatting sqref="AO13:AO14">
    <cfRule type="expression" dxfId="55" priority="1">
      <formula xml:space="preserve"> ROW(AO13)=AktywnyW</formula>
    </cfRule>
  </conditionalFormatting>
  <dataValidations count="2">
    <dataValidation type="list" allowBlank="1" showInputMessage="1" showErrorMessage="1" sqref="H1:I1" xr:uid="{00000000-0002-0000-1000-000000000000}">
      <formula1>$B$70:$B$72</formula1>
    </dataValidation>
    <dataValidation type="list" allowBlank="1" showInputMessage="1" showErrorMessage="1" sqref="A31:A44 A11:A24" xr:uid="{00000000-0002-0000-1000-000001000000}">
      <formula1>$A$70:$A$71</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4037" r:id="rId4" name="Button 5">
              <controlPr defaultSize="0" print="0" autoFill="0" autoPict="0" macro="[0]!M_GenerowanieOfertDcc">
                <anchor moveWithCells="1" sizeWithCells="1">
                  <from>
                    <xdr:col>4</xdr:col>
                    <xdr:colOff>0</xdr:colOff>
                    <xdr:row>5</xdr:row>
                    <xdr:rowOff>133350</xdr:rowOff>
                  </from>
                  <to>
                    <xdr:col>8</xdr:col>
                    <xdr:colOff>19050</xdr:colOff>
                    <xdr:row>7</xdr:row>
                    <xdr:rowOff>133350</xdr:rowOff>
                  </to>
                </anchor>
              </controlPr>
            </control>
          </mc:Choice>
        </mc:AlternateContent>
        <mc:AlternateContent xmlns:mc="http://schemas.openxmlformats.org/markup-compatibility/2006">
          <mc:Choice Requires="x14">
            <control shapeId="44055" r:id="rId5" name="Button 23">
              <controlPr defaultSize="0" print="0" autoFill="0" autoPict="0" macro="[0]!PRZYCISKPowrotDoGlownegoARK" altText="POWRÓT">
                <anchor moveWithCells="1" sizeWithCells="1">
                  <from>
                    <xdr:col>0</xdr:col>
                    <xdr:colOff>31750</xdr:colOff>
                    <xdr:row>0</xdr:row>
                    <xdr:rowOff>69850</xdr:rowOff>
                  </from>
                  <to>
                    <xdr:col>0</xdr:col>
                    <xdr:colOff>1460500</xdr:colOff>
                    <xdr:row>3</xdr:row>
                    <xdr:rowOff>76200</xdr:rowOff>
                  </to>
                </anchor>
              </controlPr>
            </control>
          </mc:Choice>
        </mc:AlternateContent>
      </controls>
    </mc:Choice>
  </mc:AlternateContent>
  <tableParts count="1">
    <tablePart r:id="rId6"/>
  </tablePar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8">
    <tabColor theme="4"/>
  </sheetPr>
  <dimension ref="A1:AJ52"/>
  <sheetViews>
    <sheetView zoomScaleNormal="100" workbookViewId="0">
      <pane ySplit="9" topLeftCell="A10" activePane="bottomLeft" state="frozen"/>
      <selection activeCell="H7" sqref="H7"/>
      <selection pane="bottomLeft" activeCell="A10" sqref="A10"/>
    </sheetView>
  </sheetViews>
  <sheetFormatPr defaultColWidth="8.81640625" defaultRowHeight="13" x14ac:dyDescent="0.3"/>
  <cols>
    <col min="1" max="1" width="26.26953125" style="728" customWidth="1"/>
    <col min="2" max="2" width="20" style="725" customWidth="1"/>
    <col min="3" max="3" width="23.26953125" style="728" customWidth="1"/>
    <col min="4" max="4" width="7.26953125" style="728" customWidth="1"/>
    <col min="5" max="6" width="7.7265625" style="728" customWidth="1"/>
    <col min="7" max="7" width="12.7265625" style="728" customWidth="1"/>
    <col min="8" max="8" width="13" style="728" customWidth="1"/>
    <col min="9" max="9" width="11" style="728" customWidth="1"/>
    <col min="10" max="10" width="2.453125" style="728" customWidth="1"/>
    <col min="11" max="11" width="14" style="728" customWidth="1"/>
    <col min="12" max="12" width="17.453125" style="728" customWidth="1"/>
    <col min="13" max="18" width="8.81640625" style="728"/>
    <col min="19" max="19" width="6.26953125" style="755" customWidth="1"/>
    <col min="20" max="20" width="12.81640625" style="728" customWidth="1"/>
    <col min="21" max="22" width="10.26953125" style="728" customWidth="1"/>
    <col min="23" max="24" width="9.81640625" style="728" customWidth="1"/>
    <col min="25" max="29" width="8.81640625" style="728"/>
    <col min="30" max="30" width="12.26953125" style="728" customWidth="1"/>
    <col min="31" max="16384" width="8.81640625" style="728"/>
  </cols>
  <sheetData>
    <row r="1" spans="1:36" s="720" customFormat="1" ht="1.9" customHeight="1" x14ac:dyDescent="0.25">
      <c r="B1" s="825"/>
      <c r="C1" s="826"/>
    </row>
    <row r="2" spans="1:36" s="720" customFormat="1" x14ac:dyDescent="0.25">
      <c r="A2" s="1944" t="s">
        <v>1853</v>
      </c>
      <c r="B2" s="820" t="s">
        <v>34</v>
      </c>
      <c r="C2" s="821" t="s">
        <v>1</v>
      </c>
      <c r="D2" s="1285" t="str">
        <f>WERSJA2!D9</f>
        <v>MOJE ING</v>
      </c>
      <c r="E2" s="752"/>
      <c r="S2" s="753"/>
      <c r="U2" s="1128" t="str">
        <f>WERSJA2!T8</f>
        <v>MOJE ING</v>
      </c>
      <c r="V2" s="1132">
        <v>20</v>
      </c>
    </row>
    <row r="3" spans="1:36" s="720" customFormat="1" x14ac:dyDescent="0.25">
      <c r="A3" s="1944"/>
      <c r="B3" s="795" t="s">
        <v>42</v>
      </c>
      <c r="C3" s="817">
        <f>WDochNETTO</f>
        <v>1000000</v>
      </c>
      <c r="S3" s="753"/>
      <c r="U3" s="1128" t="str">
        <f>WERSJA2!T9</f>
        <v>INNY KANAŁ SPRZEDAŻY</v>
      </c>
      <c r="V3" s="1132">
        <v>12</v>
      </c>
    </row>
    <row r="4" spans="1:36" s="720" customFormat="1" x14ac:dyDescent="0.25">
      <c r="B4" s="822" t="s">
        <v>1821</v>
      </c>
      <c r="C4" s="823">
        <f>'Miesieczne Obciazenia'!E11-'Miesieczne Obciazenia'!E57</f>
        <v>0</v>
      </c>
      <c r="E4" s="752" t="s">
        <v>2149</v>
      </c>
      <c r="S4" s="753"/>
      <c r="U4" s="1128" t="str">
        <f>WERSJA2!T10</f>
        <v>MOBILE</v>
      </c>
      <c r="V4" s="1132">
        <v>6</v>
      </c>
    </row>
    <row r="5" spans="1:36" s="720" customFormat="1" x14ac:dyDescent="0.25">
      <c r="B5" s="795" t="s">
        <v>43</v>
      </c>
      <c r="C5" s="818">
        <f>WERSJA2!D28</f>
        <v>1</v>
      </c>
      <c r="M5" s="720" t="s">
        <v>2086</v>
      </c>
      <c r="S5" s="753"/>
      <c r="U5" s="1128">
        <f>WERSJA2!T12</f>
        <v>0</v>
      </c>
      <c r="V5" s="1132">
        <v>20</v>
      </c>
    </row>
    <row r="6" spans="1:36" s="720" customFormat="1" x14ac:dyDescent="0.25">
      <c r="B6" s="822" t="s">
        <v>172</v>
      </c>
      <c r="C6" s="824">
        <f>Wgd</f>
        <v>200</v>
      </c>
      <c r="N6" s="720" t="s">
        <v>2085</v>
      </c>
      <c r="S6" s="753"/>
      <c r="U6" s="1128">
        <f>WERSJA2!T13</f>
        <v>0</v>
      </c>
      <c r="V6" s="1132">
        <v>12</v>
      </c>
    </row>
    <row r="7" spans="1:36" s="720" customFormat="1" x14ac:dyDescent="0.25">
      <c r="B7" s="795" t="s">
        <v>45</v>
      </c>
      <c r="C7" s="819">
        <f>WskazZdolnosc</f>
        <v>600000</v>
      </c>
      <c r="O7" s="720" t="s">
        <v>2085</v>
      </c>
      <c r="S7" s="753"/>
    </row>
    <row r="8" spans="1:36" s="720" customFormat="1" x14ac:dyDescent="0.3">
      <c r="B8" s="822" t="s">
        <v>1858</v>
      </c>
      <c r="C8" s="824">
        <f>'Miesieczne Obciazenia'!D55</f>
        <v>0</v>
      </c>
      <c r="J8" s="746"/>
      <c r="K8" s="746"/>
      <c r="L8" s="746"/>
      <c r="M8" s="1131" t="str">
        <f>IF((MID(PreStatusKli,1,5)="STAŁY"),"STAŁY","POZOSTAŁY")</f>
        <v>POZOSTAŁY</v>
      </c>
      <c r="N8" s="746" t="s">
        <v>1875</v>
      </c>
      <c r="P8" s="746" t="s">
        <v>1875</v>
      </c>
      <c r="S8" s="753"/>
      <c r="U8" s="746" t="s">
        <v>1875</v>
      </c>
      <c r="AA8" s="720" t="s">
        <v>1869</v>
      </c>
    </row>
    <row r="9" spans="1:36" s="720" customFormat="1" ht="9.65" customHeight="1" x14ac:dyDescent="0.25">
      <c r="B9" s="811"/>
      <c r="C9" s="752"/>
      <c r="D9" s="752"/>
      <c r="E9" s="752"/>
      <c r="S9" s="753"/>
      <c r="T9" s="720" t="s">
        <v>1859</v>
      </c>
      <c r="V9" s="720" t="s">
        <v>1860</v>
      </c>
      <c r="W9" s="720" t="s">
        <v>1861</v>
      </c>
    </row>
    <row r="10" spans="1:36" s="721" customFormat="1" ht="42" customHeight="1" thickBot="1" x14ac:dyDescent="0.3">
      <c r="A10" s="798" t="s">
        <v>1882</v>
      </c>
      <c r="B10" s="796" t="s">
        <v>31</v>
      </c>
      <c r="C10" s="722" t="s">
        <v>2039</v>
      </c>
      <c r="D10" s="722" t="s">
        <v>1884</v>
      </c>
      <c r="E10" s="722" t="s">
        <v>5</v>
      </c>
      <c r="F10" s="722" t="s">
        <v>6</v>
      </c>
      <c r="G10" s="722" t="s">
        <v>1849</v>
      </c>
      <c r="H10" s="722" t="s">
        <v>1836</v>
      </c>
      <c r="I10" s="722" t="s">
        <v>1870</v>
      </c>
      <c r="J10" s="801"/>
      <c r="K10" s="723" t="s">
        <v>31</v>
      </c>
      <c r="L10" s="723" t="s">
        <v>32</v>
      </c>
      <c r="M10" s="799" t="s">
        <v>2084</v>
      </c>
      <c r="N10" s="744" t="s">
        <v>5</v>
      </c>
      <c r="O10" s="723" t="s">
        <v>6</v>
      </c>
      <c r="P10" s="744" t="s">
        <v>1848</v>
      </c>
      <c r="Q10" s="723" t="s">
        <v>1852</v>
      </c>
      <c r="R10" s="723" t="s">
        <v>5</v>
      </c>
      <c r="S10" s="736" t="s">
        <v>1856</v>
      </c>
      <c r="T10" s="723" t="s">
        <v>1862</v>
      </c>
      <c r="U10" s="749" t="s">
        <v>1857</v>
      </c>
      <c r="V10" s="735" t="s">
        <v>1863</v>
      </c>
      <c r="W10" s="736" t="s">
        <v>1864</v>
      </c>
      <c r="X10" s="736" t="s">
        <v>1865</v>
      </c>
      <c r="Y10" s="723" t="s">
        <v>1850</v>
      </c>
      <c r="Z10" s="723" t="s">
        <v>1867</v>
      </c>
      <c r="AA10" s="723" t="s">
        <v>1868</v>
      </c>
      <c r="AB10" s="741" t="s">
        <v>1851</v>
      </c>
      <c r="AC10" s="724" t="s">
        <v>1876</v>
      </c>
      <c r="AD10" s="741" t="s">
        <v>1872</v>
      </c>
      <c r="AE10" s="741" t="s">
        <v>1873</v>
      </c>
      <c r="AF10" s="723" t="s">
        <v>1854</v>
      </c>
      <c r="AG10" s="724" t="s">
        <v>1855</v>
      </c>
      <c r="AH10" s="742" t="s">
        <v>1871</v>
      </c>
      <c r="AI10" s="720"/>
      <c r="AJ10" s="720"/>
    </row>
    <row r="11" spans="1:36" ht="17.5" hidden="1" customHeight="1" thickTop="1" thickBot="1" x14ac:dyDescent="0.35">
      <c r="A11" s="794" t="s">
        <v>174</v>
      </c>
      <c r="B11" s="797" t="str">
        <f>IF(AH11=0,"",K11)</f>
        <v/>
      </c>
      <c r="C11" s="726" t="str">
        <f>IF(AH11=0,"",L11)</f>
        <v/>
      </c>
      <c r="D11" s="748" t="str">
        <f t="shared" ref="D11:D19" si="0">IF(AH11=0,"",Q11)</f>
        <v/>
      </c>
      <c r="E11" s="727" t="str">
        <f t="shared" ref="E11:E19" si="1">IF(AH11=0,"",N11)</f>
        <v/>
      </c>
      <c r="F11" s="751" t="str">
        <f t="shared" ref="F11:F19" si="2">IF(AH11=0,"",O11)</f>
        <v/>
      </c>
      <c r="G11" s="743" t="str">
        <f t="shared" ref="G11:G19" si="3">IF(AH11=0,"",AD11)</f>
        <v/>
      </c>
      <c r="H11" s="743" t="str">
        <f t="shared" ref="H11:H19" si="4">IF(AH11=0,"",AB11)</f>
        <v/>
      </c>
      <c r="I11" s="756" t="str">
        <f>IF(AH11=0,"",AE11)</f>
        <v/>
      </c>
      <c r="J11" s="802"/>
      <c r="K11" s="806" t="s">
        <v>2177</v>
      </c>
      <c r="L11" s="804" t="s">
        <v>184</v>
      </c>
      <c r="M11" s="1130" t="str">
        <f t="shared" ref="M11:M17" si="5">PreStatusKliUproszcz</f>
        <v>POZOSTAŁY</v>
      </c>
      <c r="N11" s="745">
        <f>IF(PreStatusKliUproszcz="STAŁY",15.5%,0)+IF(PreStatusKliUproszcz="POZOSTAŁY",17%,0)</f>
        <v>0.17</v>
      </c>
      <c r="O11" s="747">
        <v>0</v>
      </c>
      <c r="P11" s="745">
        <f>IF(K11="BEZ UBEZPIECZENIA",0,0.27%)</f>
        <v>2.7000000000000001E-3</v>
      </c>
      <c r="Q11" s="732">
        <v>60</v>
      </c>
      <c r="R11" s="730" t="s">
        <v>163</v>
      </c>
      <c r="S11" s="754">
        <f>1-IF(R11="ZMIENNE",0.0075,0)</f>
        <v>1</v>
      </c>
      <c r="T11" s="731">
        <f t="shared" ref="T11:T22" si="6">ROUNDDOWN(S11*(WskazZdolnosc*(((1+(N11/12))^Q11)-1))/((1+(N11/12))^Q11*(N11/12)),-2)</f>
        <v>24142300</v>
      </c>
      <c r="U11" s="1129" t="e">
        <f>VLOOKUP(PreStatusKli,$U$2:$V$6,2,)</f>
        <v>#N/A</v>
      </c>
      <c r="V11" s="733" t="e">
        <f t="shared" ref="V11:V22" si="7">WDochNETTO*U11</f>
        <v>#N/A</v>
      </c>
      <c r="W11" s="733" t="e">
        <f t="shared" ref="W11:W22" si="8">MAX(0,V11-$C$8)</f>
        <v>#N/A</v>
      </c>
      <c r="X11" s="733" t="e">
        <f t="shared" ref="X11:X22" si="9">MAX(MIN(T11,W11),0)</f>
        <v>#N/A</v>
      </c>
      <c r="Y11" s="739">
        <v>1000</v>
      </c>
      <c r="Z11" s="890">
        <v>50000</v>
      </c>
      <c r="AA11" s="833">
        <f t="shared" ref="AA11:AA16" si="10">IF(APLIKACJA="FrondEnd",50000,60000)</f>
        <v>60000</v>
      </c>
      <c r="AB11" s="733" t="e">
        <f t="shared" ref="AB11:AB22" si="11">IF(X11&gt;=Y11,MIN(X11,AA11),0)</f>
        <v>#N/A</v>
      </c>
      <c r="AC11" s="734" t="e">
        <f>IF(AB11&gt;0,1,0)</f>
        <v>#N/A</v>
      </c>
      <c r="AD11" s="731" t="e">
        <f t="shared" ref="AD11:AD18" si="12">ROUNDDOWN(AB11*((1-Q11*P11)-(1+Q11*P11*0)*O11),0)</f>
        <v>#N/A</v>
      </c>
      <c r="AE11" s="733" t="e">
        <f t="shared" ref="AE11:AE18" si="13">(AB11*(N11/12))/(1-(1+(N11/12))^(-Q11))</f>
        <v>#N/A</v>
      </c>
      <c r="AF11" s="740">
        <v>800</v>
      </c>
      <c r="AG11" s="734">
        <f t="shared" ref="AG11:AG19" si="14">IF(WDochNETTO&gt;=AF11,1,0)</f>
        <v>1</v>
      </c>
      <c r="AH11" s="734">
        <v>0</v>
      </c>
      <c r="AI11" s="720" t="s">
        <v>2040</v>
      </c>
      <c r="AJ11" s="720"/>
    </row>
    <row r="12" spans="1:36" ht="17.5" hidden="1" customHeight="1" thickTop="1" thickBot="1" x14ac:dyDescent="0.35">
      <c r="A12" s="794" t="s">
        <v>174</v>
      </c>
      <c r="B12" s="797" t="str">
        <f>IF(AH12=0,"",K12)</f>
        <v/>
      </c>
      <c r="C12" s="726" t="str">
        <f t="shared" ref="C12:C19" si="15">IF(AH12=0,"",L12)</f>
        <v/>
      </c>
      <c r="D12" s="748" t="str">
        <f t="shared" si="0"/>
        <v/>
      </c>
      <c r="E12" s="727" t="str">
        <f t="shared" si="1"/>
        <v/>
      </c>
      <c r="F12" s="727" t="str">
        <f t="shared" si="2"/>
        <v/>
      </c>
      <c r="G12" s="743" t="str">
        <f t="shared" si="3"/>
        <v/>
      </c>
      <c r="H12" s="743" t="str">
        <f t="shared" si="4"/>
        <v/>
      </c>
      <c r="I12" s="756" t="str">
        <f t="shared" ref="I12:I19" si="16">IF(AH12=0,"",AE12)</f>
        <v/>
      </c>
      <c r="J12" s="802"/>
      <c r="K12" s="804" t="s">
        <v>2177</v>
      </c>
      <c r="L12" s="804" t="s">
        <v>184</v>
      </c>
      <c r="M12" s="1130" t="str">
        <f t="shared" si="5"/>
        <v>POZOSTAŁY</v>
      </c>
      <c r="N12" s="745">
        <f>IF(PreStatusKliUproszcz="STAŁY",18%,0)+IF(PreStatusKliUproszcz="POZOSTAŁY",19%,0)</f>
        <v>0.19</v>
      </c>
      <c r="O12" s="747">
        <v>0</v>
      </c>
      <c r="P12" s="745">
        <f t="shared" ref="P12:P22" si="17">IF(K12="BEZ UBEZPIECZENIA",0,0.27%)</f>
        <v>2.7000000000000001E-3</v>
      </c>
      <c r="Q12" s="732">
        <v>60</v>
      </c>
      <c r="R12" s="730" t="s">
        <v>163</v>
      </c>
      <c r="S12" s="754">
        <f t="shared" ref="S12:S23" si="18">1-IF(R12="ZMIENNE",0.0075,0)</f>
        <v>1</v>
      </c>
      <c r="T12" s="731">
        <f t="shared" si="6"/>
        <v>23129800</v>
      </c>
      <c r="U12" s="1129" t="e">
        <f t="shared" ref="U12:U17" si="19">VLOOKUP(PreStatusKli,$U$2:$V$6,2,)</f>
        <v>#N/A</v>
      </c>
      <c r="V12" s="733" t="e">
        <f t="shared" si="7"/>
        <v>#N/A</v>
      </c>
      <c r="W12" s="733" t="e">
        <f t="shared" si="8"/>
        <v>#N/A</v>
      </c>
      <c r="X12" s="733" t="e">
        <f t="shared" si="9"/>
        <v>#N/A</v>
      </c>
      <c r="Y12" s="739">
        <v>1000</v>
      </c>
      <c r="Z12" s="890">
        <v>50000</v>
      </c>
      <c r="AA12" s="833">
        <f t="shared" si="10"/>
        <v>60000</v>
      </c>
      <c r="AB12" s="733" t="e">
        <f t="shared" si="11"/>
        <v>#N/A</v>
      </c>
      <c r="AC12" s="734" t="e">
        <f t="shared" ref="AC12:AC22" si="20">IF(AB12&gt;0,1,0)</f>
        <v>#N/A</v>
      </c>
      <c r="AD12" s="731" t="e">
        <f t="shared" si="12"/>
        <v>#N/A</v>
      </c>
      <c r="AE12" s="733" t="e">
        <f t="shared" si="13"/>
        <v>#N/A</v>
      </c>
      <c r="AF12" s="740">
        <v>800</v>
      </c>
      <c r="AG12" s="734">
        <f t="shared" si="14"/>
        <v>1</v>
      </c>
      <c r="AH12" s="734">
        <v>0</v>
      </c>
      <c r="AI12" s="720" t="s">
        <v>2040</v>
      </c>
      <c r="AJ12" s="720"/>
    </row>
    <row r="13" spans="1:36" ht="17.5" customHeight="1" thickTop="1" thickBot="1" x14ac:dyDescent="0.35">
      <c r="A13" s="794" t="s">
        <v>174</v>
      </c>
      <c r="B13" s="797" t="e">
        <f>IF(AH13=0,"",K13)</f>
        <v>#N/A</v>
      </c>
      <c r="C13" s="726" t="e">
        <f>IF(AH13=0,"",L13)</f>
        <v>#N/A</v>
      </c>
      <c r="D13" s="748" t="e">
        <f>IF(AH13=0,"",Q13)</f>
        <v>#N/A</v>
      </c>
      <c r="E13" s="727" t="e">
        <f>IF(AH13=0,"",N13)</f>
        <v>#N/A</v>
      </c>
      <c r="F13" s="727" t="e">
        <f>IF(AH13=0,"",O13)</f>
        <v>#N/A</v>
      </c>
      <c r="G13" s="743" t="e">
        <f>IF(AH13=0,"",AD13)</f>
        <v>#N/A</v>
      </c>
      <c r="H13" s="743" t="e">
        <f>IF(AH13=0,"",AB13)</f>
        <v>#N/A</v>
      </c>
      <c r="I13" s="756" t="e">
        <f>IF(AH13=0,"",AE13)</f>
        <v>#N/A</v>
      </c>
      <c r="J13" s="802"/>
      <c r="K13" s="806" t="s">
        <v>7</v>
      </c>
      <c r="L13" s="804" t="s">
        <v>0</v>
      </c>
      <c r="M13" s="1130" t="str">
        <f t="shared" si="5"/>
        <v>POZOSTAŁY</v>
      </c>
      <c r="N13" s="745">
        <f>IF(PreStatusKliUproszcz="STAŁY",14%,0)+IF(PreStatusKliUproszcz="POZOSTAŁY",15%,0)</f>
        <v>0.15</v>
      </c>
      <c r="O13" s="745">
        <f>IF(PreStatusKliUproszcz="STAŁY",3%,0)+IF(PreStatusKliUproszcz="POZOSTAŁY",5%,0)</f>
        <v>0.05</v>
      </c>
      <c r="P13" s="745">
        <f t="shared" si="17"/>
        <v>2.7000000000000001E-3</v>
      </c>
      <c r="Q13" s="732">
        <v>84</v>
      </c>
      <c r="R13" s="730" t="s">
        <v>163</v>
      </c>
      <c r="S13" s="754">
        <f t="shared" si="18"/>
        <v>1</v>
      </c>
      <c r="T13" s="731">
        <f>ROUNDDOWN(S13*(WskazZdolnosc*(((1+(N13/12))^Q13)-1))/((1+(N13/12))^Q13*(N13/12)),-2)</f>
        <v>31093300</v>
      </c>
      <c r="U13" s="1129" t="e">
        <f t="shared" si="19"/>
        <v>#N/A</v>
      </c>
      <c r="V13" s="733" t="e">
        <f>WDochNETTO*U13</f>
        <v>#N/A</v>
      </c>
      <c r="W13" s="733" t="e">
        <f>MAX(0,V13-$C$8)</f>
        <v>#N/A</v>
      </c>
      <c r="X13" s="733" t="e">
        <f>MAX(MIN(T13,W13),0)</f>
        <v>#N/A</v>
      </c>
      <c r="Y13" s="739">
        <v>1000</v>
      </c>
      <c r="Z13" s="739">
        <v>20000</v>
      </c>
      <c r="AA13" s="739">
        <v>20000</v>
      </c>
      <c r="AB13" s="733" t="e">
        <f>IF(X13&gt;=Y13,MIN(X13,AA13),0)</f>
        <v>#N/A</v>
      </c>
      <c r="AC13" s="734" t="e">
        <f>IF(AB13&gt;0,1,0)</f>
        <v>#N/A</v>
      </c>
      <c r="AD13" s="731" t="e">
        <f>ROUNDDOWN(AB13*((1-Q13*P13)-(1+Q13*P13*0)*O13),0)</f>
        <v>#N/A</v>
      </c>
      <c r="AE13" s="733" t="e">
        <f>(AB13*(N13/12))/(1-(1+(N13/12))^(-Q13))</f>
        <v>#N/A</v>
      </c>
      <c r="AF13" s="740">
        <v>800</v>
      </c>
      <c r="AG13" s="734">
        <f>IF(WDochNETTO&gt;=AF13,1,0)</f>
        <v>1</v>
      </c>
      <c r="AH13" s="734" t="e">
        <f>AC13*AG13</f>
        <v>#N/A</v>
      </c>
      <c r="AI13" s="720"/>
      <c r="AJ13" s="720"/>
    </row>
    <row r="14" spans="1:36" ht="17.5" customHeight="1" thickTop="1" thickBot="1" x14ac:dyDescent="0.35">
      <c r="A14" s="794" t="s">
        <v>174</v>
      </c>
      <c r="B14" s="797" t="e">
        <f t="shared" ref="B14:B19" si="21">IF(AH14=0,"",K14)</f>
        <v>#N/A</v>
      </c>
      <c r="C14" s="726" t="e">
        <f t="shared" si="15"/>
        <v>#N/A</v>
      </c>
      <c r="D14" s="748" t="e">
        <f t="shared" si="0"/>
        <v>#N/A</v>
      </c>
      <c r="E14" s="727" t="e">
        <f>IF(AH14=0,"",N14)</f>
        <v>#N/A</v>
      </c>
      <c r="F14" s="727" t="e">
        <f>IF(AH14=0,"",O14)</f>
        <v>#N/A</v>
      </c>
      <c r="G14" s="743" t="e">
        <f>IF(AH14=0,"",AD14)</f>
        <v>#N/A</v>
      </c>
      <c r="H14" s="743" t="e">
        <f>IF(AH14=0,"",AB14)</f>
        <v>#N/A</v>
      </c>
      <c r="I14" s="756" t="e">
        <f>IF(AH14=0,"",AE14)</f>
        <v>#N/A</v>
      </c>
      <c r="J14" s="802"/>
      <c r="K14" s="804" t="s">
        <v>3</v>
      </c>
      <c r="L14" s="804" t="s">
        <v>0</v>
      </c>
      <c r="M14" s="1130" t="str">
        <f t="shared" si="5"/>
        <v>POZOSTAŁY</v>
      </c>
      <c r="N14" s="745">
        <f>IF(PreStatusKliUproszcz="STAŁY",16%,0)+IF(PreStatusKliUproszcz="POZOSTAŁY",17%,0)</f>
        <v>0.17</v>
      </c>
      <c r="O14" s="745">
        <f>IF(PreStatusKliUproszcz="STAŁY",3%,0)+IF(PreStatusKliUproszcz="POZOSTAŁY",5%,0)</f>
        <v>0.05</v>
      </c>
      <c r="P14" s="745">
        <f t="shared" si="17"/>
        <v>0</v>
      </c>
      <c r="Q14" s="732">
        <v>84</v>
      </c>
      <c r="R14" s="730" t="s">
        <v>163</v>
      </c>
      <c r="S14" s="754">
        <f t="shared" si="18"/>
        <v>1</v>
      </c>
      <c r="T14" s="731">
        <f>ROUNDDOWN(S14*(WskazZdolnosc*(((1+(N14/12))^Q14)-1))/((1+(N14/12))^Q14*(N14/12)),-2)</f>
        <v>29360200</v>
      </c>
      <c r="U14" s="1129" t="e">
        <f t="shared" si="19"/>
        <v>#N/A</v>
      </c>
      <c r="V14" s="733" t="e">
        <f>WDochNETTO*U14</f>
        <v>#N/A</v>
      </c>
      <c r="W14" s="733" t="e">
        <f>MAX(0,V14-$C$8)</f>
        <v>#N/A</v>
      </c>
      <c r="X14" s="733" t="e">
        <f>MAX(MIN(T14,W14),0)</f>
        <v>#N/A</v>
      </c>
      <c r="Y14" s="739">
        <v>1000</v>
      </c>
      <c r="Z14" s="739">
        <v>20000</v>
      </c>
      <c r="AA14" s="739">
        <v>20000</v>
      </c>
      <c r="AB14" s="733" t="e">
        <f>IF(X14&gt;=Y14,MIN(X14,AA14),0)</f>
        <v>#N/A</v>
      </c>
      <c r="AC14" s="734" t="e">
        <f>IF(AB14&gt;0,1,0)</f>
        <v>#N/A</v>
      </c>
      <c r="AD14" s="731" t="e">
        <f>ROUNDDOWN(AB14*((1-Q14*P14)-(1+Q14*P14*0)*O14),0)</f>
        <v>#N/A</v>
      </c>
      <c r="AE14" s="733" t="e">
        <f>(AB14*(N14/12))/(1-(1+(N14/12))^(-Q14))</f>
        <v>#N/A</v>
      </c>
      <c r="AF14" s="740">
        <v>800</v>
      </c>
      <c r="AG14" s="734">
        <f>IF(WDochNETTO&gt;=AF14,1,0)</f>
        <v>1</v>
      </c>
      <c r="AH14" s="734" t="e">
        <f>AC14*AG14</f>
        <v>#N/A</v>
      </c>
      <c r="AI14" s="720"/>
      <c r="AJ14" s="720"/>
    </row>
    <row r="15" spans="1:36" ht="17.5" customHeight="1" thickTop="1" thickBot="1" x14ac:dyDescent="0.35">
      <c r="A15" s="794" t="s">
        <v>174</v>
      </c>
      <c r="B15" s="797" t="e">
        <f t="shared" si="21"/>
        <v>#N/A</v>
      </c>
      <c r="C15" s="726" t="e">
        <f t="shared" si="15"/>
        <v>#N/A</v>
      </c>
      <c r="D15" s="748" t="e">
        <f t="shared" si="0"/>
        <v>#N/A</v>
      </c>
      <c r="E15" s="727" t="e">
        <f t="shared" si="1"/>
        <v>#N/A</v>
      </c>
      <c r="F15" s="727" t="e">
        <f t="shared" si="2"/>
        <v>#N/A</v>
      </c>
      <c r="G15" s="743" t="e">
        <f t="shared" si="3"/>
        <v>#N/A</v>
      </c>
      <c r="H15" s="743" t="e">
        <f t="shared" si="4"/>
        <v>#N/A</v>
      </c>
      <c r="I15" s="756" t="e">
        <f t="shared" si="16"/>
        <v>#N/A</v>
      </c>
      <c r="J15" s="802"/>
      <c r="K15" s="1460" t="s">
        <v>7</v>
      </c>
      <c r="L15" s="1461" t="s">
        <v>185</v>
      </c>
      <c r="M15" s="1130" t="str">
        <f t="shared" si="5"/>
        <v>POZOSTAŁY</v>
      </c>
      <c r="N15" s="1463">
        <v>0.123</v>
      </c>
      <c r="O15" s="747">
        <v>0</v>
      </c>
      <c r="P15" s="745">
        <f t="shared" si="17"/>
        <v>2.7000000000000001E-3</v>
      </c>
      <c r="Q15" s="757">
        <v>96</v>
      </c>
      <c r="R15" s="730" t="s">
        <v>163</v>
      </c>
      <c r="S15" s="754">
        <f t="shared" si="18"/>
        <v>1</v>
      </c>
      <c r="T15" s="731">
        <f t="shared" si="6"/>
        <v>36544900</v>
      </c>
      <c r="U15" s="1129" t="e">
        <f t="shared" si="19"/>
        <v>#N/A</v>
      </c>
      <c r="V15" s="733" t="e">
        <f t="shared" si="7"/>
        <v>#N/A</v>
      </c>
      <c r="W15" s="733" t="e">
        <f t="shared" si="8"/>
        <v>#N/A</v>
      </c>
      <c r="X15" s="733" t="e">
        <f t="shared" si="9"/>
        <v>#N/A</v>
      </c>
      <c r="Y15" s="1462">
        <v>20000</v>
      </c>
      <c r="Z15" s="1462">
        <v>50000</v>
      </c>
      <c r="AA15" s="833">
        <f t="shared" si="10"/>
        <v>60000</v>
      </c>
      <c r="AB15" s="733" t="e">
        <f t="shared" si="11"/>
        <v>#N/A</v>
      </c>
      <c r="AC15" s="734" t="e">
        <f t="shared" si="20"/>
        <v>#N/A</v>
      </c>
      <c r="AD15" s="731" t="e">
        <f t="shared" si="12"/>
        <v>#N/A</v>
      </c>
      <c r="AE15" s="733" t="e">
        <f t="shared" si="13"/>
        <v>#N/A</v>
      </c>
      <c r="AF15" s="740">
        <v>2000</v>
      </c>
      <c r="AG15" s="734">
        <f t="shared" si="14"/>
        <v>1</v>
      </c>
      <c r="AH15" s="734" t="e">
        <f t="shared" ref="AH15:AH19" si="22">AC15*AG15</f>
        <v>#N/A</v>
      </c>
      <c r="AI15" s="720"/>
      <c r="AJ15" s="720"/>
    </row>
    <row r="16" spans="1:36" ht="17.5" hidden="1" customHeight="1" thickTop="1" thickBot="1" x14ac:dyDescent="0.35">
      <c r="A16" s="794" t="s">
        <v>174</v>
      </c>
      <c r="B16" s="797" t="e">
        <f t="shared" si="21"/>
        <v>#DIV/0!</v>
      </c>
      <c r="C16" s="726" t="e">
        <f t="shared" si="15"/>
        <v>#DIV/0!</v>
      </c>
      <c r="D16" s="748" t="e">
        <f t="shared" si="0"/>
        <v>#DIV/0!</v>
      </c>
      <c r="E16" s="727" t="e">
        <f t="shared" si="1"/>
        <v>#DIV/0!</v>
      </c>
      <c r="F16" s="727" t="e">
        <f t="shared" si="2"/>
        <v>#DIV/0!</v>
      </c>
      <c r="G16" s="743" t="e">
        <f t="shared" si="3"/>
        <v>#DIV/0!</v>
      </c>
      <c r="H16" s="743" t="e">
        <f t="shared" si="4"/>
        <v>#DIV/0!</v>
      </c>
      <c r="I16" s="756" t="e">
        <f t="shared" si="16"/>
        <v>#DIV/0!</v>
      </c>
      <c r="J16" s="802"/>
      <c r="K16" s="804" t="s">
        <v>3</v>
      </c>
      <c r="L16" s="804" t="s">
        <v>185</v>
      </c>
      <c r="M16" s="1130" t="str">
        <f t="shared" si="5"/>
        <v>POZOSTAŁY</v>
      </c>
      <c r="N16" s="729"/>
      <c r="O16" s="747">
        <v>0</v>
      </c>
      <c r="P16" s="745">
        <f t="shared" si="17"/>
        <v>0</v>
      </c>
      <c r="Q16" s="757">
        <v>96</v>
      </c>
      <c r="R16" s="730" t="s">
        <v>163</v>
      </c>
      <c r="S16" s="754">
        <f t="shared" si="18"/>
        <v>1</v>
      </c>
      <c r="T16" s="731" t="e">
        <f t="shared" si="6"/>
        <v>#DIV/0!</v>
      </c>
      <c r="U16" s="1129" t="e">
        <f t="shared" si="19"/>
        <v>#N/A</v>
      </c>
      <c r="V16" s="733" t="e">
        <f t="shared" si="7"/>
        <v>#N/A</v>
      </c>
      <c r="W16" s="733" t="e">
        <f t="shared" si="8"/>
        <v>#N/A</v>
      </c>
      <c r="X16" s="733" t="e">
        <f t="shared" si="9"/>
        <v>#DIV/0!</v>
      </c>
      <c r="Y16" s="739">
        <v>20000</v>
      </c>
      <c r="Z16" s="890">
        <v>50000</v>
      </c>
      <c r="AA16" s="833">
        <f t="shared" si="10"/>
        <v>60000</v>
      </c>
      <c r="AB16" s="733" t="e">
        <f t="shared" si="11"/>
        <v>#DIV/0!</v>
      </c>
      <c r="AC16" s="734" t="e">
        <f t="shared" si="20"/>
        <v>#DIV/0!</v>
      </c>
      <c r="AD16" s="731" t="e">
        <f t="shared" si="12"/>
        <v>#DIV/0!</v>
      </c>
      <c r="AE16" s="733" t="e">
        <f t="shared" si="13"/>
        <v>#DIV/0!</v>
      </c>
      <c r="AF16" s="740">
        <v>2000</v>
      </c>
      <c r="AG16" s="734">
        <f t="shared" si="14"/>
        <v>1</v>
      </c>
      <c r="AH16" s="734" t="e">
        <f t="shared" si="22"/>
        <v>#DIV/0!</v>
      </c>
      <c r="AI16" s="720"/>
      <c r="AJ16" s="720"/>
    </row>
    <row r="17" spans="1:36" s="810" customFormat="1" ht="17.5" hidden="1" customHeight="1" thickTop="1" thickBot="1" x14ac:dyDescent="0.35">
      <c r="A17" s="808" t="s">
        <v>174</v>
      </c>
      <c r="B17" s="797" t="e">
        <f t="shared" ref="B17" si="23">IF(AH17=0,"",K17)</f>
        <v>#N/A</v>
      </c>
      <c r="C17" s="726" t="e">
        <f t="shared" ref="C17" si="24">IF(AH17=0,"",L17)</f>
        <v>#N/A</v>
      </c>
      <c r="D17" s="748" t="e">
        <f t="shared" ref="D17" si="25">IF(AH17=0,"",Q17)</f>
        <v>#N/A</v>
      </c>
      <c r="E17" s="727" t="e">
        <f t="shared" ref="E17" si="26">IF(AH17=0,"",N17)</f>
        <v>#N/A</v>
      </c>
      <c r="F17" s="727" t="e">
        <f t="shared" ref="F17" si="27">IF(AH17=0,"",O17)</f>
        <v>#N/A</v>
      </c>
      <c r="G17" s="743" t="e">
        <f t="shared" ref="G17" si="28">IF(AH17=0,"",AD17)</f>
        <v>#N/A</v>
      </c>
      <c r="H17" s="743" t="e">
        <f t="shared" ref="H17" si="29">IF(AH17=0,"",AB17)</f>
        <v>#N/A</v>
      </c>
      <c r="I17" s="756" t="e">
        <f t="shared" ref="I17" si="30">IF(AH17=0,"",AE17)</f>
        <v>#N/A</v>
      </c>
      <c r="J17" s="809"/>
      <c r="K17" s="1460" t="s">
        <v>7</v>
      </c>
      <c r="L17" s="1461" t="s">
        <v>185</v>
      </c>
      <c r="M17" s="1130" t="str">
        <f t="shared" si="5"/>
        <v>POZOSTAŁY</v>
      </c>
      <c r="N17" s="1463">
        <v>0.11799999999999999</v>
      </c>
      <c r="O17" s="747">
        <v>0</v>
      </c>
      <c r="P17" s="745">
        <f t="shared" si="17"/>
        <v>2.7000000000000001E-3</v>
      </c>
      <c r="Q17" s="757">
        <v>96</v>
      </c>
      <c r="R17" s="730" t="s">
        <v>163</v>
      </c>
      <c r="S17" s="754">
        <f t="shared" si="18"/>
        <v>1</v>
      </c>
      <c r="T17" s="731">
        <f t="shared" si="6"/>
        <v>37167400</v>
      </c>
      <c r="U17" s="1129" t="e">
        <f t="shared" si="19"/>
        <v>#N/A</v>
      </c>
      <c r="V17" s="733" t="e">
        <f t="shared" si="7"/>
        <v>#N/A</v>
      </c>
      <c r="W17" s="733" t="e">
        <f t="shared" si="8"/>
        <v>#N/A</v>
      </c>
      <c r="X17" s="733" t="e">
        <f t="shared" si="9"/>
        <v>#N/A</v>
      </c>
      <c r="Y17" s="1462">
        <v>50000</v>
      </c>
      <c r="Z17" s="1462">
        <v>100000</v>
      </c>
      <c r="AA17" s="739">
        <v>100000</v>
      </c>
      <c r="AB17" s="733" t="e">
        <f t="shared" si="11"/>
        <v>#N/A</v>
      </c>
      <c r="AC17" s="734" t="e">
        <f t="shared" si="20"/>
        <v>#N/A</v>
      </c>
      <c r="AD17" s="731" t="e">
        <f t="shared" si="12"/>
        <v>#N/A</v>
      </c>
      <c r="AE17" s="733" t="e">
        <f t="shared" si="13"/>
        <v>#N/A</v>
      </c>
      <c r="AF17" s="740">
        <v>2000</v>
      </c>
      <c r="AG17" s="734">
        <f t="shared" si="14"/>
        <v>1</v>
      </c>
      <c r="AH17" s="734" t="e">
        <f t="shared" si="22"/>
        <v>#N/A</v>
      </c>
      <c r="AI17" s="728"/>
      <c r="AJ17" s="752"/>
    </row>
    <row r="18" spans="1:36" ht="17.5" hidden="1" customHeight="1" thickTop="1" thickBot="1" x14ac:dyDescent="0.35">
      <c r="A18" s="794" t="s">
        <v>174</v>
      </c>
      <c r="B18" s="797" t="e">
        <f t="shared" si="21"/>
        <v>#DIV/0!</v>
      </c>
      <c r="C18" s="726" t="e">
        <f t="shared" si="15"/>
        <v>#DIV/0!</v>
      </c>
      <c r="D18" s="748" t="e">
        <f t="shared" si="0"/>
        <v>#DIV/0!</v>
      </c>
      <c r="E18" s="727" t="e">
        <f t="shared" si="1"/>
        <v>#DIV/0!</v>
      </c>
      <c r="F18" s="727" t="e">
        <f t="shared" si="2"/>
        <v>#DIV/0!</v>
      </c>
      <c r="G18" s="743" t="e">
        <f t="shared" si="3"/>
        <v>#DIV/0!</v>
      </c>
      <c r="H18" s="743" t="e">
        <f t="shared" si="4"/>
        <v>#DIV/0!</v>
      </c>
      <c r="I18" s="756" t="e">
        <f t="shared" si="16"/>
        <v>#DIV/0!</v>
      </c>
      <c r="J18" s="802"/>
      <c r="K18" s="804" t="s">
        <v>3</v>
      </c>
      <c r="L18" s="804" t="s">
        <v>185</v>
      </c>
      <c r="M18" s="1130" t="str">
        <f t="shared" ref="M18:M24" si="31">PreStatusKliUproszcz</f>
        <v>POZOSTAŁY</v>
      </c>
      <c r="N18" s="729"/>
      <c r="O18" s="747">
        <v>0</v>
      </c>
      <c r="P18" s="745">
        <f t="shared" si="17"/>
        <v>0</v>
      </c>
      <c r="Q18" s="757">
        <v>96</v>
      </c>
      <c r="R18" s="730" t="s">
        <v>163</v>
      </c>
      <c r="S18" s="754">
        <f t="shared" si="18"/>
        <v>1</v>
      </c>
      <c r="T18" s="731" t="e">
        <f t="shared" si="6"/>
        <v>#DIV/0!</v>
      </c>
      <c r="U18" s="1129" t="e">
        <f t="shared" ref="U18:U24" si="32">VLOOKUP(PreStatusKli,$U$2:$V$6,2,)</f>
        <v>#N/A</v>
      </c>
      <c r="V18" s="733" t="e">
        <f t="shared" si="7"/>
        <v>#N/A</v>
      </c>
      <c r="W18" s="733" t="e">
        <f t="shared" si="8"/>
        <v>#N/A</v>
      </c>
      <c r="X18" s="733" t="e">
        <f t="shared" si="9"/>
        <v>#DIV/0!</v>
      </c>
      <c r="Y18" s="739">
        <v>50000.01</v>
      </c>
      <c r="Z18" s="890">
        <v>100000</v>
      </c>
      <c r="AA18" s="739">
        <v>100000</v>
      </c>
      <c r="AB18" s="733" t="e">
        <f t="shared" si="11"/>
        <v>#DIV/0!</v>
      </c>
      <c r="AC18" s="734" t="e">
        <f t="shared" si="20"/>
        <v>#DIV/0!</v>
      </c>
      <c r="AD18" s="731" t="e">
        <f t="shared" si="12"/>
        <v>#DIV/0!</v>
      </c>
      <c r="AE18" s="733" t="e">
        <f t="shared" si="13"/>
        <v>#DIV/0!</v>
      </c>
      <c r="AF18" s="740">
        <v>2000</v>
      </c>
      <c r="AG18" s="734">
        <f t="shared" si="14"/>
        <v>1</v>
      </c>
      <c r="AH18" s="734" t="e">
        <f t="shared" si="22"/>
        <v>#DIV/0!</v>
      </c>
      <c r="AI18" s="720"/>
      <c r="AJ18" s="720"/>
    </row>
    <row r="19" spans="1:36" ht="17.5" hidden="1" customHeight="1" thickTop="1" thickBot="1" x14ac:dyDescent="0.35">
      <c r="A19" s="892" t="s">
        <v>174</v>
      </c>
      <c r="B19" s="893" t="e">
        <f t="shared" si="21"/>
        <v>#N/A</v>
      </c>
      <c r="C19" s="894" t="e">
        <f t="shared" si="15"/>
        <v>#N/A</v>
      </c>
      <c r="D19" s="895" t="e">
        <f t="shared" si="0"/>
        <v>#N/A</v>
      </c>
      <c r="E19" s="896" t="e">
        <f t="shared" si="1"/>
        <v>#N/A</v>
      </c>
      <c r="F19" s="896" t="e">
        <f t="shared" si="2"/>
        <v>#N/A</v>
      </c>
      <c r="G19" s="897" t="e">
        <f t="shared" si="3"/>
        <v>#N/A</v>
      </c>
      <c r="H19" s="897" t="e">
        <f t="shared" si="4"/>
        <v>#N/A</v>
      </c>
      <c r="I19" s="898" t="e">
        <f t="shared" si="16"/>
        <v>#N/A</v>
      </c>
      <c r="J19" s="802"/>
      <c r="K19" s="806" t="s">
        <v>7</v>
      </c>
      <c r="L19" s="805" t="s">
        <v>2164</v>
      </c>
      <c r="M19" s="1130" t="str">
        <f t="shared" si="31"/>
        <v>POZOSTAŁY</v>
      </c>
      <c r="N19" s="729">
        <v>0.14000000000000001</v>
      </c>
      <c r="O19" s="747">
        <v>0</v>
      </c>
      <c r="P19" s="745">
        <f t="shared" si="17"/>
        <v>2.7000000000000001E-3</v>
      </c>
      <c r="Q19" s="732">
        <v>84</v>
      </c>
      <c r="R19" s="730" t="s">
        <v>163</v>
      </c>
      <c r="S19" s="754">
        <f t="shared" si="18"/>
        <v>1</v>
      </c>
      <c r="T19" s="731">
        <f t="shared" si="6"/>
        <v>32017000</v>
      </c>
      <c r="U19" s="1129" t="e">
        <f t="shared" si="32"/>
        <v>#N/A</v>
      </c>
      <c r="V19" s="733" t="e">
        <f t="shared" si="7"/>
        <v>#N/A</v>
      </c>
      <c r="W19" s="733" t="e">
        <f t="shared" si="8"/>
        <v>#N/A</v>
      </c>
      <c r="X19" s="733" t="e">
        <f t="shared" si="9"/>
        <v>#N/A</v>
      </c>
      <c r="Y19" s="739">
        <v>5000</v>
      </c>
      <c r="Z19" s="890">
        <v>15000</v>
      </c>
      <c r="AA19" s="739">
        <v>15000</v>
      </c>
      <c r="AB19" s="733" t="e">
        <f t="shared" si="11"/>
        <v>#N/A</v>
      </c>
      <c r="AC19" s="734" t="e">
        <f t="shared" si="20"/>
        <v>#N/A</v>
      </c>
      <c r="AD19" s="838" t="e">
        <f>ROUND(AB19*((1-Q19*P19)-(1+Q19*P19*0)*O19),0)</f>
        <v>#N/A</v>
      </c>
      <c r="AE19" s="733" t="e">
        <f>(AB19*(N19/12))/(1-(1+(N19/12))^(-Q19))</f>
        <v>#N/A</v>
      </c>
      <c r="AF19" s="740">
        <v>900</v>
      </c>
      <c r="AG19" s="734">
        <f t="shared" si="14"/>
        <v>1</v>
      </c>
      <c r="AH19" s="734" t="e">
        <f t="shared" si="22"/>
        <v>#N/A</v>
      </c>
      <c r="AI19" s="720"/>
      <c r="AJ19" s="720"/>
    </row>
    <row r="20" spans="1:36" ht="17.5" hidden="1" customHeight="1" thickTop="1" thickBot="1" x14ac:dyDescent="0.35">
      <c r="A20" s="892" t="s">
        <v>174</v>
      </c>
      <c r="B20" s="893" t="e">
        <f t="shared" ref="B20:B22" si="33">IF(AH20=0,"",K20)</f>
        <v>#N/A</v>
      </c>
      <c r="C20" s="894" t="e">
        <f t="shared" ref="C20:C22" si="34">IF(AH20=0,"",L20)</f>
        <v>#N/A</v>
      </c>
      <c r="D20" s="895" t="e">
        <f t="shared" ref="D20:D22" si="35">IF(AH20=0,"",Q20)</f>
        <v>#N/A</v>
      </c>
      <c r="E20" s="896" t="e">
        <f t="shared" ref="E20:E22" si="36">IF(AH20=0,"",N20)</f>
        <v>#N/A</v>
      </c>
      <c r="F20" s="896" t="e">
        <f t="shared" ref="F20:F22" si="37">IF(AH20=0,"",O20)</f>
        <v>#N/A</v>
      </c>
      <c r="G20" s="897" t="e">
        <f t="shared" ref="G20:G22" si="38">IF(AH20=0,"",AD20)</f>
        <v>#N/A</v>
      </c>
      <c r="H20" s="897" t="e">
        <f t="shared" ref="H20:H22" si="39">IF(AH20=0,"",AB20)</f>
        <v>#N/A</v>
      </c>
      <c r="I20" s="898" t="e">
        <f t="shared" ref="I20:I22" si="40">IF(AH20=0,"",AE20)</f>
        <v>#N/A</v>
      </c>
      <c r="K20" s="804" t="s">
        <v>3</v>
      </c>
      <c r="L20" s="805" t="s">
        <v>2164</v>
      </c>
      <c r="M20" s="1130" t="str">
        <f t="shared" si="31"/>
        <v>POZOSTAŁY</v>
      </c>
      <c r="N20" s="729">
        <v>0.16</v>
      </c>
      <c r="O20" s="747">
        <v>0</v>
      </c>
      <c r="P20" s="745">
        <f t="shared" si="17"/>
        <v>0</v>
      </c>
      <c r="Q20" s="732">
        <v>84</v>
      </c>
      <c r="R20" s="730" t="s">
        <v>163</v>
      </c>
      <c r="S20" s="754">
        <f t="shared" si="18"/>
        <v>1</v>
      </c>
      <c r="T20" s="731">
        <f t="shared" si="6"/>
        <v>30208300</v>
      </c>
      <c r="U20" s="1129" t="e">
        <f t="shared" si="32"/>
        <v>#N/A</v>
      </c>
      <c r="V20" s="733" t="e">
        <f t="shared" si="7"/>
        <v>#N/A</v>
      </c>
      <c r="W20" s="733" t="e">
        <f t="shared" si="8"/>
        <v>#N/A</v>
      </c>
      <c r="X20" s="733" t="e">
        <f t="shared" si="9"/>
        <v>#N/A</v>
      </c>
      <c r="Y20" s="739">
        <v>5000</v>
      </c>
      <c r="Z20" s="890">
        <v>15000</v>
      </c>
      <c r="AA20" s="739">
        <v>15000</v>
      </c>
      <c r="AB20" s="733" t="e">
        <f t="shared" si="11"/>
        <v>#N/A</v>
      </c>
      <c r="AC20" s="734" t="e">
        <f t="shared" si="20"/>
        <v>#N/A</v>
      </c>
      <c r="AD20" s="731" t="e">
        <f t="shared" ref="AD20:AD22" si="41">ROUNDDOWN(AB20*((1-Q20*P20)-(1+Q20*P20*0)*O20),0)</f>
        <v>#N/A</v>
      </c>
      <c r="AE20" s="733" t="e">
        <f t="shared" ref="AE20:AE22" si="42">(AB20*(N20/12))/(1-(1+(N20/12))^(-Q20))</f>
        <v>#N/A</v>
      </c>
      <c r="AF20" s="740">
        <v>900</v>
      </c>
      <c r="AG20" s="734">
        <f t="shared" ref="AG20:AG22" si="43">IF(WDochNETTO&gt;=AF20,1,0)</f>
        <v>1</v>
      </c>
      <c r="AH20" s="734" t="e">
        <f t="shared" ref="AH20:AH22" si="44">AC20*AG20</f>
        <v>#N/A</v>
      </c>
    </row>
    <row r="21" spans="1:36" ht="17.5" hidden="1" customHeight="1" thickTop="1" thickBot="1" x14ac:dyDescent="0.35">
      <c r="A21" s="794" t="s">
        <v>174</v>
      </c>
      <c r="B21" s="1200" t="e">
        <f t="shared" si="33"/>
        <v>#N/A</v>
      </c>
      <c r="C21" s="1201" t="e">
        <f t="shared" si="34"/>
        <v>#N/A</v>
      </c>
      <c r="D21" s="1202" t="e">
        <f t="shared" si="35"/>
        <v>#N/A</v>
      </c>
      <c r="E21" s="1203" t="e">
        <f t="shared" si="36"/>
        <v>#N/A</v>
      </c>
      <c r="F21" s="1203" t="e">
        <f t="shared" si="37"/>
        <v>#N/A</v>
      </c>
      <c r="G21" s="1204" t="e">
        <f t="shared" si="38"/>
        <v>#N/A</v>
      </c>
      <c r="H21" s="1204" t="e">
        <f t="shared" si="39"/>
        <v>#N/A</v>
      </c>
      <c r="I21" s="1205" t="e">
        <f t="shared" si="40"/>
        <v>#N/A</v>
      </c>
      <c r="K21" s="806" t="s">
        <v>7</v>
      </c>
      <c r="L21" s="804" t="s">
        <v>2120</v>
      </c>
      <c r="M21" s="1130" t="str">
        <f t="shared" si="31"/>
        <v>POZOSTAŁY</v>
      </c>
      <c r="N21" s="729">
        <v>0.14000000000000001</v>
      </c>
      <c r="O21" s="747">
        <v>0</v>
      </c>
      <c r="P21" s="745">
        <f t="shared" si="17"/>
        <v>2.7000000000000001E-3</v>
      </c>
      <c r="Q21" s="732">
        <v>84</v>
      </c>
      <c r="R21" s="730" t="s">
        <v>163</v>
      </c>
      <c r="S21" s="754">
        <f t="shared" si="18"/>
        <v>1</v>
      </c>
      <c r="T21" s="731">
        <f t="shared" si="6"/>
        <v>32017000</v>
      </c>
      <c r="U21" s="1129" t="e">
        <f t="shared" si="32"/>
        <v>#N/A</v>
      </c>
      <c r="V21" s="733" t="e">
        <f t="shared" si="7"/>
        <v>#N/A</v>
      </c>
      <c r="W21" s="733" t="e">
        <f t="shared" si="8"/>
        <v>#N/A</v>
      </c>
      <c r="X21" s="733" t="e">
        <f t="shared" si="9"/>
        <v>#N/A</v>
      </c>
      <c r="Y21" s="739">
        <v>1000</v>
      </c>
      <c r="Z21" s="890">
        <v>50000</v>
      </c>
      <c r="AA21" s="833">
        <f>IF(APLIKACJA="FrondEnd",50000,60000)</f>
        <v>60000</v>
      </c>
      <c r="AB21" s="733" t="e">
        <f t="shared" si="11"/>
        <v>#N/A</v>
      </c>
      <c r="AC21" s="734" t="e">
        <f t="shared" si="20"/>
        <v>#N/A</v>
      </c>
      <c r="AD21" s="731" t="e">
        <f t="shared" si="41"/>
        <v>#N/A</v>
      </c>
      <c r="AE21" s="733" t="e">
        <f t="shared" si="42"/>
        <v>#N/A</v>
      </c>
      <c r="AF21" s="740">
        <v>800</v>
      </c>
      <c r="AG21" s="734">
        <f t="shared" si="43"/>
        <v>1</v>
      </c>
      <c r="AH21" s="734" t="e">
        <f t="shared" si="44"/>
        <v>#N/A</v>
      </c>
    </row>
    <row r="22" spans="1:36" ht="17.5" hidden="1" customHeight="1" thickTop="1" thickBot="1" x14ac:dyDescent="0.35">
      <c r="A22" s="794" t="s">
        <v>174</v>
      </c>
      <c r="B22" s="1200" t="e">
        <f t="shared" si="33"/>
        <v>#N/A</v>
      </c>
      <c r="C22" s="1201" t="e">
        <f t="shared" si="34"/>
        <v>#N/A</v>
      </c>
      <c r="D22" s="1202" t="e">
        <f t="shared" si="35"/>
        <v>#N/A</v>
      </c>
      <c r="E22" s="1203" t="e">
        <f t="shared" si="36"/>
        <v>#N/A</v>
      </c>
      <c r="F22" s="1203" t="e">
        <f t="shared" si="37"/>
        <v>#N/A</v>
      </c>
      <c r="G22" s="1204" t="e">
        <f t="shared" si="38"/>
        <v>#N/A</v>
      </c>
      <c r="H22" s="1204" t="e">
        <f t="shared" si="39"/>
        <v>#N/A</v>
      </c>
      <c r="I22" s="1205" t="e">
        <f t="shared" si="40"/>
        <v>#N/A</v>
      </c>
      <c r="K22" s="804" t="s">
        <v>3</v>
      </c>
      <c r="L22" s="804" t="s">
        <v>2120</v>
      </c>
      <c r="M22" s="1130" t="str">
        <f t="shared" si="31"/>
        <v>POZOSTAŁY</v>
      </c>
      <c r="N22" s="729">
        <v>0.16</v>
      </c>
      <c r="O22" s="747">
        <v>0</v>
      </c>
      <c r="P22" s="745">
        <f t="shared" si="17"/>
        <v>0</v>
      </c>
      <c r="Q22" s="732">
        <v>84</v>
      </c>
      <c r="R22" s="730" t="s">
        <v>163</v>
      </c>
      <c r="S22" s="754">
        <f t="shared" si="18"/>
        <v>1</v>
      </c>
      <c r="T22" s="731">
        <f t="shared" si="6"/>
        <v>30208300</v>
      </c>
      <c r="U22" s="1129" t="e">
        <f t="shared" si="32"/>
        <v>#N/A</v>
      </c>
      <c r="V22" s="733" t="e">
        <f t="shared" si="7"/>
        <v>#N/A</v>
      </c>
      <c r="W22" s="733" t="e">
        <f t="shared" si="8"/>
        <v>#N/A</v>
      </c>
      <c r="X22" s="733" t="e">
        <f t="shared" si="9"/>
        <v>#N/A</v>
      </c>
      <c r="Y22" s="739">
        <v>1000</v>
      </c>
      <c r="Z22" s="890">
        <v>50000</v>
      </c>
      <c r="AA22" s="833">
        <f>IF(APLIKACJA="FrondEnd",50000,60000)</f>
        <v>60000</v>
      </c>
      <c r="AB22" s="733" t="e">
        <f t="shared" si="11"/>
        <v>#N/A</v>
      </c>
      <c r="AC22" s="734" t="e">
        <f t="shared" si="20"/>
        <v>#N/A</v>
      </c>
      <c r="AD22" s="731" t="e">
        <f t="shared" si="41"/>
        <v>#N/A</v>
      </c>
      <c r="AE22" s="733" t="e">
        <f t="shared" si="42"/>
        <v>#N/A</v>
      </c>
      <c r="AF22" s="740">
        <v>800</v>
      </c>
      <c r="AG22" s="734">
        <f t="shared" si="43"/>
        <v>1</v>
      </c>
      <c r="AH22" s="734" t="e">
        <f t="shared" si="44"/>
        <v>#N/A</v>
      </c>
    </row>
    <row r="23" spans="1:36" ht="17.5" hidden="1" customHeight="1" thickTop="1" thickBot="1" x14ac:dyDescent="0.35">
      <c r="A23" s="794" t="s">
        <v>174</v>
      </c>
      <c r="B23" s="893" t="e">
        <f t="shared" ref="B23" si="45">IF(AH23=0,"",K23)</f>
        <v>#N/A</v>
      </c>
      <c r="C23" s="894" t="e">
        <f t="shared" ref="C23" si="46">IF(AH23=0,"",L23)</f>
        <v>#N/A</v>
      </c>
      <c r="D23" s="895" t="e">
        <f t="shared" ref="D23" si="47">IF(AH23=0,"",Q23)</f>
        <v>#N/A</v>
      </c>
      <c r="E23" s="896" t="e">
        <f t="shared" ref="E23" si="48">IF(AH23=0,"",N23)</f>
        <v>#N/A</v>
      </c>
      <c r="F23" s="896" t="e">
        <f t="shared" ref="F23" si="49">IF(AH23=0,"",O23)</f>
        <v>#N/A</v>
      </c>
      <c r="G23" s="897" t="e">
        <f t="shared" ref="G23" si="50">IF(AH23=0,"",AD23)</f>
        <v>#N/A</v>
      </c>
      <c r="H23" s="897" t="e">
        <f t="shared" ref="H23" si="51">IF(AH23=0,"",AB23)</f>
        <v>#N/A</v>
      </c>
      <c r="I23" s="898" t="e">
        <f t="shared" ref="I23" si="52">IF(AH23=0,"",AE23)</f>
        <v>#N/A</v>
      </c>
      <c r="K23" s="806" t="s">
        <v>7</v>
      </c>
      <c r="L23" s="806" t="s">
        <v>2048</v>
      </c>
      <c r="M23" s="1130" t="str">
        <f t="shared" si="31"/>
        <v>POZOSTAŁY</v>
      </c>
      <c r="N23" s="729">
        <v>0.12</v>
      </c>
      <c r="O23" s="747">
        <v>0</v>
      </c>
      <c r="P23" s="747">
        <v>0</v>
      </c>
      <c r="Q23" s="732">
        <v>84</v>
      </c>
      <c r="R23" s="730" t="s">
        <v>163</v>
      </c>
      <c r="S23" s="754">
        <f t="shared" si="18"/>
        <v>1</v>
      </c>
      <c r="T23" s="731">
        <f t="shared" ref="T23" si="53">ROUNDDOWN(S23*(WskazZdolnosc*(((1+(N23/12))^Q23)-1))/((1+(N23/12))^Q23*(N23/12)),-2)</f>
        <v>33989000</v>
      </c>
      <c r="U23" s="1129" t="e">
        <f t="shared" si="32"/>
        <v>#N/A</v>
      </c>
      <c r="V23" s="733" t="e">
        <f t="shared" ref="V23" si="54">WDochNETTO*U23</f>
        <v>#N/A</v>
      </c>
      <c r="W23" s="733" t="e">
        <f t="shared" ref="W23" si="55">MAX(0,V23-$C$8)</f>
        <v>#N/A</v>
      </c>
      <c r="X23" s="733" t="e">
        <f t="shared" ref="X23" si="56">MAX(MIN(T23,W23),0)</f>
        <v>#N/A</v>
      </c>
      <c r="Y23" s="739">
        <v>5000</v>
      </c>
      <c r="Z23" s="890">
        <v>5000</v>
      </c>
      <c r="AA23" s="739">
        <v>5000</v>
      </c>
      <c r="AB23" s="733" t="e">
        <f t="shared" ref="AB23" si="57">IF(X23&gt;=Y23,MIN(X23,AA23),0)</f>
        <v>#N/A</v>
      </c>
      <c r="AC23" s="734" t="e">
        <f t="shared" ref="AC23" si="58">IF(AB23&gt;0,1,0)</f>
        <v>#N/A</v>
      </c>
      <c r="AD23" s="838" t="e">
        <f>ROUND(AB23*((1-Q23*P23)-(1+Q23*P23*0)*O23),0)</f>
        <v>#N/A</v>
      </c>
      <c r="AE23" s="733" t="e">
        <f t="shared" ref="AE23" si="59">(AB23*(N23/12))/(1-(1+(N23/12))^(-Q23))</f>
        <v>#N/A</v>
      </c>
      <c r="AF23" s="740">
        <v>800</v>
      </c>
      <c r="AG23" s="734">
        <f t="shared" ref="AG23" si="60">IF(WDochNETTO&gt;=AF23,1,0)</f>
        <v>1</v>
      </c>
      <c r="AH23" s="734" t="e">
        <f t="shared" ref="AH23" si="61">AC23*AG23</f>
        <v>#N/A</v>
      </c>
    </row>
    <row r="24" spans="1:36" ht="17.5" hidden="1" customHeight="1" thickTop="1" thickBot="1" x14ac:dyDescent="0.35">
      <c r="A24" s="794" t="s">
        <v>174</v>
      </c>
      <c r="B24" s="893" t="str">
        <f t="shared" ref="B24" si="62">IF(AH24=0,"",K24)</f>
        <v/>
      </c>
      <c r="C24" s="894" t="str">
        <f t="shared" ref="C24" si="63">IF(AH24=0,"",L24)</f>
        <v/>
      </c>
      <c r="D24" s="895" t="str">
        <f t="shared" ref="D24" si="64">IF(AH24=0,"",Q24)</f>
        <v/>
      </c>
      <c r="E24" s="896" t="str">
        <f t="shared" ref="E24" si="65">IF(AH24=0,"",N24)</f>
        <v/>
      </c>
      <c r="F24" s="896" t="str">
        <f t="shared" ref="F24" si="66">IF(AH24=0,"",O24)</f>
        <v/>
      </c>
      <c r="G24" s="897" t="str">
        <f t="shared" ref="G24" si="67">IF(AH24=0,"",AD24)</f>
        <v/>
      </c>
      <c r="H24" s="897" t="str">
        <f t="shared" ref="H24" si="68">IF(AH24=0,"",AB24)</f>
        <v/>
      </c>
      <c r="I24" s="898" t="str">
        <f t="shared" ref="I24" si="69">IF(AH24=0,"",AE24)</f>
        <v/>
      </c>
      <c r="K24" s="804"/>
      <c r="L24" s="804"/>
      <c r="M24" s="1130" t="str">
        <f t="shared" si="31"/>
        <v>POZOSTAŁY</v>
      </c>
      <c r="N24" s="729"/>
      <c r="O24" s="747"/>
      <c r="P24" s="745">
        <f t="shared" ref="P24" si="70">IF(K24="BEZ UBEZPIECZENIA",0,0.27%)</f>
        <v>2.7000000000000001E-3</v>
      </c>
      <c r="Q24" s="732">
        <v>84</v>
      </c>
      <c r="R24" s="730" t="s">
        <v>173</v>
      </c>
      <c r="S24" s="754">
        <f t="shared" ref="S24" si="71">1-0.0075</f>
        <v>0.99250000000000005</v>
      </c>
      <c r="T24" s="731" t="e">
        <f t="shared" ref="T24" si="72">ROUNDDOWN(S24*(WskazZdolnosc*(((1+(N24/12))^Q24)-1))/((1+(N24/12))^Q24*(N24/12)),-2)</f>
        <v>#DIV/0!</v>
      </c>
      <c r="U24" s="1129" t="e">
        <f t="shared" si="32"/>
        <v>#N/A</v>
      </c>
      <c r="V24" s="733" t="e">
        <f t="shared" ref="V24" si="73">WDochNETTO*U24</f>
        <v>#N/A</v>
      </c>
      <c r="W24" s="733" t="e">
        <f t="shared" ref="W24" si="74">MAX(0,V24-$C$8)</f>
        <v>#N/A</v>
      </c>
      <c r="X24" s="733" t="e">
        <f t="shared" ref="X24" si="75">MAX(MIN(T24,W24),0)</f>
        <v>#DIV/0!</v>
      </c>
      <c r="Y24" s="739">
        <v>5000</v>
      </c>
      <c r="Z24" s="890">
        <v>5000</v>
      </c>
      <c r="AA24" s="739">
        <v>5000</v>
      </c>
      <c r="AB24" s="733" t="e">
        <f t="shared" ref="AB24" si="76">IF(X24&gt;=Y24,MIN(X24,AA24),0)</f>
        <v>#DIV/0!</v>
      </c>
      <c r="AC24" s="734" t="e">
        <f t="shared" ref="AC24" si="77">IF(AB24&gt;0,1,0)</f>
        <v>#DIV/0!</v>
      </c>
      <c r="AD24" s="731" t="e">
        <f t="shared" ref="AD24" si="78">ROUNDDOWN(AB24*((1-Q24*P24)-(1+Q24*P24*0)*O24),0)</f>
        <v>#DIV/0!</v>
      </c>
      <c r="AE24" s="733" t="e">
        <f t="shared" ref="AE24" si="79">(AB24*(N24/12))/(1-(1+(N24/12))^(-Q24))</f>
        <v>#DIV/0!</v>
      </c>
      <c r="AF24" s="740">
        <v>800</v>
      </c>
      <c r="AG24" s="734">
        <f t="shared" ref="AG24" si="80">IF(WDochNETTO&gt;=AF24,1,0)</f>
        <v>1</v>
      </c>
      <c r="AH24" s="734">
        <v>0</v>
      </c>
      <c r="AI24" s="728" t="s">
        <v>2049</v>
      </c>
    </row>
    <row r="25" spans="1:36" ht="13.5" hidden="1" thickTop="1" x14ac:dyDescent="0.3"/>
    <row r="26" spans="1:36" ht="13.5" thickTop="1" x14ac:dyDescent="0.3"/>
    <row r="39" spans="11:11" x14ac:dyDescent="0.3">
      <c r="K39" s="812"/>
    </row>
    <row r="48" spans="11:11" ht="13.5" thickBot="1" x14ac:dyDescent="0.35"/>
    <row r="49" spans="1:1" ht="13.5" thickTop="1" x14ac:dyDescent="0.3">
      <c r="A49" s="791" t="s">
        <v>1881</v>
      </c>
    </row>
    <row r="50" spans="1:1" x14ac:dyDescent="0.3">
      <c r="A50" s="792" t="s">
        <v>174</v>
      </c>
    </row>
    <row r="51" spans="1:1" ht="13.5" thickBot="1" x14ac:dyDescent="0.35">
      <c r="A51" s="793" t="s">
        <v>1880</v>
      </c>
    </row>
    <row r="52" spans="1:1" ht="13.5" thickTop="1" x14ac:dyDescent="0.3"/>
  </sheetData>
  <sheetProtection sheet="1" objects="1" scenarios="1"/>
  <mergeCells count="1">
    <mergeCell ref="A2:A3"/>
  </mergeCells>
  <conditionalFormatting sqref="AG11:AG12 AG15:AG18">
    <cfRule type="colorScale" priority="16">
      <colorScale>
        <cfvo type="min"/>
        <cfvo type="percentile" val="50"/>
        <cfvo type="max"/>
        <color rgb="FFF8696B"/>
        <color rgb="FFFFEB84"/>
        <color rgb="FF63BE7B"/>
      </colorScale>
    </cfRule>
  </conditionalFormatting>
  <conditionalFormatting sqref="AH11:AH12 AH15:AH18">
    <cfRule type="colorScale" priority="15">
      <colorScale>
        <cfvo type="min"/>
        <cfvo type="percentile" val="50"/>
        <cfvo type="max"/>
        <color rgb="FFF8696B"/>
        <color rgb="FFFFEB84"/>
        <color rgb="FF63BE7B"/>
      </colorScale>
    </cfRule>
  </conditionalFormatting>
  <conditionalFormatting sqref="AC11:AC12 AC15:AC18">
    <cfRule type="colorScale" priority="14">
      <colorScale>
        <cfvo type="min"/>
        <cfvo type="percentile" val="50"/>
        <cfvo type="max"/>
        <color rgb="FFF8696B"/>
        <color rgb="FFFFEB84"/>
        <color rgb="FF63BE7B"/>
      </colorScale>
    </cfRule>
  </conditionalFormatting>
  <conditionalFormatting sqref="AC13">
    <cfRule type="colorScale" priority="13">
      <colorScale>
        <cfvo type="min"/>
        <cfvo type="percentile" val="50"/>
        <cfvo type="max"/>
        <color rgb="FFF8696B"/>
        <color rgb="FFFFEB84"/>
        <color rgb="FF63BE7B"/>
      </colorScale>
    </cfRule>
  </conditionalFormatting>
  <conditionalFormatting sqref="AG13">
    <cfRule type="colorScale" priority="12">
      <colorScale>
        <cfvo type="min"/>
        <cfvo type="percentile" val="50"/>
        <cfvo type="max"/>
        <color rgb="FFF8696B"/>
        <color rgb="FFFFEB84"/>
        <color rgb="FF63BE7B"/>
      </colorScale>
    </cfRule>
  </conditionalFormatting>
  <conditionalFormatting sqref="AH13">
    <cfRule type="colorScale" priority="11">
      <colorScale>
        <cfvo type="min"/>
        <cfvo type="percentile" val="50"/>
        <cfvo type="max"/>
        <color rgb="FFF8696B"/>
        <color rgb="FFFFEB84"/>
        <color rgb="FF63BE7B"/>
      </colorScale>
    </cfRule>
  </conditionalFormatting>
  <conditionalFormatting sqref="AC14">
    <cfRule type="colorScale" priority="10">
      <colorScale>
        <cfvo type="min"/>
        <cfvo type="percentile" val="50"/>
        <cfvo type="max"/>
        <color rgb="FFF8696B"/>
        <color rgb="FFFFEB84"/>
        <color rgb="FF63BE7B"/>
      </colorScale>
    </cfRule>
  </conditionalFormatting>
  <conditionalFormatting sqref="AC19:AC22">
    <cfRule type="colorScale" priority="7">
      <colorScale>
        <cfvo type="min"/>
        <cfvo type="percentile" val="50"/>
        <cfvo type="max"/>
        <color rgb="FFF8696B"/>
        <color rgb="FFFFEB84"/>
        <color rgb="FF63BE7B"/>
      </colorScale>
    </cfRule>
  </conditionalFormatting>
  <conditionalFormatting sqref="AG19:AG22 AG14">
    <cfRule type="colorScale" priority="130">
      <colorScale>
        <cfvo type="min"/>
        <cfvo type="percentile" val="50"/>
        <cfvo type="max"/>
        <color rgb="FFF8696B"/>
        <color rgb="FFFFEB84"/>
        <color rgb="FF63BE7B"/>
      </colorScale>
    </cfRule>
  </conditionalFormatting>
  <conditionalFormatting sqref="AH19:AH22 AH14">
    <cfRule type="colorScale" priority="132">
      <colorScale>
        <cfvo type="min"/>
        <cfvo type="percentile" val="50"/>
        <cfvo type="max"/>
        <color rgb="FFF8696B"/>
        <color rgb="FFFFEB84"/>
        <color rgb="FF63BE7B"/>
      </colorScale>
    </cfRule>
  </conditionalFormatting>
  <conditionalFormatting sqref="AC23">
    <cfRule type="colorScale" priority="4">
      <colorScale>
        <cfvo type="min"/>
        <cfvo type="percentile" val="50"/>
        <cfvo type="max"/>
        <color rgb="FFF8696B"/>
        <color rgb="FFFFEB84"/>
        <color rgb="FF63BE7B"/>
      </colorScale>
    </cfRule>
  </conditionalFormatting>
  <conditionalFormatting sqref="AG23">
    <cfRule type="colorScale" priority="5">
      <colorScale>
        <cfvo type="min"/>
        <cfvo type="percentile" val="50"/>
        <cfvo type="max"/>
        <color rgb="FFF8696B"/>
        <color rgb="FFFFEB84"/>
        <color rgb="FF63BE7B"/>
      </colorScale>
    </cfRule>
  </conditionalFormatting>
  <conditionalFormatting sqref="AH23">
    <cfRule type="colorScale" priority="6">
      <colorScale>
        <cfvo type="min"/>
        <cfvo type="percentile" val="50"/>
        <cfvo type="max"/>
        <color rgb="FFF8696B"/>
        <color rgb="FFFFEB84"/>
        <color rgb="FF63BE7B"/>
      </colorScale>
    </cfRule>
  </conditionalFormatting>
  <conditionalFormatting sqref="AC24">
    <cfRule type="colorScale" priority="1">
      <colorScale>
        <cfvo type="min"/>
        <cfvo type="percentile" val="50"/>
        <cfvo type="max"/>
        <color rgb="FFF8696B"/>
        <color rgb="FFFFEB84"/>
        <color rgb="FF63BE7B"/>
      </colorScale>
    </cfRule>
  </conditionalFormatting>
  <conditionalFormatting sqref="AG24">
    <cfRule type="colorScale" priority="2">
      <colorScale>
        <cfvo type="min"/>
        <cfvo type="percentile" val="50"/>
        <cfvo type="max"/>
        <color rgb="FFF8696B"/>
        <color rgb="FFFFEB84"/>
        <color rgb="FF63BE7B"/>
      </colorScale>
    </cfRule>
  </conditionalFormatting>
  <conditionalFormatting sqref="AH24">
    <cfRule type="colorScale" priority="3">
      <colorScale>
        <cfvo type="min"/>
        <cfvo type="percentile" val="50"/>
        <cfvo type="max"/>
        <color rgb="FFF8696B"/>
        <color rgb="FFFFEB84"/>
        <color rgb="FF63BE7B"/>
      </colorScale>
    </cfRule>
  </conditionalFormatting>
  <dataValidations count="1">
    <dataValidation type="list" allowBlank="1" showInputMessage="1" showErrorMessage="1" sqref="A11:A24" xr:uid="{00000000-0002-0000-1100-000000000000}">
      <formula1>$A$50:$A$51</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979" r:id="rId4" name="Button 43">
              <controlPr defaultSize="0" print="0" autoFill="0" autoPict="0" macro="[0]!PRZYCISKPowrotDoGlownegoARK" altText="POWRÓT">
                <anchor moveWithCells="1" sizeWithCells="1">
                  <from>
                    <xdr:col>0</xdr:col>
                    <xdr:colOff>38100</xdr:colOff>
                    <xdr:row>3</xdr:row>
                    <xdr:rowOff>0</xdr:rowOff>
                  </from>
                  <to>
                    <xdr:col>0</xdr:col>
                    <xdr:colOff>1714500</xdr:colOff>
                    <xdr:row>7</xdr:row>
                    <xdr:rowOff>0</xdr:rowOff>
                  </to>
                </anchor>
              </controlPr>
            </control>
          </mc:Choice>
        </mc:AlternateContent>
      </controls>
    </mc:Choice>
  </mc:AlternateContent>
  <tableParts count="1">
    <tablePart r:id="rId5"/>
  </tablePar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Arkusz13"/>
  <dimension ref="C1:E20"/>
  <sheetViews>
    <sheetView zoomScale="90" zoomScaleNormal="90" workbookViewId="0">
      <selection activeCell="A12" sqref="A12:XFD20"/>
    </sheetView>
  </sheetViews>
  <sheetFormatPr defaultColWidth="8.81640625" defaultRowHeight="12.5" x14ac:dyDescent="0.25"/>
  <cols>
    <col min="1" max="2" width="1.1796875" style="603" customWidth="1"/>
    <col min="3" max="3" width="36.1796875" style="603" customWidth="1"/>
    <col min="4" max="4" width="74.453125" style="603" customWidth="1"/>
    <col min="5" max="5" width="59.7265625" style="603" customWidth="1"/>
    <col min="6" max="16384" width="8.81640625" style="603"/>
  </cols>
  <sheetData>
    <row r="1" spans="3:5" ht="24" customHeight="1" x14ac:dyDescent="0.25">
      <c r="C1" s="1945" t="s">
        <v>1796</v>
      </c>
      <c r="D1" s="1945"/>
    </row>
    <row r="2" spans="3:5" ht="14.5" x14ac:dyDescent="0.25">
      <c r="C2" s="1497" t="str">
        <f>FORMULARZ!C49</f>
        <v>Rodzaj kredytu</v>
      </c>
      <c r="D2" s="1498" t="str">
        <f>FORMULARZ!D49</f>
        <v>Pożyczka Pieniężna</v>
      </c>
    </row>
    <row r="3" spans="3:5" ht="41.25" customHeight="1" x14ac:dyDescent="0.25">
      <c r="C3" s="1499" t="str">
        <f>FORMULARZ!C50</f>
        <v>Całkowita kwota kredytu
Suma wszystkich środków pieniężnych, które zostaną Panu/Pani udostępnione</v>
      </c>
      <c r="D3" s="1500" t="str">
        <f>FORMULARZ!D50</f>
        <v>Pożyczka w wysokości 31 000,00 zł, stanowiąca całkowitą kwotę pożyczki</v>
      </c>
    </row>
    <row r="4" spans="3:5" ht="54.75" customHeight="1" x14ac:dyDescent="0.25">
      <c r="C4" s="1501" t="str">
        <f>FORMULARZ!C54</f>
        <v xml:space="preserve">
Zasady i terminy spłaty kredytu</v>
      </c>
      <c r="D4" s="1502" t="str">
        <f ca="1">FORMULARZ!D55</f>
        <v>Liczba miesięcznych rat: 
- 47 rat/y równych/e w wysokości 764,10 zł,  płatnych/e każdego 26-go dnia każdego miesiąca
- ostatnia 48 rata w wysokości 764,00 zł, płatna 26-06-2030r.</v>
      </c>
    </row>
    <row r="5" spans="3:5" ht="91" x14ac:dyDescent="0.25">
      <c r="C5" s="1499" t="str">
        <f>FORMULARZ!C69</f>
        <v>Całkowita kwota do zapłaty przez  konsumenta
Jest to suma wszystkich środków pieniężnych, które kredytodawca udostępnia Panu/Pani oraz wszelkie koszty, które zobowiązany/a będzie Pan/Pani ponieść w związku z umową o kredyt</v>
      </c>
      <c r="D5" s="1500" t="str">
        <f ca="1">FORMULARZ!D69</f>
        <v xml:space="preserve">(suma całkowitego kosztu kredytu i całkowitej kwoty kredytu)
36 676,70 zł, na którą składają się:
1. całkowita kwota pożyczki 31 000,00 zł,  
2. całkowity koszt pożyczki 5 676,70 zł. </v>
      </c>
      <c r="E5" s="1506" t="str">
        <f>FORMULARZ!D89</f>
        <v xml:space="preserve"> </v>
      </c>
    </row>
    <row r="6" spans="3:5" ht="13" x14ac:dyDescent="0.25">
      <c r="C6" s="1503" t="s">
        <v>1797</v>
      </c>
      <c r="D6" s="1504" t="str">
        <f ca="1">CONCATENATE(FORMULARZ!F4," ",FIXED(FORMULARZ!G4,2,FALSE)," zł")</f>
        <v>prowizja w zł: 0,00 zł</v>
      </c>
    </row>
    <row r="7" spans="3:5" ht="13" x14ac:dyDescent="0.25">
      <c r="C7" s="1505"/>
      <c r="D7" s="1504" t="str">
        <f ca="1">CONCATENATE(FORMULARZ!F5," ",FIXED(FORMULARZ!G5,2,FALSE)," zł")</f>
        <v>ubezpieczenie kwota całkowita: 0,00 zł</v>
      </c>
    </row>
    <row r="8" spans="3:5" ht="13" x14ac:dyDescent="0.25">
      <c r="C8" s="1505"/>
      <c r="D8" s="1504" t="str">
        <f ca="1">CONCATENATE(FORMULARZ!H11," ",FIXED(FORMULARZ!I11,2,FALSE)," zł")</f>
        <v>całkowite odsetki 5 676,70 zł</v>
      </c>
    </row>
    <row r="9" spans="3:5" ht="44.25" customHeight="1" x14ac:dyDescent="0.25">
      <c r="C9" s="1505"/>
      <c r="D9" s="1504" t="str">
        <f>CONCATENATE(FORMULARZ!H13," ",FIXED(FORMULARZ!I13,2,FALSE)," zł")</f>
        <v>suma opłat za prowadzenie  rachunku oszczędnościowo-rozliczeniowego w wysokości  poniesionych za okres 3 miesięcy, dzięki czemu prowizja za udzielenie pożyczki posiada wysokość określoną w niniejszym formularzu 0,00 zł</v>
      </c>
    </row>
    <row r="10" spans="3:5" ht="215.5" customHeight="1" x14ac:dyDescent="0.25">
      <c r="C10" s="1499" t="str">
        <f>FORMULARZ!C76</f>
        <v>Stopa oprocentowania kredytu oraz
warunki jej zmiany</v>
      </c>
      <c r="D10" s="1506" t="str">
        <f ca="1">FORMULARZ!D76</f>
        <v>– stopa oprocentowania kredytu: 8,49% w stosunku rocznym. 
Składniki oprocentowania: 
a) 3,75% - stopa referencyjna
b) 4,74% stała marża Banku.</v>
      </c>
    </row>
    <row r="11" spans="3:5" ht="135" customHeight="1" x14ac:dyDescent="0.25">
      <c r="C11" s="1507" t="str">
        <f>FORMULARZ!C80</f>
        <v>Rzeczywista roczna stopa oprocentowania  
Jest to całkowity koszt kredytu ponoszony przez konsumenta, wyrażony jako wartość procentowa całkowitej kwoty kredytu w stosunku rocznym przedstawiona aby pomóc Panu/Pani w porównaniu oferowanych kredytów.</v>
      </c>
      <c r="D11" s="1508" t="str">
        <f ca="1">"– rzeczywista roczna stopa oprocentowania:
Rzeczywista Roczna Stopa Oprocentowania (RRSO) wynosi "&amp;FIXED(100*FWartRRSO,2,FALSE)&amp;"%"</f>
        <v>– rzeczywista roczna stopa oprocentowania:
Rzeczywista Roczna Stopa Oprocentowania (RRSO) wynosi 8,24%</v>
      </c>
    </row>
    <row r="12" spans="3:5" ht="13.5" hidden="1" customHeight="1" thickBot="1" x14ac:dyDescent="0.35">
      <c r="C12" s="1515" t="s">
        <v>2204</v>
      </c>
      <c r="D12" s="1514">
        <v>3.7499999999999999E-2</v>
      </c>
    </row>
    <row r="13" spans="3:5" ht="13" hidden="1" x14ac:dyDescent="0.3">
      <c r="C13" s="1510" t="s">
        <v>2203</v>
      </c>
      <c r="D13" s="1511"/>
    </row>
    <row r="14" spans="3:5" ht="13" hidden="1" x14ac:dyDescent="0.3">
      <c r="C14" s="1946" t="s">
        <v>2205</v>
      </c>
      <c r="D14" s="1947"/>
    </row>
    <row r="15" spans="3:5" ht="13" hidden="1" x14ac:dyDescent="0.3">
      <c r="C15" s="1773" t="s">
        <v>2311</v>
      </c>
      <c r="D15" s="1774">
        <f ca="1">'Raty_RRSO (+4)'!H11</f>
        <v>824.05</v>
      </c>
    </row>
    <row r="16" spans="3:5" ht="13" hidden="1" x14ac:dyDescent="0.3">
      <c r="C16" s="1773" t="s">
        <v>2310</v>
      </c>
      <c r="D16" s="1774">
        <f ca="1">'Raty_RRSO (+różnica)'!H11</f>
        <v>784.78</v>
      </c>
    </row>
    <row r="17" spans="3:5" ht="13" hidden="1" x14ac:dyDescent="0.3">
      <c r="C17" s="1512" t="s">
        <v>2206</v>
      </c>
      <c r="D17" s="1775">
        <f ca="1">'Raty_RRSO (+3)'!$H$11</f>
        <v>753.16</v>
      </c>
    </row>
    <row r="18" spans="3:5" ht="13" hidden="1" x14ac:dyDescent="0.3">
      <c r="C18" s="1512" t="s">
        <v>2207</v>
      </c>
      <c r="D18" s="1775">
        <f ca="1">'Raty_RRSO (+5)'!$H$11</f>
        <v>782.55</v>
      </c>
      <c r="E18" s="1509"/>
    </row>
    <row r="19" spans="3:5" ht="13" hidden="1" x14ac:dyDescent="0.3">
      <c r="C19" s="1512" t="s">
        <v>2208</v>
      </c>
      <c r="D19" s="1775">
        <f ca="1">'Raty_RRSO (+10)'!$H$11</f>
        <v>858.95</v>
      </c>
    </row>
    <row r="20" spans="3:5" ht="16.5" hidden="1" customHeight="1" thickBot="1" x14ac:dyDescent="0.35">
      <c r="C20" s="1513" t="s">
        <v>2393</v>
      </c>
      <c r="D20" s="1776">
        <f ca="1">'Raty_RRSO (+15)'!$H$11</f>
        <v>710.34</v>
      </c>
    </row>
  </sheetData>
  <mergeCells count="2">
    <mergeCell ref="C1:D1"/>
    <mergeCell ref="C14:D14"/>
  </mergeCells>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PRZYCISKPowrotDoGlownegoARK">
                <anchor moveWithCells="1" sizeWithCells="1">
                  <from>
                    <xdr:col>4</xdr:col>
                    <xdr:colOff>50800</xdr:colOff>
                    <xdr:row>0</xdr:row>
                    <xdr:rowOff>31750</xdr:rowOff>
                  </from>
                  <to>
                    <xdr:col>4</xdr:col>
                    <xdr:colOff>1752600</xdr:colOff>
                    <xdr:row>3</xdr:row>
                    <xdr:rowOff>133350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Arkusz28">
    <tabColor indexed="18"/>
  </sheetPr>
  <dimension ref="A1:AI200"/>
  <sheetViews>
    <sheetView workbookViewId="0">
      <selection activeCell="H22" sqref="H22"/>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46229</v>
      </c>
      <c r="C1" s="85"/>
      <c r="D1" s="217">
        <f>IF(D3=D4,D4,D3)</f>
        <v>8.4900000000000003E-2</v>
      </c>
      <c r="E1" s="218" t="str">
        <f ca="1">IF(I2&lt;&gt;"",I2,IF(I3&lt;&gt;"",I3,I4))</f>
        <v/>
      </c>
      <c r="F1" s="218">
        <f ca="1">IF(G2&lt;=MAX_,E2,IF(G3&lt;=MAX_,E3,E4))</f>
        <v>46229</v>
      </c>
      <c r="G1" s="214">
        <v>45</v>
      </c>
      <c r="H1" s="255">
        <f ca="1">IF(OR(H2=D4,D1=D4),1,0)</f>
        <v>0</v>
      </c>
      <c r="I1">
        <v>15</v>
      </c>
      <c r="K1" s="252"/>
      <c r="M1" s="252"/>
      <c r="N1" s="252"/>
      <c r="O1" s="252"/>
      <c r="P1" s="252"/>
      <c r="Q1" s="252"/>
      <c r="R1" s="252"/>
      <c r="S1" s="252"/>
      <c r="T1" s="252"/>
    </row>
    <row r="2" spans="1:33" ht="13" x14ac:dyDescent="0.3">
      <c r="A2" s="205"/>
      <c r="B2" s="350">
        <f ca="1">DATE(YEAR((E5)),MONTH((E5))+1,1)-1</f>
        <v>46203</v>
      </c>
      <c r="C2" s="351">
        <f ca="1">DAY(B2)</f>
        <v>30</v>
      </c>
      <c r="D2" s="4"/>
      <c r="E2" s="213">
        <f ca="1">IF(MOD(MONTH(F2)-MONTH(F3),12)&gt;1,DATE(YEAR(F2),MONTH(F2),DAY(F2)-DAY(F2)),F2)</f>
        <v>46260</v>
      </c>
      <c r="F2" s="213">
        <f ca="1">DATE(YEAR(E5),MONTH(E5)+2,$G$5)</f>
        <v>46260</v>
      </c>
      <c r="G2" s="215">
        <f ca="1">E2-$E$5</f>
        <v>61</v>
      </c>
      <c r="H2" s="221">
        <f ca="1">ROUND(AE4,2)</f>
        <v>764.1</v>
      </c>
      <c r="I2" s="264" t="str">
        <f ca="1">IF(AND(G2&lt;=MAX_,G2&gt;=MIN),E2,"")</f>
        <v/>
      </c>
    </row>
    <row r="3" spans="1:33" ht="13.5" thickBot="1" x14ac:dyDescent="0.35">
      <c r="A3" s="209" t="s">
        <v>59</v>
      </c>
      <c r="B3" s="254"/>
      <c r="C3" s="4"/>
      <c r="D3" s="212">
        <f>'DOD1'!H3</f>
        <v>8.4900000000000003E-2</v>
      </c>
      <c r="E3" s="213">
        <f ca="1">IF(MOD(MONTH(F3)-MONTH(F4),12)&gt;1,DATE(YEAR(F3),MONTH(F3),DAY(F3)-DAY(F3)),F3)</f>
        <v>46229</v>
      </c>
      <c r="F3" s="213">
        <f ca="1">DATE(YEAR(E5),MONTH(E5)+1,$G$5)</f>
        <v>46229</v>
      </c>
      <c r="G3" s="215">
        <f ca="1">E3-E5</f>
        <v>30</v>
      </c>
      <c r="I3" s="265"/>
      <c r="P3" s="411" t="s">
        <v>180</v>
      </c>
      <c r="Q3" s="412">
        <v>365</v>
      </c>
    </row>
    <row r="4" spans="1:33" ht="13.5" thickBot="1" x14ac:dyDescent="0.35">
      <c r="A4" s="211" t="s">
        <v>19</v>
      </c>
      <c r="B4" s="204"/>
      <c r="C4" s="204"/>
      <c r="D4" s="206" t="s">
        <v>15</v>
      </c>
      <c r="E4" s="213">
        <f ca="1">IF(MOD(MONTH(F4)-MONTH(F5),12)&gt;1,DATE(YEAR(F4),MONTH(F4),DAY(F4)-DAY(F4)),F4)</f>
        <v>46199</v>
      </c>
      <c r="F4" s="213">
        <f ca="1">DATE(YEAR(E5),MONTH(E5),$G$5)</f>
        <v>46199</v>
      </c>
      <c r="G4" s="215">
        <f ca="1">(E4-E5)</f>
        <v>0</v>
      </c>
      <c r="H4" s="262">
        <f ca="1">VLOOKUP(B6,B11:D130,3,FALSE)</f>
        <v>47660</v>
      </c>
      <c r="I4" s="265" t="str">
        <f ca="1">IF(AND(G4&lt;=MAX_,G4&gt;=MIN),E4,"")</f>
        <v/>
      </c>
      <c r="M4" s="916"/>
      <c r="U4" s="945" t="s">
        <v>121</v>
      </c>
      <c r="V4" s="946">
        <f ca="1">G10/V9</f>
        <v>764.01635614291638</v>
      </c>
      <c r="AD4" s="413" t="s">
        <v>121</v>
      </c>
      <c r="AE4" s="203">
        <f ca="1">G10/AE9</f>
        <v>764.09841779400153</v>
      </c>
      <c r="AF4" s="609" t="s">
        <v>1959</v>
      </c>
    </row>
    <row r="5" spans="1:33" ht="13.5" thickBot="1" x14ac:dyDescent="0.35">
      <c r="A5" s="210" t="s">
        <v>60</v>
      </c>
      <c r="B5" s="2"/>
      <c r="C5" s="615">
        <f>'DOD1'!E8</f>
        <v>48</v>
      </c>
      <c r="D5" s="2"/>
      <c r="E5" s="614">
        <f ca="1">WERSJA2!D18</f>
        <v>46199</v>
      </c>
      <c r="F5" s="618">
        <f ca="1">DATE(YEAR(E5),MONTH(E5)-1,$G$5)</f>
        <v>46168</v>
      </c>
      <c r="G5" s="615">
        <f ca="1">WERSJA2!D19</f>
        <v>26</v>
      </c>
      <c r="H5" s="262">
        <f ca="1">D11</f>
        <v>46229</v>
      </c>
      <c r="I5" s="263" t="s">
        <v>167</v>
      </c>
      <c r="M5" s="916"/>
      <c r="U5" s="228" t="s">
        <v>150</v>
      </c>
      <c r="V5" s="229">
        <v>0.17451905146291249</v>
      </c>
      <c r="AD5" s="609" t="s">
        <v>1817</v>
      </c>
    </row>
    <row r="6" spans="1:33" ht="13.5" thickBot="1" x14ac:dyDescent="0.35">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45</v>
      </c>
      <c r="AB7" s="226" t="s">
        <v>144</v>
      </c>
      <c r="AD7" s="178" t="s">
        <v>182</v>
      </c>
      <c r="AE7" s="178" t="s">
        <v>183</v>
      </c>
    </row>
    <row r="8" spans="1:33" ht="13.5" thickBot="1" x14ac:dyDescent="0.35">
      <c r="A8" s="192" t="str">
        <f>WERSJA2!C4</f>
        <v>RODZAJ POŻYCZKI</v>
      </c>
      <c r="B8" s="24"/>
      <c r="C8" s="24"/>
      <c r="E8" s="207" t="s">
        <v>5</v>
      </c>
      <c r="F8" s="241">
        <f>D1</f>
        <v>8.4900000000000003E-2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-4137.1699471104621</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46203</v>
      </c>
      <c r="N9" s="232">
        <f ca="1">D10</f>
        <v>46199</v>
      </c>
      <c r="Q9" s="199">
        <f ca="1">IF(B9&lt;&gt;"",IF(MOD(YEAR(N9),4)=0,366,365),0)</f>
        <v>365</v>
      </c>
      <c r="U9" s="234"/>
      <c r="V9" s="235">
        <f ca="1">SUM(V11:V130)</f>
        <v>40.575047576862559</v>
      </c>
      <c r="Z9" s="236">
        <f ca="1">G10/((1+$V$5)^(0/Q9))</f>
        <v>31000</v>
      </c>
      <c r="AA9" s="237">
        <f>G10</f>
        <v>31000</v>
      </c>
      <c r="AB9" s="236">
        <f ca="1">SUM(AB10:AB130)</f>
        <v>26862.830052889538</v>
      </c>
      <c r="AE9" s="235">
        <f ca="1">SUM(AE11:AE130)</f>
        <v>40.570689950515643</v>
      </c>
      <c r="AF9">
        <v>11.930682479761785</v>
      </c>
      <c r="AG9" s="653"/>
    </row>
    <row r="10" spans="1:33" ht="13" x14ac:dyDescent="0.3">
      <c r="A10" s="194" t="str">
        <f>WERSJA2!C6</f>
        <v>SEGMENT KLIENTA</v>
      </c>
      <c r="B10" s="242">
        <v>0</v>
      </c>
      <c r="C10" s="243">
        <f ca="1">E5</f>
        <v>46199</v>
      </c>
      <c r="D10" s="243">
        <f ca="1">E5</f>
        <v>46199</v>
      </c>
      <c r="E10" s="24"/>
      <c r="F10" s="24"/>
      <c r="G10" s="244">
        <f>'DOD1'!K3</f>
        <v>31000</v>
      </c>
      <c r="H10" s="24"/>
      <c r="I10" s="99"/>
      <c r="K10" s="919">
        <v>0</v>
      </c>
      <c r="L10" s="199" t="s">
        <v>147</v>
      </c>
      <c r="M10" s="232">
        <f ca="1">DATE(YEAR((N11)),MONTH((N11)+1),1)-1</f>
        <v>46203</v>
      </c>
      <c r="N10" s="232">
        <f ca="1">DATE(YEAR(N11),MONTH(N11)-1,DAY(N11))</f>
        <v>46199</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46229</v>
      </c>
      <c r="D11" s="246">
        <f ca="1">B1</f>
        <v>46229</v>
      </c>
      <c r="E11" s="247">
        <f ca="1">IF($H$1&lt;&gt;1,IF(B11=$C$5,H11-F11,IF(B11&lt;&gt;"",ROUND(G10*($D$3)*((SUM(O10:P11)/365)),2),"")),"Brak Oferty")</f>
        <v>216.32</v>
      </c>
      <c r="F11" s="247">
        <f ca="1">IF($H$1&lt;&gt;1,IF(B11=$C$5,G10,IF(B11&lt;&gt;"",ROUND((H11-E11),2),"")),"Brak Oferty")</f>
        <v>547.78</v>
      </c>
      <c r="G11" s="247">
        <f ca="1">IF($H$1&lt;&gt;1,IF(B11&lt;&gt;"",G10-F11,""),"Brak Oferty")</f>
        <v>30452.22</v>
      </c>
      <c r="H11" s="247">
        <f ca="1">IF($H$1&lt;&gt;1,IF(B11&lt;&gt;"",$H$2,""),$D$4)</f>
        <v>764.1</v>
      </c>
      <c r="I11" s="99"/>
      <c r="K11" s="918">
        <v>1</v>
      </c>
      <c r="L11" s="202" t="s">
        <v>147</v>
      </c>
      <c r="M11" s="238">
        <f ca="1">IF(B11&lt;&gt;"",DATE(YEAR((D11)),MONTH((D11))+1,1)-1,"")</f>
        <v>46234</v>
      </c>
      <c r="N11" s="238">
        <f ca="1">D11</f>
        <v>46229</v>
      </c>
      <c r="O11" s="202">
        <f ca="1">IF(M6=1,0,IF(M6=2,M9-N9+1,M10-N10+1))</f>
        <v>5</v>
      </c>
      <c r="P11" s="202">
        <f ca="1">IF(M6=1,N11-N9,IF(M6=2,N11-M9-1,N11-M10-1))</f>
        <v>25</v>
      </c>
      <c r="Q11" s="202">
        <f t="shared" ref="Q11:Q74" ca="1" si="0">IF(B11&lt;&gt;"",IF(MOD(YEAR(N11),4)=0,366,365),0)</f>
        <v>365</v>
      </c>
      <c r="R11" s="202">
        <f ca="1">IF(1,O11/Q10,"")</f>
        <v>1.3698630136986301E-2</v>
      </c>
      <c r="S11" s="202">
        <f ca="1">IF(1,P11/Q11,"")</f>
        <v>6.8493150684931503E-2</v>
      </c>
      <c r="T11" s="202">
        <f ca="1">IF(B11&lt;&gt;"",R10+S10+R11+S11,"")</f>
        <v>8.2191780821917804E-2</v>
      </c>
      <c r="U11" s="415">
        <f ca="1">IF(B11&lt;&gt;"",1+$D$1*T11,0)</f>
        <v>1.0069780821917809</v>
      </c>
      <c r="V11" s="202">
        <f ca="1">IF(B11&lt;&gt;"",1/U11,0)</f>
        <v>0.99307027400577341</v>
      </c>
      <c r="W11" s="197"/>
      <c r="X11" s="197"/>
      <c r="Y11" s="197"/>
      <c r="Z11" s="197"/>
      <c r="AA11" s="239">
        <f ca="1">IF(B11&lt;&gt;"",$H$2,0)</f>
        <v>764.1</v>
      </c>
      <c r="AB11" s="239">
        <f ca="1">IF(B11&lt;&gt;"",AA11/((1+$V$5)^T11),0)</f>
        <v>754.06411976416143</v>
      </c>
      <c r="AC11" s="197"/>
      <c r="AD11" s="202">
        <f ca="1">IF(B11&lt;&gt;"",1+$D$1*((O10+P10+O11+P11)/365),0)</f>
        <v>1.0069780821917809</v>
      </c>
      <c r="AE11" s="202">
        <f ca="1">IF(B11&lt;&gt;"",1/AD11,0)</f>
        <v>0.99307027400577341</v>
      </c>
    </row>
    <row r="12" spans="1:33" ht="13" x14ac:dyDescent="0.3">
      <c r="A12" s="194" t="str">
        <f>WERSJA2!C8</f>
        <v>KONSOLIDACJA</v>
      </c>
      <c r="B12" s="248">
        <f t="shared" ref="B12:B75" si="1">IF(B11&lt;$C$5,IF(B11&lt;&gt;"",B11+1,1),"")</f>
        <v>2</v>
      </c>
      <c r="C12" s="249">
        <f ca="1">IF(B12&lt;&gt;"",DATE(YEAR(D11),MONTH(D11)+1,$G$5),"")</f>
        <v>46260</v>
      </c>
      <c r="D12" s="249">
        <f ca="1">IF(B12&lt;&gt;"",IF(MOD(MONTH(C12)-MONTH(C11),12)&gt;1,DATE(YEAR(C12),MONTH(C12),DAY(C12)-DAY(C12)),C12),"")</f>
        <v>46260</v>
      </c>
      <c r="E12" s="250">
        <f ca="1">IF($H$1&lt;&gt;1,IF(B12=$C$5,H12-F12,IF(B12&lt;&gt;"",ROUND(G11*($D$3)*((SUM(O12:P12)/365)),2),"")),"Brak Oferty")</f>
        <v>219.58</v>
      </c>
      <c r="F12" s="250">
        <f ca="1">IF($H$1&lt;&gt;1,IF(B12=$C$5,G11,IF(B12&lt;&gt;"",ROUND((H12-E12),2),"")),"Brak Oferty")</f>
        <v>544.52</v>
      </c>
      <c r="G12" s="250">
        <f t="shared" ref="G12:G75" ca="1" si="2">IF($H$1&lt;&gt;1,IF(B12&lt;&gt;"",G11-F12,""),"Brak Oferty")</f>
        <v>29907.7</v>
      </c>
      <c r="H12" s="250">
        <f t="shared" ref="H12:H75" ca="1" si="3">IF($H$1&lt;&gt;1,IF(B12&lt;&gt;"",$H$2,""),$D$4)</f>
        <v>764.1</v>
      </c>
      <c r="I12" s="99"/>
      <c r="K12" s="240"/>
      <c r="L12" s="199" t="str">
        <f>IF(B12&lt;&gt;"",L11,"")</f>
        <v>R</v>
      </c>
      <c r="M12" s="231">
        <f ca="1">IF(B12&lt;&gt;"",DATE(YEAR((D12)),MONTH((D12))+1,1)-1,"")</f>
        <v>46265</v>
      </c>
      <c r="N12" s="231">
        <f ca="1">D12</f>
        <v>46260</v>
      </c>
      <c r="O12" s="253">
        <f ca="1">IF(B12&lt;&gt;"",M11-N11+1,0)</f>
        <v>6</v>
      </c>
      <c r="P12" s="199">
        <f ca="1">IF(B12&lt;&gt;"",N12-M11-1,0)</f>
        <v>25</v>
      </c>
      <c r="Q12" s="199">
        <f ca="1">IF(B12&lt;&gt;"",IF(MOD(YEAR(N12),4)=0,366,365),0)</f>
        <v>365</v>
      </c>
      <c r="R12" s="199">
        <f ca="1">IF(1,O12/Q11,"")</f>
        <v>1.643835616438356E-2</v>
      </c>
      <c r="S12" s="199">
        <f ca="1">IF(1,P12/Q12,"")</f>
        <v>6.8493150684931503E-2</v>
      </c>
      <c r="T12" s="199">
        <f t="shared" ref="T12:T75" ca="1" si="4">IF(B12&lt;&gt;"",R12+S12,"")</f>
        <v>8.4931506849315067E-2</v>
      </c>
      <c r="U12" s="415">
        <f ca="1">IF(B12&lt;&gt;"",1+$D$1*T12,0)</f>
        <v>1.0072106849315068</v>
      </c>
      <c r="V12" s="233">
        <f ca="1">IF(B12&lt;&gt;"",1/PRODUCT($U$11:U12),0)</f>
        <v>0.98596082116951034</v>
      </c>
      <c r="AA12" s="240">
        <f t="shared" ref="AA12:AA75" ca="1" si="5">IF(B12&lt;&gt;"",$H$2,0)</f>
        <v>764.1</v>
      </c>
      <c r="AB12" s="240">
        <f ca="1">IF(B12&lt;&gt;"",AA12/((1+$V$5)^(SUM($T$11:T12))),0)</f>
        <v>743.83216758899982</v>
      </c>
      <c r="AD12">
        <f ca="1">IF(B12&lt;&gt;"",1+$D$1*((O12+P12)/365),0)</f>
        <v>1.0072106849315068</v>
      </c>
      <c r="AE12">
        <f ca="1">IF(B12&lt;&gt;"",1/PRODUCT($AD$11:AD12),0)</f>
        <v>0.98596082116951034</v>
      </c>
      <c r="AF12" s="609" t="s">
        <v>1963</v>
      </c>
    </row>
    <row r="13" spans="1:33" ht="13.5" thickBot="1" x14ac:dyDescent="0.35">
      <c r="A13" s="193" t="str">
        <f>WERSJA2!D8</f>
        <v>NIE</v>
      </c>
      <c r="B13" s="248">
        <f t="shared" si="1"/>
        <v>3</v>
      </c>
      <c r="C13" s="249">
        <f t="shared" ref="C13:C76" ca="1" si="6">IF(B13&lt;&gt;"",DATE(YEAR(D12),MONTH(D12)+1,$G$5),"")</f>
        <v>46291</v>
      </c>
      <c r="D13" s="249">
        <f ca="1">IF(B13&lt;&gt;"",IF(MOD(MONTH(C13)-MONTH(C12),12)&gt;1,DATE(YEAR(C13),MONTH(C13),DAY(C13)-DAY(C13)),C13),"")</f>
        <v>46291</v>
      </c>
      <c r="E13" s="250">
        <f t="shared" ref="E13:E70" ca="1" si="7">IF($H$1&lt;&gt;1,IF(B13=$C$5,H13-F13,IF(B13&lt;&gt;"",ROUND(G12*($D$3)*((SUM(O13:P13)/365)),2),"")),"Brak Oferty")</f>
        <v>215.66</v>
      </c>
      <c r="F13" s="250">
        <f t="shared" ref="F13:F76" ca="1" si="8">IF($H$1&lt;&gt;1,IF(B13=$C$5,G12,IF(B13&lt;&gt;"",ROUND((H13-E13),2),"")),"Brak Oferty")</f>
        <v>548.44000000000005</v>
      </c>
      <c r="G13" s="250">
        <f t="shared" ca="1" si="2"/>
        <v>29359.260000000002</v>
      </c>
      <c r="H13" s="250">
        <f t="shared" ca="1" si="3"/>
        <v>764.1</v>
      </c>
      <c r="I13" s="99"/>
      <c r="K13" s="240"/>
      <c r="L13" s="199" t="str">
        <f t="shared" ref="L13:L76" si="9">IF(B13&lt;&gt;"",L12,"")</f>
        <v>R</v>
      </c>
      <c r="M13" s="231">
        <f t="shared" ref="M13:M76" ca="1" si="10">IF(B13&lt;&gt;"",DATE(YEAR((D13)),MONTH((D13))+1,1)-1,"")</f>
        <v>46295</v>
      </c>
      <c r="N13" s="231">
        <f ca="1">D13</f>
        <v>46291</v>
      </c>
      <c r="O13" s="199">
        <f ca="1">IF(B13&lt;&gt;"",M12-N12+1,0)</f>
        <v>6</v>
      </c>
      <c r="P13" s="199">
        <f t="shared" ref="P13:P76" ca="1" si="11">IF(B13&lt;&gt;"",N13-M12-1,0)</f>
        <v>25</v>
      </c>
      <c r="Q13" s="199">
        <f t="shared" ca="1" si="0"/>
        <v>365</v>
      </c>
      <c r="R13" s="199">
        <f t="shared" ref="R13:R76" ca="1" si="12">IF(1,O13/Q12,"")</f>
        <v>1.643835616438356E-2</v>
      </c>
      <c r="S13" s="199">
        <f t="shared" ref="S13:S76" ca="1" si="13">IF(1,P13/Q13,"")</f>
        <v>6.8493150684931503E-2</v>
      </c>
      <c r="T13" s="199">
        <f t="shared" ca="1" si="4"/>
        <v>8.4931506849315067E-2</v>
      </c>
      <c r="U13" s="415">
        <f t="shared" ref="U13:U76" ca="1" si="14">IF(B13&lt;&gt;"",1+$D$1*T13,0)</f>
        <v>1.0072106849315068</v>
      </c>
      <c r="V13" s="233">
        <f ca="1">IF(B13&lt;&gt;"",1/PRODUCT($U$11:U13),0)</f>
        <v>0.9789022653552949</v>
      </c>
      <c r="AA13" s="240">
        <f t="shared" ca="1" si="5"/>
        <v>764.1</v>
      </c>
      <c r="AB13" s="963">
        <f ca="1">IF(B13&lt;&gt;"",AA13/((1+$V$5)^(SUM($T$11:T13))),0)</f>
        <v>733.73905353459065</v>
      </c>
      <c r="AD13">
        <f t="shared" ref="AD13:AD76" ca="1" si="15">IF(B13&lt;&gt;"",1+$D$1*((O13+P13)/365),0)</f>
        <v>1.0072106849315068</v>
      </c>
      <c r="AE13">
        <f ca="1">IF(B13&lt;&gt;"",1/PRODUCT($AD$11:AD13),0)</f>
        <v>0.9789022653552949</v>
      </c>
    </row>
    <row r="14" spans="1:33" ht="13" x14ac:dyDescent="0.3">
      <c r="A14" s="194" t="str">
        <f>WERSJA2!C9</f>
        <v>MIEJSCE ZŁOŻENIA WNIOSKU</v>
      </c>
      <c r="B14" s="248">
        <f t="shared" si="1"/>
        <v>4</v>
      </c>
      <c r="C14" s="249">
        <f t="shared" ca="1" si="6"/>
        <v>46321</v>
      </c>
      <c r="D14" s="249">
        <f t="shared" ref="D14:D77" ca="1" si="16">IF(B14&lt;&gt;"",IF(MOD(MONTH(C14)-MONTH(C13),12)&gt;1,DATE(YEAR(C14),MONTH(C14),DAY(C14)-DAY(C14)),C14),"")</f>
        <v>46321</v>
      </c>
      <c r="E14" s="250">
        <f t="shared" ca="1" si="7"/>
        <v>204.87</v>
      </c>
      <c r="F14" s="250">
        <f t="shared" ca="1" si="8"/>
        <v>559.23</v>
      </c>
      <c r="G14" s="250">
        <f t="shared" ca="1" si="2"/>
        <v>28800.030000000002</v>
      </c>
      <c r="H14" s="250">
        <f t="shared" ca="1" si="3"/>
        <v>764.1</v>
      </c>
      <c r="I14" s="99"/>
      <c r="K14" s="240"/>
      <c r="L14" s="199" t="str">
        <f t="shared" si="9"/>
        <v>R</v>
      </c>
      <c r="M14" s="231">
        <f t="shared" ca="1" si="10"/>
        <v>46326</v>
      </c>
      <c r="N14" s="231">
        <f t="shared" ref="N14:N77" ca="1" si="17">D14</f>
        <v>46321</v>
      </c>
      <c r="O14" s="199">
        <f t="shared" ref="O14:O77" ca="1" si="18">IF(B14&lt;&gt;"",M13-N13+1,0)</f>
        <v>5</v>
      </c>
      <c r="P14" s="199">
        <f t="shared" ca="1" si="11"/>
        <v>25</v>
      </c>
      <c r="Q14" s="199">
        <f t="shared" ca="1" si="0"/>
        <v>365</v>
      </c>
      <c r="R14" s="199">
        <f t="shared" ca="1" si="12"/>
        <v>1.3698630136986301E-2</v>
      </c>
      <c r="S14" s="199">
        <f ca="1">IF(1,P14/Q14,"")</f>
        <v>6.8493150684931503E-2</v>
      </c>
      <c r="T14" s="199">
        <f t="shared" ca="1" si="4"/>
        <v>8.2191780821917804E-2</v>
      </c>
      <c r="U14" s="415">
        <f t="shared" ca="1" si="14"/>
        <v>1.0069780821917809</v>
      </c>
      <c r="V14" s="233">
        <f ca="1">IF(B14&lt;&gt;"",1/PRODUCT($U$11:U14),0)</f>
        <v>0.97211874088125494</v>
      </c>
      <c r="AA14" s="240">
        <f t="shared" ca="1" si="5"/>
        <v>764.1</v>
      </c>
      <c r="AB14" s="240">
        <f ca="1">IF(B14&lt;&gt;"",AA14/((1+$V$5)^(SUM($T$11:T14))),0)</f>
        <v>724.1019415523491</v>
      </c>
      <c r="AD14">
        <f t="shared" ca="1" si="15"/>
        <v>1.0069780821917809</v>
      </c>
      <c r="AE14">
        <f ca="1">IF(B14&lt;&gt;"",1/PRODUCT($AD$11:AD14),0)</f>
        <v>0.97211874088125494</v>
      </c>
    </row>
    <row r="15" spans="1:33" ht="13.5" thickBot="1" x14ac:dyDescent="0.35">
      <c r="A15" s="193" t="str">
        <f>WERSJA2!D9</f>
        <v>MOJE ING</v>
      </c>
      <c r="B15" s="248">
        <f t="shared" si="1"/>
        <v>5</v>
      </c>
      <c r="C15" s="249">
        <f t="shared" ca="1" si="6"/>
        <v>46352</v>
      </c>
      <c r="D15" s="249">
        <f ca="1">IF(B15&lt;&gt;"",IF(MOD(MONTH(C15)-MONTH(C14),12)&gt;1,DATE(YEAR(C15),MONTH(C15),DAY(C15)-DAY(C15)),C15),"")</f>
        <v>46352</v>
      </c>
      <c r="E15" s="250">
        <f t="shared" ca="1" si="7"/>
        <v>207.67</v>
      </c>
      <c r="F15" s="250">
        <f t="shared" ca="1" si="8"/>
        <v>556.42999999999995</v>
      </c>
      <c r="G15" s="250">
        <f t="shared" ca="1" si="2"/>
        <v>28243.600000000002</v>
      </c>
      <c r="H15" s="250">
        <f t="shared" ca="1" si="3"/>
        <v>764.1</v>
      </c>
      <c r="I15" s="99"/>
      <c r="K15" s="240"/>
      <c r="L15" s="199" t="str">
        <f t="shared" si="9"/>
        <v>R</v>
      </c>
      <c r="M15" s="231">
        <f t="shared" ca="1" si="10"/>
        <v>46356</v>
      </c>
      <c r="N15" s="231">
        <f t="shared" ca="1" si="17"/>
        <v>46352</v>
      </c>
      <c r="O15" s="199">
        <f t="shared" ca="1" si="18"/>
        <v>6</v>
      </c>
      <c r="P15" s="199">
        <f t="shared" ca="1" si="11"/>
        <v>25</v>
      </c>
      <c r="Q15" s="199">
        <f t="shared" ca="1" si="0"/>
        <v>365</v>
      </c>
      <c r="R15" s="199">
        <f t="shared" ca="1" si="12"/>
        <v>1.643835616438356E-2</v>
      </c>
      <c r="S15" s="199">
        <f t="shared" ca="1" si="13"/>
        <v>6.8493150684931503E-2</v>
      </c>
      <c r="T15" s="199">
        <f t="shared" ca="1" si="4"/>
        <v>8.4931506849315067E-2</v>
      </c>
      <c r="U15" s="415">
        <f t="shared" ca="1" si="14"/>
        <v>1.0072106849315068</v>
      </c>
      <c r="V15" s="233">
        <f ca="1">IF(B15&lt;&gt;"",1/PRODUCT($U$11:U15),0)</f>
        <v>0.96515928139440044</v>
      </c>
      <c r="AA15" s="240">
        <f t="shared" ca="1" si="5"/>
        <v>764.1</v>
      </c>
      <c r="AB15" s="240">
        <f ca="1">IF(B15&lt;&gt;"",AA15/((1+$V$5)^(SUM($T$11:T15))),0)</f>
        <v>714.27654840378989</v>
      </c>
      <c r="AD15">
        <f t="shared" ca="1" si="15"/>
        <v>1.0072106849315068</v>
      </c>
      <c r="AE15">
        <f ca="1">IF(B15&lt;&gt;"",1/PRODUCT($AD$11:AD15),0)</f>
        <v>0.96515928139440044</v>
      </c>
    </row>
    <row r="16" spans="1:33" ht="13" x14ac:dyDescent="0.3">
      <c r="A16" s="194" t="str">
        <f>WERSJA2!C13</f>
        <v>LICZBA RAT W MIESIĄCACH</v>
      </c>
      <c r="B16" s="248">
        <f t="shared" si="1"/>
        <v>6</v>
      </c>
      <c r="C16" s="249">
        <f t="shared" ca="1" si="6"/>
        <v>46382</v>
      </c>
      <c r="D16" s="249">
        <f t="shared" ca="1" si="16"/>
        <v>46382</v>
      </c>
      <c r="E16" s="250">
        <f ca="1">IF($H$1&lt;&gt;1,IF(B16=$C$5,H16-F16,IF(B16&lt;&gt;"",ROUND(G15*($D$3)*((SUM(O16:P16)/365)),2),"")),"Brak Oferty")</f>
        <v>197.09</v>
      </c>
      <c r="F16" s="250">
        <f t="shared" ca="1" si="8"/>
        <v>567.01</v>
      </c>
      <c r="G16" s="250">
        <f t="shared" ca="1" si="2"/>
        <v>27676.590000000004</v>
      </c>
      <c r="H16" s="250">
        <f t="shared" ca="1" si="3"/>
        <v>764.1</v>
      </c>
      <c r="I16" s="99"/>
      <c r="K16" s="240"/>
      <c r="L16" s="199" t="str">
        <f t="shared" si="9"/>
        <v>R</v>
      </c>
      <c r="M16" s="231">
        <f t="shared" ca="1" si="10"/>
        <v>46387</v>
      </c>
      <c r="N16" s="231">
        <f t="shared" ca="1" si="17"/>
        <v>46382</v>
      </c>
      <c r="O16" s="199">
        <f t="shared" ca="1" si="18"/>
        <v>5</v>
      </c>
      <c r="P16" s="199">
        <f t="shared" ca="1" si="11"/>
        <v>25</v>
      </c>
      <c r="Q16" s="199">
        <f t="shared" ca="1" si="0"/>
        <v>365</v>
      </c>
      <c r="R16" s="199">
        <f t="shared" ca="1" si="12"/>
        <v>1.3698630136986301E-2</v>
      </c>
      <c r="S16" s="199">
        <f t="shared" ca="1" si="13"/>
        <v>6.8493150684931503E-2</v>
      </c>
      <c r="T16" s="199">
        <f t="shared" ca="1" si="4"/>
        <v>8.2191780821917804E-2</v>
      </c>
      <c r="U16" s="415">
        <f t="shared" ca="1" si="14"/>
        <v>1.0069780821917809</v>
      </c>
      <c r="V16" s="233">
        <f ca="1">IF(B16&lt;&gt;"",1/PRODUCT($U$11:U16),0)</f>
        <v>0.95847099203355257</v>
      </c>
      <c r="AA16" s="240">
        <f t="shared" ca="1" si="5"/>
        <v>764.1</v>
      </c>
      <c r="AB16" s="240">
        <f ca="1">IF(B16&lt;&gt;"",AA16/((1+$V$5)^(SUM($T$11:T16))),0)</f>
        <v>704.8950618247444</v>
      </c>
      <c r="AD16">
        <f t="shared" ca="1" si="15"/>
        <v>1.0069780821917809</v>
      </c>
      <c r="AE16">
        <f ca="1">IF(B16&lt;&gt;"",1/PRODUCT($AD$11:AD16),0)</f>
        <v>0.95847099203355257</v>
      </c>
    </row>
    <row r="17" spans="1:35" ht="13.5" thickBot="1" x14ac:dyDescent="0.35">
      <c r="A17" s="195">
        <f>WERSJA2!D13</f>
        <v>48</v>
      </c>
      <c r="B17" s="248">
        <f t="shared" si="1"/>
        <v>7</v>
      </c>
      <c r="C17" s="249">
        <f t="shared" ca="1" si="6"/>
        <v>46413</v>
      </c>
      <c r="D17" s="249">
        <f t="shared" ca="1" si="16"/>
        <v>46413</v>
      </c>
      <c r="E17" s="250">
        <f t="shared" ca="1" si="7"/>
        <v>199.57</v>
      </c>
      <c r="F17" s="250">
        <f t="shared" ca="1" si="8"/>
        <v>564.53</v>
      </c>
      <c r="G17" s="250">
        <f t="shared" ca="1" si="2"/>
        <v>27112.060000000005</v>
      </c>
      <c r="H17" s="250">
        <f t="shared" ca="1" si="3"/>
        <v>764.1</v>
      </c>
      <c r="I17" s="99"/>
      <c r="K17" s="240"/>
      <c r="L17" s="199" t="str">
        <f t="shared" si="9"/>
        <v>R</v>
      </c>
      <c r="M17" s="231">
        <f t="shared" ca="1" si="10"/>
        <v>46418</v>
      </c>
      <c r="N17" s="231">
        <f t="shared" ca="1" si="17"/>
        <v>46413</v>
      </c>
      <c r="O17" s="199">
        <f t="shared" ca="1" si="18"/>
        <v>6</v>
      </c>
      <c r="P17" s="199">
        <f t="shared" ca="1" si="11"/>
        <v>25</v>
      </c>
      <c r="Q17" s="199">
        <f t="shared" ca="1" si="0"/>
        <v>365</v>
      </c>
      <c r="R17" s="199">
        <f t="shared" ca="1" si="12"/>
        <v>1.643835616438356E-2</v>
      </c>
      <c r="S17" s="199">
        <f t="shared" ca="1" si="13"/>
        <v>6.8493150684931503E-2</v>
      </c>
      <c r="T17" s="199">
        <f t="shared" ca="1" si="4"/>
        <v>8.4931506849315067E-2</v>
      </c>
      <c r="U17" s="415">
        <f t="shared" ca="1" si="14"/>
        <v>1.0072106849315068</v>
      </c>
      <c r="V17" s="233">
        <f ca="1">IF(B17&lt;&gt;"",1/PRODUCT($U$11:U17),0)</f>
        <v>0.95160923764299765</v>
      </c>
      <c r="AA17" s="240">
        <f t="shared" ca="1" si="5"/>
        <v>764.1</v>
      </c>
      <c r="AB17" s="240">
        <f ca="1">IF(B17&lt;&gt;"",AA17/((1+$V$5)^(SUM($T$11:T17))),0)</f>
        <v>695.33028825700842</v>
      </c>
      <c r="AD17">
        <f t="shared" ca="1" si="15"/>
        <v>1.0072106849315068</v>
      </c>
      <c r="AE17">
        <f ca="1">IF(B17&lt;&gt;"",1/PRODUCT($AD$11:AD17),0)</f>
        <v>0.95160923764299765</v>
      </c>
    </row>
    <row r="18" spans="1:35" ht="13" x14ac:dyDescent="0.3">
      <c r="A18" s="194" t="str">
        <f>WERSJA2!I5</f>
        <v>PROWIZJA (KWOTA)</v>
      </c>
      <c r="B18" s="248">
        <f t="shared" si="1"/>
        <v>8</v>
      </c>
      <c r="C18" s="249">
        <f t="shared" ca="1" si="6"/>
        <v>46444</v>
      </c>
      <c r="D18" s="249">
        <f t="shared" ca="1" si="16"/>
        <v>46444</v>
      </c>
      <c r="E18" s="250">
        <f t="shared" ca="1" si="7"/>
        <v>195.5</v>
      </c>
      <c r="F18" s="250">
        <f t="shared" ca="1" si="8"/>
        <v>568.6</v>
      </c>
      <c r="G18" s="250">
        <f t="shared" ca="1" si="2"/>
        <v>26543.460000000006</v>
      </c>
      <c r="H18" s="250">
        <f t="shared" ca="1" si="3"/>
        <v>764.1</v>
      </c>
      <c r="I18" s="99"/>
      <c r="K18" s="240"/>
      <c r="L18" s="199" t="str">
        <f t="shared" si="9"/>
        <v>R</v>
      </c>
      <c r="M18" s="231">
        <f t="shared" ca="1" si="10"/>
        <v>46446</v>
      </c>
      <c r="N18" s="231">
        <f t="shared" ca="1" si="17"/>
        <v>46444</v>
      </c>
      <c r="O18" s="199">
        <f t="shared" ca="1" si="18"/>
        <v>6</v>
      </c>
      <c r="P18" s="199">
        <f t="shared" ca="1" si="11"/>
        <v>25</v>
      </c>
      <c r="Q18" s="199">
        <f t="shared" ca="1" si="0"/>
        <v>365</v>
      </c>
      <c r="R18" s="199">
        <f t="shared" ca="1" si="12"/>
        <v>1.643835616438356E-2</v>
      </c>
      <c r="S18" s="199">
        <f t="shared" ca="1" si="13"/>
        <v>6.8493150684931503E-2</v>
      </c>
      <c r="T18" s="199">
        <f t="shared" ca="1" si="4"/>
        <v>8.4931506849315067E-2</v>
      </c>
      <c r="U18" s="415">
        <f t="shared" ca="1" si="14"/>
        <v>1.0072106849315068</v>
      </c>
      <c r="V18" s="233">
        <f ca="1">IF(B18&lt;&gt;"",1/PRODUCT($U$11:U18),0)</f>
        <v>0.94479660698566736</v>
      </c>
      <c r="AA18" s="240">
        <f t="shared" ca="1" si="5"/>
        <v>764.1</v>
      </c>
      <c r="AB18" s="240">
        <f ca="1">IF(B18&lt;&gt;"",AA18/((1+$V$5)^(SUM($T$11:T18))),0)</f>
        <v>685.89529981383464</v>
      </c>
      <c r="AD18">
        <f t="shared" ca="1" si="15"/>
        <v>1.0072106849315068</v>
      </c>
      <c r="AE18">
        <f ca="1">IF(B18&lt;&gt;"",1/PRODUCT($AD$11:AD18),0)</f>
        <v>0.94479660698566736</v>
      </c>
    </row>
    <row r="19" spans="1:35" ht="13.5" thickBot="1" x14ac:dyDescent="0.35">
      <c r="A19" s="196">
        <f>WERSJA2!J5</f>
        <v>0</v>
      </c>
      <c r="B19" s="248">
        <f t="shared" si="1"/>
        <v>9</v>
      </c>
      <c r="C19" s="249">
        <f t="shared" ca="1" si="6"/>
        <v>46472</v>
      </c>
      <c r="D19" s="249">
        <f t="shared" ca="1" si="16"/>
        <v>46472</v>
      </c>
      <c r="E19" s="250">
        <f t="shared" ca="1" si="7"/>
        <v>172.87</v>
      </c>
      <c r="F19" s="250">
        <f t="shared" ca="1" si="8"/>
        <v>591.23</v>
      </c>
      <c r="G19" s="250">
        <f t="shared" ca="1" si="2"/>
        <v>25952.230000000007</v>
      </c>
      <c r="H19" s="250">
        <f t="shared" ca="1" si="3"/>
        <v>764.1</v>
      </c>
      <c r="I19" s="99"/>
      <c r="K19" s="240"/>
      <c r="L19" s="199" t="str">
        <f t="shared" si="9"/>
        <v>R</v>
      </c>
      <c r="M19" s="231">
        <f t="shared" ca="1" si="10"/>
        <v>46477</v>
      </c>
      <c r="N19" s="231">
        <f t="shared" ca="1" si="17"/>
        <v>46472</v>
      </c>
      <c r="O19" s="199">
        <f t="shared" ca="1" si="18"/>
        <v>3</v>
      </c>
      <c r="P19" s="199">
        <f t="shared" ca="1" si="11"/>
        <v>25</v>
      </c>
      <c r="Q19" s="199">
        <f t="shared" ca="1" si="0"/>
        <v>365</v>
      </c>
      <c r="R19" s="199">
        <f t="shared" ca="1" si="12"/>
        <v>8.21917808219178E-3</v>
      </c>
      <c r="S19" s="199">
        <f t="shared" ca="1" si="13"/>
        <v>6.8493150684931503E-2</v>
      </c>
      <c r="T19" s="199">
        <f t="shared" ca="1" si="4"/>
        <v>7.6712328767123278E-2</v>
      </c>
      <c r="U19" s="415">
        <f t="shared" ca="1" si="14"/>
        <v>1.0065128767123288</v>
      </c>
      <c r="V19" s="233">
        <f ca="1">IF(B19&lt;&gt;"",1/PRODUCT($U$11:U19),0)</f>
        <v>0.93868307981488397</v>
      </c>
      <c r="AA19" s="240">
        <f t="shared" ca="1" si="5"/>
        <v>764.1</v>
      </c>
      <c r="AB19" s="240">
        <f ca="1">IF(B19&lt;&gt;"",AA19/((1+$V$5)^(SUM($T$11:T19))),0)</f>
        <v>677.48346252523709</v>
      </c>
      <c r="AD19">
        <f t="shared" ca="1" si="15"/>
        <v>1.0065128767123288</v>
      </c>
      <c r="AE19">
        <f ca="1">IF(B19&lt;&gt;"",1/PRODUCT($AD$11:AD19),0)</f>
        <v>0.93868307981488397</v>
      </c>
    </row>
    <row r="20" spans="1:35" ht="13" x14ac:dyDescent="0.3">
      <c r="A20" s="194" t="str">
        <f>WERSJA2!I6</f>
        <v>KWOTA UBEZPIECZENIA jednorazowego</v>
      </c>
      <c r="B20" s="248">
        <f t="shared" si="1"/>
        <v>10</v>
      </c>
      <c r="C20" s="249">
        <f t="shared" ca="1" si="6"/>
        <v>46503</v>
      </c>
      <c r="D20" s="249">
        <f t="shared" ca="1" si="16"/>
        <v>46503</v>
      </c>
      <c r="E20" s="250">
        <f t="shared" ca="1" si="7"/>
        <v>187.13</v>
      </c>
      <c r="F20" s="250">
        <f t="shared" ca="1" si="8"/>
        <v>576.97</v>
      </c>
      <c r="G20" s="250">
        <f t="shared" ca="1" si="2"/>
        <v>25375.260000000006</v>
      </c>
      <c r="H20" s="250">
        <f t="shared" ca="1" si="3"/>
        <v>764.1</v>
      </c>
      <c r="I20" s="99"/>
      <c r="K20" s="240"/>
      <c r="L20" s="199" t="str">
        <f t="shared" si="9"/>
        <v>R</v>
      </c>
      <c r="M20" s="231">
        <f t="shared" ca="1" si="10"/>
        <v>46507</v>
      </c>
      <c r="N20" s="231">
        <f t="shared" ca="1" si="17"/>
        <v>46503</v>
      </c>
      <c r="O20" s="199">
        <f t="shared" ca="1" si="18"/>
        <v>6</v>
      </c>
      <c r="P20" s="199">
        <f t="shared" ca="1" si="11"/>
        <v>25</v>
      </c>
      <c r="Q20" s="199">
        <f t="shared" ca="1" si="0"/>
        <v>365</v>
      </c>
      <c r="R20" s="928">
        <f ca="1">IF(B20&lt;&gt;"",O20/Q19,"")</f>
        <v>1.643835616438356E-2</v>
      </c>
      <c r="S20" s="199">
        <f t="shared" ca="1" si="13"/>
        <v>6.8493150684931503E-2</v>
      </c>
      <c r="T20" s="199">
        <f t="shared" ca="1" si="4"/>
        <v>8.4931506849315067E-2</v>
      </c>
      <c r="U20" s="415">
        <f t="shared" ca="1" si="14"/>
        <v>1.0072106849315068</v>
      </c>
      <c r="V20" s="233">
        <f ca="1">IF(B20&lt;&gt;"",1/PRODUCT($U$11:U20),0)</f>
        <v>0.93196298833815194</v>
      </c>
      <c r="AA20" s="240">
        <f t="shared" ca="1" si="5"/>
        <v>764.1</v>
      </c>
      <c r="AB20" s="240">
        <f ca="1">IF(B20&lt;&gt;"",AA20/((1+$V$5)^(SUM($T$11:T20))),0)</f>
        <v>668.29063898897186</v>
      </c>
      <c r="AD20">
        <f t="shared" ca="1" si="15"/>
        <v>1.0072106849315068</v>
      </c>
      <c r="AE20">
        <f ca="1">IF(B20&lt;&gt;"",1/PRODUCT($AD$11:AD20),0)</f>
        <v>0.93196298833815194</v>
      </c>
    </row>
    <row r="21" spans="1:35" ht="13.5" thickBot="1" x14ac:dyDescent="0.35">
      <c r="A21" s="196">
        <f>WERSJA2!J6</f>
        <v>0</v>
      </c>
      <c r="B21" s="248">
        <f t="shared" si="1"/>
        <v>11</v>
      </c>
      <c r="C21" s="249">
        <f t="shared" ca="1" si="6"/>
        <v>46533</v>
      </c>
      <c r="D21" s="249">
        <f t="shared" ca="1" si="16"/>
        <v>46533</v>
      </c>
      <c r="E21" s="250">
        <f t="shared" ca="1" si="7"/>
        <v>177.07</v>
      </c>
      <c r="F21" s="250">
        <f t="shared" ca="1" si="8"/>
        <v>587.03</v>
      </c>
      <c r="G21" s="250">
        <f t="shared" ca="1" si="2"/>
        <v>24788.230000000007</v>
      </c>
      <c r="H21" s="250">
        <f t="shared" ca="1" si="3"/>
        <v>764.1</v>
      </c>
      <c r="I21" s="99"/>
      <c r="K21" s="240"/>
      <c r="L21" s="199" t="str">
        <f t="shared" si="9"/>
        <v>R</v>
      </c>
      <c r="M21" s="231">
        <f t="shared" ca="1" si="10"/>
        <v>46538</v>
      </c>
      <c r="N21" s="231">
        <f t="shared" ca="1" si="17"/>
        <v>46533</v>
      </c>
      <c r="O21" s="199">
        <f t="shared" ca="1" si="18"/>
        <v>5</v>
      </c>
      <c r="P21" s="199">
        <f t="shared" ca="1" si="11"/>
        <v>25</v>
      </c>
      <c r="Q21" s="199">
        <f t="shared" ca="1" si="0"/>
        <v>365</v>
      </c>
      <c r="R21" s="199">
        <f t="shared" ca="1" si="12"/>
        <v>1.3698630136986301E-2</v>
      </c>
      <c r="S21" s="199">
        <f t="shared" ca="1" si="13"/>
        <v>6.8493150684931503E-2</v>
      </c>
      <c r="T21" s="199">
        <f t="shared" ca="1" si="4"/>
        <v>8.2191780821917804E-2</v>
      </c>
      <c r="U21" s="415">
        <f t="shared" ca="1" si="14"/>
        <v>1.0069780821917809</v>
      </c>
      <c r="V21" s="233">
        <f ca="1">IF(B21&lt;&gt;"",1/PRODUCT($U$11:U21),0)</f>
        <v>0.92550474019220796</v>
      </c>
      <c r="AA21" s="240">
        <f t="shared" ca="1" si="5"/>
        <v>764.1</v>
      </c>
      <c r="AB21" s="240">
        <f ca="1">IF(B21&lt;&gt;"",AA21/((1+$V$5)^(SUM($T$11:T21))),0)</f>
        <v>659.51314282927365</v>
      </c>
      <c r="AD21">
        <f t="shared" ca="1" si="15"/>
        <v>1.0069780821917809</v>
      </c>
      <c r="AE21">
        <f ca="1">IF(B21&lt;&gt;"",1/PRODUCT($AD$11:AD21),0)</f>
        <v>0.92550474019220796</v>
      </c>
    </row>
    <row r="22" spans="1:35" ht="13" x14ac:dyDescent="0.3">
      <c r="A22" s="194" t="s">
        <v>40</v>
      </c>
      <c r="B22" s="248">
        <f t="shared" si="1"/>
        <v>12</v>
      </c>
      <c r="C22" s="249">
        <f t="shared" ca="1" si="6"/>
        <v>46564</v>
      </c>
      <c r="D22" s="249">
        <f t="shared" ca="1" si="16"/>
        <v>46564</v>
      </c>
      <c r="E22" s="250">
        <f t="shared" ca="1" si="7"/>
        <v>178.74</v>
      </c>
      <c r="F22" s="250">
        <f t="shared" ca="1" si="8"/>
        <v>585.36</v>
      </c>
      <c r="G22" s="250">
        <f t="shared" ca="1" si="2"/>
        <v>24202.870000000006</v>
      </c>
      <c r="H22" s="250">
        <f t="shared" ca="1" si="3"/>
        <v>764.1</v>
      </c>
      <c r="I22" s="99"/>
      <c r="K22" s="240"/>
      <c r="L22" s="199" t="str">
        <f t="shared" si="9"/>
        <v>R</v>
      </c>
      <c r="M22" s="231">
        <f t="shared" ca="1" si="10"/>
        <v>46568</v>
      </c>
      <c r="N22" s="231">
        <f t="shared" ca="1" si="17"/>
        <v>46564</v>
      </c>
      <c r="O22" s="199">
        <f t="shared" ca="1" si="18"/>
        <v>6</v>
      </c>
      <c r="P22" s="199">
        <f t="shared" ca="1" si="11"/>
        <v>25</v>
      </c>
      <c r="Q22" s="199">
        <f t="shared" ca="1" si="0"/>
        <v>365</v>
      </c>
      <c r="R22" s="199">
        <f t="shared" ca="1" si="12"/>
        <v>1.643835616438356E-2</v>
      </c>
      <c r="S22" s="199">
        <f t="shared" ca="1" si="13"/>
        <v>6.8493150684931503E-2</v>
      </c>
      <c r="T22" s="199">
        <f t="shared" ca="1" si="4"/>
        <v>8.4931506849315067E-2</v>
      </c>
      <c r="U22" s="415">
        <f t="shared" ca="1" si="14"/>
        <v>1.0072106849315068</v>
      </c>
      <c r="V22" s="233">
        <f ca="1">IF(B22&lt;&gt;"",1/PRODUCT($U$11:U22),0)</f>
        <v>0.91887899328147504</v>
      </c>
      <c r="AA22" s="240">
        <f t="shared" ca="1" si="5"/>
        <v>764.1</v>
      </c>
      <c r="AB22" s="240">
        <f ca="1">IF(B22&lt;&gt;"",AA22/((1+$V$5)^(SUM($T$11:T22))),0)</f>
        <v>650.5641598987105</v>
      </c>
      <c r="AD22">
        <f t="shared" ca="1" si="15"/>
        <v>1.0072106849315068</v>
      </c>
      <c r="AE22">
        <f ca="1">IF(B22&lt;&gt;"",1/PRODUCT($AD$11:AD22),0)</f>
        <v>0.91887899328147504</v>
      </c>
    </row>
    <row r="23" spans="1:35" ht="13.5" thickBot="1" x14ac:dyDescent="0.35">
      <c r="A23" s="196">
        <f>G10</f>
        <v>31000</v>
      </c>
      <c r="B23" s="248">
        <f t="shared" si="1"/>
        <v>13</v>
      </c>
      <c r="C23" s="249">
        <f t="shared" ca="1" si="6"/>
        <v>46594</v>
      </c>
      <c r="D23" s="249">
        <f t="shared" ca="1" si="16"/>
        <v>46594</v>
      </c>
      <c r="E23" s="250">
        <f t="shared" ca="1" si="7"/>
        <v>168.89</v>
      </c>
      <c r="F23" s="250">
        <f t="shared" ca="1" si="8"/>
        <v>595.21</v>
      </c>
      <c r="G23" s="250">
        <f t="shared" ca="1" si="2"/>
        <v>23607.660000000007</v>
      </c>
      <c r="H23" s="250">
        <f t="shared" ca="1" si="3"/>
        <v>764.1</v>
      </c>
      <c r="I23" s="99"/>
      <c r="K23" s="240"/>
      <c r="L23" s="199" t="str">
        <f t="shared" si="9"/>
        <v>R</v>
      </c>
      <c r="M23" s="231">
        <f t="shared" ca="1" si="10"/>
        <v>46599</v>
      </c>
      <c r="N23" s="231">
        <f t="shared" ca="1" si="17"/>
        <v>46594</v>
      </c>
      <c r="O23" s="199">
        <f t="shared" ca="1" si="18"/>
        <v>5</v>
      </c>
      <c r="P23" s="199">
        <f t="shared" ca="1" si="11"/>
        <v>25</v>
      </c>
      <c r="Q23" s="199">
        <f t="shared" ca="1" si="0"/>
        <v>365</v>
      </c>
      <c r="R23" s="199">
        <f t="shared" ca="1" si="12"/>
        <v>1.3698630136986301E-2</v>
      </c>
      <c r="S23" s="199">
        <f t="shared" ca="1" si="13"/>
        <v>6.8493150684931503E-2</v>
      </c>
      <c r="T23" s="199">
        <f t="shared" ca="1" si="4"/>
        <v>8.2191780821917804E-2</v>
      </c>
      <c r="U23" s="415">
        <f t="shared" ca="1" si="14"/>
        <v>1.0069780821917809</v>
      </c>
      <c r="V23" s="233">
        <f ca="1">IF(B23&lt;&gt;"",1/PRODUCT($U$11:U23),0)</f>
        <v>0.9125114136361836</v>
      </c>
      <c r="AA23" s="240">
        <f t="shared" ca="1" si="5"/>
        <v>764.1</v>
      </c>
      <c r="AB23" s="240">
        <f ca="1">IF(B23&lt;&gt;"",AA23/((1+$V$5)^(SUM($T$11:T23))),0)</f>
        <v>642.0194877426153</v>
      </c>
      <c r="AD23">
        <f t="shared" ca="1" si="15"/>
        <v>1.0069780821917809</v>
      </c>
      <c r="AE23">
        <f ca="1">IF(B23&lt;&gt;"",1/PRODUCT($AD$11:AD23),0)</f>
        <v>0.9125114136361836</v>
      </c>
    </row>
    <row r="24" spans="1:35" ht="13" x14ac:dyDescent="0.3">
      <c r="A24" s="194" t="s">
        <v>162</v>
      </c>
      <c r="B24" s="248">
        <f t="shared" si="1"/>
        <v>14</v>
      </c>
      <c r="C24" s="249">
        <f t="shared" ca="1" si="6"/>
        <v>46625</v>
      </c>
      <c r="D24" s="249">
        <f t="shared" ca="1" si="16"/>
        <v>46625</v>
      </c>
      <c r="E24" s="250">
        <f ca="1">IF($H$1&lt;&gt;1,IF(B24=$C$5,H24-F24,IF(B24&lt;&gt;"",ROUND(G23*($D$3)*((SUM(O24:P24)/365)),2),"")),"Brak Oferty")</f>
        <v>170.23</v>
      </c>
      <c r="F24" s="250">
        <f t="shared" ca="1" si="8"/>
        <v>593.87</v>
      </c>
      <c r="G24" s="250">
        <f t="shared" ca="1" si="2"/>
        <v>23013.790000000008</v>
      </c>
      <c r="H24" s="250">
        <f t="shared" ca="1" si="3"/>
        <v>764.1</v>
      </c>
      <c r="I24" s="99"/>
      <c r="K24" s="240"/>
      <c r="L24" s="199" t="str">
        <f t="shared" si="9"/>
        <v>R</v>
      </c>
      <c r="M24" s="231">
        <f t="shared" ca="1" si="10"/>
        <v>46630</v>
      </c>
      <c r="N24" s="231">
        <f t="shared" ca="1" si="17"/>
        <v>46625</v>
      </c>
      <c r="O24" s="199">
        <f ca="1">IF(B24&lt;&gt;"",M23-N23+1,0)</f>
        <v>6</v>
      </c>
      <c r="P24" s="199">
        <f t="shared" ca="1" si="11"/>
        <v>25</v>
      </c>
      <c r="Q24" s="199">
        <f t="shared" ca="1" si="0"/>
        <v>365</v>
      </c>
      <c r="R24" s="928">
        <f ca="1">IF(B24&lt;&gt;"",O24/Q23,0)</f>
        <v>1.643835616438356E-2</v>
      </c>
      <c r="S24" s="199">
        <f t="shared" ca="1" si="13"/>
        <v>6.8493150684931503E-2</v>
      </c>
      <c r="T24" s="199">
        <f t="shared" ca="1" si="4"/>
        <v>8.4931506849315067E-2</v>
      </c>
      <c r="U24" s="415">
        <f t="shared" ca="1" si="14"/>
        <v>1.0072106849315068</v>
      </c>
      <c r="V24" s="233">
        <f ca="1">IF(B24&lt;&gt;"",1/PRODUCT($U$11:U24),0)</f>
        <v>0.90597868677121618</v>
      </c>
      <c r="AA24" s="240">
        <f t="shared" ca="1" si="5"/>
        <v>764.1</v>
      </c>
      <c r="AB24" s="240">
        <f ca="1">IF(B24&lt;&gt;"",AA24/((1+$V$5)^(SUM($T$11:T24))),0)</f>
        <v>633.30787752018659</v>
      </c>
      <c r="AD24">
        <f t="shared" ca="1" si="15"/>
        <v>1.0072106849315068</v>
      </c>
      <c r="AE24">
        <f ca="1">IF(B24&lt;&gt;"",1/PRODUCT($AD$11:AD24),0)</f>
        <v>0.90597868677121618</v>
      </c>
    </row>
    <row r="25" spans="1:35" ht="13.5" thickBot="1" x14ac:dyDescent="0.35">
      <c r="A25" s="196">
        <f ca="1">SUM(E11:E130)</f>
        <v>5676.799999999992</v>
      </c>
      <c r="B25" s="248">
        <f t="shared" si="1"/>
        <v>15</v>
      </c>
      <c r="C25" s="249">
        <f t="shared" ca="1" si="6"/>
        <v>46656</v>
      </c>
      <c r="D25" s="249">
        <f t="shared" ca="1" si="16"/>
        <v>46656</v>
      </c>
      <c r="E25" s="250">
        <f t="shared" ca="1" si="7"/>
        <v>165.95</v>
      </c>
      <c r="F25" s="250">
        <f t="shared" ca="1" si="8"/>
        <v>598.15</v>
      </c>
      <c r="G25" s="250">
        <f t="shared" ca="1" si="2"/>
        <v>22415.640000000007</v>
      </c>
      <c r="H25" s="250">
        <f t="shared" ca="1" si="3"/>
        <v>764.1</v>
      </c>
      <c r="I25" s="99"/>
      <c r="K25" s="231"/>
      <c r="L25" s="199" t="str">
        <f t="shared" si="9"/>
        <v>R</v>
      </c>
      <c r="M25" s="231">
        <f t="shared" ca="1" si="10"/>
        <v>46660</v>
      </c>
      <c r="N25" s="231">
        <f t="shared" ca="1" si="17"/>
        <v>46656</v>
      </c>
      <c r="O25" s="199">
        <f t="shared" ca="1" si="18"/>
        <v>6</v>
      </c>
      <c r="P25" s="199">
        <f t="shared" ca="1" si="11"/>
        <v>25</v>
      </c>
      <c r="Q25" s="199">
        <f t="shared" ca="1" si="0"/>
        <v>365</v>
      </c>
      <c r="R25" s="928">
        <f t="shared" ref="R25:R26" ca="1" si="19">IF(B25&lt;&gt;"",O25/Q24,0)</f>
        <v>1.643835616438356E-2</v>
      </c>
      <c r="S25" s="199">
        <f t="shared" ca="1" si="13"/>
        <v>6.8493150684931503E-2</v>
      </c>
      <c r="T25" s="199">
        <f t="shared" ca="1" si="4"/>
        <v>8.4931506849315067E-2</v>
      </c>
      <c r="U25" s="415">
        <f t="shared" ca="1" si="14"/>
        <v>1.0072106849315068</v>
      </c>
      <c r="V25" s="233">
        <f ca="1">IF(B25&lt;&gt;"",1/PRODUCT($U$11:U25),0)</f>
        <v>0.89949272811062886</v>
      </c>
      <c r="AA25" s="240">
        <f t="shared" ca="1" si="5"/>
        <v>764.1</v>
      </c>
      <c r="AB25" s="240">
        <f ca="1">IF(B25&lt;&gt;"",AA25/((1+$V$5)^(SUM($T$11:T25))),0)</f>
        <v>624.71447578537618</v>
      </c>
      <c r="AD25">
        <f t="shared" ca="1" si="15"/>
        <v>1.0072106849315068</v>
      </c>
      <c r="AE25">
        <f ca="1">IF(B25&lt;&gt;"",1/PRODUCT($AD$11:AD25),0)</f>
        <v>0.89949272811062886</v>
      </c>
      <c r="AI25">
        <v>-3.7778706683311344E+16</v>
      </c>
    </row>
    <row r="26" spans="1:35" ht="13" x14ac:dyDescent="0.3">
      <c r="A26" s="194" t="s">
        <v>138</v>
      </c>
      <c r="B26" s="248">
        <f t="shared" si="1"/>
        <v>16</v>
      </c>
      <c r="C26" s="249">
        <f t="shared" ca="1" si="6"/>
        <v>46686</v>
      </c>
      <c r="D26" s="249">
        <f t="shared" ca="1" si="16"/>
        <v>46686</v>
      </c>
      <c r="E26" s="250">
        <f t="shared" ca="1" si="7"/>
        <v>156.41999999999999</v>
      </c>
      <c r="F26" s="250">
        <f t="shared" ca="1" si="8"/>
        <v>607.67999999999995</v>
      </c>
      <c r="G26" s="250">
        <f t="shared" ca="1" si="2"/>
        <v>21807.960000000006</v>
      </c>
      <c r="H26" s="250">
        <f t="shared" ca="1" si="3"/>
        <v>764.1</v>
      </c>
      <c r="I26" s="99"/>
      <c r="K26" s="231"/>
      <c r="L26" s="199" t="str">
        <f t="shared" si="9"/>
        <v>R</v>
      </c>
      <c r="M26" s="231">
        <f t="shared" ca="1" si="10"/>
        <v>46691</v>
      </c>
      <c r="N26" s="231">
        <f t="shared" ca="1" si="17"/>
        <v>46686</v>
      </c>
      <c r="O26" s="199">
        <f t="shared" ca="1" si="18"/>
        <v>5</v>
      </c>
      <c r="P26" s="199">
        <f t="shared" ca="1" si="11"/>
        <v>25</v>
      </c>
      <c r="Q26" s="199">
        <f t="shared" ca="1" si="0"/>
        <v>365</v>
      </c>
      <c r="R26" s="928">
        <f t="shared" ca="1" si="19"/>
        <v>1.3698630136986301E-2</v>
      </c>
      <c r="S26" s="199">
        <f t="shared" ca="1" si="13"/>
        <v>6.8493150684931503E-2</v>
      </c>
      <c r="T26" s="199">
        <f t="shared" ca="1" si="4"/>
        <v>8.2191780821917804E-2</v>
      </c>
      <c r="U26" s="415">
        <f t="shared" ca="1" si="14"/>
        <v>1.0069780821917809</v>
      </c>
      <c r="V26" s="233">
        <f ca="1">IF(B26&lt;&gt;"",1/PRODUCT($U$11:U26),0)</f>
        <v>0.89325948997102289</v>
      </c>
      <c r="AA26" s="240">
        <f t="shared" ca="1" si="5"/>
        <v>764.1</v>
      </c>
      <c r="AB26" s="240">
        <f ca="1">IF(B26&lt;&gt;"",AA26/((1+$V$5)^(SUM($T$11:T26))),0)</f>
        <v>616.50931983644716</v>
      </c>
      <c r="AD26">
        <f t="shared" ca="1" si="15"/>
        <v>1.0069780821917809</v>
      </c>
      <c r="AE26">
        <f ca="1">IF(B26&lt;&gt;"",1/PRODUCT($AD$11:AD26),0)</f>
        <v>0.89325948997102289</v>
      </c>
    </row>
    <row r="27" spans="1:35" ht="13.5" thickBot="1" x14ac:dyDescent="0.35">
      <c r="A27" s="223">
        <f ca="1">H2</f>
        <v>764.1</v>
      </c>
      <c r="B27" s="248">
        <f t="shared" si="1"/>
        <v>17</v>
      </c>
      <c r="C27" s="249">
        <f t="shared" ca="1" si="6"/>
        <v>46717</v>
      </c>
      <c r="D27" s="249">
        <f t="shared" ca="1" si="16"/>
        <v>46717</v>
      </c>
      <c r="E27" s="250">
        <f t="shared" ca="1" si="7"/>
        <v>157.25</v>
      </c>
      <c r="F27" s="250">
        <f t="shared" ca="1" si="8"/>
        <v>606.85</v>
      </c>
      <c r="G27" s="250">
        <f t="shared" ca="1" si="2"/>
        <v>21201.110000000008</v>
      </c>
      <c r="H27" s="250">
        <f t="shared" ca="1" si="3"/>
        <v>764.1</v>
      </c>
      <c r="I27" s="99"/>
      <c r="K27" s="231"/>
      <c r="L27" s="199" t="str">
        <f t="shared" si="9"/>
        <v>R</v>
      </c>
      <c r="M27" s="231">
        <f t="shared" ca="1" si="10"/>
        <v>46721</v>
      </c>
      <c r="N27" s="231">
        <f t="shared" ca="1" si="17"/>
        <v>46717</v>
      </c>
      <c r="O27" s="199">
        <f t="shared" ca="1" si="18"/>
        <v>6</v>
      </c>
      <c r="P27" s="199">
        <f t="shared" ca="1" si="11"/>
        <v>25</v>
      </c>
      <c r="Q27" s="199">
        <f t="shared" ca="1" si="0"/>
        <v>365</v>
      </c>
      <c r="R27" s="199">
        <f t="shared" ca="1" si="12"/>
        <v>1.643835616438356E-2</v>
      </c>
      <c r="S27" s="199">
        <f t="shared" ca="1" si="13"/>
        <v>6.8493150684931503E-2</v>
      </c>
      <c r="T27" s="199">
        <f t="shared" ca="1" si="4"/>
        <v>8.4931506849315067E-2</v>
      </c>
      <c r="U27" s="415">
        <f t="shared" ca="1" si="14"/>
        <v>1.0072106849315068</v>
      </c>
      <c r="V27" s="233">
        <f ca="1">IF(B27&lt;&gt;"",1/PRODUCT($U$11:U27),0)</f>
        <v>0.8868645888439588</v>
      </c>
      <c r="AA27" s="240">
        <f t="shared" ca="1" si="5"/>
        <v>764.1</v>
      </c>
      <c r="AB27" s="240">
        <f ca="1">IF(B27&lt;&gt;"",AA27/((1+$V$5)^(SUM($T$11:T27))),0)</f>
        <v>608.14385898136663</v>
      </c>
      <c r="AD27">
        <f t="shared" ca="1" si="15"/>
        <v>1.0072106849315068</v>
      </c>
      <c r="AE27">
        <f ca="1">IF(B27&lt;&gt;"",1/PRODUCT($AD$11:AD27),0)</f>
        <v>0.8868645888439588</v>
      </c>
    </row>
    <row r="28" spans="1:35" ht="13" x14ac:dyDescent="0.3">
      <c r="A28" s="194" t="s">
        <v>14</v>
      </c>
      <c r="B28" s="248">
        <f t="shared" si="1"/>
        <v>18</v>
      </c>
      <c r="C28" s="249">
        <f t="shared" ca="1" si="6"/>
        <v>46747</v>
      </c>
      <c r="D28" s="249">
        <f t="shared" ca="1" si="16"/>
        <v>46747</v>
      </c>
      <c r="E28" s="250">
        <f t="shared" ca="1" si="7"/>
        <v>147.94</v>
      </c>
      <c r="F28" s="250">
        <f t="shared" ca="1" si="8"/>
        <v>616.16</v>
      </c>
      <c r="G28" s="250">
        <f t="shared" ca="1" si="2"/>
        <v>20584.950000000008</v>
      </c>
      <c r="H28" s="250">
        <f t="shared" ca="1" si="3"/>
        <v>764.1</v>
      </c>
      <c r="I28" s="99"/>
      <c r="K28" s="231"/>
      <c r="L28" s="199" t="str">
        <f t="shared" si="9"/>
        <v>R</v>
      </c>
      <c r="M28" s="231">
        <f t="shared" ca="1" si="10"/>
        <v>46752</v>
      </c>
      <c r="N28" s="231">
        <f t="shared" ca="1" si="17"/>
        <v>46747</v>
      </c>
      <c r="O28" s="199">
        <f t="shared" ca="1" si="18"/>
        <v>5</v>
      </c>
      <c r="P28" s="199">
        <f t="shared" ca="1" si="11"/>
        <v>25</v>
      </c>
      <c r="Q28" s="199">
        <f t="shared" ca="1" si="0"/>
        <v>365</v>
      </c>
      <c r="R28" s="199">
        <f t="shared" ca="1" si="12"/>
        <v>1.3698630136986301E-2</v>
      </c>
      <c r="S28" s="199">
        <f t="shared" ca="1" si="13"/>
        <v>6.8493150684931503E-2</v>
      </c>
      <c r="T28" s="199">
        <f t="shared" ca="1" si="4"/>
        <v>8.2191780821917804E-2</v>
      </c>
      <c r="U28" s="415">
        <f t="shared" ca="1" si="14"/>
        <v>1.0069780821917809</v>
      </c>
      <c r="V28" s="233">
        <f ca="1">IF(B28&lt;&gt;"",1/PRODUCT($U$11:U28),0)</f>
        <v>0.8807188602492878</v>
      </c>
      <c r="AA28" s="240">
        <f t="shared" ca="1" si="5"/>
        <v>764.1</v>
      </c>
      <c r="AB28" s="240">
        <f ca="1">IF(B28&lt;&gt;"",AA28/((1+$V$5)^(SUM($T$11:T28))),0)</f>
        <v>600.15634565209325</v>
      </c>
      <c r="AD28">
        <f t="shared" ca="1" si="15"/>
        <v>1.0069780821917809</v>
      </c>
      <c r="AE28">
        <f ca="1">IF(B28&lt;&gt;"",1/PRODUCT($AD$11:AD28),0)</f>
        <v>0.8807188602492878</v>
      </c>
    </row>
    <row r="29" spans="1:35" ht="13.5" thickBot="1" x14ac:dyDescent="0.35">
      <c r="A29" s="222">
        <f>$H$8</f>
        <v>0.17451905146291249</v>
      </c>
      <c r="B29" s="248">
        <f t="shared" si="1"/>
        <v>19</v>
      </c>
      <c r="C29" s="249">
        <f t="shared" ca="1" si="6"/>
        <v>46778</v>
      </c>
      <c r="D29" s="249">
        <f t="shared" ca="1" si="16"/>
        <v>46778</v>
      </c>
      <c r="E29" s="250">
        <f t="shared" ca="1" si="7"/>
        <v>148.43</v>
      </c>
      <c r="F29" s="250">
        <f t="shared" ca="1" si="8"/>
        <v>615.66999999999996</v>
      </c>
      <c r="G29" s="250">
        <f t="shared" ca="1" si="2"/>
        <v>19969.28000000001</v>
      </c>
      <c r="H29" s="250">
        <f t="shared" ca="1" si="3"/>
        <v>764.1</v>
      </c>
      <c r="I29" s="99"/>
      <c r="K29" s="231"/>
      <c r="L29" s="199" t="str">
        <f t="shared" si="9"/>
        <v>R</v>
      </c>
      <c r="M29" s="231">
        <f t="shared" ca="1" si="10"/>
        <v>46783</v>
      </c>
      <c r="N29" s="231">
        <f t="shared" ca="1" si="17"/>
        <v>46778</v>
      </c>
      <c r="O29" s="199">
        <f t="shared" ca="1" si="18"/>
        <v>6</v>
      </c>
      <c r="P29" s="199">
        <f t="shared" ca="1" si="11"/>
        <v>25</v>
      </c>
      <c r="Q29" s="199">
        <f t="shared" ca="1" si="0"/>
        <v>366</v>
      </c>
      <c r="R29" s="199">
        <f t="shared" ca="1" si="12"/>
        <v>1.643835616438356E-2</v>
      </c>
      <c r="S29" s="199">
        <f t="shared" ca="1" si="13"/>
        <v>6.8306010928961755E-2</v>
      </c>
      <c r="T29" s="199">
        <f t="shared" ca="1" si="4"/>
        <v>8.4744367093345319E-2</v>
      </c>
      <c r="U29" s="415">
        <f t="shared" ca="1" si="14"/>
        <v>1.0071947967662249</v>
      </c>
      <c r="V29" s="233">
        <f ca="1">IF(B29&lt;&gt;"",1/PRODUCT($U$11:U29),0)</f>
        <v>0.87442753187068667</v>
      </c>
      <c r="AA29" s="240">
        <f t="shared" ca="1" si="5"/>
        <v>764.1</v>
      </c>
      <c r="AB29" s="240">
        <f ca="1">IF(B29&lt;&gt;"",AA29/((1+$V$5)^(SUM($T$11:T29))),0)</f>
        <v>592.03060118935434</v>
      </c>
      <c r="AD29">
        <f t="shared" ca="1" si="15"/>
        <v>1.0072106849315068</v>
      </c>
      <c r="AE29">
        <f ca="1">IF(B29&lt;&gt;"",1/PRODUCT($AD$11:AD29),0)</f>
        <v>0.87441373828274993</v>
      </c>
    </row>
    <row r="30" spans="1:35" ht="13" x14ac:dyDescent="0.3">
      <c r="A30" s="194" t="s">
        <v>159</v>
      </c>
      <c r="B30" s="248">
        <f t="shared" si="1"/>
        <v>20</v>
      </c>
      <c r="C30" s="249">
        <f t="shared" ca="1" si="6"/>
        <v>46809</v>
      </c>
      <c r="D30" s="249">
        <f t="shared" ca="1" si="16"/>
        <v>46809</v>
      </c>
      <c r="E30" s="250">
        <f t="shared" ca="1" si="7"/>
        <v>143.99</v>
      </c>
      <c r="F30" s="250">
        <f t="shared" ca="1" si="8"/>
        <v>620.11</v>
      </c>
      <c r="G30" s="250">
        <f t="shared" ca="1" si="2"/>
        <v>19349.170000000009</v>
      </c>
      <c r="H30" s="250">
        <f t="shared" ca="1" si="3"/>
        <v>764.1</v>
      </c>
      <c r="I30" s="99"/>
      <c r="K30" s="231"/>
      <c r="L30" s="199" t="str">
        <f t="shared" si="9"/>
        <v>R</v>
      </c>
      <c r="M30" s="231">
        <f ca="1">IF(B30&lt;&gt;"",DATE(YEAR((D30)),MONTH((D30))+1,1)-1,"")</f>
        <v>46812</v>
      </c>
      <c r="N30" s="231">
        <f t="shared" ca="1" si="17"/>
        <v>46809</v>
      </c>
      <c r="O30" s="199">
        <f t="shared" ca="1" si="18"/>
        <v>6</v>
      </c>
      <c r="P30" s="199">
        <f t="shared" ca="1" si="11"/>
        <v>25</v>
      </c>
      <c r="Q30" s="199">
        <f t="shared" ca="1" si="0"/>
        <v>366</v>
      </c>
      <c r="R30" s="199">
        <f t="shared" ca="1" si="12"/>
        <v>1.6393442622950821E-2</v>
      </c>
      <c r="S30" s="199">
        <f t="shared" ca="1" si="13"/>
        <v>6.8306010928961755E-2</v>
      </c>
      <c r="T30" s="199">
        <f t="shared" ca="1" si="4"/>
        <v>8.4699453551912579E-2</v>
      </c>
      <c r="U30" s="415">
        <f t="shared" ca="1" si="14"/>
        <v>1.0071909836065573</v>
      </c>
      <c r="V30" s="233">
        <f ca="1">IF(B30&lt;&gt;"",1/PRODUCT($U$11:U30),0)</f>
        <v>0.86818443185375793</v>
      </c>
      <c r="AA30" s="240">
        <f t="shared" ca="1" si="5"/>
        <v>764.1</v>
      </c>
      <c r="AB30" s="240">
        <f ca="1">IF(B30&lt;&gt;"",AA30/((1+$V$5)^(SUM($T$11:T30))),0)</f>
        <v>584.01909363229743</v>
      </c>
      <c r="AD30">
        <f t="shared" ca="1" si="15"/>
        <v>1.0072106849315068</v>
      </c>
      <c r="AE30">
        <f ca="1">IF(B30&lt;&gt;"",1/PRODUCT($AD$11:AD30),0)</f>
        <v>0.86815375508274373</v>
      </c>
    </row>
    <row r="31" spans="1:35" ht="13.5" thickBot="1" x14ac:dyDescent="0.35">
      <c r="A31" s="258">
        <f ca="1">A25+A19</f>
        <v>5676.799999999992</v>
      </c>
      <c r="B31" s="248">
        <f t="shared" si="1"/>
        <v>21</v>
      </c>
      <c r="C31" s="249">
        <f t="shared" ca="1" si="6"/>
        <v>46838</v>
      </c>
      <c r="D31" s="249">
        <f t="shared" ca="1" si="16"/>
        <v>46838</v>
      </c>
      <c r="E31" s="250">
        <f t="shared" ca="1" si="7"/>
        <v>130.52000000000001</v>
      </c>
      <c r="F31" s="250">
        <f t="shared" ca="1" si="8"/>
        <v>633.58000000000004</v>
      </c>
      <c r="G31" s="250">
        <f t="shared" ca="1" si="2"/>
        <v>18715.590000000007</v>
      </c>
      <c r="H31" s="250">
        <f t="shared" ca="1" si="3"/>
        <v>764.1</v>
      </c>
      <c r="I31" s="99"/>
      <c r="K31" s="231"/>
      <c r="L31" s="199" t="str">
        <f t="shared" si="9"/>
        <v>R</v>
      </c>
      <c r="M31" s="231">
        <f t="shared" ca="1" si="10"/>
        <v>46843</v>
      </c>
      <c r="N31" s="231">
        <f t="shared" ca="1" si="17"/>
        <v>46838</v>
      </c>
      <c r="O31" s="199">
        <f t="shared" ca="1" si="18"/>
        <v>4</v>
      </c>
      <c r="P31" s="199">
        <f t="shared" ca="1" si="11"/>
        <v>25</v>
      </c>
      <c r="Q31" s="199">
        <f t="shared" ca="1" si="0"/>
        <v>366</v>
      </c>
      <c r="R31" s="199">
        <f t="shared" ca="1" si="12"/>
        <v>1.092896174863388E-2</v>
      </c>
      <c r="S31" s="199">
        <f t="shared" ca="1" si="13"/>
        <v>6.8306010928961755E-2</v>
      </c>
      <c r="T31" s="199">
        <f t="shared" ca="1" si="4"/>
        <v>7.9234972677595633E-2</v>
      </c>
      <c r="U31" s="415">
        <f t="shared" ca="1" si="14"/>
        <v>1.006727049180328</v>
      </c>
      <c r="V31" s="233">
        <f ca="1">IF(B31&lt;&gt;"",1/PRODUCT($U$11:U31),0)</f>
        <v>0.86238313807166433</v>
      </c>
      <c r="AA31" s="240">
        <f t="shared" ca="1" si="5"/>
        <v>764.1</v>
      </c>
      <c r="AB31" s="240">
        <f ca="1">IF(B31&lt;&gt;"",AA31/((1+$V$5)^(SUM($T$11:T31))),0)</f>
        <v>576.62263391377223</v>
      </c>
      <c r="AD31">
        <f t="shared" ca="1" si="15"/>
        <v>1.0067454794520547</v>
      </c>
      <c r="AE31">
        <f ca="1">IF(B31&lt;&gt;"",1/PRODUCT($AD$11:AD31),0)</f>
        <v>0.86233687938212267</v>
      </c>
    </row>
    <row r="32" spans="1:35" ht="13" x14ac:dyDescent="0.3">
      <c r="A32" s="194" t="s">
        <v>158</v>
      </c>
      <c r="B32" s="248">
        <f t="shared" si="1"/>
        <v>22</v>
      </c>
      <c r="C32" s="249">
        <f t="shared" ca="1" si="6"/>
        <v>46869</v>
      </c>
      <c r="D32" s="249">
        <f t="shared" ca="1" si="16"/>
        <v>46869</v>
      </c>
      <c r="E32" s="250">
        <f t="shared" ca="1" si="7"/>
        <v>134.94999999999999</v>
      </c>
      <c r="F32" s="250">
        <f t="shared" ca="1" si="8"/>
        <v>629.15</v>
      </c>
      <c r="G32" s="250">
        <f t="shared" ca="1" si="2"/>
        <v>18086.440000000006</v>
      </c>
      <c r="H32" s="250">
        <f t="shared" ca="1" si="3"/>
        <v>764.1</v>
      </c>
      <c r="I32" s="99"/>
      <c r="K32" s="231"/>
      <c r="L32" s="199" t="str">
        <f t="shared" si="9"/>
        <v>R</v>
      </c>
      <c r="M32" s="231">
        <f t="shared" ca="1" si="10"/>
        <v>46873</v>
      </c>
      <c r="N32" s="231">
        <f t="shared" ca="1" si="17"/>
        <v>46869</v>
      </c>
      <c r="O32" s="199">
        <f t="shared" ca="1" si="18"/>
        <v>6</v>
      </c>
      <c r="P32" s="199">
        <f t="shared" ca="1" si="11"/>
        <v>25</v>
      </c>
      <c r="Q32" s="199">
        <f t="shared" ca="1" si="0"/>
        <v>366</v>
      </c>
      <c r="R32" s="199">
        <f t="shared" ca="1" si="12"/>
        <v>1.6393442622950821E-2</v>
      </c>
      <c r="S32" s="199">
        <f t="shared" ca="1" si="13"/>
        <v>6.8306010928961755E-2</v>
      </c>
      <c r="T32" s="199">
        <f t="shared" ca="1" si="4"/>
        <v>8.4699453551912579E-2</v>
      </c>
      <c r="U32" s="415">
        <f t="shared" ca="1" si="14"/>
        <v>1.0071909836065573</v>
      </c>
      <c r="V32" s="233">
        <f ca="1">IF(B32&lt;&gt;"",1/PRODUCT($U$11:U32),0)</f>
        <v>0.85622603072124026</v>
      </c>
      <c r="AA32" s="240">
        <f t="shared" ca="1" si="5"/>
        <v>764.1</v>
      </c>
      <c r="AB32" s="240">
        <f ca="1">IF(B32&lt;&gt;"",AA32/((1+$V$5)^(SUM($T$11:T32))),0)</f>
        <v>568.81963085972461</v>
      </c>
      <c r="AD32">
        <f t="shared" ca="1" si="15"/>
        <v>1.0072106849315068</v>
      </c>
      <c r="AE32">
        <f ca="1">IF(B32&lt;&gt;"",1/PRODUCT($AD$11:AD32),0)</f>
        <v>0.85616335517803221</v>
      </c>
    </row>
    <row r="33" spans="1:31" ht="13.5" thickBot="1" x14ac:dyDescent="0.35">
      <c r="A33" s="258">
        <f ca="1">A31+A21</f>
        <v>5676.799999999992</v>
      </c>
      <c r="B33" s="248">
        <f t="shared" si="1"/>
        <v>23</v>
      </c>
      <c r="C33" s="249">
        <f t="shared" ca="1" si="6"/>
        <v>46899</v>
      </c>
      <c r="D33" s="249">
        <f t="shared" ca="1" si="16"/>
        <v>46899</v>
      </c>
      <c r="E33" s="250">
        <f t="shared" ca="1" si="7"/>
        <v>126.21</v>
      </c>
      <c r="F33" s="250">
        <f t="shared" ca="1" si="8"/>
        <v>637.89</v>
      </c>
      <c r="G33" s="250">
        <f t="shared" ca="1" si="2"/>
        <v>17448.550000000007</v>
      </c>
      <c r="H33" s="250">
        <f t="shared" ca="1" si="3"/>
        <v>764.1</v>
      </c>
      <c r="I33" s="99"/>
      <c r="K33" s="231"/>
      <c r="L33" s="199" t="str">
        <f t="shared" si="9"/>
        <v>R</v>
      </c>
      <c r="M33" s="231">
        <f t="shared" ca="1" si="10"/>
        <v>46904</v>
      </c>
      <c r="N33" s="231">
        <f t="shared" ca="1" si="17"/>
        <v>46899</v>
      </c>
      <c r="O33" s="199">
        <f t="shared" ca="1" si="18"/>
        <v>5</v>
      </c>
      <c r="P33" s="199">
        <f t="shared" ca="1" si="11"/>
        <v>25</v>
      </c>
      <c r="Q33" s="199">
        <f t="shared" ca="1" si="0"/>
        <v>366</v>
      </c>
      <c r="R33" s="199">
        <f t="shared" ca="1" si="12"/>
        <v>1.3661202185792349E-2</v>
      </c>
      <c r="S33" s="199">
        <f t="shared" ca="1" si="13"/>
        <v>6.8306010928961755E-2</v>
      </c>
      <c r="T33" s="199">
        <f t="shared" ca="1" si="4"/>
        <v>8.1967213114754106E-2</v>
      </c>
      <c r="U33" s="415">
        <f t="shared" ca="1" si="14"/>
        <v>1.0069590163934425</v>
      </c>
      <c r="V33" s="233">
        <f ca="1">IF(B33&lt;&gt;"",1/PRODUCT($U$11:U33),0)</f>
        <v>0.85030871841033562</v>
      </c>
      <c r="AA33" s="240">
        <f t="shared" ca="1" si="5"/>
        <v>764.1</v>
      </c>
      <c r="AB33" s="240">
        <f ca="1">IF(B33&lt;&gt;"",AA33/((1+$V$5)^(SUM($T$11:T33))),0)</f>
        <v>561.36889010766083</v>
      </c>
      <c r="AD33">
        <f t="shared" ca="1" si="15"/>
        <v>1.0069780821917809</v>
      </c>
      <c r="AE33">
        <f ca="1">IF(B33&lt;&gt;"",1/PRODUCT($AD$11:AD33),0)</f>
        <v>0.85023037772035071</v>
      </c>
    </row>
    <row r="34" spans="1:31" ht="13" x14ac:dyDescent="0.3">
      <c r="A34" s="194" t="s">
        <v>161</v>
      </c>
      <c r="B34" s="248">
        <f t="shared" si="1"/>
        <v>24</v>
      </c>
      <c r="C34" s="249">
        <f t="shared" ca="1" si="6"/>
        <v>46930</v>
      </c>
      <c r="D34" s="249">
        <f t="shared" ca="1" si="16"/>
        <v>46930</v>
      </c>
      <c r="E34" s="250">
        <f t="shared" ca="1" si="7"/>
        <v>125.82</v>
      </c>
      <c r="F34" s="250">
        <f t="shared" ca="1" si="8"/>
        <v>638.28</v>
      </c>
      <c r="G34" s="250">
        <f t="shared" ca="1" si="2"/>
        <v>16810.270000000008</v>
      </c>
      <c r="H34" s="250">
        <f t="shared" ca="1" si="3"/>
        <v>764.1</v>
      </c>
      <c r="I34" s="99"/>
      <c r="K34" s="231"/>
      <c r="L34" s="199" t="str">
        <f t="shared" si="9"/>
        <v>R</v>
      </c>
      <c r="M34" s="231">
        <f t="shared" ca="1" si="10"/>
        <v>46934</v>
      </c>
      <c r="N34" s="231">
        <f t="shared" ca="1" si="17"/>
        <v>46930</v>
      </c>
      <c r="O34" s="199">
        <f t="shared" ca="1" si="18"/>
        <v>6</v>
      </c>
      <c r="P34" s="199">
        <f t="shared" ca="1" si="11"/>
        <v>25</v>
      </c>
      <c r="Q34" s="199">
        <f t="shared" ca="1" si="0"/>
        <v>366</v>
      </c>
      <c r="R34" s="199">
        <f t="shared" ca="1" si="12"/>
        <v>1.6393442622950821E-2</v>
      </c>
      <c r="S34" s="199">
        <f t="shared" ca="1" si="13"/>
        <v>6.8306010928961755E-2</v>
      </c>
      <c r="T34" s="199">
        <f t="shared" ca="1" si="4"/>
        <v>8.4699453551912579E-2</v>
      </c>
      <c r="U34" s="415">
        <f t="shared" ca="1" si="14"/>
        <v>1.0071909836065573</v>
      </c>
      <c r="V34" s="233">
        <f ca="1">IF(B34&lt;&gt;"",1/PRODUCT($U$11:U34),0)</f>
        <v>0.84423781810034026</v>
      </c>
      <c r="AA34" s="240">
        <f t="shared" ca="1" si="5"/>
        <v>764.1</v>
      </c>
      <c r="AB34" s="240">
        <f ca="1">IF(B34&lt;&gt;"",AA34/((1+$V$5)^(SUM($T$11:T34))),0)</f>
        <v>553.77230456569873</v>
      </c>
      <c r="AD34">
        <f t="shared" ca="1" si="15"/>
        <v>1.0072106849315068</v>
      </c>
      <c r="AE34">
        <f ca="1">IF(B34&lt;&gt;"",1/PRODUCT($AD$11:AD34),0)</f>
        <v>0.84414352472657583</v>
      </c>
    </row>
    <row r="35" spans="1:31" ht="13.5" thickBot="1" x14ac:dyDescent="0.35">
      <c r="A35" s="911">
        <f ca="1">A23+A25</f>
        <v>36676.799999999988</v>
      </c>
      <c r="B35" s="248">
        <f t="shared" si="1"/>
        <v>25</v>
      </c>
      <c r="C35" s="249">
        <f t="shared" ca="1" si="6"/>
        <v>46960</v>
      </c>
      <c r="D35" s="249">
        <f t="shared" ca="1" si="16"/>
        <v>46960</v>
      </c>
      <c r="E35" s="250">
        <f t="shared" ca="1" si="7"/>
        <v>117.3</v>
      </c>
      <c r="F35" s="250">
        <f t="shared" ca="1" si="8"/>
        <v>646.79999999999995</v>
      </c>
      <c r="G35" s="250">
        <f t="shared" ca="1" si="2"/>
        <v>16163.470000000008</v>
      </c>
      <c r="H35" s="250">
        <f t="shared" ca="1" si="3"/>
        <v>764.1</v>
      </c>
      <c r="I35" s="99"/>
      <c r="K35" s="231"/>
      <c r="L35" s="199" t="str">
        <f t="shared" si="9"/>
        <v>R</v>
      </c>
      <c r="M35" s="231">
        <f t="shared" ca="1" si="10"/>
        <v>46965</v>
      </c>
      <c r="N35" s="231">
        <f t="shared" ca="1" si="17"/>
        <v>46960</v>
      </c>
      <c r="O35" s="199">
        <f t="shared" ca="1" si="18"/>
        <v>5</v>
      </c>
      <c r="P35" s="199">
        <f t="shared" ca="1" si="11"/>
        <v>25</v>
      </c>
      <c r="Q35" s="199">
        <f t="shared" ca="1" si="0"/>
        <v>366</v>
      </c>
      <c r="R35" s="199">
        <f t="shared" ca="1" si="12"/>
        <v>1.3661202185792349E-2</v>
      </c>
      <c r="S35" s="199">
        <f t="shared" ca="1" si="13"/>
        <v>6.8306010928961755E-2</v>
      </c>
      <c r="T35" s="199">
        <f t="shared" ca="1" si="4"/>
        <v>8.1967213114754106E-2</v>
      </c>
      <c r="U35" s="415">
        <f t="shared" ca="1" si="14"/>
        <v>1.0069590163934425</v>
      </c>
      <c r="V35" s="233">
        <f ca="1">IF(B35&lt;&gt;"",1/PRODUCT($U$11:U35),0)</f>
        <v>0.83840335540575428</v>
      </c>
      <c r="AA35" s="240">
        <f t="shared" ca="1" si="5"/>
        <v>764.1</v>
      </c>
      <c r="AB35" s="240">
        <f ca="1">IF(B35&lt;&gt;"",AA35/((1+$V$5)^(SUM($T$11:T35))),0)</f>
        <v>546.51866272011796</v>
      </c>
      <c r="AD35">
        <f t="shared" ca="1" si="15"/>
        <v>1.0069780821917809</v>
      </c>
      <c r="AE35">
        <f ca="1">IF(B35&lt;&gt;"",1/PRODUCT($AD$11:AD35),0)</f>
        <v>0.83829384140041996</v>
      </c>
    </row>
    <row r="36" spans="1:31" ht="13" x14ac:dyDescent="0.3">
      <c r="A36" s="24" t="s">
        <v>160</v>
      </c>
      <c r="B36" s="248">
        <f t="shared" si="1"/>
        <v>26</v>
      </c>
      <c r="C36" s="249">
        <f t="shared" ca="1" si="6"/>
        <v>46991</v>
      </c>
      <c r="D36" s="249">
        <f t="shared" ca="1" si="16"/>
        <v>46991</v>
      </c>
      <c r="E36" s="250">
        <f t="shared" ca="1" si="7"/>
        <v>116.55</v>
      </c>
      <c r="F36" s="250">
        <f t="shared" ca="1" si="8"/>
        <v>647.54999999999995</v>
      </c>
      <c r="G36" s="250">
        <f t="shared" ca="1" si="2"/>
        <v>15515.920000000009</v>
      </c>
      <c r="H36" s="250">
        <f t="shared" ca="1" si="3"/>
        <v>764.1</v>
      </c>
      <c r="I36" s="99"/>
      <c r="K36" s="231"/>
      <c r="L36" s="199" t="str">
        <f t="shared" si="9"/>
        <v>R</v>
      </c>
      <c r="M36" s="231">
        <f t="shared" ca="1" si="10"/>
        <v>46996</v>
      </c>
      <c r="N36" s="231">
        <f t="shared" ca="1" si="17"/>
        <v>46991</v>
      </c>
      <c r="O36" s="199">
        <f t="shared" ca="1" si="18"/>
        <v>6</v>
      </c>
      <c r="P36" s="199">
        <f t="shared" ca="1" si="11"/>
        <v>25</v>
      </c>
      <c r="Q36" s="199">
        <f t="shared" ca="1" si="0"/>
        <v>366</v>
      </c>
      <c r="R36" s="199">
        <f t="shared" ca="1" si="12"/>
        <v>1.6393442622950821E-2</v>
      </c>
      <c r="S36" s="199">
        <f t="shared" ca="1" si="13"/>
        <v>6.8306010928961755E-2</v>
      </c>
      <c r="T36" s="199">
        <f t="shared" ca="1" si="4"/>
        <v>8.4699453551912579E-2</v>
      </c>
      <c r="U36" s="415">
        <f t="shared" ca="1" si="14"/>
        <v>1.0071909836065573</v>
      </c>
      <c r="V36" s="233">
        <f ca="1">IF(B36&lt;&gt;"",1/PRODUCT($U$11:U36),0)</f>
        <v>0.83241745513208731</v>
      </c>
      <c r="AA36" s="240">
        <f t="shared" ca="1" si="5"/>
        <v>764.1</v>
      </c>
      <c r="AB36" s="240">
        <f ca="1">IF(B36&lt;&gt;"",AA36/((1+$V$5)^(SUM($T$11:T36))),0)</f>
        <v>539.12303420419528</v>
      </c>
      <c r="AD36">
        <f t="shared" ca="1" si="15"/>
        <v>1.0072106849315068</v>
      </c>
      <c r="AE36">
        <f ca="1">IF(B36&lt;&gt;"",1/PRODUCT($AD$11:AD36),0)</f>
        <v>0.83229244282433956</v>
      </c>
    </row>
    <row r="37" spans="1:31" ht="13" x14ac:dyDescent="0.3">
      <c r="A37" s="24"/>
      <c r="B37" s="248">
        <f t="shared" si="1"/>
        <v>27</v>
      </c>
      <c r="C37" s="249">
        <f t="shared" ca="1" si="6"/>
        <v>47022</v>
      </c>
      <c r="D37" s="249">
        <f t="shared" ca="1" si="16"/>
        <v>47022</v>
      </c>
      <c r="E37" s="250">
        <f t="shared" ca="1" si="7"/>
        <v>111.88</v>
      </c>
      <c r="F37" s="250">
        <f t="shared" ca="1" si="8"/>
        <v>652.22</v>
      </c>
      <c r="G37" s="250">
        <f t="shared" ca="1" si="2"/>
        <v>14863.70000000001</v>
      </c>
      <c r="H37" s="250">
        <f t="shared" ca="1" si="3"/>
        <v>764.1</v>
      </c>
      <c r="I37" s="99"/>
      <c r="K37" s="231"/>
      <c r="L37" s="199" t="str">
        <f t="shared" si="9"/>
        <v>R</v>
      </c>
      <c r="M37" s="231">
        <f t="shared" ca="1" si="10"/>
        <v>47026</v>
      </c>
      <c r="N37" s="231">
        <f t="shared" ca="1" si="17"/>
        <v>47022</v>
      </c>
      <c r="O37" s="199">
        <f t="shared" ca="1" si="18"/>
        <v>6</v>
      </c>
      <c r="P37" s="199">
        <f t="shared" ca="1" si="11"/>
        <v>25</v>
      </c>
      <c r="Q37" s="199">
        <f t="shared" ca="1" si="0"/>
        <v>366</v>
      </c>
      <c r="R37" s="199">
        <f t="shared" ca="1" si="12"/>
        <v>1.6393442622950821E-2</v>
      </c>
      <c r="S37" s="199">
        <f t="shared" ca="1" si="13"/>
        <v>6.8306010928961755E-2</v>
      </c>
      <c r="T37" s="199">
        <f t="shared" ca="1" si="4"/>
        <v>8.4699453551912579E-2</v>
      </c>
      <c r="U37" s="415">
        <f t="shared" ca="1" si="14"/>
        <v>1.0071909836065573</v>
      </c>
      <c r="V37" s="233">
        <f ca="1">IF(B37&lt;&gt;"",1/PRODUCT($U$11:U37),0)</f>
        <v>0.82647429204673806</v>
      </c>
      <c r="AA37" s="240">
        <f t="shared" ca="1" si="5"/>
        <v>764.1</v>
      </c>
      <c r="AB37" s="240">
        <f ca="1">IF(B37&lt;&gt;"",AA37/((1+$V$5)^(SUM($T$11:T37))),0)</f>
        <v>531.82748520042185</v>
      </c>
      <c r="AD37">
        <f t="shared" ca="1" si="15"/>
        <v>1.0072106849315068</v>
      </c>
      <c r="AE37">
        <f ca="1">IF(B37&lt;&gt;"",1/PRODUCT($AD$11:AD37),0)</f>
        <v>0.82633400863984852</v>
      </c>
    </row>
    <row r="38" spans="1:31" ht="13" x14ac:dyDescent="0.3">
      <c r="A38" s="24"/>
      <c r="B38" s="248">
        <f t="shared" si="1"/>
        <v>28</v>
      </c>
      <c r="C38" s="249">
        <f t="shared" ca="1" si="6"/>
        <v>47052</v>
      </c>
      <c r="D38" s="249">
        <f t="shared" ca="1" si="16"/>
        <v>47052</v>
      </c>
      <c r="E38" s="250">
        <f t="shared" ca="1" si="7"/>
        <v>103.72</v>
      </c>
      <c r="F38" s="250">
        <f t="shared" ca="1" si="8"/>
        <v>660.38</v>
      </c>
      <c r="G38" s="250">
        <f t="shared" ca="1" si="2"/>
        <v>14203.320000000011</v>
      </c>
      <c r="H38" s="250">
        <f t="shared" ca="1" si="3"/>
        <v>764.1</v>
      </c>
      <c r="I38" s="99"/>
      <c r="K38" s="231"/>
      <c r="L38" s="199" t="str">
        <f t="shared" si="9"/>
        <v>R</v>
      </c>
      <c r="M38" s="231">
        <f t="shared" ca="1" si="10"/>
        <v>47057</v>
      </c>
      <c r="N38" s="231">
        <f t="shared" ca="1" si="17"/>
        <v>47052</v>
      </c>
      <c r="O38" s="199">
        <f t="shared" ca="1" si="18"/>
        <v>5</v>
      </c>
      <c r="P38" s="199">
        <f t="shared" ca="1" si="11"/>
        <v>25</v>
      </c>
      <c r="Q38" s="199">
        <f t="shared" ca="1" si="0"/>
        <v>366</v>
      </c>
      <c r="R38" s="199">
        <f t="shared" ca="1" si="12"/>
        <v>1.3661202185792349E-2</v>
      </c>
      <c r="S38" s="199">
        <f t="shared" ca="1" si="13"/>
        <v>6.8306010928961755E-2</v>
      </c>
      <c r="T38" s="199">
        <f t="shared" ca="1" si="4"/>
        <v>8.1967213114754106E-2</v>
      </c>
      <c r="U38" s="415">
        <f t="shared" ca="1" si="14"/>
        <v>1.0069590163934425</v>
      </c>
      <c r="V38" s="233">
        <f ca="1">IF(B38&lt;&gt;"",1/PRODUCT($U$11:U38),0)</f>
        <v>0.82076259171586297</v>
      </c>
      <c r="AA38" s="240">
        <f t="shared" ca="1" si="5"/>
        <v>764.1</v>
      </c>
      <c r="AB38" s="240">
        <f ca="1">IF(B38&lt;&gt;"",AA38/((1+$V$5)^(SUM($T$11:T38))),0)</f>
        <v>524.86128976328246</v>
      </c>
      <c r="AD38">
        <f t="shared" ca="1" si="15"/>
        <v>1.0069780821917809</v>
      </c>
      <c r="AE38">
        <f ca="1">IF(B38&lt;&gt;"",1/PRODUCT($AD$11:AD38),0)</f>
        <v>0.82060774038026352</v>
      </c>
    </row>
    <row r="39" spans="1:31" ht="13" x14ac:dyDescent="0.3">
      <c r="A39" s="24"/>
      <c r="B39" s="248">
        <f t="shared" si="1"/>
        <v>29</v>
      </c>
      <c r="C39" s="249">
        <f t="shared" ca="1" si="6"/>
        <v>47083</v>
      </c>
      <c r="D39" s="249">
        <f t="shared" ca="1" si="16"/>
        <v>47083</v>
      </c>
      <c r="E39" s="250">
        <f t="shared" ca="1" si="7"/>
        <v>102.42</v>
      </c>
      <c r="F39" s="250">
        <f t="shared" ca="1" si="8"/>
        <v>661.68</v>
      </c>
      <c r="G39" s="250">
        <f t="shared" ca="1" si="2"/>
        <v>13541.64000000001</v>
      </c>
      <c r="H39" s="250">
        <f t="shared" ca="1" si="3"/>
        <v>764.1</v>
      </c>
      <c r="I39" s="99"/>
      <c r="K39" s="231"/>
      <c r="L39" s="199" t="str">
        <f t="shared" si="9"/>
        <v>R</v>
      </c>
      <c r="M39" s="231">
        <f t="shared" ca="1" si="10"/>
        <v>47087</v>
      </c>
      <c r="N39" s="231">
        <f t="shared" ca="1" si="17"/>
        <v>47083</v>
      </c>
      <c r="O39" s="199">
        <f t="shared" ca="1" si="18"/>
        <v>6</v>
      </c>
      <c r="P39" s="199">
        <f t="shared" ca="1" si="11"/>
        <v>25</v>
      </c>
      <c r="Q39" s="199">
        <f t="shared" ca="1" si="0"/>
        <v>366</v>
      </c>
      <c r="R39" s="199">
        <f t="shared" ca="1" si="12"/>
        <v>1.6393442622950821E-2</v>
      </c>
      <c r="S39" s="199">
        <f t="shared" ca="1" si="13"/>
        <v>6.8306010928961755E-2</v>
      </c>
      <c r="T39" s="199">
        <f t="shared" ca="1" si="4"/>
        <v>8.4699453551912579E-2</v>
      </c>
      <c r="U39" s="415">
        <f t="shared" ca="1" si="14"/>
        <v>1.0071909836065573</v>
      </c>
      <c r="V39" s="233">
        <f ca="1">IF(B39&lt;&gt;"",1/PRODUCT($U$11:U39),0)</f>
        <v>0.81490264018932135</v>
      </c>
      <c r="AA39" s="240">
        <f t="shared" ca="1" si="5"/>
        <v>764.1</v>
      </c>
      <c r="AB39" s="240">
        <f ca="1">IF(B39&lt;&gt;"",AA39/((1+$V$5)^(SUM($T$11:T39))),0)</f>
        <v>517.75873428574857</v>
      </c>
      <c r="AD39">
        <f t="shared" ca="1" si="15"/>
        <v>1.0072106849315068</v>
      </c>
      <c r="AE39">
        <f ca="1">IF(B39&lt;&gt;"",1/PRODUCT($AD$11:AD39),0)</f>
        <v>0.81473295771883825</v>
      </c>
    </row>
    <row r="40" spans="1:31" ht="13" x14ac:dyDescent="0.3">
      <c r="A40" s="24"/>
      <c r="B40" s="248">
        <f t="shared" si="1"/>
        <v>30</v>
      </c>
      <c r="C40" s="249">
        <f t="shared" ca="1" si="6"/>
        <v>47113</v>
      </c>
      <c r="D40" s="249">
        <f t="shared" ca="1" si="16"/>
        <v>47113</v>
      </c>
      <c r="E40" s="250">
        <f t="shared" ca="1" si="7"/>
        <v>94.49</v>
      </c>
      <c r="F40" s="250">
        <f t="shared" ca="1" si="8"/>
        <v>669.61</v>
      </c>
      <c r="G40" s="250">
        <f t="shared" ca="1" si="2"/>
        <v>12872.03000000001</v>
      </c>
      <c r="H40" s="250">
        <f t="shared" ca="1" si="3"/>
        <v>764.1</v>
      </c>
      <c r="I40" s="99"/>
      <c r="K40" s="231"/>
      <c r="L40" s="199" t="str">
        <f t="shared" si="9"/>
        <v>R</v>
      </c>
      <c r="M40" s="231">
        <f t="shared" ca="1" si="10"/>
        <v>47118</v>
      </c>
      <c r="N40" s="231">
        <f t="shared" ca="1" si="17"/>
        <v>47113</v>
      </c>
      <c r="O40" s="199">
        <f t="shared" ca="1" si="18"/>
        <v>5</v>
      </c>
      <c r="P40" s="199">
        <f t="shared" ca="1" si="11"/>
        <v>25</v>
      </c>
      <c r="Q40" s="199">
        <f t="shared" ca="1" si="0"/>
        <v>366</v>
      </c>
      <c r="R40" s="199">
        <f t="shared" ca="1" si="12"/>
        <v>1.3661202185792349E-2</v>
      </c>
      <c r="S40" s="199">
        <f t="shared" ca="1" si="13"/>
        <v>6.8306010928961755E-2</v>
      </c>
      <c r="T40" s="199">
        <f t="shared" ca="1" si="4"/>
        <v>8.1967213114754106E-2</v>
      </c>
      <c r="U40" s="415">
        <f t="shared" ca="1" si="14"/>
        <v>1.0069590163934425</v>
      </c>
      <c r="V40" s="233">
        <f ca="1">IF(B40&lt;&gt;"",1/PRODUCT($U$11:U40),0)</f>
        <v>0.80927091065533463</v>
      </c>
      <c r="AA40" s="240">
        <f t="shared" ca="1" si="5"/>
        <v>764.1</v>
      </c>
      <c r="AB40" s="240">
        <f ca="1">IF(B40&lt;&gt;"",AA40/((1+$V$5)^(SUM($T$11:T40))),0)</f>
        <v>510.97681978773937</v>
      </c>
      <c r="AD40">
        <f t="shared" ca="1" si="15"/>
        <v>1.0069780821917809</v>
      </c>
      <c r="AE40">
        <f ca="1">IF(B40&lt;&gt;"",1/PRODUCT($AD$11:AD40),0)</f>
        <v>0.80908708156338083</v>
      </c>
    </row>
    <row r="41" spans="1:31" ht="13" x14ac:dyDescent="0.3">
      <c r="A41" s="24"/>
      <c r="B41" s="248">
        <f t="shared" si="1"/>
        <v>31</v>
      </c>
      <c r="C41" s="249">
        <f t="shared" ca="1" si="6"/>
        <v>47144</v>
      </c>
      <c r="D41" s="249">
        <f t="shared" ca="1" si="16"/>
        <v>47144</v>
      </c>
      <c r="E41" s="250">
        <f t="shared" ca="1" si="7"/>
        <v>92.82</v>
      </c>
      <c r="F41" s="250">
        <f t="shared" ca="1" si="8"/>
        <v>671.28</v>
      </c>
      <c r="G41" s="250">
        <f t="shared" ca="1" si="2"/>
        <v>12200.750000000009</v>
      </c>
      <c r="H41" s="250">
        <f t="shared" ca="1" si="3"/>
        <v>764.1</v>
      </c>
      <c r="I41" s="99"/>
      <c r="K41" s="231"/>
      <c r="L41" s="199" t="str">
        <f t="shared" si="9"/>
        <v>R</v>
      </c>
      <c r="M41" s="231">
        <f t="shared" ca="1" si="10"/>
        <v>47149</v>
      </c>
      <c r="N41" s="231">
        <f t="shared" ca="1" si="17"/>
        <v>47144</v>
      </c>
      <c r="O41" s="199">
        <f t="shared" ca="1" si="18"/>
        <v>6</v>
      </c>
      <c r="P41" s="199">
        <f t="shared" ca="1" si="11"/>
        <v>25</v>
      </c>
      <c r="Q41" s="199">
        <f t="shared" ca="1" si="0"/>
        <v>365</v>
      </c>
      <c r="R41" s="199">
        <f t="shared" ca="1" si="12"/>
        <v>1.6393442622950821E-2</v>
      </c>
      <c r="S41" s="199">
        <f t="shared" ca="1" si="13"/>
        <v>6.8493150684931503E-2</v>
      </c>
      <c r="T41" s="199">
        <f t="shared" ca="1" si="4"/>
        <v>8.4886593307882327E-2</v>
      </c>
      <c r="U41" s="415">
        <f t="shared" ca="1" si="14"/>
        <v>1.0072068717718392</v>
      </c>
      <c r="V41" s="233">
        <f ca="1">IF(B41&lt;&gt;"",1/PRODUCT($U$11:U41),0)</f>
        <v>0.8034803309390619</v>
      </c>
      <c r="AA41" s="240">
        <f t="shared" ca="1" si="5"/>
        <v>764.1</v>
      </c>
      <c r="AB41" s="240">
        <f ca="1">IF(B41&lt;&gt;"",AA41/((1+$V$5)^(SUM($T$11:T41))),0)</f>
        <v>504.04697887504904</v>
      </c>
      <c r="AD41">
        <f t="shared" ca="1" si="15"/>
        <v>1.0072106849315068</v>
      </c>
      <c r="AE41">
        <f ca="1">IF(B41&lt;&gt;"",1/PRODUCT($AD$11:AD41),0)</f>
        <v>0.8032947760263297</v>
      </c>
    </row>
    <row r="42" spans="1:31" ht="13" x14ac:dyDescent="0.3">
      <c r="A42" s="24"/>
      <c r="B42" s="248">
        <f t="shared" si="1"/>
        <v>32</v>
      </c>
      <c r="C42" s="249">
        <f t="shared" ca="1" si="6"/>
        <v>47175</v>
      </c>
      <c r="D42" s="249">
        <f t="shared" ca="1" si="16"/>
        <v>47175</v>
      </c>
      <c r="E42" s="250">
        <f t="shared" ca="1" si="7"/>
        <v>87.98</v>
      </c>
      <c r="F42" s="250">
        <f t="shared" ca="1" si="8"/>
        <v>676.12</v>
      </c>
      <c r="G42" s="250">
        <f t="shared" ca="1" si="2"/>
        <v>11524.630000000008</v>
      </c>
      <c r="H42" s="250">
        <f t="shared" ca="1" si="3"/>
        <v>764.1</v>
      </c>
      <c r="I42" s="99"/>
      <c r="K42" s="231"/>
      <c r="L42" s="199" t="str">
        <f t="shared" si="9"/>
        <v>R</v>
      </c>
      <c r="M42" s="231">
        <f t="shared" ca="1" si="10"/>
        <v>47177</v>
      </c>
      <c r="N42" s="231">
        <f t="shared" ca="1" si="17"/>
        <v>47175</v>
      </c>
      <c r="O42" s="199">
        <f t="shared" ca="1" si="18"/>
        <v>6</v>
      </c>
      <c r="P42" s="199">
        <f t="shared" ca="1" si="11"/>
        <v>25</v>
      </c>
      <c r="Q42" s="199">
        <f t="shared" ca="1" si="0"/>
        <v>365</v>
      </c>
      <c r="R42" s="199">
        <f t="shared" ca="1" si="12"/>
        <v>1.643835616438356E-2</v>
      </c>
      <c r="S42" s="199">
        <f t="shared" ca="1" si="13"/>
        <v>6.8493150684931503E-2</v>
      </c>
      <c r="T42" s="199">
        <f t="shared" ca="1" si="4"/>
        <v>8.4931506849315067E-2</v>
      </c>
      <c r="U42" s="415">
        <f t="shared" ca="1" si="14"/>
        <v>1.0072106849315068</v>
      </c>
      <c r="V42" s="233">
        <f ca="1">IF(B42&lt;&gt;"",1/PRODUCT($U$11:U42),0)</f>
        <v>0.79772816448397876</v>
      </c>
      <c r="AA42" s="240">
        <f t="shared" ca="1" si="5"/>
        <v>764.1</v>
      </c>
      <c r="AB42" s="240">
        <f ca="1">IF(B42&lt;&gt;"",AA42/((1+$V$5)^(SUM($T$11:T42))),0)</f>
        <v>497.20752789640125</v>
      </c>
      <c r="AD42">
        <f t="shared" ca="1" si="15"/>
        <v>1.0072106849315068</v>
      </c>
      <c r="AE42">
        <f ca="1">IF(B42&lt;&gt;"",1/PRODUCT($AD$11:AD42),0)</f>
        <v>0.79754393797059053</v>
      </c>
    </row>
    <row r="43" spans="1:31" ht="13" x14ac:dyDescent="0.3">
      <c r="A43" s="24"/>
      <c r="B43" s="248">
        <f t="shared" si="1"/>
        <v>33</v>
      </c>
      <c r="C43" s="249">
        <f t="shared" ca="1" si="6"/>
        <v>47203</v>
      </c>
      <c r="D43" s="249">
        <f t="shared" ca="1" si="16"/>
        <v>47203</v>
      </c>
      <c r="E43" s="250">
        <f t="shared" ca="1" si="7"/>
        <v>75.06</v>
      </c>
      <c r="F43" s="250">
        <f t="shared" ca="1" si="8"/>
        <v>689.04</v>
      </c>
      <c r="G43" s="250">
        <f t="shared" ca="1" si="2"/>
        <v>10835.590000000007</v>
      </c>
      <c r="H43" s="250">
        <f t="shared" ca="1" si="3"/>
        <v>764.1</v>
      </c>
      <c r="I43" s="99"/>
      <c r="K43" s="231"/>
      <c r="L43" s="199" t="str">
        <f t="shared" si="9"/>
        <v>R</v>
      </c>
      <c r="M43" s="231">
        <f t="shared" ca="1" si="10"/>
        <v>47208</v>
      </c>
      <c r="N43" s="231">
        <f t="shared" ca="1" si="17"/>
        <v>47203</v>
      </c>
      <c r="O43" s="199">
        <f t="shared" ca="1" si="18"/>
        <v>3</v>
      </c>
      <c r="P43" s="199">
        <f t="shared" ca="1" si="11"/>
        <v>25</v>
      </c>
      <c r="Q43" s="199">
        <f t="shared" ca="1" si="0"/>
        <v>365</v>
      </c>
      <c r="R43" s="199">
        <f t="shared" ca="1" si="12"/>
        <v>8.21917808219178E-3</v>
      </c>
      <c r="S43" s="199">
        <f t="shared" ca="1" si="13"/>
        <v>6.8493150684931503E-2</v>
      </c>
      <c r="T43" s="199">
        <f t="shared" ca="1" si="4"/>
        <v>7.6712328767123278E-2</v>
      </c>
      <c r="U43" s="415">
        <f t="shared" ca="1" si="14"/>
        <v>1.0065128767123288</v>
      </c>
      <c r="V43" s="233">
        <f ca="1">IF(B43&lt;&gt;"",1/PRODUCT($U$11:U43),0)</f>
        <v>0.79256627802882762</v>
      </c>
      <c r="AA43" s="240">
        <f t="shared" ca="1" si="5"/>
        <v>764.1</v>
      </c>
      <c r="AB43" s="240">
        <f ca="1">IF(B43&lt;&gt;"",AA43/((1+$V$5)^(SUM($T$11:T43))),0)</f>
        <v>491.10976221049333</v>
      </c>
      <c r="AD43">
        <f t="shared" ca="1" si="15"/>
        <v>1.0065128767123288</v>
      </c>
      <c r="AE43">
        <f ca="1">IF(B43&lt;&gt;"",1/PRODUCT($AD$11:AD43),0)</f>
        <v>0.79238324359613377</v>
      </c>
    </row>
    <row r="44" spans="1:31" ht="13" x14ac:dyDescent="0.3">
      <c r="A44" s="24"/>
      <c r="B44" s="248">
        <f t="shared" si="1"/>
        <v>34</v>
      </c>
      <c r="C44" s="249">
        <f t="shared" ca="1" si="6"/>
        <v>47234</v>
      </c>
      <c r="D44" s="249">
        <f t="shared" ca="1" si="16"/>
        <v>47234</v>
      </c>
      <c r="E44" s="250">
        <f t="shared" ca="1" si="7"/>
        <v>78.13</v>
      </c>
      <c r="F44" s="250">
        <f t="shared" ca="1" si="8"/>
        <v>685.97</v>
      </c>
      <c r="G44" s="250">
        <f t="shared" ca="1" si="2"/>
        <v>10149.620000000008</v>
      </c>
      <c r="H44" s="250">
        <f t="shared" ca="1" si="3"/>
        <v>764.1</v>
      </c>
      <c r="I44" s="99"/>
      <c r="K44" s="231"/>
      <c r="L44" s="199" t="str">
        <f t="shared" si="9"/>
        <v>R</v>
      </c>
      <c r="M44" s="231">
        <f t="shared" ca="1" si="10"/>
        <v>47238</v>
      </c>
      <c r="N44" s="231">
        <f t="shared" ca="1" si="17"/>
        <v>47234</v>
      </c>
      <c r="O44" s="199">
        <f t="shared" ca="1" si="18"/>
        <v>6</v>
      </c>
      <c r="P44" s="199">
        <f t="shared" ca="1" si="11"/>
        <v>25</v>
      </c>
      <c r="Q44" s="199">
        <f t="shared" ca="1" si="0"/>
        <v>365</v>
      </c>
      <c r="R44" s="199">
        <f t="shared" ca="1" si="12"/>
        <v>1.643835616438356E-2</v>
      </c>
      <c r="S44" s="199">
        <f t="shared" ca="1" si="13"/>
        <v>6.8493150684931503E-2</v>
      </c>
      <c r="T44" s="199">
        <f t="shared" ca="1" si="4"/>
        <v>8.4931506849315067E-2</v>
      </c>
      <c r="U44" s="415">
        <f t="shared" ca="1" si="14"/>
        <v>1.0072106849315068</v>
      </c>
      <c r="V44" s="233">
        <f ca="1">IF(B44&lt;&gt;"",1/PRODUCT($U$11:U44),0)</f>
        <v>0.78689224596810592</v>
      </c>
      <c r="AA44" s="240">
        <f t="shared" ca="1" si="5"/>
        <v>764.1</v>
      </c>
      <c r="AB44" s="240">
        <f ca="1">IF(B44&lt;&gt;"",AA44/((1+$V$5)^(SUM($T$11:T44))),0)</f>
        <v>484.44585728783989</v>
      </c>
      <c r="AD44">
        <f t="shared" ca="1" si="15"/>
        <v>1.0072106849315068</v>
      </c>
      <c r="AE44">
        <f ca="1">IF(B44&lt;&gt;"",1/PRODUCT($AD$11:AD44),0)</f>
        <v>0.78671052189048019</v>
      </c>
    </row>
    <row r="45" spans="1:31" ht="13" x14ac:dyDescent="0.3">
      <c r="A45" s="24"/>
      <c r="B45" s="248">
        <f t="shared" si="1"/>
        <v>35</v>
      </c>
      <c r="C45" s="249">
        <f t="shared" ca="1" si="6"/>
        <v>47264</v>
      </c>
      <c r="D45" s="249">
        <f t="shared" ca="1" si="16"/>
        <v>47264</v>
      </c>
      <c r="E45" s="250">
        <f t="shared" ca="1" si="7"/>
        <v>70.819999999999993</v>
      </c>
      <c r="F45" s="250">
        <f t="shared" ca="1" si="8"/>
        <v>693.28</v>
      </c>
      <c r="G45" s="250">
        <f t="shared" ca="1" si="2"/>
        <v>9456.3400000000074</v>
      </c>
      <c r="H45" s="250">
        <f t="shared" ca="1" si="3"/>
        <v>764.1</v>
      </c>
      <c r="I45" s="99"/>
      <c r="K45" s="231"/>
      <c r="L45" s="199" t="str">
        <f t="shared" si="9"/>
        <v>R</v>
      </c>
      <c r="M45" s="231">
        <f t="shared" ca="1" si="10"/>
        <v>47269</v>
      </c>
      <c r="N45" s="231">
        <f t="shared" ca="1" si="17"/>
        <v>47264</v>
      </c>
      <c r="O45" s="199">
        <f t="shared" ca="1" si="18"/>
        <v>5</v>
      </c>
      <c r="P45" s="199">
        <f t="shared" ca="1" si="11"/>
        <v>25</v>
      </c>
      <c r="Q45" s="199">
        <f t="shared" ca="1" si="0"/>
        <v>365</v>
      </c>
      <c r="R45" s="199">
        <f t="shared" ca="1" si="12"/>
        <v>1.3698630136986301E-2</v>
      </c>
      <c r="S45" s="199">
        <f t="shared" ca="1" si="13"/>
        <v>6.8493150684931503E-2</v>
      </c>
      <c r="T45" s="199">
        <f t="shared" ca="1" si="4"/>
        <v>8.2191780821917804E-2</v>
      </c>
      <c r="U45" s="415">
        <f t="shared" ca="1" si="14"/>
        <v>1.0069780821917809</v>
      </c>
      <c r="V45" s="233">
        <f ca="1">IF(B45&lt;&gt;"",1/PRODUCT($U$11:U45),0)</f>
        <v>0.78143929831656533</v>
      </c>
      <c r="AA45" s="240">
        <f t="shared" ca="1" si="5"/>
        <v>764.1</v>
      </c>
      <c r="AB45" s="240">
        <f ca="1">IF(B45&lt;&gt;"",AA45/((1+$V$5)^(SUM($T$11:T45))),0)</f>
        <v>478.083024406687</v>
      </c>
      <c r="AD45">
        <f t="shared" ca="1" si="15"/>
        <v>1.0069780821917809</v>
      </c>
      <c r="AE45">
        <f ca="1">IF(B45&lt;&gt;"",1/PRODUCT($AD$11:AD45),0)</f>
        <v>0.78125883353700409</v>
      </c>
    </row>
    <row r="46" spans="1:31" ht="13" x14ac:dyDescent="0.3">
      <c r="A46" s="24"/>
      <c r="B46" s="248">
        <f t="shared" si="1"/>
        <v>36</v>
      </c>
      <c r="C46" s="249">
        <f t="shared" ca="1" si="6"/>
        <v>47295</v>
      </c>
      <c r="D46" s="249">
        <f t="shared" ca="1" si="16"/>
        <v>47295</v>
      </c>
      <c r="E46" s="250">
        <f t="shared" ca="1" si="7"/>
        <v>68.19</v>
      </c>
      <c r="F46" s="250">
        <f t="shared" ca="1" si="8"/>
        <v>695.91</v>
      </c>
      <c r="G46" s="250">
        <f t="shared" ca="1" si="2"/>
        <v>8760.4300000000076</v>
      </c>
      <c r="H46" s="250">
        <f t="shared" ca="1" si="3"/>
        <v>764.1</v>
      </c>
      <c r="I46" s="99"/>
      <c r="K46" s="231"/>
      <c r="L46" s="199" t="str">
        <f t="shared" si="9"/>
        <v>R</v>
      </c>
      <c r="M46" s="231">
        <f t="shared" ca="1" si="10"/>
        <v>47299</v>
      </c>
      <c r="N46" s="231">
        <f t="shared" ca="1" si="17"/>
        <v>47295</v>
      </c>
      <c r="O46" s="199">
        <f t="shared" ca="1" si="18"/>
        <v>6</v>
      </c>
      <c r="P46" s="199">
        <f t="shared" ca="1" si="11"/>
        <v>25</v>
      </c>
      <c r="Q46" s="199">
        <f t="shared" ca="1" si="0"/>
        <v>365</v>
      </c>
      <c r="R46" s="199">
        <f t="shared" ca="1" si="12"/>
        <v>1.643835616438356E-2</v>
      </c>
      <c r="S46" s="199">
        <f t="shared" ca="1" si="13"/>
        <v>6.8493150684931503E-2</v>
      </c>
      <c r="T46" s="199">
        <f t="shared" ca="1" si="4"/>
        <v>8.4931506849315067E-2</v>
      </c>
      <c r="U46" s="415">
        <f t="shared" ca="1" si="14"/>
        <v>1.0072106849315068</v>
      </c>
      <c r="V46" s="233">
        <f ca="1">IF(B46&lt;&gt;"",1/PRODUCT($U$11:U46),0)</f>
        <v>0.77584492500663393</v>
      </c>
      <c r="AA46" s="240">
        <f t="shared" ca="1" si="5"/>
        <v>764.1</v>
      </c>
      <c r="AB46" s="240">
        <f ca="1">IF(B46&lt;&gt;"",AA46/((1+$V$5)^(SUM($T$11:T46))),0)</f>
        <v>471.59588025903054</v>
      </c>
      <c r="AD46">
        <f t="shared" ca="1" si="15"/>
        <v>1.0072106849315068</v>
      </c>
      <c r="AE46">
        <f ca="1">IF(B46&lt;&gt;"",1/PRODUCT($AD$11:AD46),0)</f>
        <v>0.77566575218583189</v>
      </c>
    </row>
    <row r="47" spans="1:31" ht="13" x14ac:dyDescent="0.3">
      <c r="A47" s="24"/>
      <c r="B47" s="248">
        <f t="shared" si="1"/>
        <v>37</v>
      </c>
      <c r="C47" s="249">
        <f t="shared" ca="1" si="6"/>
        <v>47325</v>
      </c>
      <c r="D47" s="249">
        <f t="shared" ca="1" si="16"/>
        <v>47325</v>
      </c>
      <c r="E47" s="250">
        <f t="shared" ca="1" si="7"/>
        <v>61.13</v>
      </c>
      <c r="F47" s="250">
        <f t="shared" ca="1" si="8"/>
        <v>702.97</v>
      </c>
      <c r="G47" s="250">
        <f t="shared" ca="1" si="2"/>
        <v>8057.4600000000073</v>
      </c>
      <c r="H47" s="250">
        <f t="shared" ca="1" si="3"/>
        <v>764.1</v>
      </c>
      <c r="I47" s="99"/>
      <c r="K47" s="231"/>
      <c r="L47" s="199" t="str">
        <f t="shared" si="9"/>
        <v>R</v>
      </c>
      <c r="M47" s="231">
        <f t="shared" ca="1" si="10"/>
        <v>47330</v>
      </c>
      <c r="N47" s="231">
        <f t="shared" ca="1" si="17"/>
        <v>47325</v>
      </c>
      <c r="O47" s="199">
        <f t="shared" ca="1" si="18"/>
        <v>5</v>
      </c>
      <c r="P47" s="199">
        <f t="shared" ca="1" si="11"/>
        <v>25</v>
      </c>
      <c r="Q47" s="199">
        <f t="shared" ca="1" si="0"/>
        <v>365</v>
      </c>
      <c r="R47" s="199">
        <f t="shared" ca="1" si="12"/>
        <v>1.3698630136986301E-2</v>
      </c>
      <c r="S47" s="199">
        <f t="shared" ca="1" si="13"/>
        <v>6.8493150684931503E-2</v>
      </c>
      <c r="T47" s="199">
        <f t="shared" ca="1" si="4"/>
        <v>8.2191780821917804E-2</v>
      </c>
      <c r="U47" s="415">
        <f t="shared" ca="1" si="14"/>
        <v>1.0069780821917809</v>
      </c>
      <c r="V47" s="233">
        <f ca="1">IF(B47&lt;&gt;"",1/PRODUCT($U$11:U47),0)</f>
        <v>0.7704685322623267</v>
      </c>
      <c r="AA47" s="240">
        <f t="shared" ca="1" si="5"/>
        <v>764.1</v>
      </c>
      <c r="AB47" s="240">
        <f ca="1">IF(B47&lt;&gt;"",AA47/((1+$V$5)^(SUM($T$11:T47))),0)</f>
        <v>465.40182218548722</v>
      </c>
      <c r="AD47">
        <f t="shared" ca="1" si="15"/>
        <v>1.0069780821917809</v>
      </c>
      <c r="AE47">
        <f ca="1">IF(B47&lt;&gt;"",1/PRODUCT($AD$11:AD47),0)</f>
        <v>0.77029060106007841</v>
      </c>
    </row>
    <row r="48" spans="1:31" ht="13" x14ac:dyDescent="0.3">
      <c r="A48" s="24"/>
      <c r="B48" s="248">
        <f t="shared" si="1"/>
        <v>38</v>
      </c>
      <c r="C48" s="249">
        <f t="shared" ca="1" si="6"/>
        <v>47356</v>
      </c>
      <c r="D48" s="249">
        <f t="shared" ca="1" si="16"/>
        <v>47356</v>
      </c>
      <c r="E48" s="250">
        <f t="shared" ca="1" si="7"/>
        <v>58.1</v>
      </c>
      <c r="F48" s="250">
        <f t="shared" ca="1" si="8"/>
        <v>706</v>
      </c>
      <c r="G48" s="250">
        <f t="shared" ca="1" si="2"/>
        <v>7351.4600000000073</v>
      </c>
      <c r="H48" s="250">
        <f t="shared" ca="1" si="3"/>
        <v>764.1</v>
      </c>
      <c r="I48" s="99"/>
      <c r="K48" s="231"/>
      <c r="L48" s="199" t="str">
        <f t="shared" si="9"/>
        <v>R</v>
      </c>
      <c r="M48" s="231">
        <f t="shared" ca="1" si="10"/>
        <v>47361</v>
      </c>
      <c r="N48" s="231">
        <f t="shared" ca="1" si="17"/>
        <v>47356</v>
      </c>
      <c r="O48" s="199">
        <f t="shared" ca="1" si="18"/>
        <v>6</v>
      </c>
      <c r="P48" s="199">
        <f t="shared" ca="1" si="11"/>
        <v>25</v>
      </c>
      <c r="Q48" s="199">
        <f t="shared" ca="1" si="0"/>
        <v>365</v>
      </c>
      <c r="R48" s="199">
        <f t="shared" ca="1" si="12"/>
        <v>1.643835616438356E-2</v>
      </c>
      <c r="S48" s="199">
        <f t="shared" ca="1" si="13"/>
        <v>6.8493150684931503E-2</v>
      </c>
      <c r="T48" s="199">
        <f t="shared" ca="1" si="4"/>
        <v>8.4931506849315067E-2</v>
      </c>
      <c r="U48" s="415">
        <f t="shared" ca="1" si="14"/>
        <v>1.0072106849315068</v>
      </c>
      <c r="V48" s="233">
        <f ca="1">IF(B48&lt;&gt;"",1/PRODUCT($U$11:U48),0)</f>
        <v>0.76495269935973809</v>
      </c>
      <c r="AA48" s="240">
        <f t="shared" ca="1" si="5"/>
        <v>764.1</v>
      </c>
      <c r="AB48" s="240">
        <f ca="1">IF(B48&lt;&gt;"",AA48/((1+$V$5)^(SUM($T$11:T48))),0)</f>
        <v>459.0867502147849</v>
      </c>
      <c r="AD48">
        <f t="shared" ca="1" si="15"/>
        <v>1.0072106849315068</v>
      </c>
      <c r="AE48">
        <f ca="1">IF(B48&lt;&gt;"",1/PRODUCT($AD$11:AD48),0)</f>
        <v>0.7647760419782087</v>
      </c>
    </row>
    <row r="49" spans="1:31" ht="13" x14ac:dyDescent="0.3">
      <c r="A49" s="24"/>
      <c r="B49" s="248">
        <f t="shared" si="1"/>
        <v>39</v>
      </c>
      <c r="C49" s="249">
        <f t="shared" ca="1" si="6"/>
        <v>47387</v>
      </c>
      <c r="D49" s="249">
        <f t="shared" ca="1" si="16"/>
        <v>47387</v>
      </c>
      <c r="E49" s="250">
        <f t="shared" ca="1" si="7"/>
        <v>53.01</v>
      </c>
      <c r="F49" s="250">
        <f t="shared" ca="1" si="8"/>
        <v>711.09</v>
      </c>
      <c r="G49" s="250">
        <f t="shared" ca="1" si="2"/>
        <v>6640.3700000000072</v>
      </c>
      <c r="H49" s="250">
        <f t="shared" ca="1" si="3"/>
        <v>764.1</v>
      </c>
      <c r="I49" s="99"/>
      <c r="K49" s="231"/>
      <c r="L49" s="199" t="str">
        <f t="shared" si="9"/>
        <v>R</v>
      </c>
      <c r="M49" s="231">
        <f t="shared" ca="1" si="10"/>
        <v>47391</v>
      </c>
      <c r="N49" s="231">
        <f t="shared" ca="1" si="17"/>
        <v>47387</v>
      </c>
      <c r="O49" s="199">
        <f t="shared" ca="1" si="18"/>
        <v>6</v>
      </c>
      <c r="P49" s="199">
        <f t="shared" ca="1" si="11"/>
        <v>25</v>
      </c>
      <c r="Q49" s="199">
        <f t="shared" ca="1" si="0"/>
        <v>365</v>
      </c>
      <c r="R49" s="199">
        <f t="shared" ca="1" si="12"/>
        <v>1.643835616438356E-2</v>
      </c>
      <c r="S49" s="199">
        <f t="shared" ca="1" si="13"/>
        <v>6.8493150684931503E-2</v>
      </c>
      <c r="T49" s="199">
        <f t="shared" ca="1" si="4"/>
        <v>8.4931506849315067E-2</v>
      </c>
      <c r="U49" s="415">
        <f t="shared" ca="1" si="14"/>
        <v>1.0072106849315068</v>
      </c>
      <c r="V49" s="233">
        <f ca="1">IF(B49&lt;&gt;"",1/PRODUCT($U$11:U49),0)</f>
        <v>0.75947635465340302</v>
      </c>
      <c r="AA49" s="240">
        <f t="shared" ca="1" si="5"/>
        <v>764.1</v>
      </c>
      <c r="AB49" s="240">
        <f ca="1">IF(B49&lt;&gt;"",AA49/((1+$V$5)^(SUM($T$11:T49))),0)</f>
        <v>452.85736792576</v>
      </c>
      <c r="AD49">
        <f t="shared" ca="1" si="15"/>
        <v>1.0072106849315068</v>
      </c>
      <c r="AE49">
        <f ca="1">IF(B49&lt;&gt;"",1/PRODUCT($AD$11:AD49),0)</f>
        <v>0.75930096197322972</v>
      </c>
    </row>
    <row r="50" spans="1:31" ht="13" x14ac:dyDescent="0.3">
      <c r="A50" s="24"/>
      <c r="B50" s="248">
        <f t="shared" si="1"/>
        <v>40</v>
      </c>
      <c r="C50" s="249">
        <f t="shared" ca="1" si="6"/>
        <v>47417</v>
      </c>
      <c r="D50" s="249">
        <f t="shared" ca="1" si="16"/>
        <v>47417</v>
      </c>
      <c r="E50" s="250">
        <f t="shared" ca="1" si="7"/>
        <v>46.34</v>
      </c>
      <c r="F50" s="250">
        <f t="shared" ca="1" si="8"/>
        <v>717.76</v>
      </c>
      <c r="G50" s="250">
        <f t="shared" ca="1" si="2"/>
        <v>5922.6100000000069</v>
      </c>
      <c r="H50" s="250">
        <f t="shared" ca="1" si="3"/>
        <v>764.1</v>
      </c>
      <c r="I50" s="99"/>
      <c r="K50" s="231"/>
      <c r="L50" s="199" t="str">
        <f t="shared" si="9"/>
        <v>R</v>
      </c>
      <c r="M50" s="231">
        <f t="shared" ca="1" si="10"/>
        <v>47422</v>
      </c>
      <c r="N50" s="231">
        <f t="shared" ca="1" si="17"/>
        <v>47417</v>
      </c>
      <c r="O50" s="199">
        <f t="shared" ca="1" si="18"/>
        <v>5</v>
      </c>
      <c r="P50" s="199">
        <f t="shared" ca="1" si="11"/>
        <v>25</v>
      </c>
      <c r="Q50" s="199">
        <f t="shared" ca="1" si="0"/>
        <v>365</v>
      </c>
      <c r="R50" s="199">
        <f t="shared" ca="1" si="12"/>
        <v>1.3698630136986301E-2</v>
      </c>
      <c r="S50" s="199">
        <f t="shared" ca="1" si="13"/>
        <v>6.8493150684931503E-2</v>
      </c>
      <c r="T50" s="199">
        <f t="shared" ca="1" si="4"/>
        <v>8.2191780821917804E-2</v>
      </c>
      <c r="U50" s="415">
        <f t="shared" ca="1" si="14"/>
        <v>1.0069780821917809</v>
      </c>
      <c r="V50" s="233">
        <f ca="1">IF(B50&lt;&gt;"",1/PRODUCT($U$11:U50),0)</f>
        <v>0.75421339161656087</v>
      </c>
      <c r="AA50" s="240">
        <f t="shared" ca="1" si="5"/>
        <v>764.1</v>
      </c>
      <c r="AB50" s="240">
        <f ca="1">IF(B50&lt;&gt;"",AA50/((1+$V$5)^(SUM($T$11:T50))),0)</f>
        <v>446.90942615319096</v>
      </c>
      <c r="AD50">
        <f t="shared" ca="1" si="15"/>
        <v>1.0069780821917809</v>
      </c>
      <c r="AE50">
        <f ca="1">IF(B50&lt;&gt;"",1/PRODUCT($AD$11:AD50),0)</f>
        <v>0.75403921435960253</v>
      </c>
    </row>
    <row r="51" spans="1:31" ht="13" x14ac:dyDescent="0.3">
      <c r="A51" s="24"/>
      <c r="B51" s="248">
        <f t="shared" si="1"/>
        <v>41</v>
      </c>
      <c r="C51" s="249">
        <f t="shared" ca="1" si="6"/>
        <v>47448</v>
      </c>
      <c r="D51" s="249">
        <f t="shared" ca="1" si="16"/>
        <v>47448</v>
      </c>
      <c r="E51" s="250">
        <f t="shared" ca="1" si="7"/>
        <v>42.71</v>
      </c>
      <c r="F51" s="250">
        <f t="shared" ca="1" si="8"/>
        <v>721.39</v>
      </c>
      <c r="G51" s="250">
        <f t="shared" ca="1" si="2"/>
        <v>5201.2200000000066</v>
      </c>
      <c r="H51" s="250">
        <f t="shared" ca="1" si="3"/>
        <v>764.1</v>
      </c>
      <c r="I51" s="99"/>
      <c r="K51" s="231"/>
      <c r="L51" s="199" t="str">
        <f t="shared" si="9"/>
        <v>R</v>
      </c>
      <c r="M51" s="231">
        <f t="shared" ca="1" si="10"/>
        <v>47452</v>
      </c>
      <c r="N51" s="231">
        <f t="shared" ca="1" si="17"/>
        <v>47448</v>
      </c>
      <c r="O51" s="199">
        <f t="shared" ca="1" si="18"/>
        <v>6</v>
      </c>
      <c r="P51" s="199">
        <f t="shared" ca="1" si="11"/>
        <v>25</v>
      </c>
      <c r="Q51" s="199">
        <f t="shared" ca="1" si="0"/>
        <v>365</v>
      </c>
      <c r="R51" s="199">
        <f t="shared" ca="1" si="12"/>
        <v>1.643835616438356E-2</v>
      </c>
      <c r="S51" s="199">
        <f t="shared" ca="1" si="13"/>
        <v>6.8493150684931503E-2</v>
      </c>
      <c r="T51" s="199">
        <f t="shared" ca="1" si="4"/>
        <v>8.4931506849315067E-2</v>
      </c>
      <c r="U51" s="415">
        <f t="shared" ca="1" si="14"/>
        <v>1.0072106849315068</v>
      </c>
      <c r="V51" s="233">
        <f ca="1">IF(B51&lt;&gt;"",1/PRODUCT($U$11:U51),0)</f>
        <v>0.74881393029289556</v>
      </c>
      <c r="AA51" s="240">
        <f t="shared" ca="1" si="5"/>
        <v>764.1</v>
      </c>
      <c r="AB51" s="240">
        <f ca="1">IF(B51&lt;&gt;"",AA51/((1+$V$5)^(SUM($T$11:T51))),0)</f>
        <v>440.84527888086285</v>
      </c>
      <c r="AD51">
        <f t="shared" ca="1" si="15"/>
        <v>1.0072106849315068</v>
      </c>
      <c r="AE51">
        <f ca="1">IF(B51&lt;&gt;"",1/PRODUCT($AD$11:AD51),0)</f>
        <v>0.74864099998192468</v>
      </c>
    </row>
    <row r="52" spans="1:31" ht="13" x14ac:dyDescent="0.3">
      <c r="A52" s="24"/>
      <c r="B52" s="248">
        <f t="shared" si="1"/>
        <v>42</v>
      </c>
      <c r="C52" s="249">
        <f t="shared" ca="1" si="6"/>
        <v>47478</v>
      </c>
      <c r="D52" s="249">
        <f t="shared" ca="1" si="16"/>
        <v>47478</v>
      </c>
      <c r="E52" s="250">
        <f t="shared" ca="1" si="7"/>
        <v>36.29</v>
      </c>
      <c r="F52" s="250">
        <f t="shared" ca="1" si="8"/>
        <v>727.81</v>
      </c>
      <c r="G52" s="250">
        <f t="shared" ca="1" si="2"/>
        <v>4473.4100000000071</v>
      </c>
      <c r="H52" s="250">
        <f t="shared" ca="1" si="3"/>
        <v>764.1</v>
      </c>
      <c r="I52" s="99"/>
      <c r="K52" s="231"/>
      <c r="L52" s="199" t="str">
        <f t="shared" si="9"/>
        <v>R</v>
      </c>
      <c r="M52" s="231">
        <f t="shared" ca="1" si="10"/>
        <v>47483</v>
      </c>
      <c r="N52" s="231">
        <f t="shared" ca="1" si="17"/>
        <v>47478</v>
      </c>
      <c r="O52" s="199">
        <f t="shared" ca="1" si="18"/>
        <v>5</v>
      </c>
      <c r="P52" s="199">
        <f t="shared" ca="1" si="11"/>
        <v>25</v>
      </c>
      <c r="Q52" s="199">
        <f t="shared" ca="1" si="0"/>
        <v>365</v>
      </c>
      <c r="R52" s="199">
        <f t="shared" ca="1" si="12"/>
        <v>1.3698630136986301E-2</v>
      </c>
      <c r="S52" s="199">
        <f t="shared" ca="1" si="13"/>
        <v>6.8493150684931503E-2</v>
      </c>
      <c r="T52" s="199">
        <f t="shared" ca="1" si="4"/>
        <v>8.2191780821917804E-2</v>
      </c>
      <c r="U52" s="415">
        <f t="shared" ca="1" si="14"/>
        <v>1.0069780821917809</v>
      </c>
      <c r="V52" s="233">
        <f ca="1">IF(B52&lt;&gt;"",1/PRODUCT($U$11:U52),0)</f>
        <v>0.74362485493530595</v>
      </c>
      <c r="AA52" s="240">
        <f t="shared" ca="1" si="5"/>
        <v>764.1</v>
      </c>
      <c r="AB52" s="240">
        <f ca="1">IF(B52&lt;&gt;"",AA52/((1+$V$5)^(SUM($T$11:T52))),0)</f>
        <v>435.05510688585804</v>
      </c>
      <c r="AD52">
        <f t="shared" ca="1" si="15"/>
        <v>1.0069780821917809</v>
      </c>
      <c r="AE52">
        <f ca="1">IF(B52&lt;&gt;"",1/PRODUCT($AD$11:AD52),0)</f>
        <v>0.74345312298400612</v>
      </c>
    </row>
    <row r="53" spans="1:31" ht="13" x14ac:dyDescent="0.3">
      <c r="A53" s="24"/>
      <c r="B53" s="248">
        <f t="shared" si="1"/>
        <v>43</v>
      </c>
      <c r="C53" s="249">
        <f t="shared" ca="1" si="6"/>
        <v>47509</v>
      </c>
      <c r="D53" s="249">
        <f t="shared" ca="1" si="16"/>
        <v>47509</v>
      </c>
      <c r="E53" s="250">
        <f t="shared" ca="1" si="7"/>
        <v>32.26</v>
      </c>
      <c r="F53" s="250">
        <f t="shared" ca="1" si="8"/>
        <v>731.84</v>
      </c>
      <c r="G53" s="250">
        <f t="shared" ca="1" si="2"/>
        <v>3741.570000000007</v>
      </c>
      <c r="H53" s="250">
        <f t="shared" ca="1" si="3"/>
        <v>764.1</v>
      </c>
      <c r="I53" s="99"/>
      <c r="K53" s="231"/>
      <c r="L53" s="199" t="str">
        <f t="shared" si="9"/>
        <v>R</v>
      </c>
      <c r="M53" s="231">
        <f t="shared" ca="1" si="10"/>
        <v>47514</v>
      </c>
      <c r="N53" s="231">
        <f t="shared" ca="1" si="17"/>
        <v>47509</v>
      </c>
      <c r="O53" s="199">
        <f t="shared" ca="1" si="18"/>
        <v>6</v>
      </c>
      <c r="P53" s="199">
        <f t="shared" ca="1" si="11"/>
        <v>25</v>
      </c>
      <c r="Q53" s="199">
        <f t="shared" ca="1" si="0"/>
        <v>365</v>
      </c>
      <c r="R53" s="199">
        <f t="shared" ca="1" si="12"/>
        <v>1.643835616438356E-2</v>
      </c>
      <c r="S53" s="199">
        <f t="shared" ca="1" si="13"/>
        <v>6.8493150684931503E-2</v>
      </c>
      <c r="T53" s="199">
        <f t="shared" ca="1" si="4"/>
        <v>8.4931506849315067E-2</v>
      </c>
      <c r="U53" s="415">
        <f t="shared" ca="1" si="14"/>
        <v>1.0072106849315068</v>
      </c>
      <c r="V53" s="233">
        <f ca="1">IF(B53&lt;&gt;"",1/PRODUCT($U$11:U53),0)</f>
        <v>0.73830119761475188</v>
      </c>
      <c r="AA53" s="240">
        <f t="shared" ca="1" si="5"/>
        <v>764.1</v>
      </c>
      <c r="AB53" s="240">
        <f ca="1">IF(B53&lt;&gt;"",AA53/((1+$V$5)^(SUM($T$11:T53))),0)</f>
        <v>429.15181175412823</v>
      </c>
      <c r="AD53">
        <f t="shared" ca="1" si="15"/>
        <v>1.0072106849315068</v>
      </c>
      <c r="AE53">
        <f ca="1">IF(B53&lt;&gt;"",1/PRODUCT($AD$11:AD53),0)</f>
        <v>0.73813069510334184</v>
      </c>
    </row>
    <row r="54" spans="1:31" ht="13" x14ac:dyDescent="0.3">
      <c r="A54" s="24"/>
      <c r="B54" s="248">
        <f t="shared" si="1"/>
        <v>44</v>
      </c>
      <c r="C54" s="249">
        <f t="shared" ca="1" si="6"/>
        <v>47540</v>
      </c>
      <c r="D54" s="249">
        <f t="shared" ca="1" si="16"/>
        <v>47540</v>
      </c>
      <c r="E54" s="250">
        <f t="shared" ca="1" si="7"/>
        <v>26.98</v>
      </c>
      <c r="F54" s="250">
        <f t="shared" ca="1" si="8"/>
        <v>737.12</v>
      </c>
      <c r="G54" s="250">
        <f t="shared" ca="1" si="2"/>
        <v>3004.4500000000071</v>
      </c>
      <c r="H54" s="250">
        <f t="shared" ca="1" si="3"/>
        <v>764.1</v>
      </c>
      <c r="I54" s="99"/>
      <c r="K54" s="231"/>
      <c r="L54" s="199" t="str">
        <f t="shared" si="9"/>
        <v>R</v>
      </c>
      <c r="M54" s="231">
        <f t="shared" ca="1" si="10"/>
        <v>47542</v>
      </c>
      <c r="N54" s="231">
        <f t="shared" ca="1" si="17"/>
        <v>47540</v>
      </c>
      <c r="O54" s="199">
        <f t="shared" ca="1" si="18"/>
        <v>6</v>
      </c>
      <c r="P54" s="199">
        <f t="shared" ca="1" si="11"/>
        <v>25</v>
      </c>
      <c r="Q54" s="199">
        <f t="shared" ca="1" si="0"/>
        <v>365</v>
      </c>
      <c r="R54" s="199">
        <f t="shared" ca="1" si="12"/>
        <v>1.643835616438356E-2</v>
      </c>
      <c r="S54" s="199">
        <f t="shared" ca="1" si="13"/>
        <v>6.8493150684931503E-2</v>
      </c>
      <c r="T54" s="199">
        <f t="shared" ca="1" si="4"/>
        <v>8.4931506849315067E-2</v>
      </c>
      <c r="U54" s="415">
        <f t="shared" ca="1" si="14"/>
        <v>1.0072106849315068</v>
      </c>
      <c r="V54" s="233">
        <f ca="1">IF(B54&lt;&gt;"",1/PRODUCT($U$11:U54),0)</f>
        <v>0.73301565269331759</v>
      </c>
      <c r="AA54" s="240">
        <f t="shared" ca="1" si="5"/>
        <v>764.1</v>
      </c>
      <c r="AB54" s="240">
        <f ca="1">IF(B54&lt;&gt;"",AA54/((1+$V$5)^(SUM($T$11:T54))),0)</f>
        <v>423.32861887349429</v>
      </c>
      <c r="AD54">
        <f t="shared" ca="1" si="15"/>
        <v>1.0072106849315068</v>
      </c>
      <c r="AE54">
        <f ca="1">IF(B54&lt;&gt;"",1/PRODUCT($AD$11:AD54),0)</f>
        <v>0.73284637082015958</v>
      </c>
    </row>
    <row r="55" spans="1:31" ht="13" x14ac:dyDescent="0.3">
      <c r="A55" s="24"/>
      <c r="B55" s="248">
        <f t="shared" si="1"/>
        <v>45</v>
      </c>
      <c r="C55" s="249">
        <f t="shared" ca="1" si="6"/>
        <v>47568</v>
      </c>
      <c r="D55" s="249">
        <f t="shared" ca="1" si="16"/>
        <v>47568</v>
      </c>
      <c r="E55" s="250">
        <f t="shared" ca="1" si="7"/>
        <v>19.57</v>
      </c>
      <c r="F55" s="250">
        <f t="shared" ca="1" si="8"/>
        <v>744.53</v>
      </c>
      <c r="G55" s="250">
        <f t="shared" ca="1" si="2"/>
        <v>2259.9200000000073</v>
      </c>
      <c r="H55" s="250">
        <f t="shared" ca="1" si="3"/>
        <v>764.1</v>
      </c>
      <c r="I55" s="99"/>
      <c r="K55" s="231"/>
      <c r="L55" s="199" t="str">
        <f t="shared" si="9"/>
        <v>R</v>
      </c>
      <c r="M55" s="231">
        <f t="shared" ca="1" si="10"/>
        <v>47573</v>
      </c>
      <c r="N55" s="231">
        <f t="shared" ca="1" si="17"/>
        <v>47568</v>
      </c>
      <c r="O55" s="199">
        <f t="shared" ca="1" si="18"/>
        <v>3</v>
      </c>
      <c r="P55" s="199">
        <f t="shared" ca="1" si="11"/>
        <v>25</v>
      </c>
      <c r="Q55" s="199">
        <f t="shared" ca="1" si="0"/>
        <v>365</v>
      </c>
      <c r="R55" s="199">
        <f t="shared" ca="1" si="12"/>
        <v>8.21917808219178E-3</v>
      </c>
      <c r="S55" s="199">
        <f t="shared" ca="1" si="13"/>
        <v>6.8493150684931503E-2</v>
      </c>
      <c r="T55" s="199">
        <f t="shared" ca="1" si="4"/>
        <v>7.6712328767123278E-2</v>
      </c>
      <c r="U55" s="415">
        <f t="shared" ca="1" si="14"/>
        <v>1.0065128767123288</v>
      </c>
      <c r="V55" s="233">
        <f ca="1">IF(B55&lt;&gt;"",1/PRODUCT($U$11:U55),0)</f>
        <v>0.72827250366397511</v>
      </c>
      <c r="AA55" s="240">
        <f t="shared" ca="1" si="5"/>
        <v>764.1</v>
      </c>
      <c r="AB55" s="240">
        <f ca="1">IF(B55&lt;&gt;"",AA55/((1+$V$5)^(SUM($T$11:T55))),0)</f>
        <v>418.13690599466707</v>
      </c>
      <c r="AD55">
        <f t="shared" ca="1" si="15"/>
        <v>1.0065128767123288</v>
      </c>
      <c r="AE55">
        <f ca="1">IF(B55&lt;&gt;"",1/PRODUCT($AD$11:AD55),0)</f>
        <v>0.72810431716872526</v>
      </c>
    </row>
    <row r="56" spans="1:31" ht="13" x14ac:dyDescent="0.3">
      <c r="A56" s="24"/>
      <c r="B56" s="248">
        <f t="shared" si="1"/>
        <v>46</v>
      </c>
      <c r="C56" s="249">
        <f t="shared" ca="1" si="6"/>
        <v>47599</v>
      </c>
      <c r="D56" s="249">
        <f t="shared" ca="1" si="16"/>
        <v>47599</v>
      </c>
      <c r="E56" s="250">
        <f t="shared" ca="1" si="7"/>
        <v>16.3</v>
      </c>
      <c r="F56" s="250">
        <f t="shared" ca="1" si="8"/>
        <v>747.8</v>
      </c>
      <c r="G56" s="250">
        <f t="shared" ca="1" si="2"/>
        <v>1512.1200000000074</v>
      </c>
      <c r="H56" s="250">
        <f t="shared" ca="1" si="3"/>
        <v>764.1</v>
      </c>
      <c r="I56" s="99"/>
      <c r="K56" s="231"/>
      <c r="L56" s="199" t="str">
        <f t="shared" si="9"/>
        <v>R</v>
      </c>
      <c r="M56" s="231">
        <f t="shared" ca="1" si="10"/>
        <v>47603</v>
      </c>
      <c r="N56" s="231">
        <f t="shared" ca="1" si="17"/>
        <v>47599</v>
      </c>
      <c r="O56" s="199">
        <f t="shared" ca="1" si="18"/>
        <v>6</v>
      </c>
      <c r="P56" s="199">
        <f t="shared" ca="1" si="11"/>
        <v>25</v>
      </c>
      <c r="Q56" s="199">
        <f t="shared" ca="1" si="0"/>
        <v>365</v>
      </c>
      <c r="R56" s="199">
        <f t="shared" ca="1" si="12"/>
        <v>1.643835616438356E-2</v>
      </c>
      <c r="S56" s="199">
        <f t="shared" ca="1" si="13"/>
        <v>6.8493150684931503E-2</v>
      </c>
      <c r="T56" s="199">
        <f t="shared" ca="1" si="4"/>
        <v>8.4931506849315067E-2</v>
      </c>
      <c r="U56" s="415">
        <f t="shared" ca="1" si="14"/>
        <v>1.0072106849315068</v>
      </c>
      <c r="V56" s="233">
        <f ca="1">IF(B56&lt;&gt;"",1/PRODUCT($U$11:U56),0)</f>
        <v>0.72305875479617221</v>
      </c>
      <c r="AA56" s="240">
        <f t="shared" ca="1" si="5"/>
        <v>764.1</v>
      </c>
      <c r="AB56" s="240">
        <f ca="1">IF(B56&lt;&gt;"",AA56/((1+$V$5)^(SUM($T$11:T56))),0)</f>
        <v>412.46317519025547</v>
      </c>
      <c r="AD56">
        <f t="shared" ca="1" si="15"/>
        <v>1.0072106849315068</v>
      </c>
      <c r="AE56">
        <f ca="1">IF(B56&lt;&gt;"",1/PRODUCT($AD$11:AD56),0)</f>
        <v>0.72289177235866842</v>
      </c>
    </row>
    <row r="57" spans="1:31" ht="13" x14ac:dyDescent="0.3">
      <c r="A57" s="24"/>
      <c r="B57" s="248">
        <f t="shared" si="1"/>
        <v>47</v>
      </c>
      <c r="C57" s="249">
        <f t="shared" ca="1" si="6"/>
        <v>47629</v>
      </c>
      <c r="D57" s="249">
        <f t="shared" ca="1" si="16"/>
        <v>47629</v>
      </c>
      <c r="E57" s="250">
        <f t="shared" ca="1" si="7"/>
        <v>10.55</v>
      </c>
      <c r="F57" s="250">
        <f t="shared" ca="1" si="8"/>
        <v>753.55</v>
      </c>
      <c r="G57" s="250">
        <f t="shared" ca="1" si="2"/>
        <v>758.57000000000744</v>
      </c>
      <c r="H57" s="250">
        <f t="shared" ca="1" si="3"/>
        <v>764.1</v>
      </c>
      <c r="I57" s="99"/>
      <c r="K57" s="231"/>
      <c r="L57" s="199" t="str">
        <f t="shared" si="9"/>
        <v>R</v>
      </c>
      <c r="M57" s="231">
        <f t="shared" ca="1" si="10"/>
        <v>47634</v>
      </c>
      <c r="N57" s="231">
        <f t="shared" ca="1" si="17"/>
        <v>47629</v>
      </c>
      <c r="O57" s="199">
        <f t="shared" ca="1" si="18"/>
        <v>5</v>
      </c>
      <c r="P57" s="199">
        <f t="shared" ca="1" si="11"/>
        <v>25</v>
      </c>
      <c r="Q57" s="199">
        <f t="shared" ca="1" si="0"/>
        <v>365</v>
      </c>
      <c r="R57" s="199">
        <f t="shared" ca="1" si="12"/>
        <v>1.3698630136986301E-2</v>
      </c>
      <c r="S57" s="199">
        <f t="shared" ca="1" si="13"/>
        <v>6.8493150684931503E-2</v>
      </c>
      <c r="T57" s="199">
        <f t="shared" ca="1" si="4"/>
        <v>8.2191780821917804E-2</v>
      </c>
      <c r="U57" s="415">
        <f t="shared" ca="1" si="14"/>
        <v>1.0069780821917809</v>
      </c>
      <c r="V57" s="233">
        <f ca="1">IF(B57&lt;&gt;"",1/PRODUCT($U$11:U57),0)</f>
        <v>0.71804815574770808</v>
      </c>
      <c r="AA57" s="240">
        <f t="shared" ca="1" si="5"/>
        <v>764.1</v>
      </c>
      <c r="AB57" s="240">
        <f ca="1">IF(B57&lt;&gt;"",AA57/((1+$V$5)^(SUM($T$11:T57))),0)</f>
        <v>407.04578083362264</v>
      </c>
      <c r="AD57">
        <f t="shared" ca="1" si="15"/>
        <v>1.0069780821917809</v>
      </c>
      <c r="AE57">
        <f ca="1">IF(B57&lt;&gt;"",1/PRODUCT($AD$11:AD57),0)</f>
        <v>0.71788233045274208</v>
      </c>
    </row>
    <row r="58" spans="1:31" ht="13" x14ac:dyDescent="0.3">
      <c r="A58" s="24"/>
      <c r="B58" s="248">
        <f t="shared" si="1"/>
        <v>48</v>
      </c>
      <c r="C58" s="249">
        <f t="shared" ca="1" si="6"/>
        <v>47660</v>
      </c>
      <c r="D58" s="249">
        <f t="shared" ca="1" si="16"/>
        <v>47660</v>
      </c>
      <c r="E58" s="250">
        <f t="shared" ca="1" si="7"/>
        <v>5.5299999999925831</v>
      </c>
      <c r="F58" s="250">
        <f t="shared" ca="1" si="8"/>
        <v>758.57000000000744</v>
      </c>
      <c r="G58" s="250">
        <f t="shared" ca="1" si="2"/>
        <v>0</v>
      </c>
      <c r="H58" s="250">
        <f t="shared" ca="1" si="3"/>
        <v>764.1</v>
      </c>
      <c r="I58" s="99"/>
      <c r="K58" s="231"/>
      <c r="L58" s="199" t="str">
        <f t="shared" si="9"/>
        <v>R</v>
      </c>
      <c r="M58" s="231">
        <f t="shared" ca="1" si="10"/>
        <v>47664</v>
      </c>
      <c r="N58" s="231">
        <f t="shared" ca="1" si="17"/>
        <v>47660</v>
      </c>
      <c r="O58" s="199">
        <f t="shared" ca="1" si="18"/>
        <v>6</v>
      </c>
      <c r="P58" s="199">
        <f t="shared" ca="1" si="11"/>
        <v>25</v>
      </c>
      <c r="Q58" s="199">
        <f t="shared" ca="1" si="0"/>
        <v>365</v>
      </c>
      <c r="R58" s="199">
        <f t="shared" ca="1" si="12"/>
        <v>1.643835616438356E-2</v>
      </c>
      <c r="S58" s="199">
        <f t="shared" ca="1" si="13"/>
        <v>6.8493150684931503E-2</v>
      </c>
      <c r="T58" s="199">
        <f t="shared" ca="1" si="4"/>
        <v>8.4931506849315067E-2</v>
      </c>
      <c r="U58" s="415">
        <f t="shared" ca="1" si="14"/>
        <v>1.0072106849315068</v>
      </c>
      <c r="V58" s="233">
        <f ca="1">IF(B58&lt;&gt;"",1/PRODUCT($U$11:U58),0)</f>
        <v>0.71290760363263761</v>
      </c>
      <c r="AA58" s="240">
        <f t="shared" ca="1" si="5"/>
        <v>764.1</v>
      </c>
      <c r="AB58" s="240">
        <f ca="1">IF(B58&lt;&gt;"",AA58/((1+$V$5)^(SUM($T$11:T58))),0)</f>
        <v>401.52254633216745</v>
      </c>
      <c r="AD58">
        <f t="shared" ca="1" si="15"/>
        <v>1.0072106849315068</v>
      </c>
      <c r="AE58">
        <f ca="1">IF(B58&lt;&gt;"",1/PRODUCT($AD$11:AD58),0)</f>
        <v>0.71274296549143557</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7041"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87042"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Arkusz7">
    <tabColor indexed="18"/>
  </sheetPr>
  <dimension ref="A1:AI200"/>
  <sheetViews>
    <sheetView workbookViewId="0">
      <selection activeCell="I7" sqref="I7"/>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46229</v>
      </c>
      <c r="C1" s="85"/>
      <c r="D1" s="217">
        <f>IF(D3=D4,D4,D3)</f>
        <v>8.4900000000000003E-2</v>
      </c>
      <c r="E1" s="218" t="str">
        <f ca="1">IF(I2&lt;&gt;"",I2,IF(I3&lt;&gt;"",I3,I4))</f>
        <v/>
      </c>
      <c r="F1" s="218">
        <f ca="1">IF(G2&lt;=MAX_,E2,IF(G3&lt;=MAX_,E3,E4))</f>
        <v>46229</v>
      </c>
      <c r="G1" s="214">
        <v>45</v>
      </c>
      <c r="H1" s="255">
        <f ca="1">IF(OR(H2=D4,D1=D4),1,0)</f>
        <v>0</v>
      </c>
      <c r="I1">
        <v>15</v>
      </c>
      <c r="K1" s="252"/>
      <c r="M1" s="252"/>
      <c r="N1" s="252"/>
      <c r="O1" s="252"/>
      <c r="P1" s="252"/>
      <c r="Q1" s="252"/>
      <c r="R1" s="252"/>
      <c r="S1" s="252"/>
      <c r="T1" s="252"/>
    </row>
    <row r="2" spans="1:33" ht="13" x14ac:dyDescent="0.3">
      <c r="A2" s="205"/>
      <c r="B2" s="350">
        <f ca="1">DATE(YEAR((E5)),MONTH((E5))+1,1)-1</f>
        <v>46203</v>
      </c>
      <c r="C2" s="351">
        <f ca="1">DAY(B2)</f>
        <v>30</v>
      </c>
      <c r="D2" s="4"/>
      <c r="E2" s="213">
        <f ca="1">IF(MOD(MONTH(F2)-MONTH(F3),12)&gt;1,DATE(YEAR(F2),MONTH(F2),DAY(F2)-DAY(F2)),F2)</f>
        <v>46260</v>
      </c>
      <c r="F2" s="213">
        <f ca="1">DATE(YEAR(E5),MONTH(E5)+2,$G$5)</f>
        <v>46260</v>
      </c>
      <c r="G2" s="215">
        <f ca="1">E2-$E$5</f>
        <v>61</v>
      </c>
      <c r="H2" s="221">
        <f ca="1">ROUND(AE4,2)</f>
        <v>764.1</v>
      </c>
      <c r="I2" s="264" t="str">
        <f ca="1">IF(AND(G2&lt;=MAX_,G2&gt;=MIN),E2,"")</f>
        <v/>
      </c>
    </row>
    <row r="3" spans="1:33" ht="13.5" thickBot="1" x14ac:dyDescent="0.35">
      <c r="A3" s="209" t="s">
        <v>59</v>
      </c>
      <c r="B3" s="254"/>
      <c r="C3" s="4"/>
      <c r="D3" s="212">
        <f>'DOD1'!H3</f>
        <v>8.4900000000000003E-2</v>
      </c>
      <c r="E3" s="213">
        <f ca="1">IF(MOD(MONTH(F3)-MONTH(F4),12)&gt;1,DATE(YEAR(F3),MONTH(F3),DAY(F3)-DAY(F3)),F3)</f>
        <v>46229</v>
      </c>
      <c r="F3" s="213">
        <f ca="1">DATE(YEAR(E5),MONTH(E5)+1,$G$5)</f>
        <v>46229</v>
      </c>
      <c r="G3" s="215">
        <f ca="1">E3-E5</f>
        <v>30</v>
      </c>
      <c r="I3" s="265"/>
      <c r="P3" s="411" t="s">
        <v>180</v>
      </c>
      <c r="Q3" s="412">
        <v>365</v>
      </c>
    </row>
    <row r="4" spans="1:33" ht="13.5" thickBot="1" x14ac:dyDescent="0.35">
      <c r="A4" s="211" t="s">
        <v>19</v>
      </c>
      <c r="B4" s="204"/>
      <c r="C4" s="204"/>
      <c r="D4" s="206" t="s">
        <v>15</v>
      </c>
      <c r="E4" s="213">
        <f ca="1">IF(MOD(MONTH(F4)-MONTH(F5),12)&gt;1,DATE(YEAR(F4),MONTH(F4),DAY(F4)-DAY(F4)),F4)</f>
        <v>46199</v>
      </c>
      <c r="F4" s="213">
        <f ca="1">DATE(YEAR(E5),MONTH(E5),$G$5)</f>
        <v>46199</v>
      </c>
      <c r="G4" s="215">
        <f ca="1">(E4-E5)</f>
        <v>0</v>
      </c>
      <c r="H4" s="262">
        <f ca="1">VLOOKUP(B6,B11:D130,3,FALSE)</f>
        <v>47660</v>
      </c>
      <c r="I4" s="265" t="str">
        <f ca="1">IF(AND(G4&lt;=MAX_,G4&gt;=MIN),E4,"")</f>
        <v/>
      </c>
      <c r="M4" s="916"/>
      <c r="U4" s="945" t="s">
        <v>121</v>
      </c>
      <c r="V4" s="946">
        <f ca="1">G10/V9</f>
        <v>764.01635614291638</v>
      </c>
      <c r="AD4" s="413" t="s">
        <v>121</v>
      </c>
      <c r="AE4" s="203">
        <f ca="1">G10/AE9</f>
        <v>764.09841779400153</v>
      </c>
      <c r="AF4" s="609" t="s">
        <v>1959</v>
      </c>
    </row>
    <row r="5" spans="1:33" ht="13.5" thickBot="1" x14ac:dyDescent="0.35">
      <c r="A5" s="210" t="s">
        <v>60</v>
      </c>
      <c r="B5" s="2"/>
      <c r="C5" s="615">
        <f>'DOD1'!E8</f>
        <v>48</v>
      </c>
      <c r="D5" s="2"/>
      <c r="E5" s="614">
        <f ca="1">WERSJA2!D18</f>
        <v>46199</v>
      </c>
      <c r="F5" s="618">
        <f ca="1">DATE(YEAR(E5),MONTH(E5)-1,$G$5)</f>
        <v>46168</v>
      </c>
      <c r="G5" s="615">
        <f ca="1">WERSJA2!D19</f>
        <v>26</v>
      </c>
      <c r="H5" s="262">
        <f ca="1">D11</f>
        <v>46229</v>
      </c>
      <c r="I5" s="263" t="s">
        <v>167</v>
      </c>
      <c r="M5" s="916"/>
      <c r="U5" s="228" t="s">
        <v>150</v>
      </c>
      <c r="V5" s="229">
        <v>0.17451905146291249</v>
      </c>
      <c r="AD5" s="609" t="s">
        <v>1817</v>
      </c>
    </row>
    <row r="6" spans="1:33" ht="13.5" thickBot="1" x14ac:dyDescent="0.35">
      <c r="B6" s="261">
        <f>MAX(B11:B130)</f>
        <v>48</v>
      </c>
      <c r="C6" s="207" t="s">
        <v>118</v>
      </c>
      <c r="D6" s="207" t="s">
        <v>5</v>
      </c>
      <c r="E6" s="207" t="s">
        <v>119</v>
      </c>
      <c r="F6" s="207" t="s">
        <v>120</v>
      </c>
      <c r="G6" s="207" t="s">
        <v>145</v>
      </c>
      <c r="H6" s="207" t="s">
        <v>121</v>
      </c>
      <c r="I6" s="352">
        <v>14</v>
      </c>
      <c r="M6" s="224">
        <f ca="1">IF(M11=M9,1,IF(M10=M9,2,3))</f>
        <v>2</v>
      </c>
      <c r="N6" s="225" t="s">
        <v>151</v>
      </c>
    </row>
    <row r="7" spans="1:33" ht="13.5" thickBot="1" x14ac:dyDescent="0.35">
      <c r="A7" s="609"/>
      <c r="I7" s="352">
        <f ca="1">IF(C2=30,45,46)</f>
        <v>45</v>
      </c>
      <c r="AB7" s="226" t="s">
        <v>144</v>
      </c>
      <c r="AD7" s="178" t="s">
        <v>182</v>
      </c>
      <c r="AE7" s="178" t="s">
        <v>183</v>
      </c>
    </row>
    <row r="8" spans="1:33" ht="13.5" thickBot="1" x14ac:dyDescent="0.35">
      <c r="A8" s="192" t="str">
        <f>WERSJA2!C4</f>
        <v>RODZAJ POŻYCZKI</v>
      </c>
      <c r="B8" s="24"/>
      <c r="C8" s="24"/>
      <c r="E8" s="207" t="s">
        <v>5</v>
      </c>
      <c r="F8" s="241">
        <f>D1</f>
        <v>8.4900000000000003E-2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-4137.1699471104621</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46203</v>
      </c>
      <c r="N9" s="232">
        <f ca="1">D10</f>
        <v>46199</v>
      </c>
      <c r="Q9" s="199">
        <f ca="1">IF(B9&lt;&gt;"",IF(MOD(YEAR(N9),4)=0,366,365),0)</f>
        <v>365</v>
      </c>
      <c r="U9" s="234"/>
      <c r="V9" s="235">
        <f ca="1">SUM(V11:V130)</f>
        <v>40.575047576862559</v>
      </c>
      <c r="Z9" s="236">
        <f ca="1">G10/((1+$V$5)^(0/Q9))</f>
        <v>31000</v>
      </c>
      <c r="AA9" s="237">
        <f>G10</f>
        <v>31000</v>
      </c>
      <c r="AB9" s="236">
        <f ca="1">SUM(AB10:AB130)</f>
        <v>26862.830052889538</v>
      </c>
      <c r="AE9" s="235">
        <f ca="1">SUM(AE11:AE130)</f>
        <v>40.570689950515643</v>
      </c>
      <c r="AF9">
        <v>11.930682479761785</v>
      </c>
      <c r="AG9" s="653"/>
    </row>
    <row r="10" spans="1:33" ht="13" x14ac:dyDescent="0.3">
      <c r="A10" s="194" t="str">
        <f>WERSJA2!C6</f>
        <v>SEGMENT KLIENTA</v>
      </c>
      <c r="B10" s="242">
        <v>0</v>
      </c>
      <c r="C10" s="243">
        <f ca="1">E5</f>
        <v>46199</v>
      </c>
      <c r="D10" s="243">
        <f ca="1">E5</f>
        <v>46199</v>
      </c>
      <c r="E10" s="24"/>
      <c r="F10" s="24"/>
      <c r="G10" s="244">
        <f>'DOD1'!K3</f>
        <v>31000</v>
      </c>
      <c r="H10" s="24"/>
      <c r="I10" s="99"/>
      <c r="K10" s="919">
        <v>0</v>
      </c>
      <c r="L10" s="199" t="s">
        <v>147</v>
      </c>
      <c r="M10" s="232">
        <f ca="1">DATE(YEAR((N11)),MONTH((N11)+1),1)-1</f>
        <v>46203</v>
      </c>
      <c r="N10" s="232">
        <f ca="1">DATE(YEAR(N11),MONTH(N11)-1,DAY(N11))</f>
        <v>46199</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46229</v>
      </c>
      <c r="D11" s="246">
        <f ca="1">B1</f>
        <v>46229</v>
      </c>
      <c r="E11" s="247">
        <f ca="1">IF($H$1&lt;&gt;1,IF(B11=$C$5,H11-F11,IF(B11&lt;&gt;"",ROUND(G10*($D$3)*((SUM(O10:P11)/365)),2),"")),"Brak Oferty")</f>
        <v>216.32</v>
      </c>
      <c r="F11" s="247">
        <f ca="1">IF($H$1&lt;&gt;1,IF(B11=$C$5,G10,IF(B11&lt;&gt;"",ROUND((H11-E11),2),"")),"Brak Oferty")</f>
        <v>547.78</v>
      </c>
      <c r="G11" s="247">
        <f ca="1">IF($H$1&lt;&gt;1,IF(B11&lt;&gt;"",G10-F11,""),"Brak Oferty")</f>
        <v>30452.22</v>
      </c>
      <c r="H11" s="247">
        <f ca="1">IF($H$1&lt;&gt;1,IF(B11&lt;&gt;"",$H$2,""),$D$4)</f>
        <v>764.1</v>
      </c>
      <c r="I11" s="99"/>
      <c r="K11" s="918">
        <v>1</v>
      </c>
      <c r="L11" s="202" t="s">
        <v>147</v>
      </c>
      <c r="M11" s="238">
        <f ca="1">IF(B11&lt;&gt;"",DATE(YEAR((D11)),MONTH((D11))+1,1)-1,"")</f>
        <v>46234</v>
      </c>
      <c r="N11" s="238">
        <f ca="1">D11</f>
        <v>46229</v>
      </c>
      <c r="O11" s="202">
        <f ca="1">IF(M6=1,0,IF(M6=2,M9-N9+1,M10-N10+1))</f>
        <v>5</v>
      </c>
      <c r="P11" s="202">
        <f ca="1">IF(M6=1,N11-N9,IF(M6=2,N11-M9-1,N11-M10-1))</f>
        <v>25</v>
      </c>
      <c r="Q11" s="202">
        <f t="shared" ref="Q11:Q70" ca="1" si="0">IF(B11&lt;&gt;"",IF(MOD(YEAR(N11),4)=0,366,365),0)</f>
        <v>365</v>
      </c>
      <c r="R11" s="202">
        <f ca="1">IF(1,O11/Q10,"")</f>
        <v>1.3698630136986301E-2</v>
      </c>
      <c r="S11" s="202">
        <f ca="1">IF(1,P11/Q11,"")</f>
        <v>6.8493150684931503E-2</v>
      </c>
      <c r="T11" s="202">
        <f ca="1">IF(B11&lt;&gt;"",R10+S10+R11+S11,"")</f>
        <v>8.2191780821917804E-2</v>
      </c>
      <c r="U11" s="415">
        <f ca="1">IF(B11&lt;&gt;"",1+$D$1*T11,0)</f>
        <v>1.0069780821917809</v>
      </c>
      <c r="V11" s="202">
        <f ca="1">IF(B11&lt;&gt;"",1/U11,0)</f>
        <v>0.99307027400577341</v>
      </c>
      <c r="W11" s="197"/>
      <c r="X11" s="197"/>
      <c r="Y11" s="197"/>
      <c r="Z11" s="197"/>
      <c r="AA11" s="239">
        <f ca="1">IF(B11&lt;&gt;"",$H$2,0)</f>
        <v>764.1</v>
      </c>
      <c r="AB11" s="239">
        <f ca="1">IF(B11&lt;&gt;"",AA11/((1+$V$5)^T11),0)</f>
        <v>754.06411976416143</v>
      </c>
      <c r="AC11" s="197"/>
      <c r="AD11" s="202">
        <f ca="1">IF(B11&lt;&gt;"",1+$D$1*((O10+P10+O11+P11)/365),0)</f>
        <v>1.0069780821917809</v>
      </c>
      <c r="AE11" s="202">
        <f ca="1">IF(B11&lt;&gt;"",1/AD11,0)</f>
        <v>0.99307027400577341</v>
      </c>
    </row>
    <row r="12" spans="1:33" ht="13" x14ac:dyDescent="0.3">
      <c r="A12" s="194" t="str">
        <f>WERSJA2!C8</f>
        <v>KONSOLIDACJA</v>
      </c>
      <c r="B12" s="248">
        <f t="shared" ref="B12:B70" si="1">IF(B11&lt;$C$5,IF(B11&lt;&gt;"",B11+1,1),"")</f>
        <v>2</v>
      </c>
      <c r="C12" s="249">
        <f ca="1">IF(B12&lt;&gt;"",DATE(YEAR(D11),MONTH(D11)+1,$G$5),"")</f>
        <v>46260</v>
      </c>
      <c r="D12" s="249">
        <f ca="1">IF(B12&lt;&gt;"",IF(MOD(MONTH(C12)-MONTH(C11),12)&gt;1,DATE(YEAR(C12),MONTH(C12),DAY(C12)-DAY(C12)),C12),"")</f>
        <v>46260</v>
      </c>
      <c r="E12" s="250">
        <f ca="1">IF($H$1&lt;&gt;1,IF(B12=$C$5,H12-F12,IF(B12&lt;&gt;"",ROUND(G11*($D$3)*((SUM(O12:P12)/365)),2),"")),"Brak Oferty")</f>
        <v>219.58</v>
      </c>
      <c r="F12" s="250">
        <f ca="1">IF($H$1&lt;&gt;1,IF(B12=$C$5,G11,IF(B12&lt;&gt;"",ROUND((H12-E12),2),"")),"Brak Oferty")</f>
        <v>544.52</v>
      </c>
      <c r="G12" s="250">
        <f t="shared" ref="G12:G70" ca="1" si="2">IF($H$1&lt;&gt;1,IF(B12&lt;&gt;"",G11-F12,""),"Brak Oferty")</f>
        <v>29907.7</v>
      </c>
      <c r="H12" s="250">
        <f t="shared" ref="H12:H70" ca="1" si="3">IF($H$1&lt;&gt;1,IF(B12&lt;&gt;"",$H$2,""),$D$4)</f>
        <v>764.1</v>
      </c>
      <c r="I12" s="99"/>
      <c r="K12" s="240"/>
      <c r="L12" s="199" t="str">
        <f>IF(B12&lt;&gt;"",L11,"")</f>
        <v>R</v>
      </c>
      <c r="M12" s="231">
        <f ca="1">IF(B12&lt;&gt;"",DATE(YEAR((D12)),MONTH((D12))+1,1)-1,"")</f>
        <v>46265</v>
      </c>
      <c r="N12" s="231">
        <f ca="1">D12</f>
        <v>46260</v>
      </c>
      <c r="O12" s="253">
        <f ca="1">IF(B12&lt;&gt;"",M11-N11+1,0)</f>
        <v>6</v>
      </c>
      <c r="P12" s="199">
        <f ca="1">IF(B12&lt;&gt;"",N12-M11-1,0)</f>
        <v>25</v>
      </c>
      <c r="Q12" s="199">
        <f ca="1">IF(B12&lt;&gt;"",IF(MOD(YEAR(N12),4)=0,366,365),0)</f>
        <v>365</v>
      </c>
      <c r="R12" s="199">
        <f ca="1">IF(1,O12/Q11,"")</f>
        <v>1.643835616438356E-2</v>
      </c>
      <c r="S12" s="199">
        <f ca="1">IF(1,P12/Q12,"")</f>
        <v>6.8493150684931503E-2</v>
      </c>
      <c r="T12" s="199">
        <f t="shared" ref="T12:T43" ca="1" si="4">IF(B12&lt;&gt;"",R12+S12,"")</f>
        <v>8.4931506849315067E-2</v>
      </c>
      <c r="U12" s="415">
        <f ca="1">IF(B12&lt;&gt;"",1+$D$1*T12,0)</f>
        <v>1.0072106849315068</v>
      </c>
      <c r="V12" s="233">
        <f ca="1">IF(B12&lt;&gt;"",1/PRODUCT($U$11:U12),0)</f>
        <v>0.98596082116951034</v>
      </c>
      <c r="AA12" s="240">
        <f t="shared" ref="AA12:AA42" ca="1" si="5">IF(B12&lt;&gt;"",$H$2,0)</f>
        <v>764.1</v>
      </c>
      <c r="AB12" s="240">
        <f ca="1">IF(B12&lt;&gt;"",AA12/((1+$V$5)^(SUM($T$11:T12))),0)</f>
        <v>743.83216758899982</v>
      </c>
      <c r="AD12">
        <f ca="1">IF(B12&lt;&gt;"",1+$D$1*((O12+P12)/365),0)</f>
        <v>1.0072106849315068</v>
      </c>
      <c r="AE12">
        <f ca="1">IF(B12&lt;&gt;"",1/PRODUCT($AD$11:AD12),0)</f>
        <v>0.98596082116951034</v>
      </c>
      <c r="AF12" s="609" t="s">
        <v>1963</v>
      </c>
    </row>
    <row r="13" spans="1:33" ht="13.5" thickBot="1" x14ac:dyDescent="0.35">
      <c r="A13" s="193" t="str">
        <f>WERSJA2!D8</f>
        <v>NIE</v>
      </c>
      <c r="B13" s="248">
        <f t="shared" si="1"/>
        <v>3</v>
      </c>
      <c r="C13" s="249">
        <f t="shared" ref="C13:C70" ca="1" si="6">IF(B13&lt;&gt;"",DATE(YEAR(D12),MONTH(D12)+1,$G$5),"")</f>
        <v>46291</v>
      </c>
      <c r="D13" s="249">
        <f ca="1">IF(B13&lt;&gt;"",IF(MOD(MONTH(C13)-MONTH(C12),12)&gt;1,DATE(YEAR(C13),MONTH(C13),DAY(C13)-DAY(C13)),C13),"")</f>
        <v>46291</v>
      </c>
      <c r="E13" s="250">
        <f t="shared" ref="E13:E70" ca="1" si="7">IF($H$1&lt;&gt;1,IF(B13=$C$5,H13-F13,IF(B13&lt;&gt;"",ROUND(G12*($D$3)*((SUM(O13:P13)/365)),2),"")),"Brak Oferty")</f>
        <v>215.66</v>
      </c>
      <c r="F13" s="250">
        <f t="shared" ref="F13:F70" ca="1" si="8">IF($H$1&lt;&gt;1,IF(B13=$C$5,G12,IF(B13&lt;&gt;"",ROUND((H13-E13),2),"")),"Brak Oferty")</f>
        <v>548.44000000000005</v>
      </c>
      <c r="G13" s="250">
        <f t="shared" ca="1" si="2"/>
        <v>29359.260000000002</v>
      </c>
      <c r="H13" s="250">
        <f t="shared" ca="1" si="3"/>
        <v>764.1</v>
      </c>
      <c r="I13" s="99"/>
      <c r="K13" s="240"/>
      <c r="L13" s="199" t="str">
        <f t="shared" ref="L13:L70" si="9">IF(B13&lt;&gt;"",L12,"")</f>
        <v>R</v>
      </c>
      <c r="M13" s="231">
        <f t="shared" ref="M13:M70" ca="1" si="10">IF(B13&lt;&gt;"",DATE(YEAR((D13)),MONTH((D13))+1,1)-1,"")</f>
        <v>46295</v>
      </c>
      <c r="N13" s="231">
        <f ca="1">D13</f>
        <v>46291</v>
      </c>
      <c r="O13" s="199">
        <f ca="1">IF(B13&lt;&gt;"",M12-N12+1,0)</f>
        <v>6</v>
      </c>
      <c r="P13" s="199">
        <f t="shared" ref="P13:P70" ca="1" si="11">IF(B13&lt;&gt;"",N13-M12-1,0)</f>
        <v>25</v>
      </c>
      <c r="Q13" s="199">
        <f t="shared" ca="1" si="0"/>
        <v>365</v>
      </c>
      <c r="R13" s="199">
        <f t="shared" ref="R13:R70" ca="1" si="12">IF(1,O13/Q12,"")</f>
        <v>1.643835616438356E-2</v>
      </c>
      <c r="S13" s="199">
        <f t="shared" ref="S13:S70" ca="1" si="13">IF(1,P13/Q13,"")</f>
        <v>6.8493150684931503E-2</v>
      </c>
      <c r="T13" s="199">
        <f t="shared" ca="1" si="4"/>
        <v>8.4931506849315067E-2</v>
      </c>
      <c r="U13" s="415">
        <f t="shared" ref="U13:U76" ca="1" si="14">IF(B13&lt;&gt;"",1+$D$1*T13,0)</f>
        <v>1.0072106849315068</v>
      </c>
      <c r="V13" s="233">
        <f ca="1">IF(B13&lt;&gt;"",1/PRODUCT($U$11:U13),0)</f>
        <v>0.9789022653552949</v>
      </c>
      <c r="AA13" s="240">
        <f t="shared" ca="1" si="5"/>
        <v>764.1</v>
      </c>
      <c r="AB13" s="963">
        <f ca="1">IF(B13&lt;&gt;"",AA13/((1+$V$5)^(SUM($T$11:T13))),0)</f>
        <v>733.73905353459065</v>
      </c>
      <c r="AD13">
        <f t="shared" ref="AD13:AD76" ca="1" si="15">IF(B13&lt;&gt;"",1+$D$1*((O13+P13)/365),0)</f>
        <v>1.0072106849315068</v>
      </c>
      <c r="AE13">
        <f ca="1">IF(B13&lt;&gt;"",1/PRODUCT($AD$11:AD13),0)</f>
        <v>0.9789022653552949</v>
      </c>
    </row>
    <row r="14" spans="1:33" ht="13" x14ac:dyDescent="0.3">
      <c r="A14" s="194" t="str">
        <f>WERSJA2!C9</f>
        <v>MIEJSCE ZŁOŻENIA WNIOSKU</v>
      </c>
      <c r="B14" s="248">
        <f t="shared" si="1"/>
        <v>4</v>
      </c>
      <c r="C14" s="249">
        <f t="shared" ca="1" si="6"/>
        <v>46321</v>
      </c>
      <c r="D14" s="249">
        <f t="shared" ref="D14:D70" ca="1" si="16">IF(B14&lt;&gt;"",IF(MOD(MONTH(C14)-MONTH(C13),12)&gt;1,DATE(YEAR(C14),MONTH(C14),DAY(C14)-DAY(C14)),C14),"")</f>
        <v>46321</v>
      </c>
      <c r="E14" s="250">
        <f t="shared" ca="1" si="7"/>
        <v>204.87</v>
      </c>
      <c r="F14" s="250">
        <f t="shared" ca="1" si="8"/>
        <v>559.23</v>
      </c>
      <c r="G14" s="250">
        <f t="shared" ca="1" si="2"/>
        <v>28800.030000000002</v>
      </c>
      <c r="H14" s="250">
        <f t="shared" ca="1" si="3"/>
        <v>764.1</v>
      </c>
      <c r="I14" s="99"/>
      <c r="K14" s="240"/>
      <c r="L14" s="199" t="str">
        <f t="shared" si="9"/>
        <v>R</v>
      </c>
      <c r="M14" s="231">
        <f t="shared" ca="1" si="10"/>
        <v>46326</v>
      </c>
      <c r="N14" s="231">
        <f t="shared" ref="N14:N70" ca="1" si="17">D14</f>
        <v>46321</v>
      </c>
      <c r="O14" s="199">
        <f t="shared" ref="O14:O70" ca="1" si="18">IF(B14&lt;&gt;"",M13-N13+1,0)</f>
        <v>5</v>
      </c>
      <c r="P14" s="199">
        <f t="shared" ca="1" si="11"/>
        <v>25</v>
      </c>
      <c r="Q14" s="199">
        <f t="shared" ca="1" si="0"/>
        <v>365</v>
      </c>
      <c r="R14" s="199">
        <f t="shared" ca="1" si="12"/>
        <v>1.3698630136986301E-2</v>
      </c>
      <c r="S14" s="199">
        <f ca="1">IF(1,P14/Q14,"")</f>
        <v>6.8493150684931503E-2</v>
      </c>
      <c r="T14" s="199">
        <f t="shared" ca="1" si="4"/>
        <v>8.2191780821917804E-2</v>
      </c>
      <c r="U14" s="415">
        <f t="shared" ca="1" si="14"/>
        <v>1.0069780821917809</v>
      </c>
      <c r="V14" s="233">
        <f ca="1">IF(B14&lt;&gt;"",1/PRODUCT($U$11:U14),0)</f>
        <v>0.97211874088125494</v>
      </c>
      <c r="AA14" s="240">
        <f t="shared" ca="1" si="5"/>
        <v>764.1</v>
      </c>
      <c r="AB14" s="240">
        <f ca="1">IF(B14&lt;&gt;"",AA14/((1+$V$5)^(SUM($T$11:T14))),0)</f>
        <v>724.1019415523491</v>
      </c>
      <c r="AD14">
        <f t="shared" ca="1" si="15"/>
        <v>1.0069780821917809</v>
      </c>
      <c r="AE14">
        <f ca="1">IF(B14&lt;&gt;"",1/PRODUCT($AD$11:AD14),0)</f>
        <v>0.97211874088125494</v>
      </c>
    </row>
    <row r="15" spans="1:33" ht="13.5" thickBot="1" x14ac:dyDescent="0.35">
      <c r="A15" s="193" t="str">
        <f>WERSJA2!D9</f>
        <v>MOJE ING</v>
      </c>
      <c r="B15" s="248">
        <f t="shared" si="1"/>
        <v>5</v>
      </c>
      <c r="C15" s="249">
        <f t="shared" ca="1" si="6"/>
        <v>46352</v>
      </c>
      <c r="D15" s="249">
        <f ca="1">IF(B15&lt;&gt;"",IF(MOD(MONTH(C15)-MONTH(C14),12)&gt;1,DATE(YEAR(C15),MONTH(C15),DAY(C15)-DAY(C15)),C15),"")</f>
        <v>46352</v>
      </c>
      <c r="E15" s="250">
        <f t="shared" ca="1" si="7"/>
        <v>207.67</v>
      </c>
      <c r="F15" s="250">
        <f t="shared" ca="1" si="8"/>
        <v>556.42999999999995</v>
      </c>
      <c r="G15" s="250">
        <f t="shared" ca="1" si="2"/>
        <v>28243.600000000002</v>
      </c>
      <c r="H15" s="250">
        <f t="shared" ca="1" si="3"/>
        <v>764.1</v>
      </c>
      <c r="I15" s="99"/>
      <c r="K15" s="240"/>
      <c r="L15" s="199" t="str">
        <f t="shared" si="9"/>
        <v>R</v>
      </c>
      <c r="M15" s="231">
        <f t="shared" ca="1" si="10"/>
        <v>46356</v>
      </c>
      <c r="N15" s="231">
        <f t="shared" ca="1" si="17"/>
        <v>46352</v>
      </c>
      <c r="O15" s="199">
        <f t="shared" ca="1" si="18"/>
        <v>6</v>
      </c>
      <c r="P15" s="199">
        <f t="shared" ca="1" si="11"/>
        <v>25</v>
      </c>
      <c r="Q15" s="199">
        <f t="shared" ca="1" si="0"/>
        <v>365</v>
      </c>
      <c r="R15" s="199">
        <f t="shared" ca="1" si="12"/>
        <v>1.643835616438356E-2</v>
      </c>
      <c r="S15" s="199">
        <f t="shared" ca="1" si="13"/>
        <v>6.8493150684931503E-2</v>
      </c>
      <c r="T15" s="199">
        <f t="shared" ca="1" si="4"/>
        <v>8.4931506849315067E-2</v>
      </c>
      <c r="U15" s="415">
        <f t="shared" ca="1" si="14"/>
        <v>1.0072106849315068</v>
      </c>
      <c r="V15" s="233">
        <f ca="1">IF(B15&lt;&gt;"",1/PRODUCT($U$11:U15),0)</f>
        <v>0.96515928139440044</v>
      </c>
      <c r="AA15" s="240">
        <f t="shared" ca="1" si="5"/>
        <v>764.1</v>
      </c>
      <c r="AB15" s="240">
        <f ca="1">IF(B15&lt;&gt;"",AA15/((1+$V$5)^(SUM($T$11:T15))),0)</f>
        <v>714.27654840378989</v>
      </c>
      <c r="AD15">
        <f t="shared" ca="1" si="15"/>
        <v>1.0072106849315068</v>
      </c>
      <c r="AE15">
        <f ca="1">IF(B15&lt;&gt;"",1/PRODUCT($AD$11:AD15),0)</f>
        <v>0.96515928139440044</v>
      </c>
    </row>
    <row r="16" spans="1:33" ht="13" x14ac:dyDescent="0.3">
      <c r="A16" s="194" t="str">
        <f>WERSJA2!C13</f>
        <v>LICZBA RAT W MIESIĄCACH</v>
      </c>
      <c r="B16" s="248">
        <f t="shared" si="1"/>
        <v>6</v>
      </c>
      <c r="C16" s="249">
        <f t="shared" ca="1" si="6"/>
        <v>46382</v>
      </c>
      <c r="D16" s="249">
        <f t="shared" ca="1" si="16"/>
        <v>46382</v>
      </c>
      <c r="E16" s="250">
        <f ca="1">IF($H$1&lt;&gt;1,IF(B16=$C$5,H16-F16,IF(B16&lt;&gt;"",ROUND(G15*($D$3)*((SUM(O16:P16)/365)),2),"")),"Brak Oferty")</f>
        <v>197.09</v>
      </c>
      <c r="F16" s="250">
        <f t="shared" ca="1" si="8"/>
        <v>567.01</v>
      </c>
      <c r="G16" s="250">
        <f t="shared" ca="1" si="2"/>
        <v>27676.590000000004</v>
      </c>
      <c r="H16" s="250">
        <f t="shared" ca="1" si="3"/>
        <v>764.1</v>
      </c>
      <c r="I16" s="99"/>
      <c r="K16" s="240"/>
      <c r="L16" s="199" t="str">
        <f t="shared" si="9"/>
        <v>R</v>
      </c>
      <c r="M16" s="231">
        <f t="shared" ca="1" si="10"/>
        <v>46387</v>
      </c>
      <c r="N16" s="231">
        <f t="shared" ca="1" si="17"/>
        <v>46382</v>
      </c>
      <c r="O16" s="199">
        <f t="shared" ca="1" si="18"/>
        <v>5</v>
      </c>
      <c r="P16" s="199">
        <f t="shared" ca="1" si="11"/>
        <v>25</v>
      </c>
      <c r="Q16" s="199">
        <f t="shared" ca="1" si="0"/>
        <v>365</v>
      </c>
      <c r="R16" s="199">
        <f t="shared" ca="1" si="12"/>
        <v>1.3698630136986301E-2</v>
      </c>
      <c r="S16" s="199">
        <f t="shared" ca="1" si="13"/>
        <v>6.8493150684931503E-2</v>
      </c>
      <c r="T16" s="199">
        <f t="shared" ca="1" si="4"/>
        <v>8.2191780821917804E-2</v>
      </c>
      <c r="U16" s="415">
        <f t="shared" ca="1" si="14"/>
        <v>1.0069780821917809</v>
      </c>
      <c r="V16" s="233">
        <f ca="1">IF(B16&lt;&gt;"",1/PRODUCT($U$11:U16),0)</f>
        <v>0.95847099203355257</v>
      </c>
      <c r="AA16" s="240">
        <f t="shared" ca="1" si="5"/>
        <v>764.1</v>
      </c>
      <c r="AB16" s="240">
        <f ca="1">IF(B16&lt;&gt;"",AA16/((1+$V$5)^(SUM($T$11:T16))),0)</f>
        <v>704.8950618247444</v>
      </c>
      <c r="AD16">
        <f t="shared" ca="1" si="15"/>
        <v>1.0069780821917809</v>
      </c>
      <c r="AE16">
        <f ca="1">IF(B16&lt;&gt;"",1/PRODUCT($AD$11:AD16),0)</f>
        <v>0.95847099203355257</v>
      </c>
    </row>
    <row r="17" spans="1:35" ht="13.5" thickBot="1" x14ac:dyDescent="0.35">
      <c r="A17" s="195">
        <f>WERSJA2!D13</f>
        <v>48</v>
      </c>
      <c r="B17" s="248">
        <f t="shared" si="1"/>
        <v>7</v>
      </c>
      <c r="C17" s="249">
        <f t="shared" ca="1" si="6"/>
        <v>46413</v>
      </c>
      <c r="D17" s="249">
        <f t="shared" ca="1" si="16"/>
        <v>46413</v>
      </c>
      <c r="E17" s="250">
        <f t="shared" ca="1" si="7"/>
        <v>199.57</v>
      </c>
      <c r="F17" s="250">
        <f t="shared" ca="1" si="8"/>
        <v>564.53</v>
      </c>
      <c r="G17" s="250">
        <f t="shared" ca="1" si="2"/>
        <v>27112.060000000005</v>
      </c>
      <c r="H17" s="250">
        <f t="shared" ca="1" si="3"/>
        <v>764.1</v>
      </c>
      <c r="I17" s="99"/>
      <c r="K17" s="240"/>
      <c r="L17" s="199" t="str">
        <f t="shared" si="9"/>
        <v>R</v>
      </c>
      <c r="M17" s="231">
        <f t="shared" ca="1" si="10"/>
        <v>46418</v>
      </c>
      <c r="N17" s="231">
        <f t="shared" ca="1" si="17"/>
        <v>46413</v>
      </c>
      <c r="O17" s="199">
        <f t="shared" ca="1" si="18"/>
        <v>6</v>
      </c>
      <c r="P17" s="199">
        <f t="shared" ca="1" si="11"/>
        <v>25</v>
      </c>
      <c r="Q17" s="199">
        <f t="shared" ca="1" si="0"/>
        <v>365</v>
      </c>
      <c r="R17" s="199">
        <f t="shared" ca="1" si="12"/>
        <v>1.643835616438356E-2</v>
      </c>
      <c r="S17" s="199">
        <f t="shared" ca="1" si="13"/>
        <v>6.8493150684931503E-2</v>
      </c>
      <c r="T17" s="199">
        <f t="shared" ca="1" si="4"/>
        <v>8.4931506849315067E-2</v>
      </c>
      <c r="U17" s="415">
        <f t="shared" ca="1" si="14"/>
        <v>1.0072106849315068</v>
      </c>
      <c r="V17" s="233">
        <f ca="1">IF(B17&lt;&gt;"",1/PRODUCT($U$11:U17),0)</f>
        <v>0.95160923764299765</v>
      </c>
      <c r="AA17" s="240">
        <f t="shared" ca="1" si="5"/>
        <v>764.1</v>
      </c>
      <c r="AB17" s="240">
        <f ca="1">IF(B17&lt;&gt;"",AA17/((1+$V$5)^(SUM($T$11:T17))),0)</f>
        <v>695.33028825700842</v>
      </c>
      <c r="AD17">
        <f t="shared" ca="1" si="15"/>
        <v>1.0072106849315068</v>
      </c>
      <c r="AE17">
        <f ca="1">IF(B17&lt;&gt;"",1/PRODUCT($AD$11:AD17),0)</f>
        <v>0.95160923764299765</v>
      </c>
    </row>
    <row r="18" spans="1:35" ht="13" x14ac:dyDescent="0.3">
      <c r="A18" s="194" t="str">
        <f>WERSJA2!I5</f>
        <v>PROWIZJA (KWOTA)</v>
      </c>
      <c r="B18" s="248">
        <f t="shared" si="1"/>
        <v>8</v>
      </c>
      <c r="C18" s="249">
        <f t="shared" ca="1" si="6"/>
        <v>46444</v>
      </c>
      <c r="D18" s="249">
        <f t="shared" ca="1" si="16"/>
        <v>46444</v>
      </c>
      <c r="E18" s="250">
        <f t="shared" ca="1" si="7"/>
        <v>195.5</v>
      </c>
      <c r="F18" s="250">
        <f t="shared" ca="1" si="8"/>
        <v>568.6</v>
      </c>
      <c r="G18" s="250">
        <f t="shared" ca="1" si="2"/>
        <v>26543.460000000006</v>
      </c>
      <c r="H18" s="250">
        <f t="shared" ca="1" si="3"/>
        <v>764.1</v>
      </c>
      <c r="I18" s="99"/>
      <c r="K18" s="240"/>
      <c r="L18" s="199" t="str">
        <f t="shared" si="9"/>
        <v>R</v>
      </c>
      <c r="M18" s="231">
        <f t="shared" ca="1" si="10"/>
        <v>46446</v>
      </c>
      <c r="N18" s="231">
        <f t="shared" ca="1" si="17"/>
        <v>46444</v>
      </c>
      <c r="O18" s="199">
        <f t="shared" ca="1" si="18"/>
        <v>6</v>
      </c>
      <c r="P18" s="199">
        <f t="shared" ca="1" si="11"/>
        <v>25</v>
      </c>
      <c r="Q18" s="199">
        <f t="shared" ca="1" si="0"/>
        <v>365</v>
      </c>
      <c r="R18" s="199">
        <f t="shared" ca="1" si="12"/>
        <v>1.643835616438356E-2</v>
      </c>
      <c r="S18" s="199">
        <f t="shared" ca="1" si="13"/>
        <v>6.8493150684931503E-2</v>
      </c>
      <c r="T18" s="199">
        <f t="shared" ca="1" si="4"/>
        <v>8.4931506849315067E-2</v>
      </c>
      <c r="U18" s="415">
        <f t="shared" ca="1" si="14"/>
        <v>1.0072106849315068</v>
      </c>
      <c r="V18" s="233">
        <f ca="1">IF(B18&lt;&gt;"",1/PRODUCT($U$11:U18),0)</f>
        <v>0.94479660698566736</v>
      </c>
      <c r="AA18" s="240">
        <f t="shared" ca="1" si="5"/>
        <v>764.1</v>
      </c>
      <c r="AB18" s="240">
        <f ca="1">IF(B18&lt;&gt;"",AA18/((1+$V$5)^(SUM($T$11:T18))),0)</f>
        <v>685.89529981383464</v>
      </c>
      <c r="AD18">
        <f t="shared" ca="1" si="15"/>
        <v>1.0072106849315068</v>
      </c>
      <c r="AE18">
        <f ca="1">IF(B18&lt;&gt;"",1/PRODUCT($AD$11:AD18),0)</f>
        <v>0.94479660698566736</v>
      </c>
    </row>
    <row r="19" spans="1:35" ht="13.5" thickBot="1" x14ac:dyDescent="0.35">
      <c r="A19" s="196">
        <f>WERSJA2!J5</f>
        <v>0</v>
      </c>
      <c r="B19" s="248">
        <f t="shared" si="1"/>
        <v>9</v>
      </c>
      <c r="C19" s="249">
        <f t="shared" ca="1" si="6"/>
        <v>46472</v>
      </c>
      <c r="D19" s="249">
        <f t="shared" ca="1" si="16"/>
        <v>46472</v>
      </c>
      <c r="E19" s="250">
        <f t="shared" ca="1" si="7"/>
        <v>172.87</v>
      </c>
      <c r="F19" s="250">
        <f t="shared" ca="1" si="8"/>
        <v>591.23</v>
      </c>
      <c r="G19" s="250">
        <f t="shared" ca="1" si="2"/>
        <v>25952.230000000007</v>
      </c>
      <c r="H19" s="250">
        <f t="shared" ca="1" si="3"/>
        <v>764.1</v>
      </c>
      <c r="I19" s="99"/>
      <c r="K19" s="240"/>
      <c r="L19" s="199" t="str">
        <f t="shared" si="9"/>
        <v>R</v>
      </c>
      <c r="M19" s="231">
        <f t="shared" ca="1" si="10"/>
        <v>46477</v>
      </c>
      <c r="N19" s="231">
        <f t="shared" ca="1" si="17"/>
        <v>46472</v>
      </c>
      <c r="O19" s="199">
        <f t="shared" ca="1" si="18"/>
        <v>3</v>
      </c>
      <c r="P19" s="199">
        <f t="shared" ca="1" si="11"/>
        <v>25</v>
      </c>
      <c r="Q19" s="199">
        <f t="shared" ca="1" si="0"/>
        <v>365</v>
      </c>
      <c r="R19" s="199">
        <f t="shared" ca="1" si="12"/>
        <v>8.21917808219178E-3</v>
      </c>
      <c r="S19" s="199">
        <f t="shared" ca="1" si="13"/>
        <v>6.8493150684931503E-2</v>
      </c>
      <c r="T19" s="199">
        <f t="shared" ca="1" si="4"/>
        <v>7.6712328767123278E-2</v>
      </c>
      <c r="U19" s="415">
        <f t="shared" ca="1" si="14"/>
        <v>1.0065128767123288</v>
      </c>
      <c r="V19" s="233">
        <f ca="1">IF(B19&lt;&gt;"",1/PRODUCT($U$11:U19),0)</f>
        <v>0.93868307981488397</v>
      </c>
      <c r="AA19" s="240">
        <f t="shared" ca="1" si="5"/>
        <v>764.1</v>
      </c>
      <c r="AB19" s="240">
        <f ca="1">IF(B19&lt;&gt;"",AA19/((1+$V$5)^(SUM($T$11:T19))),0)</f>
        <v>677.48346252523709</v>
      </c>
      <c r="AD19">
        <f t="shared" ca="1" si="15"/>
        <v>1.0065128767123288</v>
      </c>
      <c r="AE19">
        <f ca="1">IF(B19&lt;&gt;"",1/PRODUCT($AD$11:AD19),0)</f>
        <v>0.93868307981488397</v>
      </c>
    </row>
    <row r="20" spans="1:35" ht="13" x14ac:dyDescent="0.3">
      <c r="A20" s="194" t="str">
        <f>WERSJA2!I6</f>
        <v>KWOTA UBEZPIECZENIA jednorazowego</v>
      </c>
      <c r="B20" s="248">
        <f t="shared" si="1"/>
        <v>10</v>
      </c>
      <c r="C20" s="249">
        <f t="shared" ca="1" si="6"/>
        <v>46503</v>
      </c>
      <c r="D20" s="249">
        <f t="shared" ca="1" si="16"/>
        <v>46503</v>
      </c>
      <c r="E20" s="250">
        <f t="shared" ca="1" si="7"/>
        <v>187.13</v>
      </c>
      <c r="F20" s="250">
        <f t="shared" ca="1" si="8"/>
        <v>576.97</v>
      </c>
      <c r="G20" s="250">
        <f t="shared" ca="1" si="2"/>
        <v>25375.260000000006</v>
      </c>
      <c r="H20" s="250">
        <f t="shared" ca="1" si="3"/>
        <v>764.1</v>
      </c>
      <c r="I20" s="99"/>
      <c r="K20" s="240"/>
      <c r="L20" s="199" t="str">
        <f t="shared" si="9"/>
        <v>R</v>
      </c>
      <c r="M20" s="231">
        <f t="shared" ca="1" si="10"/>
        <v>46507</v>
      </c>
      <c r="N20" s="231">
        <f t="shared" ca="1" si="17"/>
        <v>46503</v>
      </c>
      <c r="O20" s="199">
        <f t="shared" ca="1" si="18"/>
        <v>6</v>
      </c>
      <c r="P20" s="199">
        <f t="shared" ca="1" si="11"/>
        <v>25</v>
      </c>
      <c r="Q20" s="199">
        <f t="shared" ca="1" si="0"/>
        <v>365</v>
      </c>
      <c r="R20" s="928">
        <f ca="1">IF(B20&lt;&gt;"",O20/Q19,"")</f>
        <v>1.643835616438356E-2</v>
      </c>
      <c r="S20" s="199">
        <f t="shared" ca="1" si="13"/>
        <v>6.8493150684931503E-2</v>
      </c>
      <c r="T20" s="199">
        <f t="shared" ca="1" si="4"/>
        <v>8.4931506849315067E-2</v>
      </c>
      <c r="U20" s="415">
        <f t="shared" ca="1" si="14"/>
        <v>1.0072106849315068</v>
      </c>
      <c r="V20" s="233">
        <f ca="1">IF(B20&lt;&gt;"",1/PRODUCT($U$11:U20),0)</f>
        <v>0.93196298833815194</v>
      </c>
      <c r="AA20" s="240">
        <f t="shared" ca="1" si="5"/>
        <v>764.1</v>
      </c>
      <c r="AB20" s="240">
        <f ca="1">IF(B20&lt;&gt;"",AA20/((1+$V$5)^(SUM($T$11:T20))),0)</f>
        <v>668.29063898897186</v>
      </c>
      <c r="AD20">
        <f t="shared" ca="1" si="15"/>
        <v>1.0072106849315068</v>
      </c>
      <c r="AE20">
        <f ca="1">IF(B20&lt;&gt;"",1/PRODUCT($AD$11:AD20),0)</f>
        <v>0.93196298833815194</v>
      </c>
    </row>
    <row r="21" spans="1:35" ht="13.5" thickBot="1" x14ac:dyDescent="0.35">
      <c r="A21" s="196">
        <f>WERSJA2!J6</f>
        <v>0</v>
      </c>
      <c r="B21" s="248">
        <f t="shared" si="1"/>
        <v>11</v>
      </c>
      <c r="C21" s="249">
        <f t="shared" ca="1" si="6"/>
        <v>46533</v>
      </c>
      <c r="D21" s="249">
        <f t="shared" ca="1" si="16"/>
        <v>46533</v>
      </c>
      <c r="E21" s="250">
        <f t="shared" ca="1" si="7"/>
        <v>177.07</v>
      </c>
      <c r="F21" s="250">
        <f t="shared" ca="1" si="8"/>
        <v>587.03</v>
      </c>
      <c r="G21" s="250">
        <f t="shared" ca="1" si="2"/>
        <v>24788.230000000007</v>
      </c>
      <c r="H21" s="250">
        <f t="shared" ca="1" si="3"/>
        <v>764.1</v>
      </c>
      <c r="I21" s="99"/>
      <c r="K21" s="240"/>
      <c r="L21" s="199" t="str">
        <f t="shared" si="9"/>
        <v>R</v>
      </c>
      <c r="M21" s="231">
        <f t="shared" ca="1" si="10"/>
        <v>46538</v>
      </c>
      <c r="N21" s="231">
        <f t="shared" ca="1" si="17"/>
        <v>46533</v>
      </c>
      <c r="O21" s="199">
        <f t="shared" ca="1" si="18"/>
        <v>5</v>
      </c>
      <c r="P21" s="199">
        <f t="shared" ca="1" si="11"/>
        <v>25</v>
      </c>
      <c r="Q21" s="199">
        <f t="shared" ca="1" si="0"/>
        <v>365</v>
      </c>
      <c r="R21" s="199">
        <f t="shared" ca="1" si="12"/>
        <v>1.3698630136986301E-2</v>
      </c>
      <c r="S21" s="199">
        <f t="shared" ca="1" si="13"/>
        <v>6.8493150684931503E-2</v>
      </c>
      <c r="T21" s="199">
        <f t="shared" ca="1" si="4"/>
        <v>8.2191780821917804E-2</v>
      </c>
      <c r="U21" s="415">
        <f t="shared" ca="1" si="14"/>
        <v>1.0069780821917809</v>
      </c>
      <c r="V21" s="233">
        <f ca="1">IF(B21&lt;&gt;"",1/PRODUCT($U$11:U21),0)</f>
        <v>0.92550474019220796</v>
      </c>
      <c r="AA21" s="240">
        <f t="shared" ca="1" si="5"/>
        <v>764.1</v>
      </c>
      <c r="AB21" s="240">
        <f ca="1">IF(B21&lt;&gt;"",AA21/((1+$V$5)^(SUM($T$11:T21))),0)</f>
        <v>659.51314282927365</v>
      </c>
      <c r="AD21">
        <f t="shared" ca="1" si="15"/>
        <v>1.0069780821917809</v>
      </c>
      <c r="AE21">
        <f ca="1">IF(B21&lt;&gt;"",1/PRODUCT($AD$11:AD21),0)</f>
        <v>0.92550474019220796</v>
      </c>
    </row>
    <row r="22" spans="1:35" ht="13" x14ac:dyDescent="0.3">
      <c r="A22" s="194" t="s">
        <v>40</v>
      </c>
      <c r="B22" s="248">
        <f t="shared" si="1"/>
        <v>12</v>
      </c>
      <c r="C22" s="249">
        <f t="shared" ca="1" si="6"/>
        <v>46564</v>
      </c>
      <c r="D22" s="249">
        <f t="shared" ca="1" si="16"/>
        <v>46564</v>
      </c>
      <c r="E22" s="250">
        <f t="shared" ca="1" si="7"/>
        <v>178.74</v>
      </c>
      <c r="F22" s="250">
        <f t="shared" ca="1" si="8"/>
        <v>585.36</v>
      </c>
      <c r="G22" s="250">
        <f t="shared" ca="1" si="2"/>
        <v>24202.870000000006</v>
      </c>
      <c r="H22" s="250">
        <f t="shared" ca="1" si="3"/>
        <v>764.1</v>
      </c>
      <c r="I22" s="99"/>
      <c r="K22" s="240"/>
      <c r="L22" s="199" t="str">
        <f t="shared" si="9"/>
        <v>R</v>
      </c>
      <c r="M22" s="231">
        <f t="shared" ca="1" si="10"/>
        <v>46568</v>
      </c>
      <c r="N22" s="231">
        <f t="shared" ca="1" si="17"/>
        <v>46564</v>
      </c>
      <c r="O22" s="199">
        <f t="shared" ca="1" si="18"/>
        <v>6</v>
      </c>
      <c r="P22" s="199">
        <f t="shared" ca="1" si="11"/>
        <v>25</v>
      </c>
      <c r="Q22" s="199">
        <f t="shared" ca="1" si="0"/>
        <v>365</v>
      </c>
      <c r="R22" s="199">
        <f t="shared" ca="1" si="12"/>
        <v>1.643835616438356E-2</v>
      </c>
      <c r="S22" s="199">
        <f t="shared" ca="1" si="13"/>
        <v>6.8493150684931503E-2</v>
      </c>
      <c r="T22" s="199">
        <f t="shared" ca="1" si="4"/>
        <v>8.4931506849315067E-2</v>
      </c>
      <c r="U22" s="415">
        <f t="shared" ca="1" si="14"/>
        <v>1.0072106849315068</v>
      </c>
      <c r="V22" s="233">
        <f ca="1">IF(B22&lt;&gt;"",1/PRODUCT($U$11:U22),0)</f>
        <v>0.91887899328147504</v>
      </c>
      <c r="AA22" s="240">
        <f t="shared" ca="1" si="5"/>
        <v>764.1</v>
      </c>
      <c r="AB22" s="240">
        <f ca="1">IF(B22&lt;&gt;"",AA22/((1+$V$5)^(SUM($T$11:T22))),0)</f>
        <v>650.5641598987105</v>
      </c>
      <c r="AD22">
        <f t="shared" ca="1" si="15"/>
        <v>1.0072106849315068</v>
      </c>
      <c r="AE22">
        <f ca="1">IF(B22&lt;&gt;"",1/PRODUCT($AD$11:AD22),0)</f>
        <v>0.91887899328147504</v>
      </c>
    </row>
    <row r="23" spans="1:35" ht="13.5" thickBot="1" x14ac:dyDescent="0.35">
      <c r="A23" s="196">
        <f>G10</f>
        <v>31000</v>
      </c>
      <c r="B23" s="248">
        <f t="shared" si="1"/>
        <v>13</v>
      </c>
      <c r="C23" s="249">
        <f t="shared" ca="1" si="6"/>
        <v>46594</v>
      </c>
      <c r="D23" s="249">
        <f t="shared" ca="1" si="16"/>
        <v>46594</v>
      </c>
      <c r="E23" s="250">
        <f t="shared" ca="1" si="7"/>
        <v>168.89</v>
      </c>
      <c r="F23" s="250">
        <f t="shared" ca="1" si="8"/>
        <v>595.21</v>
      </c>
      <c r="G23" s="250">
        <f t="shared" ca="1" si="2"/>
        <v>23607.660000000007</v>
      </c>
      <c r="H23" s="250">
        <f t="shared" ca="1" si="3"/>
        <v>764.1</v>
      </c>
      <c r="I23" s="99"/>
      <c r="K23" s="240"/>
      <c r="L23" s="199" t="str">
        <f t="shared" si="9"/>
        <v>R</v>
      </c>
      <c r="M23" s="231">
        <f t="shared" ca="1" si="10"/>
        <v>46599</v>
      </c>
      <c r="N23" s="231">
        <f t="shared" ca="1" si="17"/>
        <v>46594</v>
      </c>
      <c r="O23" s="199">
        <f t="shared" ca="1" si="18"/>
        <v>5</v>
      </c>
      <c r="P23" s="199">
        <f t="shared" ca="1" si="11"/>
        <v>25</v>
      </c>
      <c r="Q23" s="199">
        <f t="shared" ca="1" si="0"/>
        <v>365</v>
      </c>
      <c r="R23" s="199">
        <f t="shared" ca="1" si="12"/>
        <v>1.3698630136986301E-2</v>
      </c>
      <c r="S23" s="199">
        <f t="shared" ca="1" si="13"/>
        <v>6.8493150684931503E-2</v>
      </c>
      <c r="T23" s="199">
        <f t="shared" ca="1" si="4"/>
        <v>8.2191780821917804E-2</v>
      </c>
      <c r="U23" s="415">
        <f t="shared" ca="1" si="14"/>
        <v>1.0069780821917809</v>
      </c>
      <c r="V23" s="233">
        <f ca="1">IF(B23&lt;&gt;"",1/PRODUCT($U$11:U23),0)</f>
        <v>0.9125114136361836</v>
      </c>
      <c r="AA23" s="240">
        <f t="shared" ca="1" si="5"/>
        <v>764.1</v>
      </c>
      <c r="AB23" s="240">
        <f ca="1">IF(B23&lt;&gt;"",AA23/((1+$V$5)^(SUM($T$11:T23))),0)</f>
        <v>642.0194877426153</v>
      </c>
      <c r="AD23">
        <f t="shared" ca="1" si="15"/>
        <v>1.0069780821917809</v>
      </c>
      <c r="AE23">
        <f ca="1">IF(B23&lt;&gt;"",1/PRODUCT($AD$11:AD23),0)</f>
        <v>0.9125114136361836</v>
      </c>
    </row>
    <row r="24" spans="1:35" ht="13" x14ac:dyDescent="0.3">
      <c r="A24" s="194" t="s">
        <v>162</v>
      </c>
      <c r="B24" s="248">
        <f t="shared" si="1"/>
        <v>14</v>
      </c>
      <c r="C24" s="249">
        <f t="shared" ca="1" si="6"/>
        <v>46625</v>
      </c>
      <c r="D24" s="249">
        <f t="shared" ca="1" si="16"/>
        <v>46625</v>
      </c>
      <c r="E24" s="250">
        <f ca="1">IF($H$1&lt;&gt;1,IF(B24=$C$5,H24-F24,IF(B24&lt;&gt;"",ROUND(G23*($D$3)*((SUM(O24:P24)/365)),2),"")),"Brak Oferty")</f>
        <v>170.23</v>
      </c>
      <c r="F24" s="250">
        <f t="shared" ca="1" si="8"/>
        <v>593.87</v>
      </c>
      <c r="G24" s="250">
        <f t="shared" ca="1" si="2"/>
        <v>23013.790000000008</v>
      </c>
      <c r="H24" s="250">
        <f t="shared" ca="1" si="3"/>
        <v>764.1</v>
      </c>
      <c r="I24" s="99"/>
      <c r="K24" s="240"/>
      <c r="L24" s="199" t="str">
        <f t="shared" si="9"/>
        <v>R</v>
      </c>
      <c r="M24" s="231">
        <f t="shared" ca="1" si="10"/>
        <v>46630</v>
      </c>
      <c r="N24" s="231">
        <f t="shared" ca="1" si="17"/>
        <v>46625</v>
      </c>
      <c r="O24" s="199">
        <f ca="1">IF(B24&lt;&gt;"",M23-N23+1,0)</f>
        <v>6</v>
      </c>
      <c r="P24" s="199">
        <f t="shared" ca="1" si="11"/>
        <v>25</v>
      </c>
      <c r="Q24" s="199">
        <f t="shared" ca="1" si="0"/>
        <v>365</v>
      </c>
      <c r="R24" s="928">
        <f ca="1">IF(B24&lt;&gt;"",O24/Q23,0)</f>
        <v>1.643835616438356E-2</v>
      </c>
      <c r="S24" s="199">
        <f t="shared" ca="1" si="13"/>
        <v>6.8493150684931503E-2</v>
      </c>
      <c r="T24" s="199">
        <f t="shared" ca="1" si="4"/>
        <v>8.4931506849315067E-2</v>
      </c>
      <c r="U24" s="415">
        <f t="shared" ca="1" si="14"/>
        <v>1.0072106849315068</v>
      </c>
      <c r="V24" s="233">
        <f ca="1">IF(B24&lt;&gt;"",1/PRODUCT($U$11:U24),0)</f>
        <v>0.90597868677121618</v>
      </c>
      <c r="AA24" s="240">
        <f t="shared" ca="1" si="5"/>
        <v>764.1</v>
      </c>
      <c r="AB24" s="240">
        <f ca="1">IF(B24&lt;&gt;"",AA24/((1+$V$5)^(SUM($T$11:T24))),0)</f>
        <v>633.30787752018659</v>
      </c>
      <c r="AD24">
        <f t="shared" ca="1" si="15"/>
        <v>1.0072106849315068</v>
      </c>
      <c r="AE24">
        <f ca="1">IF(B24&lt;&gt;"",1/PRODUCT($AD$11:AD24),0)</f>
        <v>0.90597868677121618</v>
      </c>
    </row>
    <row r="25" spans="1:35" ht="13.5" thickBot="1" x14ac:dyDescent="0.35">
      <c r="A25" s="196">
        <f ca="1">SUM(E11:E130)</f>
        <v>5676.799999999992</v>
      </c>
      <c r="B25" s="248">
        <f t="shared" si="1"/>
        <v>15</v>
      </c>
      <c r="C25" s="249">
        <f t="shared" ca="1" si="6"/>
        <v>46656</v>
      </c>
      <c r="D25" s="249">
        <f t="shared" ca="1" si="16"/>
        <v>46656</v>
      </c>
      <c r="E25" s="250">
        <f t="shared" ca="1" si="7"/>
        <v>165.95</v>
      </c>
      <c r="F25" s="250">
        <f t="shared" ca="1" si="8"/>
        <v>598.15</v>
      </c>
      <c r="G25" s="250">
        <f t="shared" ca="1" si="2"/>
        <v>22415.640000000007</v>
      </c>
      <c r="H25" s="250">
        <f t="shared" ca="1" si="3"/>
        <v>764.1</v>
      </c>
      <c r="I25" s="99"/>
      <c r="K25" s="231"/>
      <c r="L25" s="199" t="str">
        <f t="shared" si="9"/>
        <v>R</v>
      </c>
      <c r="M25" s="231">
        <f t="shared" ca="1" si="10"/>
        <v>46660</v>
      </c>
      <c r="N25" s="231">
        <f t="shared" ca="1" si="17"/>
        <v>46656</v>
      </c>
      <c r="O25" s="199">
        <f t="shared" ca="1" si="18"/>
        <v>6</v>
      </c>
      <c r="P25" s="199">
        <f t="shared" ca="1" si="11"/>
        <v>25</v>
      </c>
      <c r="Q25" s="199">
        <f t="shared" ca="1" si="0"/>
        <v>365</v>
      </c>
      <c r="R25" s="928">
        <f t="shared" ref="R25:R26" ca="1" si="19">IF(B25&lt;&gt;"",O25/Q24,0)</f>
        <v>1.643835616438356E-2</v>
      </c>
      <c r="S25" s="199">
        <f t="shared" ca="1" si="13"/>
        <v>6.8493150684931503E-2</v>
      </c>
      <c r="T25" s="199">
        <f t="shared" ca="1" si="4"/>
        <v>8.4931506849315067E-2</v>
      </c>
      <c r="U25" s="415">
        <f t="shared" ca="1" si="14"/>
        <v>1.0072106849315068</v>
      </c>
      <c r="V25" s="233">
        <f ca="1">IF(B25&lt;&gt;"",1/PRODUCT($U$11:U25),0)</f>
        <v>0.89949272811062886</v>
      </c>
      <c r="AA25" s="240">
        <f t="shared" ca="1" si="5"/>
        <v>764.1</v>
      </c>
      <c r="AB25" s="240">
        <f ca="1">IF(B25&lt;&gt;"",AA25/((1+$V$5)^(SUM($T$11:T25))),0)</f>
        <v>624.71447578537618</v>
      </c>
      <c r="AD25">
        <f t="shared" ca="1" si="15"/>
        <v>1.0072106849315068</v>
      </c>
      <c r="AE25">
        <f ca="1">IF(B25&lt;&gt;"",1/PRODUCT($AD$11:AD25),0)</f>
        <v>0.89949272811062886</v>
      </c>
      <c r="AI25">
        <v>-3.7778706683311344E+16</v>
      </c>
    </row>
    <row r="26" spans="1:35" ht="13" x14ac:dyDescent="0.3">
      <c r="A26" s="194" t="s">
        <v>138</v>
      </c>
      <c r="B26" s="248">
        <f t="shared" si="1"/>
        <v>16</v>
      </c>
      <c r="C26" s="249">
        <f t="shared" ca="1" si="6"/>
        <v>46686</v>
      </c>
      <c r="D26" s="249">
        <f t="shared" ca="1" si="16"/>
        <v>46686</v>
      </c>
      <c r="E26" s="250">
        <f t="shared" ca="1" si="7"/>
        <v>156.41999999999999</v>
      </c>
      <c r="F26" s="250">
        <f t="shared" ca="1" si="8"/>
        <v>607.67999999999995</v>
      </c>
      <c r="G26" s="250">
        <f t="shared" ca="1" si="2"/>
        <v>21807.960000000006</v>
      </c>
      <c r="H26" s="250">
        <f t="shared" ca="1" si="3"/>
        <v>764.1</v>
      </c>
      <c r="I26" s="99"/>
      <c r="K26" s="231"/>
      <c r="L26" s="199" t="str">
        <f t="shared" si="9"/>
        <v>R</v>
      </c>
      <c r="M26" s="231">
        <f t="shared" ca="1" si="10"/>
        <v>46691</v>
      </c>
      <c r="N26" s="231">
        <f t="shared" ca="1" si="17"/>
        <v>46686</v>
      </c>
      <c r="O26" s="199">
        <f t="shared" ca="1" si="18"/>
        <v>5</v>
      </c>
      <c r="P26" s="199">
        <f t="shared" ca="1" si="11"/>
        <v>25</v>
      </c>
      <c r="Q26" s="199">
        <f t="shared" ca="1" si="0"/>
        <v>365</v>
      </c>
      <c r="R26" s="928">
        <f t="shared" ca="1" si="19"/>
        <v>1.3698630136986301E-2</v>
      </c>
      <c r="S26" s="199">
        <f t="shared" ca="1" si="13"/>
        <v>6.8493150684931503E-2</v>
      </c>
      <c r="T26" s="199">
        <f t="shared" ca="1" si="4"/>
        <v>8.2191780821917804E-2</v>
      </c>
      <c r="U26" s="415">
        <f t="shared" ca="1" si="14"/>
        <v>1.0069780821917809</v>
      </c>
      <c r="V26" s="233">
        <f ca="1">IF(B26&lt;&gt;"",1/PRODUCT($U$11:U26),0)</f>
        <v>0.89325948997102289</v>
      </c>
      <c r="AA26" s="240">
        <f t="shared" ca="1" si="5"/>
        <v>764.1</v>
      </c>
      <c r="AB26" s="240">
        <f ca="1">IF(B26&lt;&gt;"",AA26/((1+$V$5)^(SUM($T$11:T26))),0)</f>
        <v>616.50931983644716</v>
      </c>
      <c r="AD26">
        <f t="shared" ca="1" si="15"/>
        <v>1.0069780821917809</v>
      </c>
      <c r="AE26">
        <f ca="1">IF(B26&lt;&gt;"",1/PRODUCT($AD$11:AD26),0)</f>
        <v>0.89325948997102289</v>
      </c>
    </row>
    <row r="27" spans="1:35" ht="13.5" thickBot="1" x14ac:dyDescent="0.35">
      <c r="A27" s="223">
        <f ca="1">H2</f>
        <v>764.1</v>
      </c>
      <c r="B27" s="248">
        <f t="shared" si="1"/>
        <v>17</v>
      </c>
      <c r="C27" s="249">
        <f t="shared" ca="1" si="6"/>
        <v>46717</v>
      </c>
      <c r="D27" s="249">
        <f t="shared" ca="1" si="16"/>
        <v>46717</v>
      </c>
      <c r="E27" s="250">
        <f t="shared" ca="1" si="7"/>
        <v>157.25</v>
      </c>
      <c r="F27" s="250">
        <f t="shared" ca="1" si="8"/>
        <v>606.85</v>
      </c>
      <c r="G27" s="250">
        <f t="shared" ca="1" si="2"/>
        <v>21201.110000000008</v>
      </c>
      <c r="H27" s="250">
        <f t="shared" ca="1" si="3"/>
        <v>764.1</v>
      </c>
      <c r="I27" s="99"/>
      <c r="K27" s="231"/>
      <c r="L27" s="199" t="str">
        <f t="shared" si="9"/>
        <v>R</v>
      </c>
      <c r="M27" s="231">
        <f t="shared" ca="1" si="10"/>
        <v>46721</v>
      </c>
      <c r="N27" s="231">
        <f t="shared" ca="1" si="17"/>
        <v>46717</v>
      </c>
      <c r="O27" s="199">
        <f t="shared" ca="1" si="18"/>
        <v>6</v>
      </c>
      <c r="P27" s="199">
        <f t="shared" ca="1" si="11"/>
        <v>25</v>
      </c>
      <c r="Q27" s="199">
        <f t="shared" ca="1" si="0"/>
        <v>365</v>
      </c>
      <c r="R27" s="199">
        <f t="shared" ca="1" si="12"/>
        <v>1.643835616438356E-2</v>
      </c>
      <c r="S27" s="199">
        <f t="shared" ca="1" si="13"/>
        <v>6.8493150684931503E-2</v>
      </c>
      <c r="T27" s="199">
        <f t="shared" ca="1" si="4"/>
        <v>8.4931506849315067E-2</v>
      </c>
      <c r="U27" s="415">
        <f t="shared" ca="1" si="14"/>
        <v>1.0072106849315068</v>
      </c>
      <c r="V27" s="233">
        <f ca="1">IF(B27&lt;&gt;"",1/PRODUCT($U$11:U27),0)</f>
        <v>0.8868645888439588</v>
      </c>
      <c r="AA27" s="240">
        <f t="shared" ca="1" si="5"/>
        <v>764.1</v>
      </c>
      <c r="AB27" s="240">
        <f ca="1">IF(B27&lt;&gt;"",AA27/((1+$V$5)^(SUM($T$11:T27))),0)</f>
        <v>608.14385898136663</v>
      </c>
      <c r="AD27">
        <f t="shared" ca="1" si="15"/>
        <v>1.0072106849315068</v>
      </c>
      <c r="AE27">
        <f ca="1">IF(B27&lt;&gt;"",1/PRODUCT($AD$11:AD27),0)</f>
        <v>0.8868645888439588</v>
      </c>
    </row>
    <row r="28" spans="1:35" ht="13" x14ac:dyDescent="0.3">
      <c r="A28" s="194" t="s">
        <v>14</v>
      </c>
      <c r="B28" s="248">
        <f t="shared" si="1"/>
        <v>18</v>
      </c>
      <c r="C28" s="249">
        <f t="shared" ca="1" si="6"/>
        <v>46747</v>
      </c>
      <c r="D28" s="249">
        <f t="shared" ca="1" si="16"/>
        <v>46747</v>
      </c>
      <c r="E28" s="250">
        <f t="shared" ca="1" si="7"/>
        <v>147.94</v>
      </c>
      <c r="F28" s="250">
        <f t="shared" ca="1" si="8"/>
        <v>616.16</v>
      </c>
      <c r="G28" s="250">
        <f t="shared" ca="1" si="2"/>
        <v>20584.950000000008</v>
      </c>
      <c r="H28" s="250">
        <f t="shared" ca="1" si="3"/>
        <v>764.1</v>
      </c>
      <c r="I28" s="99"/>
      <c r="K28" s="231"/>
      <c r="L28" s="199" t="str">
        <f t="shared" si="9"/>
        <v>R</v>
      </c>
      <c r="M28" s="231">
        <f t="shared" ca="1" si="10"/>
        <v>46752</v>
      </c>
      <c r="N28" s="231">
        <f t="shared" ca="1" si="17"/>
        <v>46747</v>
      </c>
      <c r="O28" s="199">
        <f t="shared" ca="1" si="18"/>
        <v>5</v>
      </c>
      <c r="P28" s="199">
        <f t="shared" ca="1" si="11"/>
        <v>25</v>
      </c>
      <c r="Q28" s="199">
        <f t="shared" ca="1" si="0"/>
        <v>365</v>
      </c>
      <c r="R28" s="199">
        <f t="shared" ca="1" si="12"/>
        <v>1.3698630136986301E-2</v>
      </c>
      <c r="S28" s="199">
        <f t="shared" ca="1" si="13"/>
        <v>6.8493150684931503E-2</v>
      </c>
      <c r="T28" s="199">
        <f t="shared" ca="1" si="4"/>
        <v>8.2191780821917804E-2</v>
      </c>
      <c r="U28" s="415">
        <f t="shared" ca="1" si="14"/>
        <v>1.0069780821917809</v>
      </c>
      <c r="V28" s="233">
        <f ca="1">IF(B28&lt;&gt;"",1/PRODUCT($U$11:U28),0)</f>
        <v>0.8807188602492878</v>
      </c>
      <c r="AA28" s="240">
        <f t="shared" ca="1" si="5"/>
        <v>764.1</v>
      </c>
      <c r="AB28" s="240">
        <f ca="1">IF(B28&lt;&gt;"",AA28/((1+$V$5)^(SUM($T$11:T28))),0)</f>
        <v>600.15634565209325</v>
      </c>
      <c r="AD28">
        <f t="shared" ca="1" si="15"/>
        <v>1.0069780821917809</v>
      </c>
      <c r="AE28">
        <f ca="1">IF(B28&lt;&gt;"",1/PRODUCT($AD$11:AD28),0)</f>
        <v>0.8807188602492878</v>
      </c>
    </row>
    <row r="29" spans="1:35" ht="13.5" thickBot="1" x14ac:dyDescent="0.35">
      <c r="A29" s="222">
        <f>$H$8</f>
        <v>0.17451905146291249</v>
      </c>
      <c r="B29" s="248">
        <f t="shared" si="1"/>
        <v>19</v>
      </c>
      <c r="C29" s="249">
        <f t="shared" ca="1" si="6"/>
        <v>46778</v>
      </c>
      <c r="D29" s="249">
        <f t="shared" ca="1" si="16"/>
        <v>46778</v>
      </c>
      <c r="E29" s="250">
        <f t="shared" ca="1" si="7"/>
        <v>148.43</v>
      </c>
      <c r="F29" s="250">
        <f t="shared" ca="1" si="8"/>
        <v>615.66999999999996</v>
      </c>
      <c r="G29" s="250">
        <f t="shared" ca="1" si="2"/>
        <v>19969.28000000001</v>
      </c>
      <c r="H29" s="250">
        <f t="shared" ca="1" si="3"/>
        <v>764.1</v>
      </c>
      <c r="I29" s="99"/>
      <c r="K29" s="231"/>
      <c r="L29" s="199" t="str">
        <f t="shared" si="9"/>
        <v>R</v>
      </c>
      <c r="M29" s="231">
        <f t="shared" ca="1" si="10"/>
        <v>46783</v>
      </c>
      <c r="N29" s="231">
        <f t="shared" ca="1" si="17"/>
        <v>46778</v>
      </c>
      <c r="O29" s="199">
        <f t="shared" ca="1" si="18"/>
        <v>6</v>
      </c>
      <c r="P29" s="199">
        <f t="shared" ca="1" si="11"/>
        <v>25</v>
      </c>
      <c r="Q29" s="199">
        <f t="shared" ca="1" si="0"/>
        <v>366</v>
      </c>
      <c r="R29" s="199">
        <f t="shared" ca="1" si="12"/>
        <v>1.643835616438356E-2</v>
      </c>
      <c r="S29" s="199">
        <f t="shared" ca="1" si="13"/>
        <v>6.8306010928961755E-2</v>
      </c>
      <c r="T29" s="199">
        <f t="shared" ca="1" si="4"/>
        <v>8.4744367093345319E-2</v>
      </c>
      <c r="U29" s="415">
        <f t="shared" ca="1" si="14"/>
        <v>1.0071947967662249</v>
      </c>
      <c r="V29" s="233">
        <f ca="1">IF(B29&lt;&gt;"",1/PRODUCT($U$11:U29),0)</f>
        <v>0.87442753187068667</v>
      </c>
      <c r="AA29" s="240">
        <f t="shared" ca="1" si="5"/>
        <v>764.1</v>
      </c>
      <c r="AB29" s="240">
        <f ca="1">IF(B29&lt;&gt;"",AA29/((1+$V$5)^(SUM($T$11:T29))),0)</f>
        <v>592.03060118935434</v>
      </c>
      <c r="AD29">
        <f t="shared" ca="1" si="15"/>
        <v>1.0072106849315068</v>
      </c>
      <c r="AE29">
        <f ca="1">IF(B29&lt;&gt;"",1/PRODUCT($AD$11:AD29),0)</f>
        <v>0.87441373828274993</v>
      </c>
    </row>
    <row r="30" spans="1:35" ht="13" x14ac:dyDescent="0.3">
      <c r="A30" s="194" t="s">
        <v>159</v>
      </c>
      <c r="B30" s="248">
        <f t="shared" si="1"/>
        <v>20</v>
      </c>
      <c r="C30" s="249">
        <f t="shared" ca="1" si="6"/>
        <v>46809</v>
      </c>
      <c r="D30" s="249">
        <f t="shared" ca="1" si="16"/>
        <v>46809</v>
      </c>
      <c r="E30" s="250">
        <f t="shared" ca="1" si="7"/>
        <v>143.99</v>
      </c>
      <c r="F30" s="250">
        <f t="shared" ca="1" si="8"/>
        <v>620.11</v>
      </c>
      <c r="G30" s="250">
        <f t="shared" ca="1" si="2"/>
        <v>19349.170000000009</v>
      </c>
      <c r="H30" s="250">
        <f t="shared" ca="1" si="3"/>
        <v>764.1</v>
      </c>
      <c r="I30" s="99"/>
      <c r="K30" s="231"/>
      <c r="L30" s="199" t="str">
        <f t="shared" si="9"/>
        <v>R</v>
      </c>
      <c r="M30" s="231">
        <f ca="1">IF(B30&lt;&gt;"",DATE(YEAR((D30)),MONTH((D30))+1,1)-1,"")</f>
        <v>46812</v>
      </c>
      <c r="N30" s="231">
        <f t="shared" ca="1" si="17"/>
        <v>46809</v>
      </c>
      <c r="O30" s="199">
        <f t="shared" ca="1" si="18"/>
        <v>6</v>
      </c>
      <c r="P30" s="199">
        <f t="shared" ca="1" si="11"/>
        <v>25</v>
      </c>
      <c r="Q30" s="199">
        <f t="shared" ca="1" si="0"/>
        <v>366</v>
      </c>
      <c r="R30" s="199">
        <f t="shared" ca="1" si="12"/>
        <v>1.6393442622950821E-2</v>
      </c>
      <c r="S30" s="199">
        <f t="shared" ca="1" si="13"/>
        <v>6.8306010928961755E-2</v>
      </c>
      <c r="T30" s="199">
        <f t="shared" ca="1" si="4"/>
        <v>8.4699453551912579E-2</v>
      </c>
      <c r="U30" s="415">
        <f t="shared" ca="1" si="14"/>
        <v>1.0071909836065573</v>
      </c>
      <c r="V30" s="233">
        <f ca="1">IF(B30&lt;&gt;"",1/PRODUCT($U$11:U30),0)</f>
        <v>0.86818443185375793</v>
      </c>
      <c r="AA30" s="240">
        <f t="shared" ca="1" si="5"/>
        <v>764.1</v>
      </c>
      <c r="AB30" s="240">
        <f ca="1">IF(B30&lt;&gt;"",AA30/((1+$V$5)^(SUM($T$11:T30))),0)</f>
        <v>584.01909363229743</v>
      </c>
      <c r="AD30">
        <f t="shared" ca="1" si="15"/>
        <v>1.0072106849315068</v>
      </c>
      <c r="AE30">
        <f ca="1">IF(B30&lt;&gt;"",1/PRODUCT($AD$11:AD30),0)</f>
        <v>0.86815375508274373</v>
      </c>
    </row>
    <row r="31" spans="1:35" ht="13.5" thickBot="1" x14ac:dyDescent="0.35">
      <c r="A31" s="258">
        <f ca="1">A25+A19</f>
        <v>5676.799999999992</v>
      </c>
      <c r="B31" s="248">
        <f t="shared" si="1"/>
        <v>21</v>
      </c>
      <c r="C31" s="249">
        <f t="shared" ca="1" si="6"/>
        <v>46838</v>
      </c>
      <c r="D31" s="249">
        <f t="shared" ca="1" si="16"/>
        <v>46838</v>
      </c>
      <c r="E31" s="250">
        <f t="shared" ca="1" si="7"/>
        <v>130.52000000000001</v>
      </c>
      <c r="F31" s="250">
        <f t="shared" ca="1" si="8"/>
        <v>633.58000000000004</v>
      </c>
      <c r="G31" s="250">
        <f t="shared" ca="1" si="2"/>
        <v>18715.590000000007</v>
      </c>
      <c r="H31" s="250">
        <f t="shared" ca="1" si="3"/>
        <v>764.1</v>
      </c>
      <c r="I31" s="99"/>
      <c r="K31" s="231"/>
      <c r="L31" s="199" t="str">
        <f t="shared" si="9"/>
        <v>R</v>
      </c>
      <c r="M31" s="231">
        <f t="shared" ca="1" si="10"/>
        <v>46843</v>
      </c>
      <c r="N31" s="231">
        <f t="shared" ca="1" si="17"/>
        <v>46838</v>
      </c>
      <c r="O31" s="199">
        <f t="shared" ca="1" si="18"/>
        <v>4</v>
      </c>
      <c r="P31" s="199">
        <f t="shared" ca="1" si="11"/>
        <v>25</v>
      </c>
      <c r="Q31" s="199">
        <f t="shared" ca="1" si="0"/>
        <v>366</v>
      </c>
      <c r="R31" s="199">
        <f t="shared" ca="1" si="12"/>
        <v>1.092896174863388E-2</v>
      </c>
      <c r="S31" s="199">
        <f t="shared" ca="1" si="13"/>
        <v>6.8306010928961755E-2</v>
      </c>
      <c r="T31" s="199">
        <f t="shared" ca="1" si="4"/>
        <v>7.9234972677595633E-2</v>
      </c>
      <c r="U31" s="415">
        <f t="shared" ca="1" si="14"/>
        <v>1.006727049180328</v>
      </c>
      <c r="V31" s="233">
        <f ca="1">IF(B31&lt;&gt;"",1/PRODUCT($U$11:U31),0)</f>
        <v>0.86238313807166433</v>
      </c>
      <c r="AA31" s="240">
        <f t="shared" ca="1" si="5"/>
        <v>764.1</v>
      </c>
      <c r="AB31" s="240">
        <f ca="1">IF(B31&lt;&gt;"",AA31/((1+$V$5)^(SUM($T$11:T31))),0)</f>
        <v>576.62263391377223</v>
      </c>
      <c r="AD31">
        <f t="shared" ca="1" si="15"/>
        <v>1.0067454794520547</v>
      </c>
      <c r="AE31">
        <f ca="1">IF(B31&lt;&gt;"",1/PRODUCT($AD$11:AD31),0)</f>
        <v>0.86233687938212267</v>
      </c>
    </row>
    <row r="32" spans="1:35" ht="13" x14ac:dyDescent="0.3">
      <c r="A32" s="194" t="s">
        <v>158</v>
      </c>
      <c r="B32" s="248">
        <f t="shared" si="1"/>
        <v>22</v>
      </c>
      <c r="C32" s="249">
        <f t="shared" ca="1" si="6"/>
        <v>46869</v>
      </c>
      <c r="D32" s="249">
        <f t="shared" ca="1" si="16"/>
        <v>46869</v>
      </c>
      <c r="E32" s="250">
        <f t="shared" ca="1" si="7"/>
        <v>134.94999999999999</v>
      </c>
      <c r="F32" s="250">
        <f t="shared" ca="1" si="8"/>
        <v>629.15</v>
      </c>
      <c r="G32" s="250">
        <f t="shared" ca="1" si="2"/>
        <v>18086.440000000006</v>
      </c>
      <c r="H32" s="250">
        <f t="shared" ca="1" si="3"/>
        <v>764.1</v>
      </c>
      <c r="I32" s="99"/>
      <c r="K32" s="231"/>
      <c r="L32" s="199" t="str">
        <f t="shared" si="9"/>
        <v>R</v>
      </c>
      <c r="M32" s="231">
        <f t="shared" ca="1" si="10"/>
        <v>46873</v>
      </c>
      <c r="N32" s="231">
        <f t="shared" ca="1" si="17"/>
        <v>46869</v>
      </c>
      <c r="O32" s="199">
        <f t="shared" ca="1" si="18"/>
        <v>6</v>
      </c>
      <c r="P32" s="199">
        <f t="shared" ca="1" si="11"/>
        <v>25</v>
      </c>
      <c r="Q32" s="199">
        <f t="shared" ca="1" si="0"/>
        <v>366</v>
      </c>
      <c r="R32" s="199">
        <f t="shared" ca="1" si="12"/>
        <v>1.6393442622950821E-2</v>
      </c>
      <c r="S32" s="199">
        <f t="shared" ca="1" si="13"/>
        <v>6.8306010928961755E-2</v>
      </c>
      <c r="T32" s="199">
        <f t="shared" ca="1" si="4"/>
        <v>8.4699453551912579E-2</v>
      </c>
      <c r="U32" s="415">
        <f t="shared" ca="1" si="14"/>
        <v>1.0071909836065573</v>
      </c>
      <c r="V32" s="233">
        <f ca="1">IF(B32&lt;&gt;"",1/PRODUCT($U$11:U32),0)</f>
        <v>0.85622603072124026</v>
      </c>
      <c r="AA32" s="240">
        <f t="shared" ca="1" si="5"/>
        <v>764.1</v>
      </c>
      <c r="AB32" s="240">
        <f ca="1">IF(B32&lt;&gt;"",AA32/((1+$V$5)^(SUM($T$11:T32))),0)</f>
        <v>568.81963085972461</v>
      </c>
      <c r="AD32">
        <f t="shared" ca="1" si="15"/>
        <v>1.0072106849315068</v>
      </c>
      <c r="AE32">
        <f ca="1">IF(B32&lt;&gt;"",1/PRODUCT($AD$11:AD32),0)</f>
        <v>0.85616335517803221</v>
      </c>
    </row>
    <row r="33" spans="1:31" ht="13.5" thickBot="1" x14ac:dyDescent="0.35">
      <c r="A33" s="258">
        <f ca="1">A31+A21</f>
        <v>5676.799999999992</v>
      </c>
      <c r="B33" s="248">
        <f t="shared" si="1"/>
        <v>23</v>
      </c>
      <c r="C33" s="249">
        <f t="shared" ca="1" si="6"/>
        <v>46899</v>
      </c>
      <c r="D33" s="249">
        <f t="shared" ca="1" si="16"/>
        <v>46899</v>
      </c>
      <c r="E33" s="250">
        <f t="shared" ca="1" si="7"/>
        <v>126.21</v>
      </c>
      <c r="F33" s="250">
        <f t="shared" ca="1" si="8"/>
        <v>637.89</v>
      </c>
      <c r="G33" s="250">
        <f t="shared" ca="1" si="2"/>
        <v>17448.550000000007</v>
      </c>
      <c r="H33" s="250">
        <f t="shared" ca="1" si="3"/>
        <v>764.1</v>
      </c>
      <c r="I33" s="99"/>
      <c r="K33" s="231"/>
      <c r="L33" s="199" t="str">
        <f t="shared" si="9"/>
        <v>R</v>
      </c>
      <c r="M33" s="231">
        <f t="shared" ca="1" si="10"/>
        <v>46904</v>
      </c>
      <c r="N33" s="231">
        <f t="shared" ca="1" si="17"/>
        <v>46899</v>
      </c>
      <c r="O33" s="199">
        <f t="shared" ca="1" si="18"/>
        <v>5</v>
      </c>
      <c r="P33" s="199">
        <f t="shared" ca="1" si="11"/>
        <v>25</v>
      </c>
      <c r="Q33" s="199">
        <f t="shared" ca="1" si="0"/>
        <v>366</v>
      </c>
      <c r="R33" s="199">
        <f t="shared" ca="1" si="12"/>
        <v>1.3661202185792349E-2</v>
      </c>
      <c r="S33" s="199">
        <f t="shared" ca="1" si="13"/>
        <v>6.8306010928961755E-2</v>
      </c>
      <c r="T33" s="199">
        <f t="shared" ca="1" si="4"/>
        <v>8.1967213114754106E-2</v>
      </c>
      <c r="U33" s="415">
        <f t="shared" ca="1" si="14"/>
        <v>1.0069590163934425</v>
      </c>
      <c r="V33" s="233">
        <f ca="1">IF(B33&lt;&gt;"",1/PRODUCT($U$11:U33),0)</f>
        <v>0.85030871841033562</v>
      </c>
      <c r="AA33" s="240">
        <f t="shared" ca="1" si="5"/>
        <v>764.1</v>
      </c>
      <c r="AB33" s="240">
        <f ca="1">IF(B33&lt;&gt;"",AA33/((1+$V$5)^(SUM($T$11:T33))),0)</f>
        <v>561.36889010766083</v>
      </c>
      <c r="AD33">
        <f t="shared" ca="1" si="15"/>
        <v>1.0069780821917809</v>
      </c>
      <c r="AE33">
        <f ca="1">IF(B33&lt;&gt;"",1/PRODUCT($AD$11:AD33),0)</f>
        <v>0.85023037772035071</v>
      </c>
    </row>
    <row r="34" spans="1:31" ht="13" x14ac:dyDescent="0.3">
      <c r="A34" s="194" t="s">
        <v>161</v>
      </c>
      <c r="B34" s="248">
        <f t="shared" si="1"/>
        <v>24</v>
      </c>
      <c r="C34" s="249">
        <f t="shared" ca="1" si="6"/>
        <v>46930</v>
      </c>
      <c r="D34" s="249">
        <f t="shared" ca="1" si="16"/>
        <v>46930</v>
      </c>
      <c r="E34" s="250">
        <f t="shared" ca="1" si="7"/>
        <v>125.82</v>
      </c>
      <c r="F34" s="250">
        <f t="shared" ca="1" si="8"/>
        <v>638.28</v>
      </c>
      <c r="G34" s="250">
        <f t="shared" ca="1" si="2"/>
        <v>16810.270000000008</v>
      </c>
      <c r="H34" s="250">
        <f t="shared" ca="1" si="3"/>
        <v>764.1</v>
      </c>
      <c r="I34" s="99"/>
      <c r="K34" s="231"/>
      <c r="L34" s="199" t="str">
        <f t="shared" si="9"/>
        <v>R</v>
      </c>
      <c r="M34" s="231">
        <f t="shared" ca="1" si="10"/>
        <v>46934</v>
      </c>
      <c r="N34" s="231">
        <f t="shared" ca="1" si="17"/>
        <v>46930</v>
      </c>
      <c r="O34" s="199">
        <f t="shared" ca="1" si="18"/>
        <v>6</v>
      </c>
      <c r="P34" s="199">
        <f t="shared" ca="1" si="11"/>
        <v>25</v>
      </c>
      <c r="Q34" s="199">
        <f t="shared" ca="1" si="0"/>
        <v>366</v>
      </c>
      <c r="R34" s="199">
        <f t="shared" ca="1" si="12"/>
        <v>1.6393442622950821E-2</v>
      </c>
      <c r="S34" s="199">
        <f t="shared" ca="1" si="13"/>
        <v>6.8306010928961755E-2</v>
      </c>
      <c r="T34" s="199">
        <f t="shared" ca="1" si="4"/>
        <v>8.4699453551912579E-2</v>
      </c>
      <c r="U34" s="415">
        <f t="shared" ca="1" si="14"/>
        <v>1.0071909836065573</v>
      </c>
      <c r="V34" s="233">
        <f ca="1">IF(B34&lt;&gt;"",1/PRODUCT($U$11:U34),0)</f>
        <v>0.84423781810034026</v>
      </c>
      <c r="AA34" s="240">
        <f t="shared" ca="1" si="5"/>
        <v>764.1</v>
      </c>
      <c r="AB34" s="240">
        <f ca="1">IF(B34&lt;&gt;"",AA34/((1+$V$5)^(SUM($T$11:T34))),0)</f>
        <v>553.77230456569873</v>
      </c>
      <c r="AD34">
        <f t="shared" ca="1" si="15"/>
        <v>1.0072106849315068</v>
      </c>
      <c r="AE34">
        <f ca="1">IF(B34&lt;&gt;"",1/PRODUCT($AD$11:AD34),0)</f>
        <v>0.84414352472657583</v>
      </c>
    </row>
    <row r="35" spans="1:31" ht="13.5" thickBot="1" x14ac:dyDescent="0.35">
      <c r="A35" s="911">
        <f ca="1">A23+A25</f>
        <v>36676.799999999988</v>
      </c>
      <c r="B35" s="248">
        <f t="shared" si="1"/>
        <v>25</v>
      </c>
      <c r="C35" s="249">
        <f t="shared" ca="1" si="6"/>
        <v>46960</v>
      </c>
      <c r="D35" s="249">
        <f t="shared" ca="1" si="16"/>
        <v>46960</v>
      </c>
      <c r="E35" s="250">
        <f t="shared" ca="1" si="7"/>
        <v>117.3</v>
      </c>
      <c r="F35" s="250">
        <f t="shared" ca="1" si="8"/>
        <v>646.79999999999995</v>
      </c>
      <c r="G35" s="250">
        <f t="shared" ca="1" si="2"/>
        <v>16163.470000000008</v>
      </c>
      <c r="H35" s="250">
        <f t="shared" ca="1" si="3"/>
        <v>764.1</v>
      </c>
      <c r="I35" s="99"/>
      <c r="K35" s="231"/>
      <c r="L35" s="199" t="str">
        <f t="shared" si="9"/>
        <v>R</v>
      </c>
      <c r="M35" s="231">
        <f t="shared" ca="1" si="10"/>
        <v>46965</v>
      </c>
      <c r="N35" s="231">
        <f t="shared" ca="1" si="17"/>
        <v>46960</v>
      </c>
      <c r="O35" s="199">
        <f t="shared" ca="1" si="18"/>
        <v>5</v>
      </c>
      <c r="P35" s="199">
        <f t="shared" ca="1" si="11"/>
        <v>25</v>
      </c>
      <c r="Q35" s="199">
        <f t="shared" ca="1" si="0"/>
        <v>366</v>
      </c>
      <c r="R35" s="199">
        <f t="shared" ca="1" si="12"/>
        <v>1.3661202185792349E-2</v>
      </c>
      <c r="S35" s="199">
        <f t="shared" ca="1" si="13"/>
        <v>6.8306010928961755E-2</v>
      </c>
      <c r="T35" s="199">
        <f t="shared" ca="1" si="4"/>
        <v>8.1967213114754106E-2</v>
      </c>
      <c r="U35" s="415">
        <f t="shared" ca="1" si="14"/>
        <v>1.0069590163934425</v>
      </c>
      <c r="V35" s="233">
        <f ca="1">IF(B35&lt;&gt;"",1/PRODUCT($U$11:U35),0)</f>
        <v>0.83840335540575428</v>
      </c>
      <c r="AA35" s="240">
        <f t="shared" ca="1" si="5"/>
        <v>764.1</v>
      </c>
      <c r="AB35" s="240">
        <f ca="1">IF(B35&lt;&gt;"",AA35/((1+$V$5)^(SUM($T$11:T35))),0)</f>
        <v>546.51866272011796</v>
      </c>
      <c r="AD35">
        <f t="shared" ca="1" si="15"/>
        <v>1.0069780821917809</v>
      </c>
      <c r="AE35">
        <f ca="1">IF(B35&lt;&gt;"",1/PRODUCT($AD$11:AD35),0)</f>
        <v>0.83829384140041996</v>
      </c>
    </row>
    <row r="36" spans="1:31" ht="13" x14ac:dyDescent="0.3">
      <c r="A36" s="24" t="s">
        <v>160</v>
      </c>
      <c r="B36" s="248">
        <f t="shared" si="1"/>
        <v>26</v>
      </c>
      <c r="C36" s="249">
        <f t="shared" ca="1" si="6"/>
        <v>46991</v>
      </c>
      <c r="D36" s="249">
        <f t="shared" ca="1" si="16"/>
        <v>46991</v>
      </c>
      <c r="E36" s="250">
        <f t="shared" ca="1" si="7"/>
        <v>116.55</v>
      </c>
      <c r="F36" s="250">
        <f t="shared" ca="1" si="8"/>
        <v>647.54999999999995</v>
      </c>
      <c r="G36" s="250">
        <f t="shared" ca="1" si="2"/>
        <v>15515.920000000009</v>
      </c>
      <c r="H36" s="250">
        <f t="shared" ca="1" si="3"/>
        <v>764.1</v>
      </c>
      <c r="I36" s="99"/>
      <c r="K36" s="231"/>
      <c r="L36" s="199" t="str">
        <f t="shared" si="9"/>
        <v>R</v>
      </c>
      <c r="M36" s="231">
        <f t="shared" ca="1" si="10"/>
        <v>46996</v>
      </c>
      <c r="N36" s="231">
        <f t="shared" ca="1" si="17"/>
        <v>46991</v>
      </c>
      <c r="O36" s="199">
        <f t="shared" ca="1" si="18"/>
        <v>6</v>
      </c>
      <c r="P36" s="199">
        <f t="shared" ca="1" si="11"/>
        <v>25</v>
      </c>
      <c r="Q36" s="199">
        <f t="shared" ca="1" si="0"/>
        <v>366</v>
      </c>
      <c r="R36" s="199">
        <f t="shared" ca="1" si="12"/>
        <v>1.6393442622950821E-2</v>
      </c>
      <c r="S36" s="199">
        <f t="shared" ca="1" si="13"/>
        <v>6.8306010928961755E-2</v>
      </c>
      <c r="T36" s="199">
        <f t="shared" ca="1" si="4"/>
        <v>8.4699453551912579E-2</v>
      </c>
      <c r="U36" s="415">
        <f t="shared" ca="1" si="14"/>
        <v>1.0071909836065573</v>
      </c>
      <c r="V36" s="233">
        <f ca="1">IF(B36&lt;&gt;"",1/PRODUCT($U$11:U36),0)</f>
        <v>0.83241745513208731</v>
      </c>
      <c r="AA36" s="240">
        <f t="shared" ca="1" si="5"/>
        <v>764.1</v>
      </c>
      <c r="AB36" s="240">
        <f ca="1">IF(B36&lt;&gt;"",AA36/((1+$V$5)^(SUM($T$11:T36))),0)</f>
        <v>539.12303420419528</v>
      </c>
      <c r="AD36">
        <f t="shared" ca="1" si="15"/>
        <v>1.0072106849315068</v>
      </c>
      <c r="AE36">
        <f ca="1">IF(B36&lt;&gt;"",1/PRODUCT($AD$11:AD36),0)</f>
        <v>0.83229244282433956</v>
      </c>
    </row>
    <row r="37" spans="1:31" ht="13" x14ac:dyDescent="0.3">
      <c r="A37" s="24"/>
      <c r="B37" s="248">
        <f t="shared" si="1"/>
        <v>27</v>
      </c>
      <c r="C37" s="249">
        <f t="shared" ca="1" si="6"/>
        <v>47022</v>
      </c>
      <c r="D37" s="249">
        <f t="shared" ca="1" si="16"/>
        <v>47022</v>
      </c>
      <c r="E37" s="250">
        <f t="shared" ca="1" si="7"/>
        <v>111.88</v>
      </c>
      <c r="F37" s="250">
        <f t="shared" ca="1" si="8"/>
        <v>652.22</v>
      </c>
      <c r="G37" s="250">
        <f t="shared" ca="1" si="2"/>
        <v>14863.70000000001</v>
      </c>
      <c r="H37" s="250">
        <f t="shared" ca="1" si="3"/>
        <v>764.1</v>
      </c>
      <c r="I37" s="99"/>
      <c r="K37" s="231"/>
      <c r="L37" s="199" t="str">
        <f t="shared" si="9"/>
        <v>R</v>
      </c>
      <c r="M37" s="231">
        <f t="shared" ca="1" si="10"/>
        <v>47026</v>
      </c>
      <c r="N37" s="231">
        <f t="shared" ca="1" si="17"/>
        <v>47022</v>
      </c>
      <c r="O37" s="199">
        <f t="shared" ca="1" si="18"/>
        <v>6</v>
      </c>
      <c r="P37" s="199">
        <f t="shared" ca="1" si="11"/>
        <v>25</v>
      </c>
      <c r="Q37" s="199">
        <f t="shared" ca="1" si="0"/>
        <v>366</v>
      </c>
      <c r="R37" s="199">
        <f t="shared" ca="1" si="12"/>
        <v>1.6393442622950821E-2</v>
      </c>
      <c r="S37" s="199">
        <f t="shared" ca="1" si="13"/>
        <v>6.8306010928961755E-2</v>
      </c>
      <c r="T37" s="199">
        <f t="shared" ca="1" si="4"/>
        <v>8.4699453551912579E-2</v>
      </c>
      <c r="U37" s="415">
        <f t="shared" ca="1" si="14"/>
        <v>1.0071909836065573</v>
      </c>
      <c r="V37" s="233">
        <f ca="1">IF(B37&lt;&gt;"",1/PRODUCT($U$11:U37),0)</f>
        <v>0.82647429204673806</v>
      </c>
      <c r="AA37" s="240">
        <f t="shared" ca="1" si="5"/>
        <v>764.1</v>
      </c>
      <c r="AB37" s="240">
        <f ca="1">IF(B37&lt;&gt;"",AA37/((1+$V$5)^(SUM($T$11:T37))),0)</f>
        <v>531.82748520042185</v>
      </c>
      <c r="AD37">
        <f t="shared" ca="1" si="15"/>
        <v>1.0072106849315068</v>
      </c>
      <c r="AE37">
        <f ca="1">IF(B37&lt;&gt;"",1/PRODUCT($AD$11:AD37),0)</f>
        <v>0.82633400863984852</v>
      </c>
    </row>
    <row r="38" spans="1:31" ht="13" x14ac:dyDescent="0.3">
      <c r="A38" s="24"/>
      <c r="B38" s="248">
        <f t="shared" si="1"/>
        <v>28</v>
      </c>
      <c r="C38" s="249">
        <f t="shared" ca="1" si="6"/>
        <v>47052</v>
      </c>
      <c r="D38" s="249">
        <f t="shared" ca="1" si="16"/>
        <v>47052</v>
      </c>
      <c r="E38" s="250">
        <f t="shared" ca="1" si="7"/>
        <v>103.72</v>
      </c>
      <c r="F38" s="250">
        <f t="shared" ca="1" si="8"/>
        <v>660.38</v>
      </c>
      <c r="G38" s="250">
        <f t="shared" ca="1" si="2"/>
        <v>14203.320000000011</v>
      </c>
      <c r="H38" s="250">
        <f t="shared" ca="1" si="3"/>
        <v>764.1</v>
      </c>
      <c r="I38" s="99"/>
      <c r="K38" s="231"/>
      <c r="L38" s="199" t="str">
        <f t="shared" si="9"/>
        <v>R</v>
      </c>
      <c r="M38" s="231">
        <f t="shared" ca="1" si="10"/>
        <v>47057</v>
      </c>
      <c r="N38" s="231">
        <f t="shared" ca="1" si="17"/>
        <v>47052</v>
      </c>
      <c r="O38" s="199">
        <f t="shared" ca="1" si="18"/>
        <v>5</v>
      </c>
      <c r="P38" s="199">
        <f t="shared" ca="1" si="11"/>
        <v>25</v>
      </c>
      <c r="Q38" s="199">
        <f t="shared" ca="1" si="0"/>
        <v>366</v>
      </c>
      <c r="R38" s="199">
        <f t="shared" ca="1" si="12"/>
        <v>1.3661202185792349E-2</v>
      </c>
      <c r="S38" s="199">
        <f t="shared" ca="1" si="13"/>
        <v>6.8306010928961755E-2</v>
      </c>
      <c r="T38" s="199">
        <f t="shared" ca="1" si="4"/>
        <v>8.1967213114754106E-2</v>
      </c>
      <c r="U38" s="415">
        <f t="shared" ca="1" si="14"/>
        <v>1.0069590163934425</v>
      </c>
      <c r="V38" s="233">
        <f ca="1">IF(B38&lt;&gt;"",1/PRODUCT($U$11:U38),0)</f>
        <v>0.82076259171586297</v>
      </c>
      <c r="AA38" s="240">
        <f t="shared" ca="1" si="5"/>
        <v>764.1</v>
      </c>
      <c r="AB38" s="240">
        <f ca="1">IF(B38&lt;&gt;"",AA38/((1+$V$5)^(SUM($T$11:T38))),0)</f>
        <v>524.86128976328246</v>
      </c>
      <c r="AD38">
        <f t="shared" ca="1" si="15"/>
        <v>1.0069780821917809</v>
      </c>
      <c r="AE38">
        <f ca="1">IF(B38&lt;&gt;"",1/PRODUCT($AD$11:AD38),0)</f>
        <v>0.82060774038026352</v>
      </c>
    </row>
    <row r="39" spans="1:31" ht="13" x14ac:dyDescent="0.3">
      <c r="A39" s="24"/>
      <c r="B39" s="248">
        <f t="shared" si="1"/>
        <v>29</v>
      </c>
      <c r="C39" s="249">
        <f t="shared" ca="1" si="6"/>
        <v>47083</v>
      </c>
      <c r="D39" s="249">
        <f t="shared" ca="1" si="16"/>
        <v>47083</v>
      </c>
      <c r="E39" s="250">
        <f t="shared" ca="1" si="7"/>
        <v>102.42</v>
      </c>
      <c r="F39" s="250">
        <f t="shared" ca="1" si="8"/>
        <v>661.68</v>
      </c>
      <c r="G39" s="250">
        <f t="shared" ca="1" si="2"/>
        <v>13541.64000000001</v>
      </c>
      <c r="H39" s="250">
        <f t="shared" ca="1" si="3"/>
        <v>764.1</v>
      </c>
      <c r="I39" s="99"/>
      <c r="K39" s="231"/>
      <c r="L39" s="199" t="str">
        <f t="shared" si="9"/>
        <v>R</v>
      </c>
      <c r="M39" s="231">
        <f t="shared" ca="1" si="10"/>
        <v>47087</v>
      </c>
      <c r="N39" s="231">
        <f t="shared" ca="1" si="17"/>
        <v>47083</v>
      </c>
      <c r="O39" s="199">
        <f t="shared" ca="1" si="18"/>
        <v>6</v>
      </c>
      <c r="P39" s="199">
        <f t="shared" ca="1" si="11"/>
        <v>25</v>
      </c>
      <c r="Q39" s="199">
        <f t="shared" ca="1" si="0"/>
        <v>366</v>
      </c>
      <c r="R39" s="199">
        <f t="shared" ca="1" si="12"/>
        <v>1.6393442622950821E-2</v>
      </c>
      <c r="S39" s="199">
        <f t="shared" ca="1" si="13"/>
        <v>6.8306010928961755E-2</v>
      </c>
      <c r="T39" s="199">
        <f t="shared" ca="1" si="4"/>
        <v>8.4699453551912579E-2</v>
      </c>
      <c r="U39" s="415">
        <f t="shared" ca="1" si="14"/>
        <v>1.0071909836065573</v>
      </c>
      <c r="V39" s="233">
        <f ca="1">IF(B39&lt;&gt;"",1/PRODUCT($U$11:U39),0)</f>
        <v>0.81490264018932135</v>
      </c>
      <c r="AA39" s="240">
        <f t="shared" ca="1" si="5"/>
        <v>764.1</v>
      </c>
      <c r="AB39" s="240">
        <f ca="1">IF(B39&lt;&gt;"",AA39/((1+$V$5)^(SUM($T$11:T39))),0)</f>
        <v>517.75873428574857</v>
      </c>
      <c r="AD39">
        <f t="shared" ca="1" si="15"/>
        <v>1.0072106849315068</v>
      </c>
      <c r="AE39">
        <f ca="1">IF(B39&lt;&gt;"",1/PRODUCT($AD$11:AD39),0)</f>
        <v>0.81473295771883825</v>
      </c>
    </row>
    <row r="40" spans="1:31" ht="13" x14ac:dyDescent="0.3">
      <c r="A40" s="24"/>
      <c r="B40" s="248">
        <f t="shared" si="1"/>
        <v>30</v>
      </c>
      <c r="C40" s="249">
        <f t="shared" ca="1" si="6"/>
        <v>47113</v>
      </c>
      <c r="D40" s="249">
        <f t="shared" ca="1" si="16"/>
        <v>47113</v>
      </c>
      <c r="E40" s="250">
        <f t="shared" ca="1" si="7"/>
        <v>94.49</v>
      </c>
      <c r="F40" s="250">
        <f t="shared" ca="1" si="8"/>
        <v>669.61</v>
      </c>
      <c r="G40" s="250">
        <f t="shared" ca="1" si="2"/>
        <v>12872.03000000001</v>
      </c>
      <c r="H40" s="250">
        <f t="shared" ca="1" si="3"/>
        <v>764.1</v>
      </c>
      <c r="I40" s="99"/>
      <c r="K40" s="231"/>
      <c r="L40" s="199" t="str">
        <f t="shared" si="9"/>
        <v>R</v>
      </c>
      <c r="M40" s="231">
        <f t="shared" ca="1" si="10"/>
        <v>47118</v>
      </c>
      <c r="N40" s="231">
        <f t="shared" ca="1" si="17"/>
        <v>47113</v>
      </c>
      <c r="O40" s="199">
        <f t="shared" ca="1" si="18"/>
        <v>5</v>
      </c>
      <c r="P40" s="199">
        <f t="shared" ca="1" si="11"/>
        <v>25</v>
      </c>
      <c r="Q40" s="199">
        <f t="shared" ca="1" si="0"/>
        <v>366</v>
      </c>
      <c r="R40" s="199">
        <f t="shared" ca="1" si="12"/>
        <v>1.3661202185792349E-2</v>
      </c>
      <c r="S40" s="199">
        <f t="shared" ca="1" si="13"/>
        <v>6.8306010928961755E-2</v>
      </c>
      <c r="T40" s="199">
        <f t="shared" ca="1" si="4"/>
        <v>8.1967213114754106E-2</v>
      </c>
      <c r="U40" s="415">
        <f t="shared" ca="1" si="14"/>
        <v>1.0069590163934425</v>
      </c>
      <c r="V40" s="233">
        <f ca="1">IF(B40&lt;&gt;"",1/PRODUCT($U$11:U40),0)</f>
        <v>0.80927091065533463</v>
      </c>
      <c r="AA40" s="240">
        <f t="shared" ca="1" si="5"/>
        <v>764.1</v>
      </c>
      <c r="AB40" s="240">
        <f ca="1">IF(B40&lt;&gt;"",AA40/((1+$V$5)^(SUM($T$11:T40))),0)</f>
        <v>510.97681978773937</v>
      </c>
      <c r="AD40">
        <f t="shared" ca="1" si="15"/>
        <v>1.0069780821917809</v>
      </c>
      <c r="AE40">
        <f ca="1">IF(B40&lt;&gt;"",1/PRODUCT($AD$11:AD40),0)</f>
        <v>0.80908708156338083</v>
      </c>
    </row>
    <row r="41" spans="1:31" ht="13" x14ac:dyDescent="0.3">
      <c r="A41" s="24"/>
      <c r="B41" s="248">
        <f t="shared" si="1"/>
        <v>31</v>
      </c>
      <c r="C41" s="249">
        <f t="shared" ca="1" si="6"/>
        <v>47144</v>
      </c>
      <c r="D41" s="249">
        <f t="shared" ca="1" si="16"/>
        <v>47144</v>
      </c>
      <c r="E41" s="250">
        <f t="shared" ca="1" si="7"/>
        <v>92.82</v>
      </c>
      <c r="F41" s="250">
        <f t="shared" ca="1" si="8"/>
        <v>671.28</v>
      </c>
      <c r="G41" s="250">
        <f t="shared" ca="1" si="2"/>
        <v>12200.750000000009</v>
      </c>
      <c r="H41" s="250">
        <f t="shared" ca="1" si="3"/>
        <v>764.1</v>
      </c>
      <c r="I41" s="99"/>
      <c r="K41" s="231"/>
      <c r="L41" s="199" t="str">
        <f t="shared" si="9"/>
        <v>R</v>
      </c>
      <c r="M41" s="231">
        <f t="shared" ca="1" si="10"/>
        <v>47149</v>
      </c>
      <c r="N41" s="231">
        <f t="shared" ca="1" si="17"/>
        <v>47144</v>
      </c>
      <c r="O41" s="199">
        <f t="shared" ca="1" si="18"/>
        <v>6</v>
      </c>
      <c r="P41" s="199">
        <f t="shared" ca="1" si="11"/>
        <v>25</v>
      </c>
      <c r="Q41" s="199">
        <f t="shared" ca="1" si="0"/>
        <v>365</v>
      </c>
      <c r="R41" s="199">
        <f t="shared" ca="1" si="12"/>
        <v>1.6393442622950821E-2</v>
      </c>
      <c r="S41" s="199">
        <f t="shared" ca="1" si="13"/>
        <v>6.8493150684931503E-2</v>
      </c>
      <c r="T41" s="199">
        <f t="shared" ca="1" si="4"/>
        <v>8.4886593307882327E-2</v>
      </c>
      <c r="U41" s="415">
        <f t="shared" ca="1" si="14"/>
        <v>1.0072068717718392</v>
      </c>
      <c r="V41" s="233">
        <f ca="1">IF(B41&lt;&gt;"",1/PRODUCT($U$11:U41),0)</f>
        <v>0.8034803309390619</v>
      </c>
      <c r="AA41" s="240">
        <f t="shared" ca="1" si="5"/>
        <v>764.1</v>
      </c>
      <c r="AB41" s="240">
        <f ca="1">IF(B41&lt;&gt;"",AA41/((1+$V$5)^(SUM($T$11:T41))),0)</f>
        <v>504.04697887504904</v>
      </c>
      <c r="AD41">
        <f t="shared" ca="1" si="15"/>
        <v>1.0072106849315068</v>
      </c>
      <c r="AE41">
        <f ca="1">IF(B41&lt;&gt;"",1/PRODUCT($AD$11:AD41),0)</f>
        <v>0.8032947760263297</v>
      </c>
    </row>
    <row r="42" spans="1:31" ht="13" x14ac:dyDescent="0.3">
      <c r="A42" s="24"/>
      <c r="B42" s="248">
        <f t="shared" si="1"/>
        <v>32</v>
      </c>
      <c r="C42" s="249">
        <f t="shared" ca="1" si="6"/>
        <v>47175</v>
      </c>
      <c r="D42" s="249">
        <f t="shared" ca="1" si="16"/>
        <v>47175</v>
      </c>
      <c r="E42" s="250">
        <f t="shared" ca="1" si="7"/>
        <v>87.98</v>
      </c>
      <c r="F42" s="250">
        <f t="shared" ca="1" si="8"/>
        <v>676.12</v>
      </c>
      <c r="G42" s="250">
        <f t="shared" ca="1" si="2"/>
        <v>11524.630000000008</v>
      </c>
      <c r="H42" s="250">
        <f t="shared" ca="1" si="3"/>
        <v>764.1</v>
      </c>
      <c r="I42" s="99"/>
      <c r="K42" s="231"/>
      <c r="L42" s="199" t="str">
        <f t="shared" si="9"/>
        <v>R</v>
      </c>
      <c r="M42" s="231">
        <f t="shared" ca="1" si="10"/>
        <v>47177</v>
      </c>
      <c r="N42" s="231">
        <f t="shared" ca="1" si="17"/>
        <v>47175</v>
      </c>
      <c r="O42" s="199">
        <f t="shared" ca="1" si="18"/>
        <v>6</v>
      </c>
      <c r="P42" s="199">
        <f t="shared" ca="1" si="11"/>
        <v>25</v>
      </c>
      <c r="Q42" s="199">
        <f t="shared" ca="1" si="0"/>
        <v>365</v>
      </c>
      <c r="R42" s="199">
        <f t="shared" ca="1" si="12"/>
        <v>1.643835616438356E-2</v>
      </c>
      <c r="S42" s="199">
        <f t="shared" ca="1" si="13"/>
        <v>6.8493150684931503E-2</v>
      </c>
      <c r="T42" s="199">
        <f t="shared" ca="1" si="4"/>
        <v>8.4931506849315067E-2</v>
      </c>
      <c r="U42" s="415">
        <f t="shared" ca="1" si="14"/>
        <v>1.0072106849315068</v>
      </c>
      <c r="V42" s="233">
        <f ca="1">IF(B42&lt;&gt;"",1/PRODUCT($U$11:U42),0)</f>
        <v>0.79772816448397876</v>
      </c>
      <c r="AA42" s="240">
        <f t="shared" ca="1" si="5"/>
        <v>764.1</v>
      </c>
      <c r="AB42" s="240">
        <f ca="1">IF(B42&lt;&gt;"",AA42/((1+$V$5)^(SUM($T$11:T42))),0)</f>
        <v>497.20752789640125</v>
      </c>
      <c r="AD42">
        <f t="shared" ca="1" si="15"/>
        <v>1.0072106849315068</v>
      </c>
      <c r="AE42">
        <f ca="1">IF(B42&lt;&gt;"",1/PRODUCT($AD$11:AD42),0)</f>
        <v>0.79754393797059053</v>
      </c>
    </row>
    <row r="43" spans="1:31" ht="13" x14ac:dyDescent="0.3">
      <c r="A43" s="24"/>
      <c r="B43" s="248">
        <f t="shared" si="1"/>
        <v>33</v>
      </c>
      <c r="C43" s="249">
        <f t="shared" ca="1" si="6"/>
        <v>47203</v>
      </c>
      <c r="D43" s="249">
        <f t="shared" ca="1" si="16"/>
        <v>47203</v>
      </c>
      <c r="E43" s="250">
        <f t="shared" ca="1" si="7"/>
        <v>75.06</v>
      </c>
      <c r="F43" s="250">
        <f t="shared" ca="1" si="8"/>
        <v>689.04</v>
      </c>
      <c r="G43" s="250">
        <f t="shared" ca="1" si="2"/>
        <v>10835.590000000007</v>
      </c>
      <c r="H43" s="250">
        <f t="shared" ca="1" si="3"/>
        <v>764.1</v>
      </c>
      <c r="I43" s="99"/>
      <c r="K43" s="231"/>
      <c r="L43" s="199" t="str">
        <f t="shared" si="9"/>
        <v>R</v>
      </c>
      <c r="M43" s="231">
        <f t="shared" ca="1" si="10"/>
        <v>47208</v>
      </c>
      <c r="N43" s="231">
        <f t="shared" ca="1" si="17"/>
        <v>47203</v>
      </c>
      <c r="O43" s="199">
        <f t="shared" ca="1" si="18"/>
        <v>3</v>
      </c>
      <c r="P43" s="199">
        <f t="shared" ca="1" si="11"/>
        <v>25</v>
      </c>
      <c r="Q43" s="199">
        <f t="shared" ca="1" si="0"/>
        <v>365</v>
      </c>
      <c r="R43" s="199">
        <f t="shared" ca="1" si="12"/>
        <v>8.21917808219178E-3</v>
      </c>
      <c r="S43" s="199">
        <f t="shared" ca="1" si="13"/>
        <v>6.8493150684931503E-2</v>
      </c>
      <c r="T43" s="199">
        <f t="shared" ca="1" si="4"/>
        <v>7.6712328767123278E-2</v>
      </c>
      <c r="U43" s="415">
        <f t="shared" ca="1" si="14"/>
        <v>1.0065128767123288</v>
      </c>
      <c r="V43" s="233">
        <f ca="1">IF(B43&lt;&gt;"",1/PRODUCT($U$11:U43),0)</f>
        <v>0.79256627802882762</v>
      </c>
      <c r="AA43" s="240">
        <f t="shared" ref="AA43:AA70" ca="1" si="20">IF(B43&lt;&gt;"",$H$2,0)</f>
        <v>764.1</v>
      </c>
      <c r="AB43" s="240">
        <f ca="1">IF(B43&lt;&gt;"",AA43/((1+$V$5)^(SUM($T$11:T43))),0)</f>
        <v>491.10976221049333</v>
      </c>
      <c r="AD43">
        <f t="shared" ca="1" si="15"/>
        <v>1.0065128767123288</v>
      </c>
      <c r="AE43">
        <f ca="1">IF(B43&lt;&gt;"",1/PRODUCT($AD$11:AD43),0)</f>
        <v>0.79238324359613377</v>
      </c>
    </row>
    <row r="44" spans="1:31" ht="13" x14ac:dyDescent="0.3">
      <c r="A44" s="24"/>
      <c r="B44" s="248">
        <f t="shared" si="1"/>
        <v>34</v>
      </c>
      <c r="C44" s="249">
        <f t="shared" ca="1" si="6"/>
        <v>47234</v>
      </c>
      <c r="D44" s="249">
        <f t="shared" ca="1" si="16"/>
        <v>47234</v>
      </c>
      <c r="E44" s="250">
        <f t="shared" ca="1" si="7"/>
        <v>78.13</v>
      </c>
      <c r="F44" s="250">
        <f t="shared" ca="1" si="8"/>
        <v>685.97</v>
      </c>
      <c r="G44" s="250">
        <f t="shared" ca="1" si="2"/>
        <v>10149.620000000008</v>
      </c>
      <c r="H44" s="250">
        <f t="shared" ca="1" si="3"/>
        <v>764.1</v>
      </c>
      <c r="I44" s="99"/>
      <c r="K44" s="231"/>
      <c r="L44" s="199" t="str">
        <f t="shared" si="9"/>
        <v>R</v>
      </c>
      <c r="M44" s="231">
        <f t="shared" ca="1" si="10"/>
        <v>47238</v>
      </c>
      <c r="N44" s="231">
        <f t="shared" ca="1" si="17"/>
        <v>47234</v>
      </c>
      <c r="O44" s="199">
        <f t="shared" ca="1" si="18"/>
        <v>6</v>
      </c>
      <c r="P44" s="199">
        <f t="shared" ca="1" si="11"/>
        <v>25</v>
      </c>
      <c r="Q44" s="199">
        <f t="shared" ca="1" si="0"/>
        <v>365</v>
      </c>
      <c r="R44" s="199">
        <f t="shared" ca="1" si="12"/>
        <v>1.643835616438356E-2</v>
      </c>
      <c r="S44" s="199">
        <f t="shared" ca="1" si="13"/>
        <v>6.8493150684931503E-2</v>
      </c>
      <c r="T44" s="199">
        <f t="shared" ref="T44:T70" ca="1" si="21">IF(B44&lt;&gt;"",R44+S44,"")</f>
        <v>8.4931506849315067E-2</v>
      </c>
      <c r="U44" s="415">
        <f t="shared" ca="1" si="14"/>
        <v>1.0072106849315068</v>
      </c>
      <c r="V44" s="233">
        <f ca="1">IF(B44&lt;&gt;"",1/PRODUCT($U$11:U44),0)</f>
        <v>0.78689224596810592</v>
      </c>
      <c r="AA44" s="240">
        <f t="shared" ca="1" si="20"/>
        <v>764.1</v>
      </c>
      <c r="AB44" s="240">
        <f ca="1">IF(B44&lt;&gt;"",AA44/((1+$V$5)^(SUM($T$11:T44))),0)</f>
        <v>484.44585728783989</v>
      </c>
      <c r="AD44">
        <f t="shared" ca="1" si="15"/>
        <v>1.0072106849315068</v>
      </c>
      <c r="AE44">
        <f ca="1">IF(B44&lt;&gt;"",1/PRODUCT($AD$11:AD44),0)</f>
        <v>0.78671052189048019</v>
      </c>
    </row>
    <row r="45" spans="1:31" ht="13" x14ac:dyDescent="0.3">
      <c r="A45" s="24"/>
      <c r="B45" s="248">
        <f t="shared" si="1"/>
        <v>35</v>
      </c>
      <c r="C45" s="249">
        <f t="shared" ca="1" si="6"/>
        <v>47264</v>
      </c>
      <c r="D45" s="249">
        <f t="shared" ca="1" si="16"/>
        <v>47264</v>
      </c>
      <c r="E45" s="250">
        <f t="shared" ca="1" si="7"/>
        <v>70.819999999999993</v>
      </c>
      <c r="F45" s="250">
        <f t="shared" ca="1" si="8"/>
        <v>693.28</v>
      </c>
      <c r="G45" s="250">
        <f t="shared" ca="1" si="2"/>
        <v>9456.3400000000074</v>
      </c>
      <c r="H45" s="250">
        <f t="shared" ca="1" si="3"/>
        <v>764.1</v>
      </c>
      <c r="I45" s="99"/>
      <c r="K45" s="231"/>
      <c r="L45" s="199" t="str">
        <f t="shared" si="9"/>
        <v>R</v>
      </c>
      <c r="M45" s="231">
        <f t="shared" ca="1" si="10"/>
        <v>47269</v>
      </c>
      <c r="N45" s="231">
        <f t="shared" ca="1" si="17"/>
        <v>47264</v>
      </c>
      <c r="O45" s="199">
        <f t="shared" ca="1" si="18"/>
        <v>5</v>
      </c>
      <c r="P45" s="199">
        <f t="shared" ca="1" si="11"/>
        <v>25</v>
      </c>
      <c r="Q45" s="199">
        <f t="shared" ca="1" si="0"/>
        <v>365</v>
      </c>
      <c r="R45" s="199">
        <f t="shared" ca="1" si="12"/>
        <v>1.3698630136986301E-2</v>
      </c>
      <c r="S45" s="199">
        <f t="shared" ca="1" si="13"/>
        <v>6.8493150684931503E-2</v>
      </c>
      <c r="T45" s="199">
        <f t="shared" ca="1" si="21"/>
        <v>8.2191780821917804E-2</v>
      </c>
      <c r="U45" s="415">
        <f t="shared" ca="1" si="14"/>
        <v>1.0069780821917809</v>
      </c>
      <c r="V45" s="233">
        <f ca="1">IF(B45&lt;&gt;"",1/PRODUCT($U$11:U45),0)</f>
        <v>0.78143929831656533</v>
      </c>
      <c r="AA45" s="240">
        <f t="shared" ca="1" si="20"/>
        <v>764.1</v>
      </c>
      <c r="AB45" s="240">
        <f ca="1">IF(B45&lt;&gt;"",AA45/((1+$V$5)^(SUM($T$11:T45))),0)</f>
        <v>478.083024406687</v>
      </c>
      <c r="AD45">
        <f t="shared" ca="1" si="15"/>
        <v>1.0069780821917809</v>
      </c>
      <c r="AE45">
        <f ca="1">IF(B45&lt;&gt;"",1/PRODUCT($AD$11:AD45),0)</f>
        <v>0.78125883353700409</v>
      </c>
    </row>
    <row r="46" spans="1:31" ht="13" x14ac:dyDescent="0.3">
      <c r="A46" s="24"/>
      <c r="B46" s="248">
        <f t="shared" si="1"/>
        <v>36</v>
      </c>
      <c r="C46" s="249">
        <f t="shared" ca="1" si="6"/>
        <v>47295</v>
      </c>
      <c r="D46" s="249">
        <f t="shared" ca="1" si="16"/>
        <v>47295</v>
      </c>
      <c r="E46" s="250">
        <f t="shared" ca="1" si="7"/>
        <v>68.19</v>
      </c>
      <c r="F46" s="250">
        <f t="shared" ca="1" si="8"/>
        <v>695.91</v>
      </c>
      <c r="G46" s="250">
        <f t="shared" ca="1" si="2"/>
        <v>8760.4300000000076</v>
      </c>
      <c r="H46" s="250">
        <f t="shared" ca="1" si="3"/>
        <v>764.1</v>
      </c>
      <c r="I46" s="99"/>
      <c r="K46" s="231"/>
      <c r="L46" s="199" t="str">
        <f t="shared" si="9"/>
        <v>R</v>
      </c>
      <c r="M46" s="231">
        <f t="shared" ca="1" si="10"/>
        <v>47299</v>
      </c>
      <c r="N46" s="231">
        <f t="shared" ca="1" si="17"/>
        <v>47295</v>
      </c>
      <c r="O46" s="199">
        <f t="shared" ca="1" si="18"/>
        <v>6</v>
      </c>
      <c r="P46" s="199">
        <f t="shared" ca="1" si="11"/>
        <v>25</v>
      </c>
      <c r="Q46" s="199">
        <f t="shared" ca="1" si="0"/>
        <v>365</v>
      </c>
      <c r="R46" s="199">
        <f t="shared" ca="1" si="12"/>
        <v>1.643835616438356E-2</v>
      </c>
      <c r="S46" s="199">
        <f t="shared" ca="1" si="13"/>
        <v>6.8493150684931503E-2</v>
      </c>
      <c r="T46" s="199">
        <f t="shared" ca="1" si="21"/>
        <v>8.4931506849315067E-2</v>
      </c>
      <c r="U46" s="415">
        <f t="shared" ca="1" si="14"/>
        <v>1.0072106849315068</v>
      </c>
      <c r="V46" s="233">
        <f ca="1">IF(B46&lt;&gt;"",1/PRODUCT($U$11:U46),0)</f>
        <v>0.77584492500663393</v>
      </c>
      <c r="AA46" s="240">
        <f t="shared" ca="1" si="20"/>
        <v>764.1</v>
      </c>
      <c r="AB46" s="240">
        <f ca="1">IF(B46&lt;&gt;"",AA46/((1+$V$5)^(SUM($T$11:T46))),0)</f>
        <v>471.59588025903054</v>
      </c>
      <c r="AD46">
        <f t="shared" ca="1" si="15"/>
        <v>1.0072106849315068</v>
      </c>
      <c r="AE46">
        <f ca="1">IF(B46&lt;&gt;"",1/PRODUCT($AD$11:AD46),0)</f>
        <v>0.77566575218583189</v>
      </c>
    </row>
    <row r="47" spans="1:31" ht="13" x14ac:dyDescent="0.3">
      <c r="A47" s="24"/>
      <c r="B47" s="248">
        <f t="shared" si="1"/>
        <v>37</v>
      </c>
      <c r="C47" s="249">
        <f t="shared" ca="1" si="6"/>
        <v>47325</v>
      </c>
      <c r="D47" s="249">
        <f t="shared" ca="1" si="16"/>
        <v>47325</v>
      </c>
      <c r="E47" s="250">
        <f t="shared" ca="1" si="7"/>
        <v>61.13</v>
      </c>
      <c r="F47" s="250">
        <f t="shared" ca="1" si="8"/>
        <v>702.97</v>
      </c>
      <c r="G47" s="250">
        <f t="shared" ca="1" si="2"/>
        <v>8057.4600000000073</v>
      </c>
      <c r="H47" s="250">
        <f t="shared" ca="1" si="3"/>
        <v>764.1</v>
      </c>
      <c r="I47" s="99"/>
      <c r="K47" s="231"/>
      <c r="L47" s="199" t="str">
        <f t="shared" si="9"/>
        <v>R</v>
      </c>
      <c r="M47" s="231">
        <f t="shared" ca="1" si="10"/>
        <v>47330</v>
      </c>
      <c r="N47" s="231">
        <f t="shared" ca="1" si="17"/>
        <v>47325</v>
      </c>
      <c r="O47" s="199">
        <f t="shared" ca="1" si="18"/>
        <v>5</v>
      </c>
      <c r="P47" s="199">
        <f t="shared" ca="1" si="11"/>
        <v>25</v>
      </c>
      <c r="Q47" s="199">
        <f t="shared" ca="1" si="0"/>
        <v>365</v>
      </c>
      <c r="R47" s="199">
        <f t="shared" ca="1" si="12"/>
        <v>1.3698630136986301E-2</v>
      </c>
      <c r="S47" s="199">
        <f t="shared" ca="1" si="13"/>
        <v>6.8493150684931503E-2</v>
      </c>
      <c r="T47" s="199">
        <f t="shared" ca="1" si="21"/>
        <v>8.2191780821917804E-2</v>
      </c>
      <c r="U47" s="415">
        <f t="shared" ca="1" si="14"/>
        <v>1.0069780821917809</v>
      </c>
      <c r="V47" s="233">
        <f ca="1">IF(B47&lt;&gt;"",1/PRODUCT($U$11:U47),0)</f>
        <v>0.7704685322623267</v>
      </c>
      <c r="AA47" s="240">
        <f t="shared" ca="1" si="20"/>
        <v>764.1</v>
      </c>
      <c r="AB47" s="240">
        <f ca="1">IF(B47&lt;&gt;"",AA47/((1+$V$5)^(SUM($T$11:T47))),0)</f>
        <v>465.40182218548722</v>
      </c>
      <c r="AD47">
        <f t="shared" ca="1" si="15"/>
        <v>1.0069780821917809</v>
      </c>
      <c r="AE47">
        <f ca="1">IF(B47&lt;&gt;"",1/PRODUCT($AD$11:AD47),0)</f>
        <v>0.77029060106007841</v>
      </c>
    </row>
    <row r="48" spans="1:31" ht="13" x14ac:dyDescent="0.3">
      <c r="A48" s="24"/>
      <c r="B48" s="248">
        <f t="shared" si="1"/>
        <v>38</v>
      </c>
      <c r="C48" s="249">
        <f t="shared" ca="1" si="6"/>
        <v>47356</v>
      </c>
      <c r="D48" s="249">
        <f t="shared" ca="1" si="16"/>
        <v>47356</v>
      </c>
      <c r="E48" s="250">
        <f t="shared" ca="1" si="7"/>
        <v>58.1</v>
      </c>
      <c r="F48" s="250">
        <f t="shared" ca="1" si="8"/>
        <v>706</v>
      </c>
      <c r="G48" s="250">
        <f t="shared" ca="1" si="2"/>
        <v>7351.4600000000073</v>
      </c>
      <c r="H48" s="250">
        <f t="shared" ca="1" si="3"/>
        <v>764.1</v>
      </c>
      <c r="I48" s="99"/>
      <c r="K48" s="231"/>
      <c r="L48" s="199" t="str">
        <f t="shared" si="9"/>
        <v>R</v>
      </c>
      <c r="M48" s="231">
        <f t="shared" ca="1" si="10"/>
        <v>47361</v>
      </c>
      <c r="N48" s="231">
        <f t="shared" ca="1" si="17"/>
        <v>47356</v>
      </c>
      <c r="O48" s="199">
        <f t="shared" ca="1" si="18"/>
        <v>6</v>
      </c>
      <c r="P48" s="199">
        <f t="shared" ca="1" si="11"/>
        <v>25</v>
      </c>
      <c r="Q48" s="199">
        <f t="shared" ca="1" si="0"/>
        <v>365</v>
      </c>
      <c r="R48" s="199">
        <f t="shared" ca="1" si="12"/>
        <v>1.643835616438356E-2</v>
      </c>
      <c r="S48" s="199">
        <f t="shared" ca="1" si="13"/>
        <v>6.8493150684931503E-2</v>
      </c>
      <c r="T48" s="199">
        <f t="shared" ca="1" si="21"/>
        <v>8.4931506849315067E-2</v>
      </c>
      <c r="U48" s="415">
        <f t="shared" ca="1" si="14"/>
        <v>1.0072106849315068</v>
      </c>
      <c r="V48" s="233">
        <f ca="1">IF(B48&lt;&gt;"",1/PRODUCT($U$11:U48),0)</f>
        <v>0.76495269935973809</v>
      </c>
      <c r="AA48" s="240">
        <f t="shared" ca="1" si="20"/>
        <v>764.1</v>
      </c>
      <c r="AB48" s="240">
        <f ca="1">IF(B48&lt;&gt;"",AA48/((1+$V$5)^(SUM($T$11:T48))),0)</f>
        <v>459.0867502147849</v>
      </c>
      <c r="AD48">
        <f t="shared" ca="1" si="15"/>
        <v>1.0072106849315068</v>
      </c>
      <c r="AE48">
        <f ca="1">IF(B48&lt;&gt;"",1/PRODUCT($AD$11:AD48),0)</f>
        <v>0.7647760419782087</v>
      </c>
    </row>
    <row r="49" spans="1:31" ht="13" x14ac:dyDescent="0.3">
      <c r="A49" s="24"/>
      <c r="B49" s="248">
        <f t="shared" si="1"/>
        <v>39</v>
      </c>
      <c r="C49" s="249">
        <f t="shared" ca="1" si="6"/>
        <v>47387</v>
      </c>
      <c r="D49" s="249">
        <f t="shared" ca="1" si="16"/>
        <v>47387</v>
      </c>
      <c r="E49" s="250">
        <f t="shared" ca="1" si="7"/>
        <v>53.01</v>
      </c>
      <c r="F49" s="250">
        <f t="shared" ca="1" si="8"/>
        <v>711.09</v>
      </c>
      <c r="G49" s="250">
        <f t="shared" ca="1" si="2"/>
        <v>6640.3700000000072</v>
      </c>
      <c r="H49" s="250">
        <f t="shared" ca="1" si="3"/>
        <v>764.1</v>
      </c>
      <c r="I49" s="99"/>
      <c r="K49" s="231"/>
      <c r="L49" s="199" t="str">
        <f t="shared" si="9"/>
        <v>R</v>
      </c>
      <c r="M49" s="231">
        <f t="shared" ca="1" si="10"/>
        <v>47391</v>
      </c>
      <c r="N49" s="231">
        <f t="shared" ca="1" si="17"/>
        <v>47387</v>
      </c>
      <c r="O49" s="199">
        <f t="shared" ca="1" si="18"/>
        <v>6</v>
      </c>
      <c r="P49" s="199">
        <f t="shared" ca="1" si="11"/>
        <v>25</v>
      </c>
      <c r="Q49" s="199">
        <f t="shared" ca="1" si="0"/>
        <v>365</v>
      </c>
      <c r="R49" s="199">
        <f t="shared" ca="1" si="12"/>
        <v>1.643835616438356E-2</v>
      </c>
      <c r="S49" s="199">
        <f t="shared" ca="1" si="13"/>
        <v>6.8493150684931503E-2</v>
      </c>
      <c r="T49" s="199">
        <f t="shared" ca="1" si="21"/>
        <v>8.4931506849315067E-2</v>
      </c>
      <c r="U49" s="415">
        <f t="shared" ca="1" si="14"/>
        <v>1.0072106849315068</v>
      </c>
      <c r="V49" s="233">
        <f ca="1">IF(B49&lt;&gt;"",1/PRODUCT($U$11:U49),0)</f>
        <v>0.75947635465340302</v>
      </c>
      <c r="AA49" s="240">
        <f t="shared" ca="1" si="20"/>
        <v>764.1</v>
      </c>
      <c r="AB49" s="240">
        <f ca="1">IF(B49&lt;&gt;"",AA49/((1+$V$5)^(SUM($T$11:T49))),0)</f>
        <v>452.85736792576</v>
      </c>
      <c r="AD49">
        <f t="shared" ca="1" si="15"/>
        <v>1.0072106849315068</v>
      </c>
      <c r="AE49">
        <f ca="1">IF(B49&lt;&gt;"",1/PRODUCT($AD$11:AD49),0)</f>
        <v>0.75930096197322972</v>
      </c>
    </row>
    <row r="50" spans="1:31" ht="13" x14ac:dyDescent="0.3">
      <c r="A50" s="24"/>
      <c r="B50" s="248">
        <f t="shared" si="1"/>
        <v>40</v>
      </c>
      <c r="C50" s="249">
        <f t="shared" ca="1" si="6"/>
        <v>47417</v>
      </c>
      <c r="D50" s="249">
        <f t="shared" ca="1" si="16"/>
        <v>47417</v>
      </c>
      <c r="E50" s="250">
        <f t="shared" ca="1" si="7"/>
        <v>46.34</v>
      </c>
      <c r="F50" s="250">
        <f t="shared" ca="1" si="8"/>
        <v>717.76</v>
      </c>
      <c r="G50" s="250">
        <f t="shared" ca="1" si="2"/>
        <v>5922.6100000000069</v>
      </c>
      <c r="H50" s="250">
        <f t="shared" ca="1" si="3"/>
        <v>764.1</v>
      </c>
      <c r="I50" s="99"/>
      <c r="K50" s="231"/>
      <c r="L50" s="199" t="str">
        <f t="shared" si="9"/>
        <v>R</v>
      </c>
      <c r="M50" s="231">
        <f t="shared" ca="1" si="10"/>
        <v>47422</v>
      </c>
      <c r="N50" s="231">
        <f t="shared" ca="1" si="17"/>
        <v>47417</v>
      </c>
      <c r="O50" s="199">
        <f t="shared" ca="1" si="18"/>
        <v>5</v>
      </c>
      <c r="P50" s="199">
        <f t="shared" ca="1" si="11"/>
        <v>25</v>
      </c>
      <c r="Q50" s="199">
        <f t="shared" ca="1" si="0"/>
        <v>365</v>
      </c>
      <c r="R50" s="199">
        <f t="shared" ca="1" si="12"/>
        <v>1.3698630136986301E-2</v>
      </c>
      <c r="S50" s="199">
        <f t="shared" ca="1" si="13"/>
        <v>6.8493150684931503E-2</v>
      </c>
      <c r="T50" s="199">
        <f t="shared" ca="1" si="21"/>
        <v>8.2191780821917804E-2</v>
      </c>
      <c r="U50" s="415">
        <f t="shared" ca="1" si="14"/>
        <v>1.0069780821917809</v>
      </c>
      <c r="V50" s="233">
        <f ca="1">IF(B50&lt;&gt;"",1/PRODUCT($U$11:U50),0)</f>
        <v>0.75421339161656087</v>
      </c>
      <c r="AA50" s="240">
        <f t="shared" ca="1" si="20"/>
        <v>764.1</v>
      </c>
      <c r="AB50" s="240">
        <f ca="1">IF(B50&lt;&gt;"",AA50/((1+$V$5)^(SUM($T$11:T50))),0)</f>
        <v>446.90942615319096</v>
      </c>
      <c r="AD50">
        <f t="shared" ca="1" si="15"/>
        <v>1.0069780821917809</v>
      </c>
      <c r="AE50">
        <f ca="1">IF(B50&lt;&gt;"",1/PRODUCT($AD$11:AD50),0)</f>
        <v>0.75403921435960253</v>
      </c>
    </row>
    <row r="51" spans="1:31" ht="13" x14ac:dyDescent="0.3">
      <c r="A51" s="24"/>
      <c r="B51" s="248">
        <f t="shared" si="1"/>
        <v>41</v>
      </c>
      <c r="C51" s="249">
        <f t="shared" ca="1" si="6"/>
        <v>47448</v>
      </c>
      <c r="D51" s="249">
        <f t="shared" ca="1" si="16"/>
        <v>47448</v>
      </c>
      <c r="E51" s="250">
        <f t="shared" ca="1" si="7"/>
        <v>42.71</v>
      </c>
      <c r="F51" s="250">
        <f t="shared" ca="1" si="8"/>
        <v>721.39</v>
      </c>
      <c r="G51" s="250">
        <f t="shared" ca="1" si="2"/>
        <v>5201.2200000000066</v>
      </c>
      <c r="H51" s="250">
        <f t="shared" ca="1" si="3"/>
        <v>764.1</v>
      </c>
      <c r="I51" s="99"/>
      <c r="K51" s="231"/>
      <c r="L51" s="199" t="str">
        <f t="shared" si="9"/>
        <v>R</v>
      </c>
      <c r="M51" s="231">
        <f t="shared" ca="1" si="10"/>
        <v>47452</v>
      </c>
      <c r="N51" s="231">
        <f t="shared" ca="1" si="17"/>
        <v>47448</v>
      </c>
      <c r="O51" s="199">
        <f t="shared" ca="1" si="18"/>
        <v>6</v>
      </c>
      <c r="P51" s="199">
        <f t="shared" ca="1" si="11"/>
        <v>25</v>
      </c>
      <c r="Q51" s="199">
        <f t="shared" ca="1" si="0"/>
        <v>365</v>
      </c>
      <c r="R51" s="199">
        <f t="shared" ca="1" si="12"/>
        <v>1.643835616438356E-2</v>
      </c>
      <c r="S51" s="199">
        <f t="shared" ca="1" si="13"/>
        <v>6.8493150684931503E-2</v>
      </c>
      <c r="T51" s="199">
        <f t="shared" ca="1" si="21"/>
        <v>8.4931506849315067E-2</v>
      </c>
      <c r="U51" s="415">
        <f t="shared" ca="1" si="14"/>
        <v>1.0072106849315068</v>
      </c>
      <c r="V51" s="233">
        <f ca="1">IF(B51&lt;&gt;"",1/PRODUCT($U$11:U51),0)</f>
        <v>0.74881393029289556</v>
      </c>
      <c r="AA51" s="240">
        <f t="shared" ca="1" si="20"/>
        <v>764.1</v>
      </c>
      <c r="AB51" s="240">
        <f ca="1">IF(B51&lt;&gt;"",AA51/((1+$V$5)^(SUM($T$11:T51))),0)</f>
        <v>440.84527888086285</v>
      </c>
      <c r="AD51">
        <f t="shared" ca="1" si="15"/>
        <v>1.0072106849315068</v>
      </c>
      <c r="AE51">
        <f ca="1">IF(B51&lt;&gt;"",1/PRODUCT($AD$11:AD51),0)</f>
        <v>0.74864099998192468</v>
      </c>
    </row>
    <row r="52" spans="1:31" ht="13" x14ac:dyDescent="0.3">
      <c r="A52" s="24"/>
      <c r="B52" s="248">
        <f t="shared" si="1"/>
        <v>42</v>
      </c>
      <c r="C52" s="249">
        <f t="shared" ca="1" si="6"/>
        <v>47478</v>
      </c>
      <c r="D52" s="249">
        <f t="shared" ca="1" si="16"/>
        <v>47478</v>
      </c>
      <c r="E52" s="250">
        <f t="shared" ca="1" si="7"/>
        <v>36.29</v>
      </c>
      <c r="F52" s="250">
        <f t="shared" ca="1" si="8"/>
        <v>727.81</v>
      </c>
      <c r="G52" s="250">
        <f t="shared" ca="1" si="2"/>
        <v>4473.4100000000071</v>
      </c>
      <c r="H52" s="250">
        <f t="shared" ca="1" si="3"/>
        <v>764.1</v>
      </c>
      <c r="I52" s="99"/>
      <c r="K52" s="231"/>
      <c r="L52" s="199" t="str">
        <f t="shared" si="9"/>
        <v>R</v>
      </c>
      <c r="M52" s="231">
        <f t="shared" ca="1" si="10"/>
        <v>47483</v>
      </c>
      <c r="N52" s="231">
        <f t="shared" ca="1" si="17"/>
        <v>47478</v>
      </c>
      <c r="O52" s="199">
        <f t="shared" ca="1" si="18"/>
        <v>5</v>
      </c>
      <c r="P52" s="199">
        <f t="shared" ca="1" si="11"/>
        <v>25</v>
      </c>
      <c r="Q52" s="199">
        <f t="shared" ca="1" si="0"/>
        <v>365</v>
      </c>
      <c r="R52" s="199">
        <f t="shared" ca="1" si="12"/>
        <v>1.3698630136986301E-2</v>
      </c>
      <c r="S52" s="199">
        <f t="shared" ca="1" si="13"/>
        <v>6.8493150684931503E-2</v>
      </c>
      <c r="T52" s="199">
        <f t="shared" ca="1" si="21"/>
        <v>8.2191780821917804E-2</v>
      </c>
      <c r="U52" s="415">
        <f t="shared" ca="1" si="14"/>
        <v>1.0069780821917809</v>
      </c>
      <c r="V52" s="233">
        <f ca="1">IF(B52&lt;&gt;"",1/PRODUCT($U$11:U52),0)</f>
        <v>0.74362485493530595</v>
      </c>
      <c r="AA52" s="240">
        <f t="shared" ca="1" si="20"/>
        <v>764.1</v>
      </c>
      <c r="AB52" s="240">
        <f ca="1">IF(B52&lt;&gt;"",AA52/((1+$V$5)^(SUM($T$11:T52))),0)</f>
        <v>435.05510688585804</v>
      </c>
      <c r="AD52">
        <f t="shared" ca="1" si="15"/>
        <v>1.0069780821917809</v>
      </c>
      <c r="AE52">
        <f ca="1">IF(B52&lt;&gt;"",1/PRODUCT($AD$11:AD52),0)</f>
        <v>0.74345312298400612</v>
      </c>
    </row>
    <row r="53" spans="1:31" ht="13" x14ac:dyDescent="0.3">
      <c r="A53" s="24"/>
      <c r="B53" s="248">
        <f t="shared" si="1"/>
        <v>43</v>
      </c>
      <c r="C53" s="249">
        <f t="shared" ca="1" si="6"/>
        <v>47509</v>
      </c>
      <c r="D53" s="249">
        <f t="shared" ca="1" si="16"/>
        <v>47509</v>
      </c>
      <c r="E53" s="250">
        <f t="shared" ca="1" si="7"/>
        <v>32.26</v>
      </c>
      <c r="F53" s="250">
        <f t="shared" ca="1" si="8"/>
        <v>731.84</v>
      </c>
      <c r="G53" s="250">
        <f t="shared" ca="1" si="2"/>
        <v>3741.570000000007</v>
      </c>
      <c r="H53" s="250">
        <f t="shared" ca="1" si="3"/>
        <v>764.1</v>
      </c>
      <c r="I53" s="99"/>
      <c r="K53" s="231"/>
      <c r="L53" s="199" t="str">
        <f t="shared" si="9"/>
        <v>R</v>
      </c>
      <c r="M53" s="231">
        <f t="shared" ca="1" si="10"/>
        <v>47514</v>
      </c>
      <c r="N53" s="231">
        <f t="shared" ca="1" si="17"/>
        <v>47509</v>
      </c>
      <c r="O53" s="199">
        <f t="shared" ca="1" si="18"/>
        <v>6</v>
      </c>
      <c r="P53" s="199">
        <f t="shared" ca="1" si="11"/>
        <v>25</v>
      </c>
      <c r="Q53" s="199">
        <f t="shared" ca="1" si="0"/>
        <v>365</v>
      </c>
      <c r="R53" s="199">
        <f t="shared" ca="1" si="12"/>
        <v>1.643835616438356E-2</v>
      </c>
      <c r="S53" s="199">
        <f t="shared" ca="1" si="13"/>
        <v>6.8493150684931503E-2</v>
      </c>
      <c r="T53" s="199">
        <f t="shared" ca="1" si="21"/>
        <v>8.4931506849315067E-2</v>
      </c>
      <c r="U53" s="415">
        <f t="shared" ca="1" si="14"/>
        <v>1.0072106849315068</v>
      </c>
      <c r="V53" s="233">
        <f ca="1">IF(B53&lt;&gt;"",1/PRODUCT($U$11:U53),0)</f>
        <v>0.73830119761475188</v>
      </c>
      <c r="AA53" s="240">
        <f t="shared" ca="1" si="20"/>
        <v>764.1</v>
      </c>
      <c r="AB53" s="240">
        <f ca="1">IF(B53&lt;&gt;"",AA53/((1+$V$5)^(SUM($T$11:T53))),0)</f>
        <v>429.15181175412823</v>
      </c>
      <c r="AD53">
        <f t="shared" ca="1" si="15"/>
        <v>1.0072106849315068</v>
      </c>
      <c r="AE53">
        <f ca="1">IF(B53&lt;&gt;"",1/PRODUCT($AD$11:AD53),0)</f>
        <v>0.73813069510334184</v>
      </c>
    </row>
    <row r="54" spans="1:31" ht="13" x14ac:dyDescent="0.3">
      <c r="A54" s="24"/>
      <c r="B54" s="248">
        <f t="shared" si="1"/>
        <v>44</v>
      </c>
      <c r="C54" s="249">
        <f t="shared" ca="1" si="6"/>
        <v>47540</v>
      </c>
      <c r="D54" s="249">
        <f t="shared" ca="1" si="16"/>
        <v>47540</v>
      </c>
      <c r="E54" s="250">
        <f t="shared" ca="1" si="7"/>
        <v>26.98</v>
      </c>
      <c r="F54" s="250">
        <f t="shared" ca="1" si="8"/>
        <v>737.12</v>
      </c>
      <c r="G54" s="250">
        <f t="shared" ca="1" si="2"/>
        <v>3004.4500000000071</v>
      </c>
      <c r="H54" s="250">
        <f t="shared" ca="1" si="3"/>
        <v>764.1</v>
      </c>
      <c r="I54" s="99"/>
      <c r="K54" s="231"/>
      <c r="L54" s="199" t="str">
        <f t="shared" si="9"/>
        <v>R</v>
      </c>
      <c r="M54" s="231">
        <f t="shared" ca="1" si="10"/>
        <v>47542</v>
      </c>
      <c r="N54" s="231">
        <f t="shared" ca="1" si="17"/>
        <v>47540</v>
      </c>
      <c r="O54" s="199">
        <f t="shared" ca="1" si="18"/>
        <v>6</v>
      </c>
      <c r="P54" s="199">
        <f t="shared" ca="1" si="11"/>
        <v>25</v>
      </c>
      <c r="Q54" s="199">
        <f t="shared" ca="1" si="0"/>
        <v>365</v>
      </c>
      <c r="R54" s="199">
        <f t="shared" ca="1" si="12"/>
        <v>1.643835616438356E-2</v>
      </c>
      <c r="S54" s="199">
        <f t="shared" ca="1" si="13"/>
        <v>6.8493150684931503E-2</v>
      </c>
      <c r="T54" s="199">
        <f t="shared" ca="1" si="21"/>
        <v>8.4931506849315067E-2</v>
      </c>
      <c r="U54" s="415">
        <f t="shared" ca="1" si="14"/>
        <v>1.0072106849315068</v>
      </c>
      <c r="V54" s="233">
        <f ca="1">IF(B54&lt;&gt;"",1/PRODUCT($U$11:U54),0)</f>
        <v>0.73301565269331759</v>
      </c>
      <c r="AA54" s="240">
        <f t="shared" ca="1" si="20"/>
        <v>764.1</v>
      </c>
      <c r="AB54" s="240">
        <f ca="1">IF(B54&lt;&gt;"",AA54/((1+$V$5)^(SUM($T$11:T54))),0)</f>
        <v>423.32861887349429</v>
      </c>
      <c r="AD54">
        <f t="shared" ca="1" si="15"/>
        <v>1.0072106849315068</v>
      </c>
      <c r="AE54">
        <f ca="1">IF(B54&lt;&gt;"",1/PRODUCT($AD$11:AD54),0)</f>
        <v>0.73284637082015958</v>
      </c>
    </row>
    <row r="55" spans="1:31" ht="13" x14ac:dyDescent="0.3">
      <c r="A55" s="24"/>
      <c r="B55" s="248">
        <f t="shared" si="1"/>
        <v>45</v>
      </c>
      <c r="C55" s="249">
        <f t="shared" ca="1" si="6"/>
        <v>47568</v>
      </c>
      <c r="D55" s="249">
        <f t="shared" ca="1" si="16"/>
        <v>47568</v>
      </c>
      <c r="E55" s="250">
        <f t="shared" ca="1" si="7"/>
        <v>19.57</v>
      </c>
      <c r="F55" s="250">
        <f t="shared" ca="1" si="8"/>
        <v>744.53</v>
      </c>
      <c r="G55" s="250">
        <f t="shared" ca="1" si="2"/>
        <v>2259.9200000000073</v>
      </c>
      <c r="H55" s="250">
        <f t="shared" ca="1" si="3"/>
        <v>764.1</v>
      </c>
      <c r="I55" s="99"/>
      <c r="K55" s="231"/>
      <c r="L55" s="199" t="str">
        <f t="shared" si="9"/>
        <v>R</v>
      </c>
      <c r="M55" s="231">
        <f t="shared" ca="1" si="10"/>
        <v>47573</v>
      </c>
      <c r="N55" s="231">
        <f t="shared" ca="1" si="17"/>
        <v>47568</v>
      </c>
      <c r="O55" s="199">
        <f t="shared" ca="1" si="18"/>
        <v>3</v>
      </c>
      <c r="P55" s="199">
        <f t="shared" ca="1" si="11"/>
        <v>25</v>
      </c>
      <c r="Q55" s="199">
        <f t="shared" ca="1" si="0"/>
        <v>365</v>
      </c>
      <c r="R55" s="199">
        <f t="shared" ca="1" si="12"/>
        <v>8.21917808219178E-3</v>
      </c>
      <c r="S55" s="199">
        <f t="shared" ca="1" si="13"/>
        <v>6.8493150684931503E-2</v>
      </c>
      <c r="T55" s="199">
        <f t="shared" ca="1" si="21"/>
        <v>7.6712328767123278E-2</v>
      </c>
      <c r="U55" s="415">
        <f t="shared" ca="1" si="14"/>
        <v>1.0065128767123288</v>
      </c>
      <c r="V55" s="233">
        <f ca="1">IF(B55&lt;&gt;"",1/PRODUCT($U$11:U55),0)</f>
        <v>0.72827250366397511</v>
      </c>
      <c r="AA55" s="240">
        <f t="shared" ca="1" si="20"/>
        <v>764.1</v>
      </c>
      <c r="AB55" s="240">
        <f ca="1">IF(B55&lt;&gt;"",AA55/((1+$V$5)^(SUM($T$11:T55))),0)</f>
        <v>418.13690599466707</v>
      </c>
      <c r="AD55">
        <f t="shared" ca="1" si="15"/>
        <v>1.0065128767123288</v>
      </c>
      <c r="AE55">
        <f ca="1">IF(B55&lt;&gt;"",1/PRODUCT($AD$11:AD55),0)</f>
        <v>0.72810431716872526</v>
      </c>
    </row>
    <row r="56" spans="1:31" ht="13" x14ac:dyDescent="0.3">
      <c r="A56" s="24"/>
      <c r="B56" s="248">
        <f t="shared" si="1"/>
        <v>46</v>
      </c>
      <c r="C56" s="249">
        <f t="shared" ca="1" si="6"/>
        <v>47599</v>
      </c>
      <c r="D56" s="249">
        <f t="shared" ca="1" si="16"/>
        <v>47599</v>
      </c>
      <c r="E56" s="250">
        <f t="shared" ca="1" si="7"/>
        <v>16.3</v>
      </c>
      <c r="F56" s="250">
        <f t="shared" ca="1" si="8"/>
        <v>747.8</v>
      </c>
      <c r="G56" s="250">
        <f t="shared" ca="1" si="2"/>
        <v>1512.1200000000074</v>
      </c>
      <c r="H56" s="250">
        <f t="shared" ca="1" si="3"/>
        <v>764.1</v>
      </c>
      <c r="I56" s="99"/>
      <c r="K56" s="231"/>
      <c r="L56" s="199" t="str">
        <f t="shared" si="9"/>
        <v>R</v>
      </c>
      <c r="M56" s="231">
        <f t="shared" ca="1" si="10"/>
        <v>47603</v>
      </c>
      <c r="N56" s="231">
        <f t="shared" ca="1" si="17"/>
        <v>47599</v>
      </c>
      <c r="O56" s="199">
        <f t="shared" ca="1" si="18"/>
        <v>6</v>
      </c>
      <c r="P56" s="199">
        <f t="shared" ca="1" si="11"/>
        <v>25</v>
      </c>
      <c r="Q56" s="199">
        <f t="shared" ca="1" si="0"/>
        <v>365</v>
      </c>
      <c r="R56" s="199">
        <f t="shared" ca="1" si="12"/>
        <v>1.643835616438356E-2</v>
      </c>
      <c r="S56" s="199">
        <f t="shared" ca="1" si="13"/>
        <v>6.8493150684931503E-2</v>
      </c>
      <c r="T56" s="199">
        <f t="shared" ca="1" si="21"/>
        <v>8.4931506849315067E-2</v>
      </c>
      <c r="U56" s="415">
        <f t="shared" ca="1" si="14"/>
        <v>1.0072106849315068</v>
      </c>
      <c r="V56" s="233">
        <f ca="1">IF(B56&lt;&gt;"",1/PRODUCT($U$11:U56),0)</f>
        <v>0.72305875479617221</v>
      </c>
      <c r="AA56" s="240">
        <f t="shared" ca="1" si="20"/>
        <v>764.1</v>
      </c>
      <c r="AB56" s="240">
        <f ca="1">IF(B56&lt;&gt;"",AA56/((1+$V$5)^(SUM($T$11:T56))),0)</f>
        <v>412.46317519025547</v>
      </c>
      <c r="AD56">
        <f t="shared" ca="1" si="15"/>
        <v>1.0072106849315068</v>
      </c>
      <c r="AE56">
        <f ca="1">IF(B56&lt;&gt;"",1/PRODUCT($AD$11:AD56),0)</f>
        <v>0.72289177235866842</v>
      </c>
    </row>
    <row r="57" spans="1:31" ht="13" x14ac:dyDescent="0.3">
      <c r="A57" s="24"/>
      <c r="B57" s="248">
        <f t="shared" si="1"/>
        <v>47</v>
      </c>
      <c r="C57" s="249">
        <f t="shared" ca="1" si="6"/>
        <v>47629</v>
      </c>
      <c r="D57" s="249">
        <f t="shared" ca="1" si="16"/>
        <v>47629</v>
      </c>
      <c r="E57" s="250">
        <f t="shared" ca="1" si="7"/>
        <v>10.55</v>
      </c>
      <c r="F57" s="250">
        <f t="shared" ca="1" si="8"/>
        <v>753.55</v>
      </c>
      <c r="G57" s="250">
        <f t="shared" ca="1" si="2"/>
        <v>758.57000000000744</v>
      </c>
      <c r="H57" s="250">
        <f t="shared" ca="1" si="3"/>
        <v>764.1</v>
      </c>
      <c r="I57" s="99"/>
      <c r="K57" s="231"/>
      <c r="L57" s="199" t="str">
        <f t="shared" si="9"/>
        <v>R</v>
      </c>
      <c r="M57" s="231">
        <f t="shared" ca="1" si="10"/>
        <v>47634</v>
      </c>
      <c r="N57" s="231">
        <f t="shared" ca="1" si="17"/>
        <v>47629</v>
      </c>
      <c r="O57" s="199">
        <f t="shared" ca="1" si="18"/>
        <v>5</v>
      </c>
      <c r="P57" s="199">
        <f t="shared" ca="1" si="11"/>
        <v>25</v>
      </c>
      <c r="Q57" s="199">
        <f t="shared" ca="1" si="0"/>
        <v>365</v>
      </c>
      <c r="R57" s="199">
        <f t="shared" ca="1" si="12"/>
        <v>1.3698630136986301E-2</v>
      </c>
      <c r="S57" s="199">
        <f t="shared" ca="1" si="13"/>
        <v>6.8493150684931503E-2</v>
      </c>
      <c r="T57" s="199">
        <f t="shared" ca="1" si="21"/>
        <v>8.2191780821917804E-2</v>
      </c>
      <c r="U57" s="415">
        <f t="shared" ca="1" si="14"/>
        <v>1.0069780821917809</v>
      </c>
      <c r="V57" s="233">
        <f ca="1">IF(B57&lt;&gt;"",1/PRODUCT($U$11:U57),0)</f>
        <v>0.71804815574770808</v>
      </c>
      <c r="AA57" s="240">
        <f t="shared" ca="1" si="20"/>
        <v>764.1</v>
      </c>
      <c r="AB57" s="240">
        <f ca="1">IF(B57&lt;&gt;"",AA57/((1+$V$5)^(SUM($T$11:T57))),0)</f>
        <v>407.04578083362264</v>
      </c>
      <c r="AD57">
        <f t="shared" ca="1" si="15"/>
        <v>1.0069780821917809</v>
      </c>
      <c r="AE57">
        <f ca="1">IF(B57&lt;&gt;"",1/PRODUCT($AD$11:AD57),0)</f>
        <v>0.71788233045274208</v>
      </c>
    </row>
    <row r="58" spans="1:31" ht="13" x14ac:dyDescent="0.3">
      <c r="A58" s="24"/>
      <c r="B58" s="248">
        <f t="shared" si="1"/>
        <v>48</v>
      </c>
      <c r="C58" s="249">
        <f t="shared" ca="1" si="6"/>
        <v>47660</v>
      </c>
      <c r="D58" s="249">
        <f t="shared" ca="1" si="16"/>
        <v>47660</v>
      </c>
      <c r="E58" s="250">
        <f t="shared" ca="1" si="7"/>
        <v>5.5299999999925831</v>
      </c>
      <c r="F58" s="250">
        <f t="shared" ca="1" si="8"/>
        <v>758.57000000000744</v>
      </c>
      <c r="G58" s="250">
        <f t="shared" ca="1" si="2"/>
        <v>0</v>
      </c>
      <c r="H58" s="250">
        <f t="shared" ca="1" si="3"/>
        <v>764.1</v>
      </c>
      <c r="I58" s="99"/>
      <c r="K58" s="231"/>
      <c r="L58" s="199" t="str">
        <f t="shared" si="9"/>
        <v>R</v>
      </c>
      <c r="M58" s="231">
        <f t="shared" ca="1" si="10"/>
        <v>47664</v>
      </c>
      <c r="N58" s="231">
        <f t="shared" ca="1" si="17"/>
        <v>47660</v>
      </c>
      <c r="O58" s="199">
        <f t="shared" ca="1" si="18"/>
        <v>6</v>
      </c>
      <c r="P58" s="199">
        <f t="shared" ca="1" si="11"/>
        <v>25</v>
      </c>
      <c r="Q58" s="199">
        <f t="shared" ca="1" si="0"/>
        <v>365</v>
      </c>
      <c r="R58" s="199">
        <f t="shared" ca="1" si="12"/>
        <v>1.643835616438356E-2</v>
      </c>
      <c r="S58" s="199">
        <f t="shared" ca="1" si="13"/>
        <v>6.8493150684931503E-2</v>
      </c>
      <c r="T58" s="199">
        <f t="shared" ca="1" si="21"/>
        <v>8.4931506849315067E-2</v>
      </c>
      <c r="U58" s="415">
        <f t="shared" ca="1" si="14"/>
        <v>1.0072106849315068</v>
      </c>
      <c r="V58" s="233">
        <f ca="1">IF(B58&lt;&gt;"",1/PRODUCT($U$11:U58),0)</f>
        <v>0.71290760363263761</v>
      </c>
      <c r="AA58" s="240">
        <f t="shared" ca="1" si="20"/>
        <v>764.1</v>
      </c>
      <c r="AB58" s="240">
        <f ca="1">IF(B58&lt;&gt;"",AA58/((1+$V$5)^(SUM($T$11:T58))),0)</f>
        <v>401.52254633216745</v>
      </c>
      <c r="AD58">
        <f t="shared" ca="1" si="15"/>
        <v>1.0072106849315068</v>
      </c>
      <c r="AE58">
        <f ca="1">IF(B58&lt;&gt;"",1/PRODUCT($AD$11:AD58),0)</f>
        <v>0.71274296549143557</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21"/>
        <v/>
      </c>
      <c r="U59" s="415">
        <f t="shared" si="14"/>
        <v>0</v>
      </c>
      <c r="V59" s="233">
        <f>IF(B59&lt;&gt;"",1/PRODUCT($U$11:U59),0)</f>
        <v>0</v>
      </c>
      <c r="AA59" s="240">
        <f t="shared" si="20"/>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21"/>
        <v/>
      </c>
      <c r="U60" s="415">
        <f t="shared" si="14"/>
        <v>0</v>
      </c>
      <c r="V60" s="233">
        <f>IF(B60&lt;&gt;"",1/PRODUCT($U$11:U60),0)</f>
        <v>0</v>
      </c>
      <c r="AA60" s="240">
        <f t="shared" si="20"/>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21"/>
        <v/>
      </c>
      <c r="U61" s="415">
        <f t="shared" si="14"/>
        <v>0</v>
      </c>
      <c r="V61" s="233">
        <f>IF(B61&lt;&gt;"",1/PRODUCT($U$11:U61),0)</f>
        <v>0</v>
      </c>
      <c r="AA61" s="240">
        <f t="shared" si="20"/>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21"/>
        <v/>
      </c>
      <c r="U62" s="415">
        <f t="shared" si="14"/>
        <v>0</v>
      </c>
      <c r="V62" s="233">
        <f>IF(B62&lt;&gt;"",1/PRODUCT($U$11:U62),0)</f>
        <v>0</v>
      </c>
      <c r="AA62" s="240">
        <f t="shared" si="20"/>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21"/>
        <v/>
      </c>
      <c r="U63" s="415">
        <f t="shared" si="14"/>
        <v>0</v>
      </c>
      <c r="V63" s="233">
        <f>IF(B63&lt;&gt;"",1/PRODUCT($U$11:U63),0)</f>
        <v>0</v>
      </c>
      <c r="AA63" s="240">
        <f t="shared" si="20"/>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21"/>
        <v/>
      </c>
      <c r="U64" s="415">
        <f t="shared" si="14"/>
        <v>0</v>
      </c>
      <c r="V64" s="233">
        <f>IF(B64&lt;&gt;"",1/PRODUCT($U$11:U64),0)</f>
        <v>0</v>
      </c>
      <c r="AA64" s="240">
        <f t="shared" si="20"/>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21"/>
        <v/>
      </c>
      <c r="U65" s="415">
        <f t="shared" si="14"/>
        <v>0</v>
      </c>
      <c r="V65" s="233">
        <f>IF(B65&lt;&gt;"",1/PRODUCT($U$11:U65),0)</f>
        <v>0</v>
      </c>
      <c r="AA65" s="240">
        <f t="shared" si="20"/>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21"/>
        <v/>
      </c>
      <c r="U66" s="415">
        <f t="shared" si="14"/>
        <v>0</v>
      </c>
      <c r="V66" s="233">
        <f>IF(B66&lt;&gt;"",1/PRODUCT($U$11:U66),0)</f>
        <v>0</v>
      </c>
      <c r="AA66" s="240">
        <f t="shared" si="20"/>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21"/>
        <v/>
      </c>
      <c r="U67" s="415">
        <f t="shared" si="14"/>
        <v>0</v>
      </c>
      <c r="V67" s="233">
        <f>IF(B67&lt;&gt;"",1/PRODUCT($U$11:U67),0)</f>
        <v>0</v>
      </c>
      <c r="AA67" s="240">
        <f t="shared" si="20"/>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21"/>
        <v/>
      </c>
      <c r="U68" s="415">
        <f t="shared" si="14"/>
        <v>0</v>
      </c>
      <c r="V68" s="233">
        <f>IF(B68&lt;&gt;"",1/PRODUCT($U$11:U68),0)</f>
        <v>0</v>
      </c>
      <c r="AA68" s="240">
        <f t="shared" si="20"/>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21"/>
        <v/>
      </c>
      <c r="U69" s="415">
        <f t="shared" si="14"/>
        <v>0</v>
      </c>
      <c r="V69" s="233">
        <f>IF(B69&lt;&gt;"",1/PRODUCT($U$11:U69),0)</f>
        <v>0</v>
      </c>
      <c r="AA69" s="240">
        <f t="shared" si="20"/>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21"/>
        <v/>
      </c>
      <c r="U70" s="415">
        <f t="shared" si="14"/>
        <v>0</v>
      </c>
      <c r="V70" s="233">
        <f>IF(B70&lt;&gt;"",1/PRODUCT($U$11:U70),0)</f>
        <v>0</v>
      </c>
      <c r="AA70" s="240">
        <f t="shared" si="20"/>
        <v>0</v>
      </c>
      <c r="AB70" s="240">
        <f>IF(B70&lt;&gt;"",AA70/((1+$V$5)^(SUM($T$11:T70))),0)</f>
        <v>0</v>
      </c>
      <c r="AD70">
        <f t="shared" si="15"/>
        <v>0</v>
      </c>
      <c r="AE70">
        <f>IF(B70&lt;&gt;"",1/PRODUCT($AD$11:AD70),0)</f>
        <v>0</v>
      </c>
    </row>
    <row r="71" spans="1:31" ht="13" x14ac:dyDescent="0.3">
      <c r="B71" s="248" t="str">
        <f t="shared" ref="B71:B130" si="22">IF(B70&lt;$C$5,IF(B70&lt;&gt;"",B70+1,1),"")</f>
        <v/>
      </c>
      <c r="C71" s="249" t="str">
        <f t="shared" ref="C71:C130" si="23">IF(B71&lt;&gt;"",DATE(YEAR(D70),MONTH(D70)+1,$G$5),"")</f>
        <v/>
      </c>
      <c r="D71" s="249" t="str">
        <f t="shared" ref="D71:D130" si="24">IF(B71&lt;&gt;"",IF(MOD(MONTH(C71)-MONTH(C70),12)&gt;1,DATE(YEAR(C71),MONTH(C71),DAY(C71)-DAY(C71)),C71),"")</f>
        <v/>
      </c>
      <c r="E71" s="250" t="str">
        <f t="shared" ref="E71:E130" ca="1" si="25">IF($H$1&lt;&gt;1,IF(B71=$C$5,H71-F71,IF(B71&lt;&gt;"",ROUND(G70*($D$3)*((SUM(O71:P71)/365)),2),"")),"Brak Oferty")</f>
        <v/>
      </c>
      <c r="F71" s="250" t="str">
        <f t="shared" ref="F71:F130" ca="1" si="26">IF($H$1&lt;&gt;1,IF(B71=$C$5,G70,IF(B71&lt;&gt;"",ROUND((H71-E71),2),"")),"Brak Oferty")</f>
        <v/>
      </c>
      <c r="G71" s="250" t="str">
        <f t="shared" ref="G71:G130" ca="1" si="27">IF($H$1&lt;&gt;1,IF(B71&lt;&gt;"",G70-F71,""),"Brak Oferty")</f>
        <v/>
      </c>
      <c r="H71" s="250" t="str">
        <f t="shared" ref="H71:H130" ca="1" si="28">IF($H$1&lt;&gt;1,IF(B71&lt;&gt;"",$H$2,""),$D$4)</f>
        <v/>
      </c>
      <c r="I71" s="99"/>
      <c r="K71" s="231"/>
      <c r="L71" s="199" t="str">
        <f t="shared" ref="L71:L130" si="29">IF(B71&lt;&gt;"",L70,"")</f>
        <v/>
      </c>
      <c r="M71" s="231" t="str">
        <f t="shared" ref="M71:M130" si="30">IF(B71&lt;&gt;"",DATE(YEAR((D71)),MONTH((D71))+1,1)-1,"")</f>
        <v/>
      </c>
      <c r="N71" s="231" t="str">
        <f t="shared" ref="N71:N130" si="31">D71</f>
        <v/>
      </c>
      <c r="O71" s="199">
        <f t="shared" ref="O71:O130" si="32">IF(B71&lt;&gt;"",M70-N70+1,0)</f>
        <v>0</v>
      </c>
      <c r="P71" s="199">
        <f t="shared" ref="P71:P130" si="33">IF(B71&lt;&gt;"",N71-M70-1,0)</f>
        <v>0</v>
      </c>
      <c r="Q71" s="199">
        <f t="shared" ref="Q71:Q130" si="34">IF(B71&lt;&gt;"",IF(MOD(YEAR(N71),4)=0,366,365),0)</f>
        <v>0</v>
      </c>
      <c r="R71" s="199" t="e">
        <f t="shared" ref="R71:R130" si="35">IF(1,O71/Q70,"")</f>
        <v>#DIV/0!</v>
      </c>
      <c r="S71" s="199" t="e">
        <f t="shared" ref="S71:S130" si="36">IF(1,P71/Q71,"")</f>
        <v>#DIV/0!</v>
      </c>
      <c r="T71" s="199" t="str">
        <f t="shared" ref="T71:T130" si="37">IF(B71&lt;&gt;"",R71+S71,"")</f>
        <v/>
      </c>
      <c r="U71" s="415">
        <f t="shared" si="14"/>
        <v>0</v>
      </c>
      <c r="V71" s="233">
        <f>IF(B71&lt;&gt;"",1/PRODUCT($U$11:U71),0)</f>
        <v>0</v>
      </c>
      <c r="AA71" s="240">
        <f t="shared" ref="AA71:AA130" si="38">IF(B71&lt;&gt;"",$H$2,0)</f>
        <v>0</v>
      </c>
      <c r="AB71" s="240">
        <f>IF(B71&lt;&gt;"",AA71/((1+$V$5)^(SUM($T$11:T71))),0)</f>
        <v>0</v>
      </c>
      <c r="AD71">
        <f t="shared" si="15"/>
        <v>0</v>
      </c>
      <c r="AE71">
        <f>IF(B71&lt;&gt;"",1/PRODUCT($AD$11:AD71),0)</f>
        <v>0</v>
      </c>
    </row>
    <row r="72" spans="1:31" ht="13" x14ac:dyDescent="0.3">
      <c r="B72" s="248" t="str">
        <f t="shared" si="22"/>
        <v/>
      </c>
      <c r="C72" s="249" t="str">
        <f t="shared" si="23"/>
        <v/>
      </c>
      <c r="D72" s="249" t="str">
        <f t="shared" si="24"/>
        <v/>
      </c>
      <c r="E72" s="250" t="str">
        <f t="shared" ca="1" si="25"/>
        <v/>
      </c>
      <c r="F72" s="250" t="str">
        <f t="shared" ca="1" si="26"/>
        <v/>
      </c>
      <c r="G72" s="250" t="str">
        <f t="shared" ca="1" si="27"/>
        <v/>
      </c>
      <c r="H72" s="250" t="str">
        <f t="shared" ca="1" si="28"/>
        <v/>
      </c>
      <c r="I72" s="99"/>
      <c r="K72" s="231"/>
      <c r="L72" s="199" t="str">
        <f t="shared" si="29"/>
        <v/>
      </c>
      <c r="M72" s="231" t="str">
        <f t="shared" si="30"/>
        <v/>
      </c>
      <c r="N72" s="231" t="str">
        <f t="shared" si="31"/>
        <v/>
      </c>
      <c r="O72" s="199">
        <f t="shared" si="32"/>
        <v>0</v>
      </c>
      <c r="P72" s="199">
        <f t="shared" si="33"/>
        <v>0</v>
      </c>
      <c r="Q72" s="199">
        <f t="shared" si="34"/>
        <v>0</v>
      </c>
      <c r="R72" s="199" t="e">
        <f t="shared" si="35"/>
        <v>#DIV/0!</v>
      </c>
      <c r="S72" s="199" t="e">
        <f t="shared" si="36"/>
        <v>#DIV/0!</v>
      </c>
      <c r="T72" s="199" t="str">
        <f t="shared" si="37"/>
        <v/>
      </c>
      <c r="U72" s="415">
        <f t="shared" si="14"/>
        <v>0</v>
      </c>
      <c r="V72" s="233">
        <f>IF(B72&lt;&gt;"",1/PRODUCT($U$11:U72),0)</f>
        <v>0</v>
      </c>
      <c r="AA72" s="240">
        <f t="shared" si="38"/>
        <v>0</v>
      </c>
      <c r="AB72" s="240">
        <f>IF(B72&lt;&gt;"",AA72/((1+$V$5)^(SUM($T$11:T72))),0)</f>
        <v>0</v>
      </c>
      <c r="AD72">
        <f t="shared" si="15"/>
        <v>0</v>
      </c>
      <c r="AE72">
        <f>IF(B72&lt;&gt;"",1/PRODUCT($AD$11:AD72),0)</f>
        <v>0</v>
      </c>
    </row>
    <row r="73" spans="1:31" ht="13" x14ac:dyDescent="0.3">
      <c r="B73" s="248" t="str">
        <f t="shared" si="22"/>
        <v/>
      </c>
      <c r="C73" s="249" t="str">
        <f t="shared" si="23"/>
        <v/>
      </c>
      <c r="D73" s="249" t="str">
        <f t="shared" si="24"/>
        <v/>
      </c>
      <c r="E73" s="250" t="str">
        <f t="shared" ca="1" si="25"/>
        <v/>
      </c>
      <c r="F73" s="250" t="str">
        <f t="shared" ca="1" si="26"/>
        <v/>
      </c>
      <c r="G73" s="250" t="str">
        <f t="shared" ca="1" si="27"/>
        <v/>
      </c>
      <c r="H73" s="250" t="str">
        <f t="shared" ca="1" si="28"/>
        <v/>
      </c>
      <c r="I73" s="99"/>
      <c r="K73" s="231"/>
      <c r="L73" s="199" t="str">
        <f t="shared" si="29"/>
        <v/>
      </c>
      <c r="M73" s="231" t="str">
        <f t="shared" si="30"/>
        <v/>
      </c>
      <c r="N73" s="231" t="str">
        <f t="shared" si="31"/>
        <v/>
      </c>
      <c r="O73" s="199">
        <f t="shared" si="32"/>
        <v>0</v>
      </c>
      <c r="P73" s="199">
        <f t="shared" si="33"/>
        <v>0</v>
      </c>
      <c r="Q73" s="199">
        <f t="shared" si="34"/>
        <v>0</v>
      </c>
      <c r="R73" s="199" t="e">
        <f t="shared" si="35"/>
        <v>#DIV/0!</v>
      </c>
      <c r="S73" s="199" t="e">
        <f t="shared" si="36"/>
        <v>#DIV/0!</v>
      </c>
      <c r="T73" s="199" t="str">
        <f t="shared" si="37"/>
        <v/>
      </c>
      <c r="U73" s="415">
        <f t="shared" si="14"/>
        <v>0</v>
      </c>
      <c r="V73" s="233">
        <f>IF(B73&lt;&gt;"",1/PRODUCT($U$11:U73),0)</f>
        <v>0</v>
      </c>
      <c r="AA73" s="240">
        <f t="shared" si="38"/>
        <v>0</v>
      </c>
      <c r="AB73" s="240">
        <f>IF(B73&lt;&gt;"",AA73/((1+$V$5)^(SUM($T$11:T73))),0)</f>
        <v>0</v>
      </c>
      <c r="AD73">
        <f t="shared" si="15"/>
        <v>0</v>
      </c>
      <c r="AE73">
        <f>IF(B73&lt;&gt;"",1/PRODUCT($AD$11:AD73),0)</f>
        <v>0</v>
      </c>
    </row>
    <row r="74" spans="1:31" ht="13" x14ac:dyDescent="0.3">
      <c r="B74" s="248" t="str">
        <f t="shared" si="22"/>
        <v/>
      </c>
      <c r="C74" s="249" t="str">
        <f t="shared" si="23"/>
        <v/>
      </c>
      <c r="D74" s="249" t="str">
        <f t="shared" si="24"/>
        <v/>
      </c>
      <c r="E74" s="250" t="str">
        <f t="shared" ca="1" si="25"/>
        <v/>
      </c>
      <c r="F74" s="250" t="str">
        <f t="shared" ca="1" si="26"/>
        <v/>
      </c>
      <c r="G74" s="250" t="str">
        <f t="shared" ca="1" si="27"/>
        <v/>
      </c>
      <c r="H74" s="250" t="str">
        <f t="shared" ca="1" si="28"/>
        <v/>
      </c>
      <c r="I74" s="99"/>
      <c r="K74" s="231"/>
      <c r="L74" s="199" t="str">
        <f t="shared" si="29"/>
        <v/>
      </c>
      <c r="M74" s="231" t="str">
        <f t="shared" si="30"/>
        <v/>
      </c>
      <c r="N74" s="231" t="str">
        <f t="shared" si="31"/>
        <v/>
      </c>
      <c r="O74" s="199">
        <f t="shared" si="32"/>
        <v>0</v>
      </c>
      <c r="P74" s="199">
        <f t="shared" si="33"/>
        <v>0</v>
      </c>
      <c r="Q74" s="199">
        <f t="shared" si="34"/>
        <v>0</v>
      </c>
      <c r="R74" s="199" t="e">
        <f t="shared" si="35"/>
        <v>#DIV/0!</v>
      </c>
      <c r="S74" s="199" t="e">
        <f t="shared" si="36"/>
        <v>#DIV/0!</v>
      </c>
      <c r="T74" s="199" t="str">
        <f t="shared" si="37"/>
        <v/>
      </c>
      <c r="U74" s="415">
        <f t="shared" si="14"/>
        <v>0</v>
      </c>
      <c r="V74" s="233">
        <f>IF(B74&lt;&gt;"",1/PRODUCT($U$11:U74),0)</f>
        <v>0</v>
      </c>
      <c r="AA74" s="240">
        <f t="shared" si="38"/>
        <v>0</v>
      </c>
      <c r="AB74" s="240">
        <f>IF(B74&lt;&gt;"",AA74/((1+$V$5)^(SUM($T$11:T74))),0)</f>
        <v>0</v>
      </c>
      <c r="AD74">
        <f t="shared" si="15"/>
        <v>0</v>
      </c>
      <c r="AE74">
        <f>IF(B74&lt;&gt;"",1/PRODUCT($AD$11:AD74),0)</f>
        <v>0</v>
      </c>
    </row>
    <row r="75" spans="1:31" ht="13" x14ac:dyDescent="0.3">
      <c r="B75" s="248" t="str">
        <f t="shared" si="22"/>
        <v/>
      </c>
      <c r="C75" s="249" t="str">
        <f t="shared" si="23"/>
        <v/>
      </c>
      <c r="D75" s="249" t="str">
        <f t="shared" si="24"/>
        <v/>
      </c>
      <c r="E75" s="250" t="str">
        <f t="shared" ca="1" si="25"/>
        <v/>
      </c>
      <c r="F75" s="250" t="str">
        <f t="shared" ca="1" si="26"/>
        <v/>
      </c>
      <c r="G75" s="250" t="str">
        <f t="shared" ca="1" si="27"/>
        <v/>
      </c>
      <c r="H75" s="250" t="str">
        <f t="shared" ca="1" si="28"/>
        <v/>
      </c>
      <c r="I75" s="99"/>
      <c r="K75" s="231"/>
      <c r="L75" s="199" t="str">
        <f t="shared" si="29"/>
        <v/>
      </c>
      <c r="M75" s="231" t="str">
        <f t="shared" si="30"/>
        <v/>
      </c>
      <c r="N75" s="231" t="str">
        <f t="shared" si="31"/>
        <v/>
      </c>
      <c r="O75" s="199">
        <f t="shared" si="32"/>
        <v>0</v>
      </c>
      <c r="P75" s="199">
        <f t="shared" si="33"/>
        <v>0</v>
      </c>
      <c r="Q75" s="199">
        <f t="shared" si="34"/>
        <v>0</v>
      </c>
      <c r="R75" s="199" t="e">
        <f t="shared" si="35"/>
        <v>#DIV/0!</v>
      </c>
      <c r="S75" s="199" t="e">
        <f t="shared" si="36"/>
        <v>#DIV/0!</v>
      </c>
      <c r="T75" s="199" t="str">
        <f t="shared" si="37"/>
        <v/>
      </c>
      <c r="U75" s="415">
        <f t="shared" si="14"/>
        <v>0</v>
      </c>
      <c r="V75" s="233">
        <f>IF(B75&lt;&gt;"",1/PRODUCT($U$11:U75),0)</f>
        <v>0</v>
      </c>
      <c r="AA75" s="240">
        <f t="shared" si="38"/>
        <v>0</v>
      </c>
      <c r="AB75" s="240">
        <f>IF(B75&lt;&gt;"",AA75/((1+$V$5)^(SUM($T$11:T75))),0)</f>
        <v>0</v>
      </c>
      <c r="AD75">
        <f t="shared" si="15"/>
        <v>0</v>
      </c>
      <c r="AE75">
        <f>IF(B75&lt;&gt;"",1/PRODUCT($AD$11:AD75),0)</f>
        <v>0</v>
      </c>
    </row>
    <row r="76" spans="1:31" ht="13" x14ac:dyDescent="0.3">
      <c r="B76" s="248" t="str">
        <f t="shared" si="22"/>
        <v/>
      </c>
      <c r="C76" s="249" t="str">
        <f t="shared" si="23"/>
        <v/>
      </c>
      <c r="D76" s="249" t="str">
        <f t="shared" si="24"/>
        <v/>
      </c>
      <c r="E76" s="250" t="str">
        <f t="shared" ca="1" si="25"/>
        <v/>
      </c>
      <c r="F76" s="250" t="str">
        <f t="shared" ca="1" si="26"/>
        <v/>
      </c>
      <c r="G76" s="250" t="str">
        <f t="shared" ca="1" si="27"/>
        <v/>
      </c>
      <c r="H76" s="250" t="str">
        <f t="shared" ca="1" si="28"/>
        <v/>
      </c>
      <c r="I76" s="99"/>
      <c r="K76" s="231"/>
      <c r="L76" s="199" t="str">
        <f t="shared" si="29"/>
        <v/>
      </c>
      <c r="M76" s="231" t="str">
        <f t="shared" si="30"/>
        <v/>
      </c>
      <c r="N76" s="231" t="str">
        <f t="shared" si="31"/>
        <v/>
      </c>
      <c r="O76" s="199">
        <f t="shared" si="32"/>
        <v>0</v>
      </c>
      <c r="P76" s="199">
        <f t="shared" si="33"/>
        <v>0</v>
      </c>
      <c r="Q76" s="199">
        <f t="shared" si="34"/>
        <v>0</v>
      </c>
      <c r="R76" s="199" t="e">
        <f t="shared" si="35"/>
        <v>#DIV/0!</v>
      </c>
      <c r="S76" s="199" t="e">
        <f t="shared" si="36"/>
        <v>#DIV/0!</v>
      </c>
      <c r="T76" s="199" t="str">
        <f t="shared" si="37"/>
        <v/>
      </c>
      <c r="U76" s="415">
        <f t="shared" si="14"/>
        <v>0</v>
      </c>
      <c r="V76" s="233">
        <f>IF(B76&lt;&gt;"",1/PRODUCT($U$11:U76),0)</f>
        <v>0</v>
      </c>
      <c r="AA76" s="240">
        <f t="shared" si="38"/>
        <v>0</v>
      </c>
      <c r="AB76" s="240">
        <f>IF(B76&lt;&gt;"",AA76/((1+$V$5)^(SUM($T$11:T76))),0)</f>
        <v>0</v>
      </c>
      <c r="AD76">
        <f t="shared" si="15"/>
        <v>0</v>
      </c>
      <c r="AE76">
        <f>IF(B76&lt;&gt;"",1/PRODUCT($AD$11:AD76),0)</f>
        <v>0</v>
      </c>
    </row>
    <row r="77" spans="1:31" ht="13" x14ac:dyDescent="0.3">
      <c r="B77" s="248" t="str">
        <f t="shared" si="22"/>
        <v/>
      </c>
      <c r="C77" s="249" t="str">
        <f t="shared" si="23"/>
        <v/>
      </c>
      <c r="D77" s="249" t="str">
        <f t="shared" si="24"/>
        <v/>
      </c>
      <c r="E77" s="250" t="str">
        <f t="shared" ca="1" si="25"/>
        <v/>
      </c>
      <c r="F77" s="250" t="str">
        <f t="shared" ca="1" si="26"/>
        <v/>
      </c>
      <c r="G77" s="250" t="str">
        <f t="shared" ca="1" si="27"/>
        <v/>
      </c>
      <c r="H77" s="250" t="str">
        <f t="shared" ca="1" si="28"/>
        <v/>
      </c>
      <c r="I77" s="99"/>
      <c r="K77" s="231"/>
      <c r="L77" s="199" t="str">
        <f t="shared" si="29"/>
        <v/>
      </c>
      <c r="M77" s="231" t="str">
        <f t="shared" si="30"/>
        <v/>
      </c>
      <c r="N77" s="231" t="str">
        <f t="shared" si="31"/>
        <v/>
      </c>
      <c r="O77" s="199">
        <f t="shared" si="32"/>
        <v>0</v>
      </c>
      <c r="P77" s="199">
        <f t="shared" si="33"/>
        <v>0</v>
      </c>
      <c r="Q77" s="199">
        <f t="shared" si="34"/>
        <v>0</v>
      </c>
      <c r="R77" s="199" t="e">
        <f t="shared" si="35"/>
        <v>#DIV/0!</v>
      </c>
      <c r="S77" s="199" t="e">
        <f t="shared" si="36"/>
        <v>#DIV/0!</v>
      </c>
      <c r="T77" s="199" t="str">
        <f t="shared" si="37"/>
        <v/>
      </c>
      <c r="U77" s="415">
        <f t="shared" ref="U77:U130" si="39">IF(B77&lt;&gt;"",1+$D$1*T77,0)</f>
        <v>0</v>
      </c>
      <c r="V77" s="233">
        <f>IF(B77&lt;&gt;"",1/PRODUCT($U$11:U77),0)</f>
        <v>0</v>
      </c>
      <c r="AA77" s="240">
        <f t="shared" si="38"/>
        <v>0</v>
      </c>
      <c r="AB77" s="240">
        <f>IF(B77&lt;&gt;"",AA77/((1+$V$5)^(SUM($T$11:T77))),0)</f>
        <v>0</v>
      </c>
      <c r="AD77">
        <f t="shared" ref="AD77:AD130" si="40">IF(B77&lt;&gt;"",1+$D$1*((O77+P77)/365),0)</f>
        <v>0</v>
      </c>
      <c r="AE77">
        <f>IF(B77&lt;&gt;"",1/PRODUCT($AD$11:AD77),0)</f>
        <v>0</v>
      </c>
    </row>
    <row r="78" spans="1:31" ht="13" x14ac:dyDescent="0.3">
      <c r="B78" s="248" t="str">
        <f t="shared" si="22"/>
        <v/>
      </c>
      <c r="C78" s="249" t="str">
        <f t="shared" si="23"/>
        <v/>
      </c>
      <c r="D78" s="249" t="str">
        <f t="shared" si="24"/>
        <v/>
      </c>
      <c r="E78" s="250" t="str">
        <f t="shared" ca="1" si="25"/>
        <v/>
      </c>
      <c r="F78" s="250" t="str">
        <f t="shared" ca="1" si="26"/>
        <v/>
      </c>
      <c r="G78" s="250" t="str">
        <f t="shared" ca="1" si="27"/>
        <v/>
      </c>
      <c r="H78" s="250" t="str">
        <f t="shared" ca="1" si="28"/>
        <v/>
      </c>
      <c r="I78" s="99"/>
      <c r="K78" s="231"/>
      <c r="L78" s="199" t="str">
        <f t="shared" si="29"/>
        <v/>
      </c>
      <c r="M78" s="231" t="str">
        <f t="shared" si="30"/>
        <v/>
      </c>
      <c r="N78" s="231" t="str">
        <f t="shared" si="31"/>
        <v/>
      </c>
      <c r="O78" s="199">
        <f t="shared" si="32"/>
        <v>0</v>
      </c>
      <c r="P78" s="199">
        <f t="shared" si="33"/>
        <v>0</v>
      </c>
      <c r="Q78" s="199">
        <f t="shared" si="34"/>
        <v>0</v>
      </c>
      <c r="R78" s="199" t="e">
        <f t="shared" si="35"/>
        <v>#DIV/0!</v>
      </c>
      <c r="S78" s="199" t="e">
        <f t="shared" si="36"/>
        <v>#DIV/0!</v>
      </c>
      <c r="T78" s="199" t="str">
        <f t="shared" si="37"/>
        <v/>
      </c>
      <c r="U78" s="415">
        <f t="shared" si="39"/>
        <v>0</v>
      </c>
      <c r="V78" s="233">
        <f>IF(B78&lt;&gt;"",1/PRODUCT($U$11:U78),0)</f>
        <v>0</v>
      </c>
      <c r="AA78" s="240">
        <f t="shared" si="38"/>
        <v>0</v>
      </c>
      <c r="AB78" s="240">
        <f>IF(B78&lt;&gt;"",AA78/((1+$V$5)^(SUM($T$11:T78))),0)</f>
        <v>0</v>
      </c>
      <c r="AD78">
        <f t="shared" si="40"/>
        <v>0</v>
      </c>
      <c r="AE78">
        <f>IF(B78&lt;&gt;"",1/PRODUCT($AD$11:AD78),0)</f>
        <v>0</v>
      </c>
    </row>
    <row r="79" spans="1:31" ht="13" x14ac:dyDescent="0.3">
      <c r="B79" s="248" t="str">
        <f t="shared" si="22"/>
        <v/>
      </c>
      <c r="C79" s="249" t="str">
        <f t="shared" si="23"/>
        <v/>
      </c>
      <c r="D79" s="249" t="str">
        <f t="shared" si="24"/>
        <v/>
      </c>
      <c r="E79" s="250" t="str">
        <f t="shared" ca="1" si="25"/>
        <v/>
      </c>
      <c r="F79" s="250" t="str">
        <f t="shared" ca="1" si="26"/>
        <v/>
      </c>
      <c r="G79" s="250" t="str">
        <f t="shared" ca="1" si="27"/>
        <v/>
      </c>
      <c r="H79" s="250" t="str">
        <f t="shared" ca="1" si="28"/>
        <v/>
      </c>
      <c r="I79" s="99"/>
      <c r="K79" s="231"/>
      <c r="L79" s="199" t="str">
        <f t="shared" si="29"/>
        <v/>
      </c>
      <c r="M79" s="231" t="str">
        <f t="shared" si="30"/>
        <v/>
      </c>
      <c r="N79" s="231" t="str">
        <f t="shared" si="31"/>
        <v/>
      </c>
      <c r="O79" s="199">
        <f t="shared" si="32"/>
        <v>0</v>
      </c>
      <c r="P79" s="199">
        <f t="shared" si="33"/>
        <v>0</v>
      </c>
      <c r="Q79" s="199">
        <f t="shared" si="34"/>
        <v>0</v>
      </c>
      <c r="R79" s="199" t="e">
        <f t="shared" si="35"/>
        <v>#DIV/0!</v>
      </c>
      <c r="S79" s="199" t="e">
        <f t="shared" si="36"/>
        <v>#DIV/0!</v>
      </c>
      <c r="T79" s="199" t="str">
        <f t="shared" si="37"/>
        <v/>
      </c>
      <c r="U79" s="415">
        <f t="shared" si="39"/>
        <v>0</v>
      </c>
      <c r="V79" s="233">
        <f>IF(B79&lt;&gt;"",1/PRODUCT($U$11:U79),0)</f>
        <v>0</v>
      </c>
      <c r="AA79" s="240">
        <f t="shared" si="38"/>
        <v>0</v>
      </c>
      <c r="AB79" s="240">
        <f>IF(B79&lt;&gt;"",AA79/((1+$V$5)^(SUM($T$11:T79))),0)</f>
        <v>0</v>
      </c>
      <c r="AD79">
        <f t="shared" si="40"/>
        <v>0</v>
      </c>
      <c r="AE79">
        <f>IF(B79&lt;&gt;"",1/PRODUCT($AD$11:AD79),0)</f>
        <v>0</v>
      </c>
    </row>
    <row r="80" spans="1:31" ht="13" x14ac:dyDescent="0.3">
      <c r="B80" s="248" t="str">
        <f t="shared" si="22"/>
        <v/>
      </c>
      <c r="C80" s="249" t="str">
        <f t="shared" si="23"/>
        <v/>
      </c>
      <c r="D80" s="249" t="str">
        <f t="shared" si="24"/>
        <v/>
      </c>
      <c r="E80" s="250" t="str">
        <f t="shared" ca="1" si="25"/>
        <v/>
      </c>
      <c r="F80" s="250" t="str">
        <f t="shared" ca="1" si="26"/>
        <v/>
      </c>
      <c r="G80" s="250" t="str">
        <f t="shared" ca="1" si="27"/>
        <v/>
      </c>
      <c r="H80" s="250" t="str">
        <f t="shared" ca="1" si="28"/>
        <v/>
      </c>
      <c r="I80" s="99"/>
      <c r="K80" s="231"/>
      <c r="L80" s="199" t="str">
        <f t="shared" si="29"/>
        <v/>
      </c>
      <c r="M80" s="231" t="str">
        <f t="shared" si="30"/>
        <v/>
      </c>
      <c r="N80" s="231" t="str">
        <f t="shared" si="31"/>
        <v/>
      </c>
      <c r="O80" s="199">
        <f t="shared" si="32"/>
        <v>0</v>
      </c>
      <c r="P80" s="199">
        <f t="shared" si="33"/>
        <v>0</v>
      </c>
      <c r="Q80" s="199">
        <f t="shared" si="34"/>
        <v>0</v>
      </c>
      <c r="R80" s="199" t="e">
        <f t="shared" si="35"/>
        <v>#DIV/0!</v>
      </c>
      <c r="S80" s="199" t="e">
        <f t="shared" si="36"/>
        <v>#DIV/0!</v>
      </c>
      <c r="T80" s="199" t="str">
        <f t="shared" si="37"/>
        <v/>
      </c>
      <c r="U80" s="415">
        <f t="shared" si="39"/>
        <v>0</v>
      </c>
      <c r="V80" s="233">
        <f>IF(B80&lt;&gt;"",1/PRODUCT($U$11:U80),0)</f>
        <v>0</v>
      </c>
      <c r="AA80" s="240">
        <f t="shared" si="38"/>
        <v>0</v>
      </c>
      <c r="AB80" s="240">
        <f>IF(B80&lt;&gt;"",AA80/((1+$V$5)^(SUM($T$11:T80))),0)</f>
        <v>0</v>
      </c>
      <c r="AD80">
        <f t="shared" si="40"/>
        <v>0</v>
      </c>
      <c r="AE80">
        <f>IF(B80&lt;&gt;"",1/PRODUCT($AD$11:AD80),0)</f>
        <v>0</v>
      </c>
    </row>
    <row r="81" spans="2:31" ht="13" x14ac:dyDescent="0.3">
      <c r="B81" s="248" t="str">
        <f t="shared" si="22"/>
        <v/>
      </c>
      <c r="C81" s="249" t="str">
        <f t="shared" si="23"/>
        <v/>
      </c>
      <c r="D81" s="249" t="str">
        <f t="shared" si="24"/>
        <v/>
      </c>
      <c r="E81" s="250" t="str">
        <f t="shared" ca="1" si="25"/>
        <v/>
      </c>
      <c r="F81" s="250" t="str">
        <f t="shared" ca="1" si="26"/>
        <v/>
      </c>
      <c r="G81" s="250" t="str">
        <f t="shared" ca="1" si="27"/>
        <v/>
      </c>
      <c r="H81" s="250" t="str">
        <f t="shared" ca="1" si="28"/>
        <v/>
      </c>
      <c r="I81" s="99"/>
      <c r="K81" s="231"/>
      <c r="L81" s="199" t="str">
        <f t="shared" si="29"/>
        <v/>
      </c>
      <c r="M81" s="231" t="str">
        <f t="shared" si="30"/>
        <v/>
      </c>
      <c r="N81" s="231" t="str">
        <f t="shared" si="31"/>
        <v/>
      </c>
      <c r="O81" s="199">
        <f t="shared" si="32"/>
        <v>0</v>
      </c>
      <c r="P81" s="199">
        <f t="shared" si="33"/>
        <v>0</v>
      </c>
      <c r="Q81" s="199">
        <f t="shared" si="34"/>
        <v>0</v>
      </c>
      <c r="R81" s="199" t="e">
        <f t="shared" si="35"/>
        <v>#DIV/0!</v>
      </c>
      <c r="S81" s="199" t="e">
        <f t="shared" si="36"/>
        <v>#DIV/0!</v>
      </c>
      <c r="T81" s="199" t="str">
        <f t="shared" si="37"/>
        <v/>
      </c>
      <c r="U81" s="415">
        <f t="shared" si="39"/>
        <v>0</v>
      </c>
      <c r="V81" s="233">
        <f>IF(B81&lt;&gt;"",1/PRODUCT($U$11:U81),0)</f>
        <v>0</v>
      </c>
      <c r="AA81" s="240">
        <f t="shared" si="38"/>
        <v>0</v>
      </c>
      <c r="AB81" s="240">
        <f>IF(B81&lt;&gt;"",AA81/((1+$V$5)^(SUM($T$11:T81))),0)</f>
        <v>0</v>
      </c>
      <c r="AD81">
        <f t="shared" si="40"/>
        <v>0</v>
      </c>
      <c r="AE81">
        <f>IF(B81&lt;&gt;"",1/PRODUCT($AD$11:AD81),0)</f>
        <v>0</v>
      </c>
    </row>
    <row r="82" spans="2:31" ht="13" x14ac:dyDescent="0.3">
      <c r="B82" s="248" t="str">
        <f t="shared" si="22"/>
        <v/>
      </c>
      <c r="C82" s="249" t="str">
        <f t="shared" si="23"/>
        <v/>
      </c>
      <c r="D82" s="249" t="str">
        <f t="shared" si="24"/>
        <v/>
      </c>
      <c r="E82" s="250" t="str">
        <f t="shared" ca="1" si="25"/>
        <v/>
      </c>
      <c r="F82" s="250" t="str">
        <f t="shared" ca="1" si="26"/>
        <v/>
      </c>
      <c r="G82" s="250" t="str">
        <f t="shared" ca="1" si="27"/>
        <v/>
      </c>
      <c r="H82" s="250" t="str">
        <f t="shared" ca="1" si="28"/>
        <v/>
      </c>
      <c r="I82" s="99"/>
      <c r="K82" s="231"/>
      <c r="L82" s="199" t="str">
        <f t="shared" si="29"/>
        <v/>
      </c>
      <c r="M82" s="231" t="str">
        <f t="shared" si="30"/>
        <v/>
      </c>
      <c r="N82" s="231" t="str">
        <f t="shared" si="31"/>
        <v/>
      </c>
      <c r="O82" s="199">
        <f t="shared" si="32"/>
        <v>0</v>
      </c>
      <c r="P82" s="199">
        <f t="shared" si="33"/>
        <v>0</v>
      </c>
      <c r="Q82" s="199">
        <f t="shared" si="34"/>
        <v>0</v>
      </c>
      <c r="R82" s="199" t="e">
        <f t="shared" si="35"/>
        <v>#DIV/0!</v>
      </c>
      <c r="S82" s="199" t="e">
        <f t="shared" si="36"/>
        <v>#DIV/0!</v>
      </c>
      <c r="T82" s="199" t="str">
        <f t="shared" si="37"/>
        <v/>
      </c>
      <c r="U82" s="415">
        <f t="shared" si="39"/>
        <v>0</v>
      </c>
      <c r="V82" s="233">
        <f>IF(B82&lt;&gt;"",1/PRODUCT($U$11:U82),0)</f>
        <v>0</v>
      </c>
      <c r="AA82" s="240">
        <f t="shared" si="38"/>
        <v>0</v>
      </c>
      <c r="AB82" s="240">
        <f>IF(B82&lt;&gt;"",AA82/((1+$V$5)^(SUM($T$11:T82))),0)</f>
        <v>0</v>
      </c>
      <c r="AD82">
        <f t="shared" si="40"/>
        <v>0</v>
      </c>
      <c r="AE82">
        <f>IF(B82&lt;&gt;"",1/PRODUCT($AD$11:AD82),0)</f>
        <v>0</v>
      </c>
    </row>
    <row r="83" spans="2:31" ht="13" x14ac:dyDescent="0.3">
      <c r="B83" s="248" t="str">
        <f t="shared" si="22"/>
        <v/>
      </c>
      <c r="C83" s="249" t="str">
        <f t="shared" si="23"/>
        <v/>
      </c>
      <c r="D83" s="249" t="str">
        <f t="shared" si="24"/>
        <v/>
      </c>
      <c r="E83" s="250" t="str">
        <f t="shared" ca="1" si="25"/>
        <v/>
      </c>
      <c r="F83" s="250" t="str">
        <f t="shared" ca="1" si="26"/>
        <v/>
      </c>
      <c r="G83" s="250" t="str">
        <f t="shared" ca="1" si="27"/>
        <v/>
      </c>
      <c r="H83" s="250" t="str">
        <f t="shared" ca="1" si="28"/>
        <v/>
      </c>
      <c r="I83" s="99"/>
      <c r="K83" s="231"/>
      <c r="L83" s="199" t="str">
        <f t="shared" si="29"/>
        <v/>
      </c>
      <c r="M83" s="231" t="str">
        <f t="shared" si="30"/>
        <v/>
      </c>
      <c r="N83" s="231" t="str">
        <f t="shared" si="31"/>
        <v/>
      </c>
      <c r="O83" s="199">
        <f t="shared" si="32"/>
        <v>0</v>
      </c>
      <c r="P83" s="199">
        <f t="shared" si="33"/>
        <v>0</v>
      </c>
      <c r="Q83" s="199">
        <f t="shared" si="34"/>
        <v>0</v>
      </c>
      <c r="R83" s="199" t="e">
        <f t="shared" si="35"/>
        <v>#DIV/0!</v>
      </c>
      <c r="S83" s="199" t="e">
        <f t="shared" si="36"/>
        <v>#DIV/0!</v>
      </c>
      <c r="T83" s="199" t="str">
        <f t="shared" si="37"/>
        <v/>
      </c>
      <c r="U83" s="415">
        <f t="shared" si="39"/>
        <v>0</v>
      </c>
      <c r="V83" s="233">
        <f>IF(B83&lt;&gt;"",1/PRODUCT($U$11:U83),0)</f>
        <v>0</v>
      </c>
      <c r="AA83" s="240">
        <f t="shared" si="38"/>
        <v>0</v>
      </c>
      <c r="AB83" s="240">
        <f>IF(B83&lt;&gt;"",AA83/((1+$V$5)^(SUM($T$11:T83))),0)</f>
        <v>0</v>
      </c>
      <c r="AD83">
        <f t="shared" si="40"/>
        <v>0</v>
      </c>
      <c r="AE83">
        <f>IF(B83&lt;&gt;"",1/PRODUCT($AD$11:AD83),0)</f>
        <v>0</v>
      </c>
    </row>
    <row r="84" spans="2:31" ht="13" x14ac:dyDescent="0.3">
      <c r="B84" s="248" t="str">
        <f t="shared" si="22"/>
        <v/>
      </c>
      <c r="C84" s="249" t="str">
        <f t="shared" si="23"/>
        <v/>
      </c>
      <c r="D84" s="249" t="str">
        <f t="shared" si="24"/>
        <v/>
      </c>
      <c r="E84" s="250" t="str">
        <f t="shared" ca="1" si="25"/>
        <v/>
      </c>
      <c r="F84" s="250" t="str">
        <f t="shared" ca="1" si="26"/>
        <v/>
      </c>
      <c r="G84" s="250" t="str">
        <f t="shared" ca="1" si="27"/>
        <v/>
      </c>
      <c r="H84" s="250" t="str">
        <f t="shared" ca="1" si="28"/>
        <v/>
      </c>
      <c r="I84" s="99"/>
      <c r="K84" s="231"/>
      <c r="L84" s="199" t="str">
        <f t="shared" si="29"/>
        <v/>
      </c>
      <c r="M84" s="231" t="str">
        <f t="shared" si="30"/>
        <v/>
      </c>
      <c r="N84" s="231" t="str">
        <f t="shared" si="31"/>
        <v/>
      </c>
      <c r="O84" s="199">
        <f t="shared" si="32"/>
        <v>0</v>
      </c>
      <c r="P84" s="199">
        <f t="shared" si="33"/>
        <v>0</v>
      </c>
      <c r="Q84" s="199">
        <f t="shared" si="34"/>
        <v>0</v>
      </c>
      <c r="R84" s="199" t="e">
        <f t="shared" si="35"/>
        <v>#DIV/0!</v>
      </c>
      <c r="S84" s="199" t="e">
        <f t="shared" si="36"/>
        <v>#DIV/0!</v>
      </c>
      <c r="T84" s="199" t="str">
        <f t="shared" si="37"/>
        <v/>
      </c>
      <c r="U84" s="415">
        <f t="shared" si="39"/>
        <v>0</v>
      </c>
      <c r="V84" s="233">
        <f>IF(B84&lt;&gt;"",1/PRODUCT($U$11:U84),0)</f>
        <v>0</v>
      </c>
      <c r="AA84" s="240">
        <f t="shared" si="38"/>
        <v>0</v>
      </c>
      <c r="AB84" s="240">
        <f>IF(B84&lt;&gt;"",AA84/((1+$V$5)^(SUM($T$11:T84))),0)</f>
        <v>0</v>
      </c>
      <c r="AD84">
        <f t="shared" si="40"/>
        <v>0</v>
      </c>
      <c r="AE84">
        <f>IF(B84&lt;&gt;"",1/PRODUCT($AD$11:AD84),0)</f>
        <v>0</v>
      </c>
    </row>
    <row r="85" spans="2:31" ht="13" x14ac:dyDescent="0.3">
      <c r="B85" s="248" t="str">
        <f t="shared" si="22"/>
        <v/>
      </c>
      <c r="C85" s="249" t="str">
        <f t="shared" si="23"/>
        <v/>
      </c>
      <c r="D85" s="249" t="str">
        <f t="shared" si="24"/>
        <v/>
      </c>
      <c r="E85" s="250" t="str">
        <f t="shared" ca="1" si="25"/>
        <v/>
      </c>
      <c r="F85" s="250" t="str">
        <f t="shared" ca="1" si="26"/>
        <v/>
      </c>
      <c r="G85" s="250" t="str">
        <f t="shared" ca="1" si="27"/>
        <v/>
      </c>
      <c r="H85" s="250" t="str">
        <f t="shared" ca="1" si="28"/>
        <v/>
      </c>
      <c r="I85" s="99"/>
      <c r="K85" s="231"/>
      <c r="L85" s="199" t="str">
        <f t="shared" si="29"/>
        <v/>
      </c>
      <c r="M85" s="231" t="str">
        <f t="shared" si="30"/>
        <v/>
      </c>
      <c r="N85" s="231" t="str">
        <f t="shared" si="31"/>
        <v/>
      </c>
      <c r="O85" s="199">
        <f t="shared" si="32"/>
        <v>0</v>
      </c>
      <c r="P85" s="199">
        <f t="shared" si="33"/>
        <v>0</v>
      </c>
      <c r="Q85" s="199">
        <f t="shared" si="34"/>
        <v>0</v>
      </c>
      <c r="R85" s="199" t="e">
        <f t="shared" si="35"/>
        <v>#DIV/0!</v>
      </c>
      <c r="S85" s="199" t="e">
        <f t="shared" si="36"/>
        <v>#DIV/0!</v>
      </c>
      <c r="T85" s="199" t="str">
        <f t="shared" si="37"/>
        <v/>
      </c>
      <c r="U85" s="415">
        <f t="shared" si="39"/>
        <v>0</v>
      </c>
      <c r="V85" s="233">
        <f>IF(B85&lt;&gt;"",1/PRODUCT($U$11:U85),0)</f>
        <v>0</v>
      </c>
      <c r="AA85" s="240">
        <f t="shared" si="38"/>
        <v>0</v>
      </c>
      <c r="AB85" s="240">
        <f>IF(B85&lt;&gt;"",AA85/((1+$V$5)^(SUM($T$11:T85))),0)</f>
        <v>0</v>
      </c>
      <c r="AD85">
        <f t="shared" si="40"/>
        <v>0</v>
      </c>
      <c r="AE85">
        <f>IF(B85&lt;&gt;"",1/PRODUCT($AD$11:AD85),0)</f>
        <v>0</v>
      </c>
    </row>
    <row r="86" spans="2:31" ht="13" x14ac:dyDescent="0.3">
      <c r="B86" s="248" t="str">
        <f t="shared" si="22"/>
        <v/>
      </c>
      <c r="C86" s="249" t="str">
        <f t="shared" si="23"/>
        <v/>
      </c>
      <c r="D86" s="249" t="str">
        <f t="shared" si="24"/>
        <v/>
      </c>
      <c r="E86" s="250" t="str">
        <f t="shared" ca="1" si="25"/>
        <v/>
      </c>
      <c r="F86" s="250" t="str">
        <f t="shared" ca="1" si="26"/>
        <v/>
      </c>
      <c r="G86" s="250" t="str">
        <f t="shared" ca="1" si="27"/>
        <v/>
      </c>
      <c r="H86" s="250" t="str">
        <f t="shared" ca="1" si="28"/>
        <v/>
      </c>
      <c r="I86" s="99"/>
      <c r="K86" s="231"/>
      <c r="L86" s="199" t="str">
        <f t="shared" si="29"/>
        <v/>
      </c>
      <c r="M86" s="231" t="str">
        <f t="shared" si="30"/>
        <v/>
      </c>
      <c r="N86" s="231" t="str">
        <f t="shared" si="31"/>
        <v/>
      </c>
      <c r="O86" s="199">
        <f t="shared" si="32"/>
        <v>0</v>
      </c>
      <c r="P86" s="199">
        <f t="shared" si="33"/>
        <v>0</v>
      </c>
      <c r="Q86" s="199">
        <f t="shared" si="34"/>
        <v>0</v>
      </c>
      <c r="R86" s="199" t="e">
        <f t="shared" si="35"/>
        <v>#DIV/0!</v>
      </c>
      <c r="S86" s="199" t="e">
        <f t="shared" si="36"/>
        <v>#DIV/0!</v>
      </c>
      <c r="T86" s="199" t="str">
        <f t="shared" si="37"/>
        <v/>
      </c>
      <c r="U86" s="415">
        <f t="shared" si="39"/>
        <v>0</v>
      </c>
      <c r="V86" s="233">
        <f>IF(B86&lt;&gt;"",1/PRODUCT($U$11:U86),0)</f>
        <v>0</v>
      </c>
      <c r="AA86" s="240">
        <f t="shared" si="38"/>
        <v>0</v>
      </c>
      <c r="AB86" s="240">
        <f>IF(B86&lt;&gt;"",AA86/((1+$V$5)^(SUM($T$11:T86))),0)</f>
        <v>0</v>
      </c>
      <c r="AD86">
        <f t="shared" si="40"/>
        <v>0</v>
      </c>
      <c r="AE86">
        <f>IF(B86&lt;&gt;"",1/PRODUCT($AD$11:AD86),0)</f>
        <v>0</v>
      </c>
    </row>
    <row r="87" spans="2:31" ht="13" x14ac:dyDescent="0.3">
      <c r="B87" s="248" t="str">
        <f t="shared" si="22"/>
        <v/>
      </c>
      <c r="C87" s="249" t="str">
        <f t="shared" si="23"/>
        <v/>
      </c>
      <c r="D87" s="249" t="str">
        <f t="shared" si="24"/>
        <v/>
      </c>
      <c r="E87" s="250" t="str">
        <f t="shared" ca="1" si="25"/>
        <v/>
      </c>
      <c r="F87" s="250" t="str">
        <f t="shared" ca="1" si="26"/>
        <v/>
      </c>
      <c r="G87" s="250" t="str">
        <f t="shared" ca="1" si="27"/>
        <v/>
      </c>
      <c r="H87" s="250" t="str">
        <f t="shared" ca="1" si="28"/>
        <v/>
      </c>
      <c r="I87" s="99"/>
      <c r="K87" s="231"/>
      <c r="L87" s="199" t="str">
        <f t="shared" si="29"/>
        <v/>
      </c>
      <c r="M87" s="231" t="str">
        <f t="shared" si="30"/>
        <v/>
      </c>
      <c r="N87" s="231" t="str">
        <f t="shared" si="31"/>
        <v/>
      </c>
      <c r="O87" s="199">
        <f t="shared" si="32"/>
        <v>0</v>
      </c>
      <c r="P87" s="199">
        <f t="shared" si="33"/>
        <v>0</v>
      </c>
      <c r="Q87" s="199">
        <f t="shared" si="34"/>
        <v>0</v>
      </c>
      <c r="R87" s="199" t="e">
        <f t="shared" si="35"/>
        <v>#DIV/0!</v>
      </c>
      <c r="S87" s="199" t="e">
        <f t="shared" si="36"/>
        <v>#DIV/0!</v>
      </c>
      <c r="T87" s="199" t="str">
        <f t="shared" si="37"/>
        <v/>
      </c>
      <c r="U87" s="415">
        <f t="shared" si="39"/>
        <v>0</v>
      </c>
      <c r="V87" s="233">
        <f>IF(B87&lt;&gt;"",1/PRODUCT($U$11:U87),0)</f>
        <v>0</v>
      </c>
      <c r="AA87" s="240">
        <f t="shared" si="38"/>
        <v>0</v>
      </c>
      <c r="AB87" s="240">
        <f>IF(B87&lt;&gt;"",AA87/((1+$V$5)^(SUM($T$11:T87))),0)</f>
        <v>0</v>
      </c>
      <c r="AD87">
        <f t="shared" si="40"/>
        <v>0</v>
      </c>
      <c r="AE87">
        <f>IF(B87&lt;&gt;"",1/PRODUCT($AD$11:AD87),0)</f>
        <v>0</v>
      </c>
    </row>
    <row r="88" spans="2:31" ht="13" x14ac:dyDescent="0.3">
      <c r="B88" s="248" t="str">
        <f t="shared" si="22"/>
        <v/>
      </c>
      <c r="C88" s="249" t="str">
        <f t="shared" si="23"/>
        <v/>
      </c>
      <c r="D88" s="249" t="str">
        <f t="shared" si="24"/>
        <v/>
      </c>
      <c r="E88" s="250" t="str">
        <f t="shared" ca="1" si="25"/>
        <v/>
      </c>
      <c r="F88" s="250" t="str">
        <f t="shared" ca="1" si="26"/>
        <v/>
      </c>
      <c r="G88" s="250" t="str">
        <f t="shared" ca="1" si="27"/>
        <v/>
      </c>
      <c r="H88" s="250" t="str">
        <f t="shared" ca="1" si="28"/>
        <v/>
      </c>
      <c r="I88" s="99"/>
      <c r="K88" s="231"/>
      <c r="L88" s="199" t="str">
        <f t="shared" si="29"/>
        <v/>
      </c>
      <c r="M88" s="231" t="str">
        <f t="shared" si="30"/>
        <v/>
      </c>
      <c r="N88" s="231" t="str">
        <f t="shared" si="31"/>
        <v/>
      </c>
      <c r="O88" s="199">
        <f t="shared" si="32"/>
        <v>0</v>
      </c>
      <c r="P88" s="199">
        <f t="shared" si="33"/>
        <v>0</v>
      </c>
      <c r="Q88" s="199">
        <f t="shared" si="34"/>
        <v>0</v>
      </c>
      <c r="R88" s="199" t="e">
        <f t="shared" si="35"/>
        <v>#DIV/0!</v>
      </c>
      <c r="S88" s="199" t="e">
        <f t="shared" si="36"/>
        <v>#DIV/0!</v>
      </c>
      <c r="T88" s="199" t="str">
        <f t="shared" si="37"/>
        <v/>
      </c>
      <c r="U88" s="415">
        <f t="shared" si="39"/>
        <v>0</v>
      </c>
      <c r="V88" s="233">
        <f>IF(B88&lt;&gt;"",1/PRODUCT($U$11:U88),0)</f>
        <v>0</v>
      </c>
      <c r="AA88" s="240">
        <f t="shared" si="38"/>
        <v>0</v>
      </c>
      <c r="AB88" s="240">
        <f>IF(B88&lt;&gt;"",AA88/((1+$V$5)^(SUM($T$11:T88))),0)</f>
        <v>0</v>
      </c>
      <c r="AD88">
        <f t="shared" si="40"/>
        <v>0</v>
      </c>
      <c r="AE88">
        <f>IF(B88&lt;&gt;"",1/PRODUCT($AD$11:AD88),0)</f>
        <v>0</v>
      </c>
    </row>
    <row r="89" spans="2:31" ht="13" x14ac:dyDescent="0.3">
      <c r="B89" s="248" t="str">
        <f t="shared" si="22"/>
        <v/>
      </c>
      <c r="C89" s="249" t="str">
        <f t="shared" si="23"/>
        <v/>
      </c>
      <c r="D89" s="249" t="str">
        <f t="shared" si="24"/>
        <v/>
      </c>
      <c r="E89" s="250" t="str">
        <f t="shared" ca="1" si="25"/>
        <v/>
      </c>
      <c r="F89" s="250" t="str">
        <f t="shared" ca="1" si="26"/>
        <v/>
      </c>
      <c r="G89" s="250" t="str">
        <f t="shared" ca="1" si="27"/>
        <v/>
      </c>
      <c r="H89" s="250" t="str">
        <f t="shared" ca="1" si="28"/>
        <v/>
      </c>
      <c r="I89" s="99"/>
      <c r="K89" s="231"/>
      <c r="L89" s="199" t="str">
        <f t="shared" si="29"/>
        <v/>
      </c>
      <c r="M89" s="231" t="str">
        <f t="shared" si="30"/>
        <v/>
      </c>
      <c r="N89" s="231" t="str">
        <f t="shared" si="31"/>
        <v/>
      </c>
      <c r="O89" s="199">
        <f t="shared" si="32"/>
        <v>0</v>
      </c>
      <c r="P89" s="199">
        <f t="shared" si="33"/>
        <v>0</v>
      </c>
      <c r="Q89" s="199">
        <f t="shared" si="34"/>
        <v>0</v>
      </c>
      <c r="R89" s="199" t="e">
        <f t="shared" si="35"/>
        <v>#DIV/0!</v>
      </c>
      <c r="S89" s="199" t="e">
        <f t="shared" si="36"/>
        <v>#DIV/0!</v>
      </c>
      <c r="T89" s="199" t="str">
        <f t="shared" si="37"/>
        <v/>
      </c>
      <c r="U89" s="415">
        <f t="shared" si="39"/>
        <v>0</v>
      </c>
      <c r="V89" s="233">
        <f>IF(B89&lt;&gt;"",1/PRODUCT($U$11:U89),0)</f>
        <v>0</v>
      </c>
      <c r="AA89" s="240">
        <f t="shared" si="38"/>
        <v>0</v>
      </c>
      <c r="AB89" s="240">
        <f>IF(B89&lt;&gt;"",AA89/((1+$V$5)^(SUM($T$11:T89))),0)</f>
        <v>0</v>
      </c>
      <c r="AD89">
        <f t="shared" si="40"/>
        <v>0</v>
      </c>
      <c r="AE89">
        <f>IF(B89&lt;&gt;"",1/PRODUCT($AD$11:AD89),0)</f>
        <v>0</v>
      </c>
    </row>
    <row r="90" spans="2:31" ht="13" x14ac:dyDescent="0.3">
      <c r="B90" s="248" t="str">
        <f t="shared" si="22"/>
        <v/>
      </c>
      <c r="C90" s="249" t="str">
        <f t="shared" si="23"/>
        <v/>
      </c>
      <c r="D90" s="249" t="str">
        <f t="shared" si="24"/>
        <v/>
      </c>
      <c r="E90" s="250" t="str">
        <f t="shared" ca="1" si="25"/>
        <v/>
      </c>
      <c r="F90" s="250" t="str">
        <f t="shared" ca="1" si="26"/>
        <v/>
      </c>
      <c r="G90" s="250" t="str">
        <f t="shared" ca="1" si="27"/>
        <v/>
      </c>
      <c r="H90" s="250" t="str">
        <f t="shared" ca="1" si="28"/>
        <v/>
      </c>
      <c r="I90" s="99"/>
      <c r="K90" s="231"/>
      <c r="L90" s="199" t="str">
        <f t="shared" si="29"/>
        <v/>
      </c>
      <c r="M90" s="231" t="str">
        <f t="shared" si="30"/>
        <v/>
      </c>
      <c r="N90" s="231" t="str">
        <f t="shared" si="31"/>
        <v/>
      </c>
      <c r="O90" s="199">
        <f t="shared" si="32"/>
        <v>0</v>
      </c>
      <c r="P90" s="199">
        <f t="shared" si="33"/>
        <v>0</v>
      </c>
      <c r="Q90" s="199">
        <f t="shared" si="34"/>
        <v>0</v>
      </c>
      <c r="R90" s="199" t="e">
        <f t="shared" si="35"/>
        <v>#DIV/0!</v>
      </c>
      <c r="S90" s="199" t="e">
        <f t="shared" si="36"/>
        <v>#DIV/0!</v>
      </c>
      <c r="T90" s="199" t="str">
        <f t="shared" si="37"/>
        <v/>
      </c>
      <c r="U90" s="415">
        <f t="shared" si="39"/>
        <v>0</v>
      </c>
      <c r="V90" s="233">
        <f>IF(B90&lt;&gt;"",1/PRODUCT($U$11:U90),0)</f>
        <v>0</v>
      </c>
      <c r="AA90" s="240">
        <f t="shared" si="38"/>
        <v>0</v>
      </c>
      <c r="AB90" s="240">
        <f>IF(B90&lt;&gt;"",AA90/((1+$V$5)^(SUM($T$11:T90))),0)</f>
        <v>0</v>
      </c>
      <c r="AD90">
        <f t="shared" si="40"/>
        <v>0</v>
      </c>
      <c r="AE90">
        <f>IF(B90&lt;&gt;"",1/PRODUCT($AD$11:AD90),0)</f>
        <v>0</v>
      </c>
    </row>
    <row r="91" spans="2:31" ht="13" x14ac:dyDescent="0.3">
      <c r="B91" s="248" t="str">
        <f t="shared" si="22"/>
        <v/>
      </c>
      <c r="C91" s="249" t="str">
        <f t="shared" si="23"/>
        <v/>
      </c>
      <c r="D91" s="249" t="str">
        <f t="shared" si="24"/>
        <v/>
      </c>
      <c r="E91" s="250" t="str">
        <f t="shared" ca="1" si="25"/>
        <v/>
      </c>
      <c r="F91" s="250" t="str">
        <f t="shared" ca="1" si="26"/>
        <v/>
      </c>
      <c r="G91" s="250" t="str">
        <f t="shared" ca="1" si="27"/>
        <v/>
      </c>
      <c r="H91" s="250" t="str">
        <f t="shared" ca="1" si="28"/>
        <v/>
      </c>
      <c r="I91" s="99"/>
      <c r="K91" s="231"/>
      <c r="L91" s="199" t="str">
        <f t="shared" si="29"/>
        <v/>
      </c>
      <c r="M91" s="231" t="str">
        <f t="shared" si="30"/>
        <v/>
      </c>
      <c r="N91" s="231" t="str">
        <f t="shared" si="31"/>
        <v/>
      </c>
      <c r="O91" s="199">
        <f t="shared" si="32"/>
        <v>0</v>
      </c>
      <c r="P91" s="199">
        <f t="shared" si="33"/>
        <v>0</v>
      </c>
      <c r="Q91" s="199">
        <f t="shared" si="34"/>
        <v>0</v>
      </c>
      <c r="R91" s="199" t="e">
        <f t="shared" si="35"/>
        <v>#DIV/0!</v>
      </c>
      <c r="S91" s="199" t="e">
        <f t="shared" si="36"/>
        <v>#DIV/0!</v>
      </c>
      <c r="T91" s="199" t="str">
        <f t="shared" si="37"/>
        <v/>
      </c>
      <c r="U91" s="415">
        <f t="shared" si="39"/>
        <v>0</v>
      </c>
      <c r="V91" s="233">
        <f>IF(B91&lt;&gt;"",1/PRODUCT($U$11:U91),0)</f>
        <v>0</v>
      </c>
      <c r="AA91" s="240">
        <f t="shared" si="38"/>
        <v>0</v>
      </c>
      <c r="AB91" s="240">
        <f>IF(B91&lt;&gt;"",AA91/((1+$V$5)^(SUM($T$11:T91))),0)</f>
        <v>0</v>
      </c>
      <c r="AD91">
        <f t="shared" si="40"/>
        <v>0</v>
      </c>
      <c r="AE91">
        <f>IF(B91&lt;&gt;"",1/PRODUCT($AD$11:AD91),0)</f>
        <v>0</v>
      </c>
    </row>
    <row r="92" spans="2:31" ht="13" x14ac:dyDescent="0.3">
      <c r="B92" s="248" t="str">
        <f t="shared" si="22"/>
        <v/>
      </c>
      <c r="C92" s="249" t="str">
        <f t="shared" si="23"/>
        <v/>
      </c>
      <c r="D92" s="249" t="str">
        <f t="shared" si="24"/>
        <v/>
      </c>
      <c r="E92" s="250" t="str">
        <f t="shared" ca="1" si="25"/>
        <v/>
      </c>
      <c r="F92" s="250" t="str">
        <f t="shared" ca="1" si="26"/>
        <v/>
      </c>
      <c r="G92" s="250" t="str">
        <f t="shared" ca="1" si="27"/>
        <v/>
      </c>
      <c r="H92" s="250" t="str">
        <f t="shared" ca="1" si="28"/>
        <v/>
      </c>
      <c r="I92" s="99"/>
      <c r="K92" s="231"/>
      <c r="L92" s="199" t="str">
        <f t="shared" si="29"/>
        <v/>
      </c>
      <c r="M92" s="231" t="str">
        <f t="shared" si="30"/>
        <v/>
      </c>
      <c r="N92" s="231" t="str">
        <f t="shared" si="31"/>
        <v/>
      </c>
      <c r="O92" s="199">
        <f t="shared" si="32"/>
        <v>0</v>
      </c>
      <c r="P92" s="199">
        <f t="shared" si="33"/>
        <v>0</v>
      </c>
      <c r="Q92" s="199">
        <f t="shared" si="34"/>
        <v>0</v>
      </c>
      <c r="R92" s="199" t="e">
        <f t="shared" si="35"/>
        <v>#DIV/0!</v>
      </c>
      <c r="S92" s="199" t="e">
        <f t="shared" si="36"/>
        <v>#DIV/0!</v>
      </c>
      <c r="T92" s="199" t="str">
        <f t="shared" si="37"/>
        <v/>
      </c>
      <c r="U92" s="415">
        <f t="shared" si="39"/>
        <v>0</v>
      </c>
      <c r="V92" s="233">
        <f>IF(B92&lt;&gt;"",1/PRODUCT($U$11:U92),0)</f>
        <v>0</v>
      </c>
      <c r="AA92" s="240">
        <f t="shared" si="38"/>
        <v>0</v>
      </c>
      <c r="AB92" s="240">
        <f>IF(B92&lt;&gt;"",AA92/((1+$V$5)^(SUM($T$11:T92))),0)</f>
        <v>0</v>
      </c>
      <c r="AD92">
        <f t="shared" si="40"/>
        <v>0</v>
      </c>
      <c r="AE92">
        <f>IF(B92&lt;&gt;"",1/PRODUCT($AD$11:AD92),0)</f>
        <v>0</v>
      </c>
    </row>
    <row r="93" spans="2:31" ht="13" x14ac:dyDescent="0.3">
      <c r="B93" s="248" t="str">
        <f t="shared" si="22"/>
        <v/>
      </c>
      <c r="C93" s="249" t="str">
        <f t="shared" si="23"/>
        <v/>
      </c>
      <c r="D93" s="249" t="str">
        <f t="shared" si="24"/>
        <v/>
      </c>
      <c r="E93" s="250" t="str">
        <f t="shared" ca="1" si="25"/>
        <v/>
      </c>
      <c r="F93" s="250" t="str">
        <f t="shared" ca="1" si="26"/>
        <v/>
      </c>
      <c r="G93" s="250" t="str">
        <f t="shared" ca="1" si="27"/>
        <v/>
      </c>
      <c r="H93" s="250" t="str">
        <f t="shared" ca="1" si="28"/>
        <v/>
      </c>
      <c r="I93" s="99"/>
      <c r="K93" s="231"/>
      <c r="L93" s="199" t="str">
        <f t="shared" si="29"/>
        <v/>
      </c>
      <c r="M93" s="231" t="str">
        <f t="shared" si="30"/>
        <v/>
      </c>
      <c r="N93" s="231" t="str">
        <f t="shared" si="31"/>
        <v/>
      </c>
      <c r="O93" s="199">
        <f t="shared" si="32"/>
        <v>0</v>
      </c>
      <c r="P93" s="199">
        <f t="shared" si="33"/>
        <v>0</v>
      </c>
      <c r="Q93" s="199">
        <f t="shared" si="34"/>
        <v>0</v>
      </c>
      <c r="R93" s="199" t="e">
        <f t="shared" si="35"/>
        <v>#DIV/0!</v>
      </c>
      <c r="S93" s="199" t="e">
        <f t="shared" si="36"/>
        <v>#DIV/0!</v>
      </c>
      <c r="T93" s="199" t="str">
        <f t="shared" si="37"/>
        <v/>
      </c>
      <c r="U93" s="415">
        <f t="shared" si="39"/>
        <v>0</v>
      </c>
      <c r="V93" s="233">
        <f>IF(B93&lt;&gt;"",1/PRODUCT($U$11:U93),0)</f>
        <v>0</v>
      </c>
      <c r="AA93" s="240">
        <f t="shared" si="38"/>
        <v>0</v>
      </c>
      <c r="AB93" s="240">
        <f>IF(B93&lt;&gt;"",AA93/((1+$V$5)^(SUM($T$11:T93))),0)</f>
        <v>0</v>
      </c>
      <c r="AD93">
        <f t="shared" si="40"/>
        <v>0</v>
      </c>
      <c r="AE93">
        <f>IF(B93&lt;&gt;"",1/PRODUCT($AD$11:AD93),0)</f>
        <v>0</v>
      </c>
    </row>
    <row r="94" spans="2:31" ht="13" x14ac:dyDescent="0.3">
      <c r="B94" s="248" t="str">
        <f t="shared" si="22"/>
        <v/>
      </c>
      <c r="C94" s="249" t="str">
        <f t="shared" si="23"/>
        <v/>
      </c>
      <c r="D94" s="249" t="str">
        <f t="shared" si="24"/>
        <v/>
      </c>
      <c r="E94" s="250" t="str">
        <f t="shared" ca="1" si="25"/>
        <v/>
      </c>
      <c r="F94" s="250" t="str">
        <f t="shared" ca="1" si="26"/>
        <v/>
      </c>
      <c r="G94" s="250" t="str">
        <f t="shared" ca="1" si="27"/>
        <v/>
      </c>
      <c r="H94" s="250" t="str">
        <f t="shared" ca="1" si="28"/>
        <v/>
      </c>
      <c r="I94" s="99"/>
      <c r="K94" s="231"/>
      <c r="L94" s="199" t="str">
        <f t="shared" si="29"/>
        <v/>
      </c>
      <c r="M94" s="231" t="str">
        <f t="shared" si="30"/>
        <v/>
      </c>
      <c r="N94" s="231" t="str">
        <f t="shared" si="31"/>
        <v/>
      </c>
      <c r="O94" s="199">
        <f t="shared" si="32"/>
        <v>0</v>
      </c>
      <c r="P94" s="199">
        <f t="shared" si="33"/>
        <v>0</v>
      </c>
      <c r="Q94" s="199">
        <f t="shared" si="34"/>
        <v>0</v>
      </c>
      <c r="R94" s="199" t="e">
        <f t="shared" si="35"/>
        <v>#DIV/0!</v>
      </c>
      <c r="S94" s="199" t="e">
        <f t="shared" si="36"/>
        <v>#DIV/0!</v>
      </c>
      <c r="T94" s="199" t="str">
        <f t="shared" si="37"/>
        <v/>
      </c>
      <c r="U94" s="415">
        <f t="shared" si="39"/>
        <v>0</v>
      </c>
      <c r="V94" s="233">
        <f>IF(B94&lt;&gt;"",1/PRODUCT($U$11:U94),0)</f>
        <v>0</v>
      </c>
      <c r="AA94" s="240">
        <f t="shared" si="38"/>
        <v>0</v>
      </c>
      <c r="AB94" s="240">
        <f>IF(B94&lt;&gt;"",AA94/((1+$V$5)^(SUM($T$11:T94))),0)</f>
        <v>0</v>
      </c>
      <c r="AD94">
        <f t="shared" si="40"/>
        <v>0</v>
      </c>
      <c r="AE94">
        <f>IF(B94&lt;&gt;"",1/PRODUCT($AD$11:AD94),0)</f>
        <v>0</v>
      </c>
    </row>
    <row r="95" spans="2:31" ht="13" x14ac:dyDescent="0.3">
      <c r="B95" s="248" t="str">
        <f t="shared" si="22"/>
        <v/>
      </c>
      <c r="C95" s="249" t="str">
        <f t="shared" si="23"/>
        <v/>
      </c>
      <c r="D95" s="249" t="str">
        <f t="shared" si="24"/>
        <v/>
      </c>
      <c r="E95" s="250" t="str">
        <f t="shared" ca="1" si="25"/>
        <v/>
      </c>
      <c r="F95" s="250" t="str">
        <f t="shared" ca="1" si="26"/>
        <v/>
      </c>
      <c r="G95" s="250" t="str">
        <f t="shared" ca="1" si="27"/>
        <v/>
      </c>
      <c r="H95" s="250" t="str">
        <f t="shared" ca="1" si="28"/>
        <v/>
      </c>
      <c r="I95" s="99"/>
      <c r="K95" s="231"/>
      <c r="L95" s="199" t="str">
        <f t="shared" si="29"/>
        <v/>
      </c>
      <c r="M95" s="231" t="str">
        <f t="shared" si="30"/>
        <v/>
      </c>
      <c r="N95" s="231" t="str">
        <f t="shared" si="31"/>
        <v/>
      </c>
      <c r="O95" s="199">
        <f t="shared" si="32"/>
        <v>0</v>
      </c>
      <c r="P95" s="199">
        <f t="shared" si="33"/>
        <v>0</v>
      </c>
      <c r="Q95" s="199">
        <f t="shared" si="34"/>
        <v>0</v>
      </c>
      <c r="R95" s="199" t="e">
        <f t="shared" si="35"/>
        <v>#DIV/0!</v>
      </c>
      <c r="S95" s="199" t="e">
        <f t="shared" si="36"/>
        <v>#DIV/0!</v>
      </c>
      <c r="T95" s="199" t="str">
        <f t="shared" si="37"/>
        <v/>
      </c>
      <c r="U95" s="415">
        <f t="shared" si="39"/>
        <v>0</v>
      </c>
      <c r="V95" s="233">
        <f>IF(B95&lt;&gt;"",1/PRODUCT($U$11:U95),0)</f>
        <v>0</v>
      </c>
      <c r="AA95" s="240">
        <f t="shared" si="38"/>
        <v>0</v>
      </c>
      <c r="AB95" s="240">
        <f>IF(B95&lt;&gt;"",AA95/((1+$V$5)^(SUM($T$11:T95))),0)</f>
        <v>0</v>
      </c>
      <c r="AD95">
        <f t="shared" si="40"/>
        <v>0</v>
      </c>
      <c r="AE95">
        <f>IF(B95&lt;&gt;"",1/PRODUCT($AD$11:AD95),0)</f>
        <v>0</v>
      </c>
    </row>
    <row r="96" spans="2:31" ht="13" x14ac:dyDescent="0.3">
      <c r="B96" s="248" t="str">
        <f t="shared" si="22"/>
        <v/>
      </c>
      <c r="C96" s="249" t="str">
        <f t="shared" si="23"/>
        <v/>
      </c>
      <c r="D96" s="249" t="str">
        <f t="shared" si="24"/>
        <v/>
      </c>
      <c r="E96" s="250" t="str">
        <f t="shared" ca="1" si="25"/>
        <v/>
      </c>
      <c r="F96" s="250" t="str">
        <f t="shared" ca="1" si="26"/>
        <v/>
      </c>
      <c r="G96" s="250" t="str">
        <f t="shared" ca="1" si="27"/>
        <v/>
      </c>
      <c r="H96" s="250" t="str">
        <f t="shared" ca="1" si="28"/>
        <v/>
      </c>
      <c r="I96" s="99"/>
      <c r="K96" s="231"/>
      <c r="L96" s="199" t="str">
        <f t="shared" si="29"/>
        <v/>
      </c>
      <c r="M96" s="231" t="str">
        <f t="shared" si="30"/>
        <v/>
      </c>
      <c r="N96" s="231" t="str">
        <f t="shared" si="31"/>
        <v/>
      </c>
      <c r="O96" s="199">
        <f t="shared" si="32"/>
        <v>0</v>
      </c>
      <c r="P96" s="199">
        <f t="shared" si="33"/>
        <v>0</v>
      </c>
      <c r="Q96" s="199">
        <f t="shared" si="34"/>
        <v>0</v>
      </c>
      <c r="R96" s="199" t="e">
        <f t="shared" si="35"/>
        <v>#DIV/0!</v>
      </c>
      <c r="S96" s="199" t="e">
        <f t="shared" si="36"/>
        <v>#DIV/0!</v>
      </c>
      <c r="T96" s="199" t="str">
        <f t="shared" si="37"/>
        <v/>
      </c>
      <c r="U96" s="415">
        <f t="shared" si="39"/>
        <v>0</v>
      </c>
      <c r="V96" s="233">
        <f>IF(B96&lt;&gt;"",1/PRODUCT($U$11:U96),0)</f>
        <v>0</v>
      </c>
      <c r="AA96" s="240">
        <f t="shared" si="38"/>
        <v>0</v>
      </c>
      <c r="AB96" s="240">
        <f>IF(B96&lt;&gt;"",AA96/((1+$V$5)^(SUM($T$11:T96))),0)</f>
        <v>0</v>
      </c>
      <c r="AD96">
        <f t="shared" si="40"/>
        <v>0</v>
      </c>
      <c r="AE96">
        <f>IF(B96&lt;&gt;"",1/PRODUCT($AD$11:AD96),0)</f>
        <v>0</v>
      </c>
    </row>
    <row r="97" spans="2:31" ht="13" x14ac:dyDescent="0.3">
      <c r="B97" s="248" t="str">
        <f t="shared" si="22"/>
        <v/>
      </c>
      <c r="C97" s="249" t="str">
        <f t="shared" si="23"/>
        <v/>
      </c>
      <c r="D97" s="249" t="str">
        <f t="shared" si="24"/>
        <v/>
      </c>
      <c r="E97" s="250" t="str">
        <f t="shared" ca="1" si="25"/>
        <v/>
      </c>
      <c r="F97" s="250" t="str">
        <f t="shared" ca="1" si="26"/>
        <v/>
      </c>
      <c r="G97" s="250" t="str">
        <f t="shared" ca="1" si="27"/>
        <v/>
      </c>
      <c r="H97" s="250" t="str">
        <f t="shared" ca="1" si="28"/>
        <v/>
      </c>
      <c r="I97" s="99"/>
      <c r="K97" s="231"/>
      <c r="L97" s="199" t="str">
        <f t="shared" si="29"/>
        <v/>
      </c>
      <c r="M97" s="231" t="str">
        <f t="shared" si="30"/>
        <v/>
      </c>
      <c r="N97" s="231" t="str">
        <f t="shared" si="31"/>
        <v/>
      </c>
      <c r="O97" s="199">
        <f t="shared" si="32"/>
        <v>0</v>
      </c>
      <c r="P97" s="199">
        <f t="shared" si="33"/>
        <v>0</v>
      </c>
      <c r="Q97" s="199">
        <f t="shared" si="34"/>
        <v>0</v>
      </c>
      <c r="R97" s="199" t="e">
        <f t="shared" si="35"/>
        <v>#DIV/0!</v>
      </c>
      <c r="S97" s="199" t="e">
        <f t="shared" si="36"/>
        <v>#DIV/0!</v>
      </c>
      <c r="T97" s="199" t="str">
        <f t="shared" si="37"/>
        <v/>
      </c>
      <c r="U97" s="415">
        <f t="shared" si="39"/>
        <v>0</v>
      </c>
      <c r="V97" s="233">
        <f>IF(B97&lt;&gt;"",1/PRODUCT($U$11:U97),0)</f>
        <v>0</v>
      </c>
      <c r="AA97" s="240">
        <f t="shared" si="38"/>
        <v>0</v>
      </c>
      <c r="AB97" s="240">
        <f>IF(B97&lt;&gt;"",AA97/((1+$V$5)^(SUM($T$11:T97))),0)</f>
        <v>0</v>
      </c>
      <c r="AD97">
        <f t="shared" si="40"/>
        <v>0</v>
      </c>
      <c r="AE97">
        <f>IF(B97&lt;&gt;"",1/PRODUCT($AD$11:AD97),0)</f>
        <v>0</v>
      </c>
    </row>
    <row r="98" spans="2:31" ht="13" x14ac:dyDescent="0.3">
      <c r="B98" s="248" t="str">
        <f t="shared" si="22"/>
        <v/>
      </c>
      <c r="C98" s="249" t="str">
        <f t="shared" si="23"/>
        <v/>
      </c>
      <c r="D98" s="249" t="str">
        <f t="shared" si="24"/>
        <v/>
      </c>
      <c r="E98" s="250" t="str">
        <f t="shared" ca="1" si="25"/>
        <v/>
      </c>
      <c r="F98" s="250" t="str">
        <f t="shared" ca="1" si="26"/>
        <v/>
      </c>
      <c r="G98" s="250" t="str">
        <f t="shared" ca="1" si="27"/>
        <v/>
      </c>
      <c r="H98" s="250" t="str">
        <f t="shared" ca="1" si="28"/>
        <v/>
      </c>
      <c r="I98" s="99"/>
      <c r="K98" s="231"/>
      <c r="L98" s="199" t="str">
        <f t="shared" si="29"/>
        <v/>
      </c>
      <c r="M98" s="231" t="str">
        <f t="shared" si="30"/>
        <v/>
      </c>
      <c r="N98" s="231" t="str">
        <f t="shared" si="31"/>
        <v/>
      </c>
      <c r="O98" s="199">
        <f t="shared" si="32"/>
        <v>0</v>
      </c>
      <c r="P98" s="199">
        <f t="shared" si="33"/>
        <v>0</v>
      </c>
      <c r="Q98" s="199">
        <f t="shared" si="34"/>
        <v>0</v>
      </c>
      <c r="R98" s="199" t="e">
        <f t="shared" si="35"/>
        <v>#DIV/0!</v>
      </c>
      <c r="S98" s="199" t="e">
        <f t="shared" si="36"/>
        <v>#DIV/0!</v>
      </c>
      <c r="T98" s="199" t="str">
        <f t="shared" si="37"/>
        <v/>
      </c>
      <c r="U98" s="415">
        <f t="shared" si="39"/>
        <v>0</v>
      </c>
      <c r="V98" s="233">
        <f>IF(B98&lt;&gt;"",1/PRODUCT($U$11:U98),0)</f>
        <v>0</v>
      </c>
      <c r="AA98" s="240">
        <f t="shared" si="38"/>
        <v>0</v>
      </c>
      <c r="AB98" s="240">
        <f>IF(B98&lt;&gt;"",AA98/((1+$V$5)^(SUM($T$11:T98))),0)</f>
        <v>0</v>
      </c>
      <c r="AD98">
        <f t="shared" si="40"/>
        <v>0</v>
      </c>
      <c r="AE98">
        <f>IF(B98&lt;&gt;"",1/PRODUCT($AD$11:AD98),0)</f>
        <v>0</v>
      </c>
    </row>
    <row r="99" spans="2:31" ht="13" x14ac:dyDescent="0.3">
      <c r="B99" s="248" t="str">
        <f t="shared" si="22"/>
        <v/>
      </c>
      <c r="C99" s="249" t="str">
        <f t="shared" si="23"/>
        <v/>
      </c>
      <c r="D99" s="249" t="str">
        <f t="shared" si="24"/>
        <v/>
      </c>
      <c r="E99" s="250" t="str">
        <f t="shared" ca="1" si="25"/>
        <v/>
      </c>
      <c r="F99" s="250" t="str">
        <f t="shared" ca="1" si="26"/>
        <v/>
      </c>
      <c r="G99" s="250" t="str">
        <f t="shared" ca="1" si="27"/>
        <v/>
      </c>
      <c r="H99" s="250" t="str">
        <f t="shared" ca="1" si="28"/>
        <v/>
      </c>
      <c r="I99" s="99"/>
      <c r="K99" s="231"/>
      <c r="L99" s="199" t="str">
        <f t="shared" si="29"/>
        <v/>
      </c>
      <c r="M99" s="231" t="str">
        <f t="shared" si="30"/>
        <v/>
      </c>
      <c r="N99" s="231" t="str">
        <f t="shared" si="31"/>
        <v/>
      </c>
      <c r="O99" s="199">
        <f t="shared" si="32"/>
        <v>0</v>
      </c>
      <c r="P99" s="199">
        <f t="shared" si="33"/>
        <v>0</v>
      </c>
      <c r="Q99" s="199">
        <f t="shared" si="34"/>
        <v>0</v>
      </c>
      <c r="R99" s="199" t="e">
        <f t="shared" si="35"/>
        <v>#DIV/0!</v>
      </c>
      <c r="S99" s="199" t="e">
        <f t="shared" si="36"/>
        <v>#DIV/0!</v>
      </c>
      <c r="T99" s="199" t="str">
        <f t="shared" si="37"/>
        <v/>
      </c>
      <c r="U99" s="415">
        <f t="shared" si="39"/>
        <v>0</v>
      </c>
      <c r="V99" s="233">
        <f>IF(B99&lt;&gt;"",1/PRODUCT($U$11:U99),0)</f>
        <v>0</v>
      </c>
      <c r="AA99" s="240">
        <f t="shared" si="38"/>
        <v>0</v>
      </c>
      <c r="AB99" s="240">
        <f>IF(B99&lt;&gt;"",AA99/((1+$V$5)^(SUM($T$11:T99))),0)</f>
        <v>0</v>
      </c>
      <c r="AD99">
        <f t="shared" si="40"/>
        <v>0</v>
      </c>
      <c r="AE99">
        <f>IF(B99&lt;&gt;"",1/PRODUCT($AD$11:AD99),0)</f>
        <v>0</v>
      </c>
    </row>
    <row r="100" spans="2:31" ht="13" x14ac:dyDescent="0.3">
      <c r="B100" s="248" t="str">
        <f t="shared" si="22"/>
        <v/>
      </c>
      <c r="C100" s="249" t="str">
        <f t="shared" si="23"/>
        <v/>
      </c>
      <c r="D100" s="249" t="str">
        <f t="shared" si="24"/>
        <v/>
      </c>
      <c r="E100" s="250" t="str">
        <f t="shared" ca="1" si="25"/>
        <v/>
      </c>
      <c r="F100" s="250" t="str">
        <f t="shared" ca="1" si="26"/>
        <v/>
      </c>
      <c r="G100" s="250" t="str">
        <f t="shared" ca="1" si="27"/>
        <v/>
      </c>
      <c r="H100" s="250" t="str">
        <f t="shared" ca="1" si="28"/>
        <v/>
      </c>
      <c r="I100" s="99"/>
      <c r="K100" s="231"/>
      <c r="L100" s="199" t="str">
        <f t="shared" si="29"/>
        <v/>
      </c>
      <c r="M100" s="231" t="str">
        <f t="shared" si="30"/>
        <v/>
      </c>
      <c r="N100" s="231" t="str">
        <f t="shared" si="31"/>
        <v/>
      </c>
      <c r="O100" s="199">
        <f t="shared" si="32"/>
        <v>0</v>
      </c>
      <c r="P100" s="199">
        <f t="shared" si="33"/>
        <v>0</v>
      </c>
      <c r="Q100" s="199">
        <f t="shared" si="34"/>
        <v>0</v>
      </c>
      <c r="R100" s="199" t="e">
        <f t="shared" si="35"/>
        <v>#DIV/0!</v>
      </c>
      <c r="S100" s="199" t="e">
        <f t="shared" si="36"/>
        <v>#DIV/0!</v>
      </c>
      <c r="T100" s="199" t="str">
        <f t="shared" si="37"/>
        <v/>
      </c>
      <c r="U100" s="415">
        <f t="shared" si="39"/>
        <v>0</v>
      </c>
      <c r="V100" s="233">
        <f>IF(B100&lt;&gt;"",1/PRODUCT($U$11:U100),0)</f>
        <v>0</v>
      </c>
      <c r="AA100" s="240">
        <f t="shared" si="38"/>
        <v>0</v>
      </c>
      <c r="AB100" s="240">
        <f>IF(B100&lt;&gt;"",AA100/((1+$V$5)^(SUM($T$11:T100))),0)</f>
        <v>0</v>
      </c>
      <c r="AD100">
        <f t="shared" si="40"/>
        <v>0</v>
      </c>
      <c r="AE100">
        <f>IF(B100&lt;&gt;"",1/PRODUCT($AD$11:AD100),0)</f>
        <v>0</v>
      </c>
    </row>
    <row r="101" spans="2:31" ht="13" x14ac:dyDescent="0.3">
      <c r="B101" s="248" t="str">
        <f t="shared" si="22"/>
        <v/>
      </c>
      <c r="C101" s="249" t="str">
        <f t="shared" si="23"/>
        <v/>
      </c>
      <c r="D101" s="249" t="str">
        <f t="shared" si="24"/>
        <v/>
      </c>
      <c r="E101" s="250" t="str">
        <f t="shared" ca="1" si="25"/>
        <v/>
      </c>
      <c r="F101" s="250" t="str">
        <f t="shared" ca="1" si="26"/>
        <v/>
      </c>
      <c r="G101" s="250" t="str">
        <f t="shared" ca="1" si="27"/>
        <v/>
      </c>
      <c r="H101" s="250" t="str">
        <f t="shared" ca="1" si="28"/>
        <v/>
      </c>
      <c r="I101" s="99"/>
      <c r="K101" s="231"/>
      <c r="L101" s="199" t="str">
        <f t="shared" si="29"/>
        <v/>
      </c>
      <c r="M101" s="231" t="str">
        <f t="shared" si="30"/>
        <v/>
      </c>
      <c r="N101" s="231" t="str">
        <f t="shared" si="31"/>
        <v/>
      </c>
      <c r="O101" s="199">
        <f t="shared" si="32"/>
        <v>0</v>
      </c>
      <c r="P101" s="199">
        <f t="shared" si="33"/>
        <v>0</v>
      </c>
      <c r="Q101" s="199">
        <f t="shared" si="34"/>
        <v>0</v>
      </c>
      <c r="R101" s="199" t="e">
        <f t="shared" si="35"/>
        <v>#DIV/0!</v>
      </c>
      <c r="S101" s="199" t="e">
        <f t="shared" si="36"/>
        <v>#DIV/0!</v>
      </c>
      <c r="T101" s="199" t="str">
        <f t="shared" si="37"/>
        <v/>
      </c>
      <c r="U101" s="415">
        <f t="shared" si="39"/>
        <v>0</v>
      </c>
      <c r="V101" s="233">
        <f>IF(B101&lt;&gt;"",1/PRODUCT($U$11:U101),0)</f>
        <v>0</v>
      </c>
      <c r="AA101" s="240">
        <f t="shared" si="38"/>
        <v>0</v>
      </c>
      <c r="AB101" s="240">
        <f>IF(B101&lt;&gt;"",AA101/((1+$V$5)^(SUM($T$11:T101))),0)</f>
        <v>0</v>
      </c>
      <c r="AD101">
        <f t="shared" si="40"/>
        <v>0</v>
      </c>
      <c r="AE101">
        <f>IF(B101&lt;&gt;"",1/PRODUCT($AD$11:AD101),0)</f>
        <v>0</v>
      </c>
    </row>
    <row r="102" spans="2:31" ht="13" x14ac:dyDescent="0.3">
      <c r="B102" s="248" t="str">
        <f t="shared" si="22"/>
        <v/>
      </c>
      <c r="C102" s="249" t="str">
        <f t="shared" si="23"/>
        <v/>
      </c>
      <c r="D102" s="249" t="str">
        <f t="shared" si="24"/>
        <v/>
      </c>
      <c r="E102" s="250" t="str">
        <f t="shared" ca="1" si="25"/>
        <v/>
      </c>
      <c r="F102" s="250" t="str">
        <f t="shared" ca="1" si="26"/>
        <v/>
      </c>
      <c r="G102" s="250" t="str">
        <f t="shared" ca="1" si="27"/>
        <v/>
      </c>
      <c r="H102" s="250" t="str">
        <f t="shared" ca="1" si="28"/>
        <v/>
      </c>
      <c r="I102" s="99"/>
      <c r="K102" s="231"/>
      <c r="L102" s="199" t="str">
        <f t="shared" si="29"/>
        <v/>
      </c>
      <c r="M102" s="231" t="str">
        <f t="shared" si="30"/>
        <v/>
      </c>
      <c r="N102" s="231" t="str">
        <f t="shared" si="31"/>
        <v/>
      </c>
      <c r="O102" s="199">
        <f t="shared" si="32"/>
        <v>0</v>
      </c>
      <c r="P102" s="199">
        <f t="shared" si="33"/>
        <v>0</v>
      </c>
      <c r="Q102" s="199">
        <f t="shared" si="34"/>
        <v>0</v>
      </c>
      <c r="R102" s="199" t="e">
        <f t="shared" si="35"/>
        <v>#DIV/0!</v>
      </c>
      <c r="S102" s="199" t="e">
        <f t="shared" si="36"/>
        <v>#DIV/0!</v>
      </c>
      <c r="T102" s="199" t="str">
        <f t="shared" si="37"/>
        <v/>
      </c>
      <c r="U102" s="415">
        <f t="shared" si="39"/>
        <v>0</v>
      </c>
      <c r="V102" s="233">
        <f>IF(B102&lt;&gt;"",1/PRODUCT($U$11:U102),0)</f>
        <v>0</v>
      </c>
      <c r="AA102" s="240">
        <f t="shared" si="38"/>
        <v>0</v>
      </c>
      <c r="AB102" s="240">
        <f>IF(B102&lt;&gt;"",AA102/((1+$V$5)^(SUM($T$11:T102))),0)</f>
        <v>0</v>
      </c>
      <c r="AD102">
        <f t="shared" si="40"/>
        <v>0</v>
      </c>
      <c r="AE102">
        <f>IF(B102&lt;&gt;"",1/PRODUCT($AD$11:AD102),0)</f>
        <v>0</v>
      </c>
    </row>
    <row r="103" spans="2:31" ht="13" x14ac:dyDescent="0.3">
      <c r="B103" s="248" t="str">
        <f t="shared" si="22"/>
        <v/>
      </c>
      <c r="C103" s="249" t="str">
        <f t="shared" si="23"/>
        <v/>
      </c>
      <c r="D103" s="249" t="str">
        <f t="shared" si="24"/>
        <v/>
      </c>
      <c r="E103" s="250" t="str">
        <f t="shared" ca="1" si="25"/>
        <v/>
      </c>
      <c r="F103" s="250" t="str">
        <f t="shared" ca="1" si="26"/>
        <v/>
      </c>
      <c r="G103" s="250" t="str">
        <f t="shared" ca="1" si="27"/>
        <v/>
      </c>
      <c r="H103" s="250" t="str">
        <f t="shared" ca="1" si="28"/>
        <v/>
      </c>
      <c r="I103" s="99"/>
      <c r="K103" s="231"/>
      <c r="L103" s="199" t="str">
        <f t="shared" si="29"/>
        <v/>
      </c>
      <c r="M103" s="231" t="str">
        <f t="shared" si="30"/>
        <v/>
      </c>
      <c r="N103" s="231" t="str">
        <f t="shared" si="31"/>
        <v/>
      </c>
      <c r="O103" s="199">
        <f t="shared" si="32"/>
        <v>0</v>
      </c>
      <c r="P103" s="199">
        <f t="shared" si="33"/>
        <v>0</v>
      </c>
      <c r="Q103" s="199">
        <f t="shared" si="34"/>
        <v>0</v>
      </c>
      <c r="R103" s="199" t="e">
        <f t="shared" si="35"/>
        <v>#DIV/0!</v>
      </c>
      <c r="S103" s="199" t="e">
        <f t="shared" si="36"/>
        <v>#DIV/0!</v>
      </c>
      <c r="T103" s="199" t="str">
        <f t="shared" si="37"/>
        <v/>
      </c>
      <c r="U103" s="415">
        <f t="shared" si="39"/>
        <v>0</v>
      </c>
      <c r="V103" s="233">
        <f>IF(B103&lt;&gt;"",1/PRODUCT($U$11:U103),0)</f>
        <v>0</v>
      </c>
      <c r="AA103" s="240">
        <f t="shared" si="38"/>
        <v>0</v>
      </c>
      <c r="AB103" s="240">
        <f>IF(B103&lt;&gt;"",AA103/((1+$V$5)^(SUM($T$11:T103))),0)</f>
        <v>0</v>
      </c>
      <c r="AD103">
        <f t="shared" si="40"/>
        <v>0</v>
      </c>
      <c r="AE103">
        <f>IF(B103&lt;&gt;"",1/PRODUCT($AD$11:AD103),0)</f>
        <v>0</v>
      </c>
    </row>
    <row r="104" spans="2:31" ht="13" x14ac:dyDescent="0.3">
      <c r="B104" s="248" t="str">
        <f t="shared" si="22"/>
        <v/>
      </c>
      <c r="C104" s="249" t="str">
        <f t="shared" si="23"/>
        <v/>
      </c>
      <c r="D104" s="249" t="str">
        <f t="shared" si="24"/>
        <v/>
      </c>
      <c r="E104" s="250" t="str">
        <f t="shared" ca="1" si="25"/>
        <v/>
      </c>
      <c r="F104" s="250" t="str">
        <f t="shared" ca="1" si="26"/>
        <v/>
      </c>
      <c r="G104" s="250" t="str">
        <f t="shared" ca="1" si="27"/>
        <v/>
      </c>
      <c r="H104" s="250" t="str">
        <f t="shared" ca="1" si="28"/>
        <v/>
      </c>
      <c r="I104" s="99"/>
      <c r="K104" s="231"/>
      <c r="L104" s="199" t="str">
        <f t="shared" si="29"/>
        <v/>
      </c>
      <c r="M104" s="231" t="str">
        <f t="shared" si="30"/>
        <v/>
      </c>
      <c r="N104" s="231" t="str">
        <f t="shared" si="31"/>
        <v/>
      </c>
      <c r="O104" s="199">
        <f t="shared" si="32"/>
        <v>0</v>
      </c>
      <c r="P104" s="199">
        <f t="shared" si="33"/>
        <v>0</v>
      </c>
      <c r="Q104" s="199">
        <f t="shared" si="34"/>
        <v>0</v>
      </c>
      <c r="R104" s="199" t="e">
        <f t="shared" si="35"/>
        <v>#DIV/0!</v>
      </c>
      <c r="S104" s="199" t="e">
        <f t="shared" si="36"/>
        <v>#DIV/0!</v>
      </c>
      <c r="T104" s="199" t="str">
        <f t="shared" si="37"/>
        <v/>
      </c>
      <c r="U104" s="415">
        <f t="shared" si="39"/>
        <v>0</v>
      </c>
      <c r="V104" s="233">
        <f>IF(B104&lt;&gt;"",1/PRODUCT($U$11:U104),0)</f>
        <v>0</v>
      </c>
      <c r="AA104" s="240">
        <f t="shared" si="38"/>
        <v>0</v>
      </c>
      <c r="AB104" s="240">
        <f>IF(B104&lt;&gt;"",AA104/((1+$V$5)^(SUM($T$11:T104))),0)</f>
        <v>0</v>
      </c>
      <c r="AD104">
        <f t="shared" si="40"/>
        <v>0</v>
      </c>
      <c r="AE104">
        <f>IF(B104&lt;&gt;"",1/PRODUCT($AD$11:AD104),0)</f>
        <v>0</v>
      </c>
    </row>
    <row r="105" spans="2:31" ht="13" x14ac:dyDescent="0.3">
      <c r="B105" s="248" t="str">
        <f t="shared" si="22"/>
        <v/>
      </c>
      <c r="C105" s="249" t="str">
        <f t="shared" si="23"/>
        <v/>
      </c>
      <c r="D105" s="249" t="str">
        <f t="shared" si="24"/>
        <v/>
      </c>
      <c r="E105" s="250" t="str">
        <f t="shared" ca="1" si="25"/>
        <v/>
      </c>
      <c r="F105" s="250" t="str">
        <f t="shared" ca="1" si="26"/>
        <v/>
      </c>
      <c r="G105" s="250" t="str">
        <f t="shared" ca="1" si="27"/>
        <v/>
      </c>
      <c r="H105" s="250" t="str">
        <f t="shared" ca="1" si="28"/>
        <v/>
      </c>
      <c r="I105" s="99"/>
      <c r="K105" s="231"/>
      <c r="L105" s="199" t="str">
        <f t="shared" si="29"/>
        <v/>
      </c>
      <c r="M105" s="231" t="str">
        <f t="shared" si="30"/>
        <v/>
      </c>
      <c r="N105" s="231" t="str">
        <f t="shared" si="31"/>
        <v/>
      </c>
      <c r="O105" s="199">
        <f t="shared" si="32"/>
        <v>0</v>
      </c>
      <c r="P105" s="199">
        <f t="shared" si="33"/>
        <v>0</v>
      </c>
      <c r="Q105" s="199">
        <f t="shared" si="34"/>
        <v>0</v>
      </c>
      <c r="R105" s="199" t="e">
        <f t="shared" si="35"/>
        <v>#DIV/0!</v>
      </c>
      <c r="S105" s="199" t="e">
        <f t="shared" si="36"/>
        <v>#DIV/0!</v>
      </c>
      <c r="T105" s="199" t="str">
        <f t="shared" si="37"/>
        <v/>
      </c>
      <c r="U105" s="415">
        <f t="shared" si="39"/>
        <v>0</v>
      </c>
      <c r="V105" s="233">
        <f>IF(B105&lt;&gt;"",1/PRODUCT($U$11:U105),0)</f>
        <v>0</v>
      </c>
      <c r="AA105" s="240">
        <f t="shared" si="38"/>
        <v>0</v>
      </c>
      <c r="AB105" s="240">
        <f>IF(B105&lt;&gt;"",AA105/((1+$V$5)^(SUM($T$11:T105))),0)</f>
        <v>0</v>
      </c>
      <c r="AD105">
        <f t="shared" si="40"/>
        <v>0</v>
      </c>
      <c r="AE105">
        <f>IF(B105&lt;&gt;"",1/PRODUCT($AD$11:AD105),0)</f>
        <v>0</v>
      </c>
    </row>
    <row r="106" spans="2:31" ht="13" x14ac:dyDescent="0.3">
      <c r="B106" s="248" t="str">
        <f t="shared" si="22"/>
        <v/>
      </c>
      <c r="C106" s="249" t="str">
        <f t="shared" si="23"/>
        <v/>
      </c>
      <c r="D106" s="249" t="str">
        <f t="shared" si="24"/>
        <v/>
      </c>
      <c r="E106" s="250" t="str">
        <f t="shared" ca="1" si="25"/>
        <v/>
      </c>
      <c r="F106" s="250" t="str">
        <f t="shared" ca="1" si="26"/>
        <v/>
      </c>
      <c r="G106" s="250" t="str">
        <f t="shared" ca="1" si="27"/>
        <v/>
      </c>
      <c r="H106" s="250" t="str">
        <f t="shared" ca="1" si="28"/>
        <v/>
      </c>
      <c r="I106" s="99"/>
      <c r="K106" s="231"/>
      <c r="L106" s="199" t="str">
        <f t="shared" si="29"/>
        <v/>
      </c>
      <c r="M106" s="231" t="str">
        <f t="shared" si="30"/>
        <v/>
      </c>
      <c r="N106" s="231" t="str">
        <f t="shared" si="31"/>
        <v/>
      </c>
      <c r="O106" s="199">
        <f t="shared" si="32"/>
        <v>0</v>
      </c>
      <c r="P106" s="199">
        <f t="shared" si="33"/>
        <v>0</v>
      </c>
      <c r="Q106" s="199">
        <f t="shared" si="34"/>
        <v>0</v>
      </c>
      <c r="R106" s="199" t="e">
        <f t="shared" si="35"/>
        <v>#DIV/0!</v>
      </c>
      <c r="S106" s="199" t="e">
        <f t="shared" si="36"/>
        <v>#DIV/0!</v>
      </c>
      <c r="T106" s="199" t="str">
        <f t="shared" si="37"/>
        <v/>
      </c>
      <c r="U106" s="415">
        <f t="shared" si="39"/>
        <v>0</v>
      </c>
      <c r="V106" s="233">
        <f>IF(B106&lt;&gt;"",1/PRODUCT($U$11:U106),0)</f>
        <v>0</v>
      </c>
      <c r="AA106" s="240">
        <f t="shared" si="38"/>
        <v>0</v>
      </c>
      <c r="AB106" s="240">
        <f>IF(B106&lt;&gt;"",AA106/((1+$V$5)^(SUM($T$11:T106))),0)</f>
        <v>0</v>
      </c>
      <c r="AD106">
        <f t="shared" si="40"/>
        <v>0</v>
      </c>
      <c r="AE106">
        <f>IF(B106&lt;&gt;"",1/PRODUCT($AD$11:AD106),0)</f>
        <v>0</v>
      </c>
    </row>
    <row r="107" spans="2:31" ht="13" x14ac:dyDescent="0.3">
      <c r="B107" s="248" t="str">
        <f t="shared" si="22"/>
        <v/>
      </c>
      <c r="C107" s="249" t="str">
        <f t="shared" si="23"/>
        <v/>
      </c>
      <c r="D107" s="249" t="str">
        <f t="shared" si="24"/>
        <v/>
      </c>
      <c r="E107" s="250" t="str">
        <f t="shared" ca="1" si="25"/>
        <v/>
      </c>
      <c r="F107" s="250" t="str">
        <f t="shared" ca="1" si="26"/>
        <v/>
      </c>
      <c r="G107" s="250" t="str">
        <f t="shared" ca="1" si="27"/>
        <v/>
      </c>
      <c r="H107" s="250" t="str">
        <f t="shared" ca="1" si="28"/>
        <v/>
      </c>
      <c r="I107" s="99"/>
      <c r="K107" s="231"/>
      <c r="L107" s="199" t="str">
        <f t="shared" si="29"/>
        <v/>
      </c>
      <c r="M107" s="231" t="str">
        <f t="shared" si="30"/>
        <v/>
      </c>
      <c r="N107" s="231" t="str">
        <f t="shared" si="31"/>
        <v/>
      </c>
      <c r="O107" s="199">
        <f t="shared" si="32"/>
        <v>0</v>
      </c>
      <c r="P107" s="199">
        <f t="shared" si="33"/>
        <v>0</v>
      </c>
      <c r="Q107" s="199">
        <f t="shared" si="34"/>
        <v>0</v>
      </c>
      <c r="R107" s="199" t="e">
        <f t="shared" si="35"/>
        <v>#DIV/0!</v>
      </c>
      <c r="S107" s="199" t="e">
        <f t="shared" si="36"/>
        <v>#DIV/0!</v>
      </c>
      <c r="T107" s="199" t="str">
        <f t="shared" si="37"/>
        <v/>
      </c>
      <c r="U107" s="415">
        <f t="shared" si="39"/>
        <v>0</v>
      </c>
      <c r="V107" s="233">
        <f>IF(B107&lt;&gt;"",1/PRODUCT($U$11:U107),0)</f>
        <v>0</v>
      </c>
      <c r="AA107" s="240">
        <f t="shared" si="38"/>
        <v>0</v>
      </c>
      <c r="AB107" s="240">
        <f>IF(B107&lt;&gt;"",AA107/((1+$V$5)^(SUM($T$11:T107))),0)</f>
        <v>0</v>
      </c>
      <c r="AD107">
        <f t="shared" si="40"/>
        <v>0</v>
      </c>
      <c r="AE107">
        <f>IF(B107&lt;&gt;"",1/PRODUCT($AD$11:AD107),0)</f>
        <v>0</v>
      </c>
    </row>
    <row r="108" spans="2:31" ht="13" x14ac:dyDescent="0.3">
      <c r="B108" s="248" t="str">
        <f t="shared" si="22"/>
        <v/>
      </c>
      <c r="C108" s="249" t="str">
        <f t="shared" si="23"/>
        <v/>
      </c>
      <c r="D108" s="249" t="str">
        <f t="shared" si="24"/>
        <v/>
      </c>
      <c r="E108" s="250" t="str">
        <f t="shared" ca="1" si="25"/>
        <v/>
      </c>
      <c r="F108" s="250" t="str">
        <f t="shared" ca="1" si="26"/>
        <v/>
      </c>
      <c r="G108" s="250" t="str">
        <f t="shared" ca="1" si="27"/>
        <v/>
      </c>
      <c r="H108" s="250" t="str">
        <f t="shared" ca="1" si="28"/>
        <v/>
      </c>
      <c r="I108" s="99"/>
      <c r="K108" s="231"/>
      <c r="L108" s="199" t="str">
        <f t="shared" si="29"/>
        <v/>
      </c>
      <c r="M108" s="231" t="str">
        <f t="shared" si="30"/>
        <v/>
      </c>
      <c r="N108" s="231" t="str">
        <f t="shared" si="31"/>
        <v/>
      </c>
      <c r="O108" s="199">
        <f t="shared" si="32"/>
        <v>0</v>
      </c>
      <c r="P108" s="199">
        <f t="shared" si="33"/>
        <v>0</v>
      </c>
      <c r="Q108" s="199">
        <f t="shared" si="34"/>
        <v>0</v>
      </c>
      <c r="R108" s="199" t="e">
        <f t="shared" si="35"/>
        <v>#DIV/0!</v>
      </c>
      <c r="S108" s="199" t="e">
        <f t="shared" si="36"/>
        <v>#DIV/0!</v>
      </c>
      <c r="T108" s="199" t="str">
        <f t="shared" si="37"/>
        <v/>
      </c>
      <c r="U108" s="415">
        <f t="shared" si="39"/>
        <v>0</v>
      </c>
      <c r="V108" s="233">
        <f>IF(B108&lt;&gt;"",1/PRODUCT($U$11:U108),0)</f>
        <v>0</v>
      </c>
      <c r="AA108" s="240">
        <f t="shared" si="38"/>
        <v>0</v>
      </c>
      <c r="AB108" s="240">
        <f>IF(B108&lt;&gt;"",AA108/((1+$V$5)^(SUM($T$11:T108))),0)</f>
        <v>0</v>
      </c>
      <c r="AD108">
        <f t="shared" si="40"/>
        <v>0</v>
      </c>
      <c r="AE108">
        <f>IF(B108&lt;&gt;"",1/PRODUCT($AD$11:AD108),0)</f>
        <v>0</v>
      </c>
    </row>
    <row r="109" spans="2:31" ht="13" x14ac:dyDescent="0.3">
      <c r="B109" s="248" t="str">
        <f t="shared" si="22"/>
        <v/>
      </c>
      <c r="C109" s="249" t="str">
        <f t="shared" si="23"/>
        <v/>
      </c>
      <c r="D109" s="249" t="str">
        <f t="shared" si="24"/>
        <v/>
      </c>
      <c r="E109" s="250" t="str">
        <f t="shared" ca="1" si="25"/>
        <v/>
      </c>
      <c r="F109" s="250" t="str">
        <f t="shared" ca="1" si="26"/>
        <v/>
      </c>
      <c r="G109" s="250" t="str">
        <f t="shared" ca="1" si="27"/>
        <v/>
      </c>
      <c r="H109" s="250" t="str">
        <f t="shared" ca="1" si="28"/>
        <v/>
      </c>
      <c r="I109" s="99"/>
      <c r="K109" s="231"/>
      <c r="L109" s="199" t="str">
        <f t="shared" si="29"/>
        <v/>
      </c>
      <c r="M109" s="231" t="str">
        <f t="shared" si="30"/>
        <v/>
      </c>
      <c r="N109" s="231" t="str">
        <f t="shared" si="31"/>
        <v/>
      </c>
      <c r="O109" s="199">
        <f t="shared" si="32"/>
        <v>0</v>
      </c>
      <c r="P109" s="199">
        <f t="shared" si="33"/>
        <v>0</v>
      </c>
      <c r="Q109" s="199">
        <f t="shared" si="34"/>
        <v>0</v>
      </c>
      <c r="R109" s="199" t="e">
        <f t="shared" si="35"/>
        <v>#DIV/0!</v>
      </c>
      <c r="S109" s="199" t="e">
        <f t="shared" si="36"/>
        <v>#DIV/0!</v>
      </c>
      <c r="T109" s="199" t="str">
        <f t="shared" si="37"/>
        <v/>
      </c>
      <c r="U109" s="415">
        <f t="shared" si="39"/>
        <v>0</v>
      </c>
      <c r="V109" s="233">
        <f>IF(B109&lt;&gt;"",1/PRODUCT($U$11:U109),0)</f>
        <v>0</v>
      </c>
      <c r="AA109" s="240">
        <f t="shared" si="38"/>
        <v>0</v>
      </c>
      <c r="AB109" s="240">
        <f>IF(B109&lt;&gt;"",AA109/((1+$V$5)^(SUM($T$11:T109))),0)</f>
        <v>0</v>
      </c>
      <c r="AD109">
        <f t="shared" si="40"/>
        <v>0</v>
      </c>
      <c r="AE109">
        <f>IF(B109&lt;&gt;"",1/PRODUCT($AD$11:AD109),0)</f>
        <v>0</v>
      </c>
    </row>
    <row r="110" spans="2:31" ht="13" x14ac:dyDescent="0.3">
      <c r="B110" s="248" t="str">
        <f t="shared" si="22"/>
        <v/>
      </c>
      <c r="C110" s="249" t="str">
        <f t="shared" si="23"/>
        <v/>
      </c>
      <c r="D110" s="249" t="str">
        <f t="shared" si="24"/>
        <v/>
      </c>
      <c r="E110" s="250" t="str">
        <f t="shared" ca="1" si="25"/>
        <v/>
      </c>
      <c r="F110" s="250" t="str">
        <f t="shared" ca="1" si="26"/>
        <v/>
      </c>
      <c r="G110" s="250" t="str">
        <f t="shared" ca="1" si="27"/>
        <v/>
      </c>
      <c r="H110" s="250" t="str">
        <f t="shared" ca="1" si="28"/>
        <v/>
      </c>
      <c r="I110" s="99"/>
      <c r="K110" s="231"/>
      <c r="L110" s="199" t="str">
        <f t="shared" si="29"/>
        <v/>
      </c>
      <c r="M110" s="231" t="str">
        <f t="shared" si="30"/>
        <v/>
      </c>
      <c r="N110" s="231" t="str">
        <f t="shared" si="31"/>
        <v/>
      </c>
      <c r="O110" s="199">
        <f t="shared" si="32"/>
        <v>0</v>
      </c>
      <c r="P110" s="199">
        <f t="shared" si="33"/>
        <v>0</v>
      </c>
      <c r="Q110" s="199">
        <f t="shared" si="34"/>
        <v>0</v>
      </c>
      <c r="R110" s="199" t="e">
        <f t="shared" si="35"/>
        <v>#DIV/0!</v>
      </c>
      <c r="S110" s="199" t="e">
        <f t="shared" si="36"/>
        <v>#DIV/0!</v>
      </c>
      <c r="T110" s="199" t="str">
        <f t="shared" si="37"/>
        <v/>
      </c>
      <c r="U110" s="415">
        <f t="shared" si="39"/>
        <v>0</v>
      </c>
      <c r="V110" s="233">
        <f>IF(B110&lt;&gt;"",1/PRODUCT($U$11:U110),0)</f>
        <v>0</v>
      </c>
      <c r="AA110" s="240">
        <f t="shared" si="38"/>
        <v>0</v>
      </c>
      <c r="AB110" s="240">
        <f>IF(B110&lt;&gt;"",AA110/((1+$V$5)^(SUM($T$11:T110))),0)</f>
        <v>0</v>
      </c>
      <c r="AD110">
        <f t="shared" si="40"/>
        <v>0</v>
      </c>
      <c r="AE110">
        <f>IF(B110&lt;&gt;"",1/PRODUCT($AD$11:AD110),0)</f>
        <v>0</v>
      </c>
    </row>
    <row r="111" spans="2:31" ht="13" x14ac:dyDescent="0.3">
      <c r="B111" s="248" t="str">
        <f t="shared" si="22"/>
        <v/>
      </c>
      <c r="C111" s="249" t="str">
        <f t="shared" si="23"/>
        <v/>
      </c>
      <c r="D111" s="249" t="str">
        <f t="shared" si="24"/>
        <v/>
      </c>
      <c r="E111" s="250" t="str">
        <f t="shared" ca="1" si="25"/>
        <v/>
      </c>
      <c r="F111" s="250" t="str">
        <f t="shared" ca="1" si="26"/>
        <v/>
      </c>
      <c r="G111" s="250" t="str">
        <f t="shared" ca="1" si="27"/>
        <v/>
      </c>
      <c r="H111" s="250" t="str">
        <f t="shared" ca="1" si="28"/>
        <v/>
      </c>
      <c r="I111" s="99"/>
      <c r="K111" s="231"/>
      <c r="L111" s="199" t="str">
        <f t="shared" si="29"/>
        <v/>
      </c>
      <c r="M111" s="231" t="str">
        <f t="shared" si="30"/>
        <v/>
      </c>
      <c r="N111" s="231" t="str">
        <f t="shared" si="31"/>
        <v/>
      </c>
      <c r="O111" s="199">
        <f t="shared" si="32"/>
        <v>0</v>
      </c>
      <c r="P111" s="199">
        <f t="shared" si="33"/>
        <v>0</v>
      </c>
      <c r="Q111" s="199">
        <f t="shared" si="34"/>
        <v>0</v>
      </c>
      <c r="R111" s="199" t="e">
        <f t="shared" si="35"/>
        <v>#DIV/0!</v>
      </c>
      <c r="S111" s="199" t="e">
        <f t="shared" si="36"/>
        <v>#DIV/0!</v>
      </c>
      <c r="T111" s="199" t="str">
        <f t="shared" si="37"/>
        <v/>
      </c>
      <c r="U111" s="415">
        <f t="shared" si="39"/>
        <v>0</v>
      </c>
      <c r="V111" s="233">
        <f>IF(B111&lt;&gt;"",1/PRODUCT($U$11:U111),0)</f>
        <v>0</v>
      </c>
      <c r="AA111" s="240">
        <f t="shared" si="38"/>
        <v>0</v>
      </c>
      <c r="AB111" s="240">
        <f>IF(B111&lt;&gt;"",AA111/((1+$V$5)^(SUM($T$11:T111))),0)</f>
        <v>0</v>
      </c>
      <c r="AD111">
        <f t="shared" si="40"/>
        <v>0</v>
      </c>
      <c r="AE111">
        <f>IF(B111&lt;&gt;"",1/PRODUCT($AD$11:AD111),0)</f>
        <v>0</v>
      </c>
    </row>
    <row r="112" spans="2:31" ht="13" x14ac:dyDescent="0.3">
      <c r="B112" s="248" t="str">
        <f t="shared" si="22"/>
        <v/>
      </c>
      <c r="C112" s="249" t="str">
        <f t="shared" si="23"/>
        <v/>
      </c>
      <c r="D112" s="249" t="str">
        <f t="shared" si="24"/>
        <v/>
      </c>
      <c r="E112" s="250" t="str">
        <f t="shared" ca="1" si="25"/>
        <v/>
      </c>
      <c r="F112" s="250" t="str">
        <f t="shared" ca="1" si="26"/>
        <v/>
      </c>
      <c r="G112" s="250" t="str">
        <f t="shared" ca="1" si="27"/>
        <v/>
      </c>
      <c r="H112" s="250" t="str">
        <f t="shared" ca="1" si="28"/>
        <v/>
      </c>
      <c r="I112" s="99"/>
      <c r="K112" s="231"/>
      <c r="L112" s="199" t="str">
        <f t="shared" si="29"/>
        <v/>
      </c>
      <c r="M112" s="231" t="str">
        <f t="shared" si="30"/>
        <v/>
      </c>
      <c r="N112" s="231" t="str">
        <f t="shared" si="31"/>
        <v/>
      </c>
      <c r="O112" s="199">
        <f t="shared" si="32"/>
        <v>0</v>
      </c>
      <c r="P112" s="199">
        <f t="shared" si="33"/>
        <v>0</v>
      </c>
      <c r="Q112" s="199">
        <f t="shared" si="34"/>
        <v>0</v>
      </c>
      <c r="R112" s="199" t="e">
        <f t="shared" si="35"/>
        <v>#DIV/0!</v>
      </c>
      <c r="S112" s="199" t="e">
        <f t="shared" si="36"/>
        <v>#DIV/0!</v>
      </c>
      <c r="T112" s="199" t="str">
        <f t="shared" si="37"/>
        <v/>
      </c>
      <c r="U112" s="415">
        <f t="shared" si="39"/>
        <v>0</v>
      </c>
      <c r="V112" s="233">
        <f>IF(B112&lt;&gt;"",1/PRODUCT($U$11:U112),0)</f>
        <v>0</v>
      </c>
      <c r="AA112" s="240">
        <f t="shared" si="38"/>
        <v>0</v>
      </c>
      <c r="AB112" s="240">
        <f>IF(B112&lt;&gt;"",AA112/((1+$V$5)^(SUM($T$11:T112))),0)</f>
        <v>0</v>
      </c>
      <c r="AD112">
        <f t="shared" si="40"/>
        <v>0</v>
      </c>
      <c r="AE112">
        <f>IF(B112&lt;&gt;"",1/PRODUCT($AD$11:AD112),0)</f>
        <v>0</v>
      </c>
    </row>
    <row r="113" spans="2:31" ht="13" x14ac:dyDescent="0.3">
      <c r="B113" s="248" t="str">
        <f t="shared" si="22"/>
        <v/>
      </c>
      <c r="C113" s="249" t="str">
        <f t="shared" si="23"/>
        <v/>
      </c>
      <c r="D113" s="249" t="str">
        <f t="shared" si="24"/>
        <v/>
      </c>
      <c r="E113" s="250" t="str">
        <f t="shared" ca="1" si="25"/>
        <v/>
      </c>
      <c r="F113" s="250" t="str">
        <f t="shared" ca="1" si="26"/>
        <v/>
      </c>
      <c r="G113" s="250" t="str">
        <f t="shared" ca="1" si="27"/>
        <v/>
      </c>
      <c r="H113" s="250" t="str">
        <f t="shared" ca="1" si="28"/>
        <v/>
      </c>
      <c r="I113" s="99"/>
      <c r="K113" s="231"/>
      <c r="L113" s="199" t="str">
        <f t="shared" si="29"/>
        <v/>
      </c>
      <c r="M113" s="231" t="str">
        <f t="shared" si="30"/>
        <v/>
      </c>
      <c r="N113" s="231" t="str">
        <f t="shared" si="31"/>
        <v/>
      </c>
      <c r="O113" s="199">
        <f t="shared" si="32"/>
        <v>0</v>
      </c>
      <c r="P113" s="199">
        <f t="shared" si="33"/>
        <v>0</v>
      </c>
      <c r="Q113" s="199">
        <f t="shared" si="34"/>
        <v>0</v>
      </c>
      <c r="R113" s="199" t="e">
        <f t="shared" si="35"/>
        <v>#DIV/0!</v>
      </c>
      <c r="S113" s="199" t="e">
        <f t="shared" si="36"/>
        <v>#DIV/0!</v>
      </c>
      <c r="T113" s="199" t="str">
        <f t="shared" si="37"/>
        <v/>
      </c>
      <c r="U113" s="415">
        <f t="shared" si="39"/>
        <v>0</v>
      </c>
      <c r="V113" s="233">
        <f>IF(B113&lt;&gt;"",1/PRODUCT($U$11:U113),0)</f>
        <v>0</v>
      </c>
      <c r="AA113" s="240">
        <f t="shared" si="38"/>
        <v>0</v>
      </c>
      <c r="AB113" s="240">
        <f>IF(B113&lt;&gt;"",AA113/((1+$V$5)^(SUM($T$11:T113))),0)</f>
        <v>0</v>
      </c>
      <c r="AD113">
        <f t="shared" si="40"/>
        <v>0</v>
      </c>
      <c r="AE113">
        <f>IF(B113&lt;&gt;"",1/PRODUCT($AD$11:AD113),0)</f>
        <v>0</v>
      </c>
    </row>
    <row r="114" spans="2:31" ht="13" x14ac:dyDescent="0.3">
      <c r="B114" s="248" t="str">
        <f t="shared" si="22"/>
        <v/>
      </c>
      <c r="C114" s="249" t="str">
        <f t="shared" si="23"/>
        <v/>
      </c>
      <c r="D114" s="249" t="str">
        <f t="shared" si="24"/>
        <v/>
      </c>
      <c r="E114" s="250" t="str">
        <f t="shared" ca="1" si="25"/>
        <v/>
      </c>
      <c r="F114" s="250" t="str">
        <f t="shared" ca="1" si="26"/>
        <v/>
      </c>
      <c r="G114" s="250" t="str">
        <f t="shared" ca="1" si="27"/>
        <v/>
      </c>
      <c r="H114" s="250" t="str">
        <f t="shared" ca="1" si="28"/>
        <v/>
      </c>
      <c r="I114" s="99"/>
      <c r="K114" s="231"/>
      <c r="L114" s="199" t="str">
        <f t="shared" si="29"/>
        <v/>
      </c>
      <c r="M114" s="231" t="str">
        <f t="shared" si="30"/>
        <v/>
      </c>
      <c r="N114" s="231" t="str">
        <f t="shared" si="31"/>
        <v/>
      </c>
      <c r="O114" s="199">
        <f t="shared" si="32"/>
        <v>0</v>
      </c>
      <c r="P114" s="199">
        <f t="shared" si="33"/>
        <v>0</v>
      </c>
      <c r="Q114" s="199">
        <f t="shared" si="34"/>
        <v>0</v>
      </c>
      <c r="R114" s="199" t="e">
        <f t="shared" si="35"/>
        <v>#DIV/0!</v>
      </c>
      <c r="S114" s="199" t="e">
        <f t="shared" si="36"/>
        <v>#DIV/0!</v>
      </c>
      <c r="T114" s="199" t="str">
        <f t="shared" si="37"/>
        <v/>
      </c>
      <c r="U114" s="415">
        <f t="shared" si="39"/>
        <v>0</v>
      </c>
      <c r="V114" s="233">
        <f>IF(B114&lt;&gt;"",1/PRODUCT($U$11:U114),0)</f>
        <v>0</v>
      </c>
      <c r="AA114" s="240">
        <f t="shared" si="38"/>
        <v>0</v>
      </c>
      <c r="AB114" s="240">
        <f>IF(B114&lt;&gt;"",AA114/((1+$V$5)^(SUM($T$11:T114))),0)</f>
        <v>0</v>
      </c>
      <c r="AD114">
        <f t="shared" si="40"/>
        <v>0</v>
      </c>
      <c r="AE114">
        <f>IF(B114&lt;&gt;"",1/PRODUCT($AD$11:AD114),0)</f>
        <v>0</v>
      </c>
    </row>
    <row r="115" spans="2:31" ht="13" x14ac:dyDescent="0.3">
      <c r="B115" s="248" t="str">
        <f t="shared" si="22"/>
        <v/>
      </c>
      <c r="C115" s="249" t="str">
        <f t="shared" si="23"/>
        <v/>
      </c>
      <c r="D115" s="249" t="str">
        <f t="shared" si="24"/>
        <v/>
      </c>
      <c r="E115" s="250" t="str">
        <f t="shared" ca="1" si="25"/>
        <v/>
      </c>
      <c r="F115" s="250" t="str">
        <f t="shared" ca="1" si="26"/>
        <v/>
      </c>
      <c r="G115" s="250" t="str">
        <f t="shared" ca="1" si="27"/>
        <v/>
      </c>
      <c r="H115" s="250" t="str">
        <f t="shared" ca="1" si="28"/>
        <v/>
      </c>
      <c r="I115" s="99"/>
      <c r="K115" s="231"/>
      <c r="L115" s="199" t="str">
        <f t="shared" si="29"/>
        <v/>
      </c>
      <c r="M115" s="231" t="str">
        <f t="shared" si="30"/>
        <v/>
      </c>
      <c r="N115" s="231" t="str">
        <f t="shared" si="31"/>
        <v/>
      </c>
      <c r="O115" s="199">
        <f t="shared" si="32"/>
        <v>0</v>
      </c>
      <c r="P115" s="199">
        <f t="shared" si="33"/>
        <v>0</v>
      </c>
      <c r="Q115" s="199">
        <f t="shared" si="34"/>
        <v>0</v>
      </c>
      <c r="R115" s="199" t="e">
        <f t="shared" si="35"/>
        <v>#DIV/0!</v>
      </c>
      <c r="S115" s="199" t="e">
        <f t="shared" si="36"/>
        <v>#DIV/0!</v>
      </c>
      <c r="T115" s="199" t="str">
        <f t="shared" si="37"/>
        <v/>
      </c>
      <c r="U115" s="415">
        <f t="shared" si="39"/>
        <v>0</v>
      </c>
      <c r="V115" s="233">
        <f>IF(B115&lt;&gt;"",1/PRODUCT($U$11:U115),0)</f>
        <v>0</v>
      </c>
      <c r="AA115" s="240">
        <f t="shared" si="38"/>
        <v>0</v>
      </c>
      <c r="AB115" s="240">
        <f>IF(B115&lt;&gt;"",AA115/((1+$V$5)^(SUM($T$11:T115))),0)</f>
        <v>0</v>
      </c>
      <c r="AD115">
        <f t="shared" si="40"/>
        <v>0</v>
      </c>
      <c r="AE115">
        <f>IF(B115&lt;&gt;"",1/PRODUCT($AD$11:AD115),0)</f>
        <v>0</v>
      </c>
    </row>
    <row r="116" spans="2:31" ht="13" x14ac:dyDescent="0.3">
      <c r="B116" s="248" t="str">
        <f t="shared" si="22"/>
        <v/>
      </c>
      <c r="C116" s="249" t="str">
        <f t="shared" si="23"/>
        <v/>
      </c>
      <c r="D116" s="249" t="str">
        <f t="shared" si="24"/>
        <v/>
      </c>
      <c r="E116" s="250" t="str">
        <f t="shared" ca="1" si="25"/>
        <v/>
      </c>
      <c r="F116" s="250" t="str">
        <f t="shared" ca="1" si="26"/>
        <v/>
      </c>
      <c r="G116" s="250" t="str">
        <f t="shared" ca="1" si="27"/>
        <v/>
      </c>
      <c r="H116" s="250" t="str">
        <f t="shared" ca="1" si="28"/>
        <v/>
      </c>
      <c r="I116" s="99"/>
      <c r="K116" s="231"/>
      <c r="L116" s="199" t="str">
        <f t="shared" si="29"/>
        <v/>
      </c>
      <c r="M116" s="231" t="str">
        <f t="shared" si="30"/>
        <v/>
      </c>
      <c r="N116" s="231" t="str">
        <f t="shared" si="31"/>
        <v/>
      </c>
      <c r="O116" s="199">
        <f t="shared" si="32"/>
        <v>0</v>
      </c>
      <c r="P116" s="199">
        <f t="shared" si="33"/>
        <v>0</v>
      </c>
      <c r="Q116" s="199">
        <f t="shared" si="34"/>
        <v>0</v>
      </c>
      <c r="R116" s="199" t="e">
        <f t="shared" si="35"/>
        <v>#DIV/0!</v>
      </c>
      <c r="S116" s="199" t="e">
        <f t="shared" si="36"/>
        <v>#DIV/0!</v>
      </c>
      <c r="T116" s="199" t="str">
        <f t="shared" si="37"/>
        <v/>
      </c>
      <c r="U116" s="415">
        <f t="shared" si="39"/>
        <v>0</v>
      </c>
      <c r="V116" s="233">
        <f>IF(B116&lt;&gt;"",1/PRODUCT($U$11:U116),0)</f>
        <v>0</v>
      </c>
      <c r="AA116" s="240">
        <f t="shared" si="38"/>
        <v>0</v>
      </c>
      <c r="AB116" s="240">
        <f>IF(B116&lt;&gt;"",AA116/((1+$V$5)^(SUM($T$11:T116))),0)</f>
        <v>0</v>
      </c>
      <c r="AD116">
        <f t="shared" si="40"/>
        <v>0</v>
      </c>
      <c r="AE116">
        <f>IF(B116&lt;&gt;"",1/PRODUCT($AD$11:AD116),0)</f>
        <v>0</v>
      </c>
    </row>
    <row r="117" spans="2:31" ht="13" x14ac:dyDescent="0.3">
      <c r="B117" s="248" t="str">
        <f t="shared" si="22"/>
        <v/>
      </c>
      <c r="C117" s="249" t="str">
        <f t="shared" si="23"/>
        <v/>
      </c>
      <c r="D117" s="249" t="str">
        <f t="shared" si="24"/>
        <v/>
      </c>
      <c r="E117" s="250" t="str">
        <f t="shared" ca="1" si="25"/>
        <v/>
      </c>
      <c r="F117" s="250" t="str">
        <f t="shared" ca="1" si="26"/>
        <v/>
      </c>
      <c r="G117" s="250" t="str">
        <f t="shared" ca="1" si="27"/>
        <v/>
      </c>
      <c r="H117" s="250" t="str">
        <f t="shared" ca="1" si="28"/>
        <v/>
      </c>
      <c r="I117" s="99"/>
      <c r="K117" s="231"/>
      <c r="L117" s="199" t="str">
        <f t="shared" si="29"/>
        <v/>
      </c>
      <c r="M117" s="231" t="str">
        <f t="shared" si="30"/>
        <v/>
      </c>
      <c r="N117" s="231" t="str">
        <f t="shared" si="31"/>
        <v/>
      </c>
      <c r="O117" s="199">
        <f t="shared" si="32"/>
        <v>0</v>
      </c>
      <c r="P117" s="199">
        <f t="shared" si="33"/>
        <v>0</v>
      </c>
      <c r="Q117" s="199">
        <f t="shared" si="34"/>
        <v>0</v>
      </c>
      <c r="R117" s="199" t="e">
        <f t="shared" si="35"/>
        <v>#DIV/0!</v>
      </c>
      <c r="S117" s="199" t="e">
        <f t="shared" si="36"/>
        <v>#DIV/0!</v>
      </c>
      <c r="T117" s="199" t="str">
        <f t="shared" si="37"/>
        <v/>
      </c>
      <c r="U117" s="415">
        <f t="shared" si="39"/>
        <v>0</v>
      </c>
      <c r="V117" s="233">
        <f>IF(B117&lt;&gt;"",1/PRODUCT($U$11:U117),0)</f>
        <v>0</v>
      </c>
      <c r="AA117" s="240">
        <f t="shared" si="38"/>
        <v>0</v>
      </c>
      <c r="AB117" s="240">
        <f>IF(B117&lt;&gt;"",AA117/((1+$V$5)^(SUM($T$11:T117))),0)</f>
        <v>0</v>
      </c>
      <c r="AD117">
        <f t="shared" si="40"/>
        <v>0</v>
      </c>
      <c r="AE117">
        <f>IF(B117&lt;&gt;"",1/PRODUCT($AD$11:AD117),0)</f>
        <v>0</v>
      </c>
    </row>
    <row r="118" spans="2:31" ht="13" x14ac:dyDescent="0.3">
      <c r="B118" s="248" t="str">
        <f t="shared" si="22"/>
        <v/>
      </c>
      <c r="C118" s="249" t="str">
        <f t="shared" si="23"/>
        <v/>
      </c>
      <c r="D118" s="249" t="str">
        <f t="shared" si="24"/>
        <v/>
      </c>
      <c r="E118" s="250" t="str">
        <f t="shared" ca="1" si="25"/>
        <v/>
      </c>
      <c r="F118" s="250" t="str">
        <f t="shared" ca="1" si="26"/>
        <v/>
      </c>
      <c r="G118" s="250" t="str">
        <f t="shared" ca="1" si="27"/>
        <v/>
      </c>
      <c r="H118" s="250" t="str">
        <f t="shared" ca="1" si="28"/>
        <v/>
      </c>
      <c r="I118" s="99"/>
      <c r="K118" s="231"/>
      <c r="L118" s="199" t="str">
        <f t="shared" si="29"/>
        <v/>
      </c>
      <c r="M118" s="231" t="str">
        <f t="shared" si="30"/>
        <v/>
      </c>
      <c r="N118" s="231" t="str">
        <f t="shared" si="31"/>
        <v/>
      </c>
      <c r="O118" s="199">
        <f t="shared" si="32"/>
        <v>0</v>
      </c>
      <c r="P118" s="199">
        <f t="shared" si="33"/>
        <v>0</v>
      </c>
      <c r="Q118" s="199">
        <f t="shared" si="34"/>
        <v>0</v>
      </c>
      <c r="R118" s="199" t="e">
        <f t="shared" si="35"/>
        <v>#DIV/0!</v>
      </c>
      <c r="S118" s="199" t="e">
        <f t="shared" si="36"/>
        <v>#DIV/0!</v>
      </c>
      <c r="T118" s="199" t="str">
        <f t="shared" si="37"/>
        <v/>
      </c>
      <c r="U118" s="415">
        <f t="shared" si="39"/>
        <v>0</v>
      </c>
      <c r="V118" s="233">
        <f>IF(B118&lt;&gt;"",1/PRODUCT($U$11:U118),0)</f>
        <v>0</v>
      </c>
      <c r="AA118" s="240">
        <f t="shared" si="38"/>
        <v>0</v>
      </c>
      <c r="AB118" s="240">
        <f>IF(B118&lt;&gt;"",AA118/((1+$V$5)^(SUM($T$11:T118))),0)</f>
        <v>0</v>
      </c>
      <c r="AD118">
        <f t="shared" si="40"/>
        <v>0</v>
      </c>
      <c r="AE118">
        <f>IF(B118&lt;&gt;"",1/PRODUCT($AD$11:AD118),0)</f>
        <v>0</v>
      </c>
    </row>
    <row r="119" spans="2:31" ht="13" x14ac:dyDescent="0.3">
      <c r="B119" s="248" t="str">
        <f t="shared" si="22"/>
        <v/>
      </c>
      <c r="C119" s="249" t="str">
        <f t="shared" si="23"/>
        <v/>
      </c>
      <c r="D119" s="249" t="str">
        <f t="shared" si="24"/>
        <v/>
      </c>
      <c r="E119" s="250" t="str">
        <f t="shared" ca="1" si="25"/>
        <v/>
      </c>
      <c r="F119" s="250" t="str">
        <f t="shared" ca="1" si="26"/>
        <v/>
      </c>
      <c r="G119" s="250" t="str">
        <f t="shared" ca="1" si="27"/>
        <v/>
      </c>
      <c r="H119" s="250" t="str">
        <f t="shared" ca="1" si="28"/>
        <v/>
      </c>
      <c r="I119" s="99"/>
      <c r="K119" s="231"/>
      <c r="L119" s="199" t="str">
        <f t="shared" si="29"/>
        <v/>
      </c>
      <c r="M119" s="231" t="str">
        <f t="shared" si="30"/>
        <v/>
      </c>
      <c r="N119" s="231" t="str">
        <f t="shared" si="31"/>
        <v/>
      </c>
      <c r="O119" s="199">
        <f t="shared" si="32"/>
        <v>0</v>
      </c>
      <c r="P119" s="199">
        <f t="shared" si="33"/>
        <v>0</v>
      </c>
      <c r="Q119" s="199">
        <f t="shared" si="34"/>
        <v>0</v>
      </c>
      <c r="R119" s="199" t="e">
        <f t="shared" si="35"/>
        <v>#DIV/0!</v>
      </c>
      <c r="S119" s="199" t="e">
        <f t="shared" si="36"/>
        <v>#DIV/0!</v>
      </c>
      <c r="T119" s="199" t="str">
        <f t="shared" si="37"/>
        <v/>
      </c>
      <c r="U119" s="415">
        <f t="shared" si="39"/>
        <v>0</v>
      </c>
      <c r="V119" s="233">
        <f>IF(B119&lt;&gt;"",1/PRODUCT($U$11:U119),0)</f>
        <v>0</v>
      </c>
      <c r="AA119" s="240">
        <f t="shared" si="38"/>
        <v>0</v>
      </c>
      <c r="AB119" s="240">
        <f>IF(B119&lt;&gt;"",AA119/((1+$V$5)^(SUM($T$11:T119))),0)</f>
        <v>0</v>
      </c>
      <c r="AD119">
        <f t="shared" si="40"/>
        <v>0</v>
      </c>
      <c r="AE119">
        <f>IF(B119&lt;&gt;"",1/PRODUCT($AD$11:AD119),0)</f>
        <v>0</v>
      </c>
    </row>
    <row r="120" spans="2:31" ht="13" x14ac:dyDescent="0.3">
      <c r="B120" s="248" t="str">
        <f t="shared" si="22"/>
        <v/>
      </c>
      <c r="C120" s="249" t="str">
        <f t="shared" si="23"/>
        <v/>
      </c>
      <c r="D120" s="249" t="str">
        <f t="shared" si="24"/>
        <v/>
      </c>
      <c r="E120" s="250" t="str">
        <f t="shared" ca="1" si="25"/>
        <v/>
      </c>
      <c r="F120" s="250" t="str">
        <f t="shared" ca="1" si="26"/>
        <v/>
      </c>
      <c r="G120" s="250" t="str">
        <f t="shared" ca="1" si="27"/>
        <v/>
      </c>
      <c r="H120" s="250" t="str">
        <f t="shared" ca="1" si="28"/>
        <v/>
      </c>
      <c r="I120" s="99"/>
      <c r="K120" s="231"/>
      <c r="L120" s="199" t="str">
        <f t="shared" si="29"/>
        <v/>
      </c>
      <c r="M120" s="231" t="str">
        <f t="shared" si="30"/>
        <v/>
      </c>
      <c r="N120" s="231" t="str">
        <f t="shared" si="31"/>
        <v/>
      </c>
      <c r="O120" s="199">
        <f t="shared" si="32"/>
        <v>0</v>
      </c>
      <c r="P120" s="199">
        <f t="shared" si="33"/>
        <v>0</v>
      </c>
      <c r="Q120" s="199">
        <f t="shared" si="34"/>
        <v>0</v>
      </c>
      <c r="R120" s="199" t="e">
        <f t="shared" si="35"/>
        <v>#DIV/0!</v>
      </c>
      <c r="S120" s="199" t="e">
        <f t="shared" si="36"/>
        <v>#DIV/0!</v>
      </c>
      <c r="T120" s="199" t="str">
        <f t="shared" si="37"/>
        <v/>
      </c>
      <c r="U120" s="415">
        <f t="shared" si="39"/>
        <v>0</v>
      </c>
      <c r="V120" s="233">
        <f>IF(B120&lt;&gt;"",1/PRODUCT($U$11:U120),0)</f>
        <v>0</v>
      </c>
      <c r="AA120" s="240">
        <f t="shared" si="38"/>
        <v>0</v>
      </c>
      <c r="AB120" s="240">
        <f>IF(B120&lt;&gt;"",AA120/((1+$V$5)^(SUM($T$11:T120))),0)</f>
        <v>0</v>
      </c>
      <c r="AD120">
        <f t="shared" si="40"/>
        <v>0</v>
      </c>
      <c r="AE120">
        <f>IF(B120&lt;&gt;"",1/PRODUCT($AD$11:AD120),0)</f>
        <v>0</v>
      </c>
    </row>
    <row r="121" spans="2:31" ht="13" x14ac:dyDescent="0.3">
      <c r="B121" s="248" t="str">
        <f t="shared" si="22"/>
        <v/>
      </c>
      <c r="C121" s="249" t="str">
        <f t="shared" si="23"/>
        <v/>
      </c>
      <c r="D121" s="249" t="str">
        <f t="shared" si="24"/>
        <v/>
      </c>
      <c r="E121" s="250" t="str">
        <f t="shared" ca="1" si="25"/>
        <v/>
      </c>
      <c r="F121" s="250" t="str">
        <f t="shared" ca="1" si="26"/>
        <v/>
      </c>
      <c r="G121" s="250" t="str">
        <f t="shared" ca="1" si="27"/>
        <v/>
      </c>
      <c r="H121" s="250" t="str">
        <f t="shared" ca="1" si="28"/>
        <v/>
      </c>
      <c r="I121" s="99"/>
      <c r="K121" s="231"/>
      <c r="L121" s="199" t="str">
        <f t="shared" si="29"/>
        <v/>
      </c>
      <c r="M121" s="231" t="str">
        <f t="shared" si="30"/>
        <v/>
      </c>
      <c r="N121" s="231" t="str">
        <f t="shared" si="31"/>
        <v/>
      </c>
      <c r="O121" s="199">
        <f t="shared" si="32"/>
        <v>0</v>
      </c>
      <c r="P121" s="199">
        <f t="shared" si="33"/>
        <v>0</v>
      </c>
      <c r="Q121" s="199">
        <f t="shared" si="34"/>
        <v>0</v>
      </c>
      <c r="R121" s="199" t="e">
        <f t="shared" si="35"/>
        <v>#DIV/0!</v>
      </c>
      <c r="S121" s="199" t="e">
        <f t="shared" si="36"/>
        <v>#DIV/0!</v>
      </c>
      <c r="T121" s="199" t="str">
        <f t="shared" si="37"/>
        <v/>
      </c>
      <c r="U121" s="415">
        <f t="shared" si="39"/>
        <v>0</v>
      </c>
      <c r="V121" s="233">
        <f>IF(B121&lt;&gt;"",1/PRODUCT($U$11:U121),0)</f>
        <v>0</v>
      </c>
      <c r="AA121" s="240">
        <f t="shared" si="38"/>
        <v>0</v>
      </c>
      <c r="AB121" s="240">
        <f>IF(B121&lt;&gt;"",AA121/((1+$V$5)^(SUM($T$11:T121))),0)</f>
        <v>0</v>
      </c>
      <c r="AD121">
        <f t="shared" si="40"/>
        <v>0</v>
      </c>
      <c r="AE121">
        <f>IF(B121&lt;&gt;"",1/PRODUCT($AD$11:AD121),0)</f>
        <v>0</v>
      </c>
    </row>
    <row r="122" spans="2:31" ht="13" x14ac:dyDescent="0.3">
      <c r="B122" s="248" t="str">
        <f t="shared" si="22"/>
        <v/>
      </c>
      <c r="C122" s="249" t="str">
        <f t="shared" si="23"/>
        <v/>
      </c>
      <c r="D122" s="249" t="str">
        <f t="shared" si="24"/>
        <v/>
      </c>
      <c r="E122" s="250" t="str">
        <f t="shared" ca="1" si="25"/>
        <v/>
      </c>
      <c r="F122" s="250" t="str">
        <f t="shared" ca="1" si="26"/>
        <v/>
      </c>
      <c r="G122" s="250" t="str">
        <f t="shared" ca="1" si="27"/>
        <v/>
      </c>
      <c r="H122" s="250" t="str">
        <f t="shared" ca="1" si="28"/>
        <v/>
      </c>
      <c r="I122" s="99"/>
      <c r="K122" s="231"/>
      <c r="L122" s="199" t="str">
        <f t="shared" si="29"/>
        <v/>
      </c>
      <c r="M122" s="231" t="str">
        <f t="shared" si="30"/>
        <v/>
      </c>
      <c r="N122" s="231" t="str">
        <f t="shared" si="31"/>
        <v/>
      </c>
      <c r="O122" s="199">
        <f t="shared" si="32"/>
        <v>0</v>
      </c>
      <c r="P122" s="199">
        <f t="shared" si="33"/>
        <v>0</v>
      </c>
      <c r="Q122" s="199">
        <f t="shared" si="34"/>
        <v>0</v>
      </c>
      <c r="R122" s="199" t="e">
        <f t="shared" si="35"/>
        <v>#DIV/0!</v>
      </c>
      <c r="S122" s="199" t="e">
        <f t="shared" si="36"/>
        <v>#DIV/0!</v>
      </c>
      <c r="T122" s="199" t="str">
        <f t="shared" si="37"/>
        <v/>
      </c>
      <c r="U122" s="415">
        <f t="shared" si="39"/>
        <v>0</v>
      </c>
      <c r="V122" s="233">
        <f>IF(B122&lt;&gt;"",1/PRODUCT($U$11:U122),0)</f>
        <v>0</v>
      </c>
      <c r="AA122" s="240">
        <f t="shared" si="38"/>
        <v>0</v>
      </c>
      <c r="AB122" s="240">
        <f>IF(B122&lt;&gt;"",AA122/((1+$V$5)^(SUM($T$11:T122))),0)</f>
        <v>0</v>
      </c>
      <c r="AD122">
        <f t="shared" si="40"/>
        <v>0</v>
      </c>
      <c r="AE122">
        <f>IF(B122&lt;&gt;"",1/PRODUCT($AD$11:AD122),0)</f>
        <v>0</v>
      </c>
    </row>
    <row r="123" spans="2:31" ht="13" x14ac:dyDescent="0.3">
      <c r="B123" s="248" t="str">
        <f t="shared" si="22"/>
        <v/>
      </c>
      <c r="C123" s="249" t="str">
        <f t="shared" si="23"/>
        <v/>
      </c>
      <c r="D123" s="249" t="str">
        <f t="shared" si="24"/>
        <v/>
      </c>
      <c r="E123" s="250" t="str">
        <f t="shared" ca="1" si="25"/>
        <v/>
      </c>
      <c r="F123" s="250" t="str">
        <f t="shared" ca="1" si="26"/>
        <v/>
      </c>
      <c r="G123" s="250" t="str">
        <f t="shared" ca="1" si="27"/>
        <v/>
      </c>
      <c r="H123" s="250" t="str">
        <f t="shared" ca="1" si="28"/>
        <v/>
      </c>
      <c r="I123" s="99"/>
      <c r="K123" s="231"/>
      <c r="L123" s="199" t="str">
        <f t="shared" si="29"/>
        <v/>
      </c>
      <c r="M123" s="231" t="str">
        <f t="shared" si="30"/>
        <v/>
      </c>
      <c r="N123" s="231" t="str">
        <f t="shared" si="31"/>
        <v/>
      </c>
      <c r="O123" s="199">
        <f t="shared" si="32"/>
        <v>0</v>
      </c>
      <c r="P123" s="199">
        <f t="shared" si="33"/>
        <v>0</v>
      </c>
      <c r="Q123" s="199">
        <f t="shared" si="34"/>
        <v>0</v>
      </c>
      <c r="R123" s="199" t="e">
        <f t="shared" si="35"/>
        <v>#DIV/0!</v>
      </c>
      <c r="S123" s="199" t="e">
        <f t="shared" si="36"/>
        <v>#DIV/0!</v>
      </c>
      <c r="T123" s="199" t="str">
        <f t="shared" si="37"/>
        <v/>
      </c>
      <c r="U123" s="415">
        <f t="shared" si="39"/>
        <v>0</v>
      </c>
      <c r="V123" s="233">
        <f>IF(B123&lt;&gt;"",1/PRODUCT($U$11:U123),0)</f>
        <v>0</v>
      </c>
      <c r="AA123" s="240">
        <f t="shared" si="38"/>
        <v>0</v>
      </c>
      <c r="AB123" s="240">
        <f>IF(B123&lt;&gt;"",AA123/((1+$V$5)^(SUM($T$11:T123))),0)</f>
        <v>0</v>
      </c>
      <c r="AD123">
        <f t="shared" si="40"/>
        <v>0</v>
      </c>
      <c r="AE123">
        <f>IF(B123&lt;&gt;"",1/PRODUCT($AD$11:AD123),0)</f>
        <v>0</v>
      </c>
    </row>
    <row r="124" spans="2:31" ht="13" x14ac:dyDescent="0.3">
      <c r="B124" s="248" t="str">
        <f t="shared" si="22"/>
        <v/>
      </c>
      <c r="C124" s="249" t="str">
        <f t="shared" si="23"/>
        <v/>
      </c>
      <c r="D124" s="249" t="str">
        <f t="shared" si="24"/>
        <v/>
      </c>
      <c r="E124" s="250" t="str">
        <f t="shared" ca="1" si="25"/>
        <v/>
      </c>
      <c r="F124" s="250" t="str">
        <f t="shared" ca="1" si="26"/>
        <v/>
      </c>
      <c r="G124" s="250" t="str">
        <f t="shared" ca="1" si="27"/>
        <v/>
      </c>
      <c r="H124" s="250" t="str">
        <f t="shared" ca="1" si="28"/>
        <v/>
      </c>
      <c r="I124" s="99"/>
      <c r="K124" s="231"/>
      <c r="L124" s="199" t="str">
        <f t="shared" si="29"/>
        <v/>
      </c>
      <c r="M124" s="231" t="str">
        <f t="shared" si="30"/>
        <v/>
      </c>
      <c r="N124" s="231" t="str">
        <f t="shared" si="31"/>
        <v/>
      </c>
      <c r="O124" s="199">
        <f t="shared" si="32"/>
        <v>0</v>
      </c>
      <c r="P124" s="199">
        <f t="shared" si="33"/>
        <v>0</v>
      </c>
      <c r="Q124" s="199">
        <f t="shared" si="34"/>
        <v>0</v>
      </c>
      <c r="R124" s="199" t="e">
        <f t="shared" si="35"/>
        <v>#DIV/0!</v>
      </c>
      <c r="S124" s="199" t="e">
        <f t="shared" si="36"/>
        <v>#DIV/0!</v>
      </c>
      <c r="T124" s="199" t="str">
        <f t="shared" si="37"/>
        <v/>
      </c>
      <c r="U124" s="415">
        <f t="shared" si="39"/>
        <v>0</v>
      </c>
      <c r="V124" s="233">
        <f>IF(B124&lt;&gt;"",1/PRODUCT($U$11:U124),0)</f>
        <v>0</v>
      </c>
      <c r="AA124" s="240">
        <f t="shared" si="38"/>
        <v>0</v>
      </c>
      <c r="AB124" s="240">
        <f>IF(B124&lt;&gt;"",AA124/((1+$V$5)^(SUM($T$11:T124))),0)</f>
        <v>0</v>
      </c>
      <c r="AD124">
        <f t="shared" si="40"/>
        <v>0</v>
      </c>
      <c r="AE124">
        <f>IF(B124&lt;&gt;"",1/PRODUCT($AD$11:AD124),0)</f>
        <v>0</v>
      </c>
    </row>
    <row r="125" spans="2:31" ht="13" x14ac:dyDescent="0.3">
      <c r="B125" s="248" t="str">
        <f t="shared" si="22"/>
        <v/>
      </c>
      <c r="C125" s="249" t="str">
        <f t="shared" si="23"/>
        <v/>
      </c>
      <c r="D125" s="249" t="str">
        <f t="shared" si="24"/>
        <v/>
      </c>
      <c r="E125" s="250" t="str">
        <f t="shared" ca="1" si="25"/>
        <v/>
      </c>
      <c r="F125" s="250" t="str">
        <f t="shared" ca="1" si="26"/>
        <v/>
      </c>
      <c r="G125" s="250" t="str">
        <f t="shared" ca="1" si="27"/>
        <v/>
      </c>
      <c r="H125" s="250" t="str">
        <f t="shared" ca="1" si="28"/>
        <v/>
      </c>
      <c r="I125" s="99"/>
      <c r="K125" s="231"/>
      <c r="L125" s="199" t="str">
        <f t="shared" si="29"/>
        <v/>
      </c>
      <c r="M125" s="231" t="str">
        <f t="shared" si="30"/>
        <v/>
      </c>
      <c r="N125" s="231" t="str">
        <f t="shared" si="31"/>
        <v/>
      </c>
      <c r="O125" s="199">
        <f t="shared" si="32"/>
        <v>0</v>
      </c>
      <c r="P125" s="199">
        <f t="shared" si="33"/>
        <v>0</v>
      </c>
      <c r="Q125" s="199">
        <f t="shared" si="34"/>
        <v>0</v>
      </c>
      <c r="R125" s="199" t="e">
        <f t="shared" si="35"/>
        <v>#DIV/0!</v>
      </c>
      <c r="S125" s="199" t="e">
        <f t="shared" si="36"/>
        <v>#DIV/0!</v>
      </c>
      <c r="T125" s="199" t="str">
        <f t="shared" si="37"/>
        <v/>
      </c>
      <c r="U125" s="415">
        <f t="shared" si="39"/>
        <v>0</v>
      </c>
      <c r="V125" s="233">
        <f>IF(B125&lt;&gt;"",1/PRODUCT($U$11:U125),0)</f>
        <v>0</v>
      </c>
      <c r="AA125" s="240">
        <f t="shared" si="38"/>
        <v>0</v>
      </c>
      <c r="AB125" s="240">
        <f>IF(B125&lt;&gt;"",AA125/((1+$V$5)^(SUM($T$11:T125))),0)</f>
        <v>0</v>
      </c>
      <c r="AD125">
        <f t="shared" si="40"/>
        <v>0</v>
      </c>
      <c r="AE125">
        <f>IF(B125&lt;&gt;"",1/PRODUCT($AD$11:AD125),0)</f>
        <v>0</v>
      </c>
    </row>
    <row r="126" spans="2:31" ht="13" x14ac:dyDescent="0.3">
      <c r="B126" s="248" t="str">
        <f t="shared" si="22"/>
        <v/>
      </c>
      <c r="C126" s="249" t="str">
        <f t="shared" si="23"/>
        <v/>
      </c>
      <c r="D126" s="249" t="str">
        <f t="shared" si="24"/>
        <v/>
      </c>
      <c r="E126" s="250" t="str">
        <f t="shared" ca="1" si="25"/>
        <v/>
      </c>
      <c r="F126" s="250" t="str">
        <f t="shared" ca="1" si="26"/>
        <v/>
      </c>
      <c r="G126" s="250" t="str">
        <f t="shared" ca="1" si="27"/>
        <v/>
      </c>
      <c r="H126" s="250" t="str">
        <f t="shared" ca="1" si="28"/>
        <v/>
      </c>
      <c r="I126" s="99"/>
      <c r="K126" s="231"/>
      <c r="L126" s="199" t="str">
        <f t="shared" si="29"/>
        <v/>
      </c>
      <c r="M126" s="231" t="str">
        <f t="shared" si="30"/>
        <v/>
      </c>
      <c r="N126" s="231" t="str">
        <f t="shared" si="31"/>
        <v/>
      </c>
      <c r="O126" s="199">
        <f t="shared" si="32"/>
        <v>0</v>
      </c>
      <c r="P126" s="199">
        <f t="shared" si="33"/>
        <v>0</v>
      </c>
      <c r="Q126" s="199">
        <f t="shared" si="34"/>
        <v>0</v>
      </c>
      <c r="R126" s="199" t="e">
        <f t="shared" si="35"/>
        <v>#DIV/0!</v>
      </c>
      <c r="S126" s="199" t="e">
        <f t="shared" si="36"/>
        <v>#DIV/0!</v>
      </c>
      <c r="T126" s="199" t="str">
        <f t="shared" si="37"/>
        <v/>
      </c>
      <c r="U126" s="415">
        <f t="shared" si="39"/>
        <v>0</v>
      </c>
      <c r="V126" s="233">
        <f>IF(B126&lt;&gt;"",1/PRODUCT($U$11:U126),0)</f>
        <v>0</v>
      </c>
      <c r="AA126" s="240">
        <f t="shared" si="38"/>
        <v>0</v>
      </c>
      <c r="AB126" s="240">
        <f>IF(B126&lt;&gt;"",AA126/((1+$V$5)^(SUM($T$11:T126))),0)</f>
        <v>0</v>
      </c>
      <c r="AD126">
        <f t="shared" si="40"/>
        <v>0</v>
      </c>
      <c r="AE126">
        <f>IF(B126&lt;&gt;"",1/PRODUCT($AD$11:AD126),0)</f>
        <v>0</v>
      </c>
    </row>
    <row r="127" spans="2:31" ht="13" x14ac:dyDescent="0.3">
      <c r="B127" s="248" t="str">
        <f t="shared" si="22"/>
        <v/>
      </c>
      <c r="C127" s="249" t="str">
        <f t="shared" si="23"/>
        <v/>
      </c>
      <c r="D127" s="249" t="str">
        <f t="shared" si="24"/>
        <v/>
      </c>
      <c r="E127" s="250" t="str">
        <f t="shared" ca="1" si="25"/>
        <v/>
      </c>
      <c r="F127" s="250" t="str">
        <f t="shared" ca="1" si="26"/>
        <v/>
      </c>
      <c r="G127" s="250" t="str">
        <f t="shared" ca="1" si="27"/>
        <v/>
      </c>
      <c r="H127" s="250" t="str">
        <f t="shared" ca="1" si="28"/>
        <v/>
      </c>
      <c r="I127" s="99"/>
      <c r="K127" s="231"/>
      <c r="L127" s="199" t="str">
        <f t="shared" si="29"/>
        <v/>
      </c>
      <c r="M127" s="231" t="str">
        <f t="shared" si="30"/>
        <v/>
      </c>
      <c r="N127" s="231" t="str">
        <f t="shared" si="31"/>
        <v/>
      </c>
      <c r="O127" s="199">
        <f t="shared" si="32"/>
        <v>0</v>
      </c>
      <c r="P127" s="199">
        <f t="shared" si="33"/>
        <v>0</v>
      </c>
      <c r="Q127" s="199">
        <f t="shared" si="34"/>
        <v>0</v>
      </c>
      <c r="R127" s="199" t="e">
        <f t="shared" si="35"/>
        <v>#DIV/0!</v>
      </c>
      <c r="S127" s="199" t="e">
        <f t="shared" si="36"/>
        <v>#DIV/0!</v>
      </c>
      <c r="T127" s="199" t="str">
        <f t="shared" si="37"/>
        <v/>
      </c>
      <c r="U127" s="415">
        <f t="shared" si="39"/>
        <v>0</v>
      </c>
      <c r="V127" s="233">
        <f>IF(B127&lt;&gt;"",1/PRODUCT($U$11:U127),0)</f>
        <v>0</v>
      </c>
      <c r="AA127" s="240">
        <f t="shared" si="38"/>
        <v>0</v>
      </c>
      <c r="AB127" s="240">
        <f>IF(B127&lt;&gt;"",AA127/((1+$V$5)^(SUM($T$11:T127))),0)</f>
        <v>0</v>
      </c>
      <c r="AD127">
        <f t="shared" si="40"/>
        <v>0</v>
      </c>
      <c r="AE127">
        <f>IF(B127&lt;&gt;"",1/PRODUCT($AD$11:AD127),0)</f>
        <v>0</v>
      </c>
    </row>
    <row r="128" spans="2:31" ht="13" x14ac:dyDescent="0.3">
      <c r="B128" s="248" t="str">
        <f t="shared" si="22"/>
        <v/>
      </c>
      <c r="C128" s="249" t="str">
        <f t="shared" si="23"/>
        <v/>
      </c>
      <c r="D128" s="249" t="str">
        <f t="shared" si="24"/>
        <v/>
      </c>
      <c r="E128" s="250" t="str">
        <f t="shared" ca="1" si="25"/>
        <v/>
      </c>
      <c r="F128" s="250" t="str">
        <f t="shared" ca="1" si="26"/>
        <v/>
      </c>
      <c r="G128" s="250" t="str">
        <f t="shared" ca="1" si="27"/>
        <v/>
      </c>
      <c r="H128" s="250" t="str">
        <f t="shared" ca="1" si="28"/>
        <v/>
      </c>
      <c r="I128" s="99"/>
      <c r="K128" s="231"/>
      <c r="L128" s="199" t="str">
        <f t="shared" si="29"/>
        <v/>
      </c>
      <c r="M128" s="231" t="str">
        <f t="shared" si="30"/>
        <v/>
      </c>
      <c r="N128" s="231" t="str">
        <f t="shared" si="31"/>
        <v/>
      </c>
      <c r="O128" s="199">
        <f t="shared" si="32"/>
        <v>0</v>
      </c>
      <c r="P128" s="199">
        <f t="shared" si="33"/>
        <v>0</v>
      </c>
      <c r="Q128" s="199">
        <f t="shared" si="34"/>
        <v>0</v>
      </c>
      <c r="R128" s="199" t="e">
        <f t="shared" si="35"/>
        <v>#DIV/0!</v>
      </c>
      <c r="S128" s="199" t="e">
        <f t="shared" si="36"/>
        <v>#DIV/0!</v>
      </c>
      <c r="T128" s="199" t="str">
        <f t="shared" si="37"/>
        <v/>
      </c>
      <c r="U128" s="415">
        <f t="shared" si="39"/>
        <v>0</v>
      </c>
      <c r="V128" s="233">
        <f>IF(B128&lt;&gt;"",1/PRODUCT($U$11:U128),0)</f>
        <v>0</v>
      </c>
      <c r="AA128" s="240">
        <f t="shared" si="38"/>
        <v>0</v>
      </c>
      <c r="AB128" s="240">
        <f>IF(B128&lt;&gt;"",AA128/((1+$V$5)^(SUM($T$11:T128))),0)</f>
        <v>0</v>
      </c>
      <c r="AD128">
        <f t="shared" si="40"/>
        <v>0</v>
      </c>
      <c r="AE128">
        <f>IF(B128&lt;&gt;"",1/PRODUCT($AD$11:AD128),0)</f>
        <v>0</v>
      </c>
    </row>
    <row r="129" spans="2:31" ht="13" x14ac:dyDescent="0.3">
      <c r="B129" s="248" t="str">
        <f t="shared" si="22"/>
        <v/>
      </c>
      <c r="C129" s="249" t="str">
        <f t="shared" si="23"/>
        <v/>
      </c>
      <c r="D129" s="249" t="str">
        <f t="shared" si="24"/>
        <v/>
      </c>
      <c r="E129" s="250" t="str">
        <f t="shared" ca="1" si="25"/>
        <v/>
      </c>
      <c r="F129" s="250" t="str">
        <f t="shared" ca="1" si="26"/>
        <v/>
      </c>
      <c r="G129" s="250" t="str">
        <f t="shared" ca="1" si="27"/>
        <v/>
      </c>
      <c r="H129" s="250" t="str">
        <f t="shared" ca="1" si="28"/>
        <v/>
      </c>
      <c r="I129" s="99"/>
      <c r="K129" s="231"/>
      <c r="L129" s="199" t="str">
        <f t="shared" si="29"/>
        <v/>
      </c>
      <c r="M129" s="231" t="str">
        <f t="shared" si="30"/>
        <v/>
      </c>
      <c r="N129" s="231" t="str">
        <f t="shared" si="31"/>
        <v/>
      </c>
      <c r="O129" s="199">
        <f t="shared" si="32"/>
        <v>0</v>
      </c>
      <c r="P129" s="199">
        <f t="shared" si="33"/>
        <v>0</v>
      </c>
      <c r="Q129" s="199">
        <f t="shared" si="34"/>
        <v>0</v>
      </c>
      <c r="R129" s="199" t="e">
        <f t="shared" si="35"/>
        <v>#DIV/0!</v>
      </c>
      <c r="S129" s="199" t="e">
        <f t="shared" si="36"/>
        <v>#DIV/0!</v>
      </c>
      <c r="T129" s="199" t="str">
        <f t="shared" si="37"/>
        <v/>
      </c>
      <c r="U129" s="415">
        <f t="shared" si="39"/>
        <v>0</v>
      </c>
      <c r="V129" s="233">
        <f>IF(B129&lt;&gt;"",1/PRODUCT($U$11:U129),0)</f>
        <v>0</v>
      </c>
      <c r="AA129" s="240">
        <f t="shared" si="38"/>
        <v>0</v>
      </c>
      <c r="AB129" s="240">
        <f>IF(B129&lt;&gt;"",AA129/((1+$V$5)^(SUM($T$11:T129))),0)</f>
        <v>0</v>
      </c>
      <c r="AD129">
        <f t="shared" si="40"/>
        <v>0</v>
      </c>
      <c r="AE129">
        <f>IF(B129&lt;&gt;"",1/PRODUCT($AD$11:AD129),0)</f>
        <v>0</v>
      </c>
    </row>
    <row r="130" spans="2:31" ht="13" x14ac:dyDescent="0.3">
      <c r="B130" s="248" t="str">
        <f t="shared" si="22"/>
        <v/>
      </c>
      <c r="C130" s="249" t="str">
        <f t="shared" si="23"/>
        <v/>
      </c>
      <c r="D130" s="249" t="str">
        <f t="shared" si="24"/>
        <v/>
      </c>
      <c r="E130" s="250" t="str">
        <f t="shared" ca="1" si="25"/>
        <v/>
      </c>
      <c r="F130" s="250" t="str">
        <f t="shared" ca="1" si="26"/>
        <v/>
      </c>
      <c r="G130" s="250" t="str">
        <f t="shared" ca="1" si="27"/>
        <v/>
      </c>
      <c r="H130" s="250" t="str">
        <f t="shared" ca="1" si="28"/>
        <v/>
      </c>
      <c r="I130" s="99"/>
      <c r="K130" s="231"/>
      <c r="L130" s="199" t="str">
        <f t="shared" si="29"/>
        <v/>
      </c>
      <c r="M130" s="231" t="str">
        <f t="shared" si="30"/>
        <v/>
      </c>
      <c r="N130" s="231" t="str">
        <f t="shared" si="31"/>
        <v/>
      </c>
      <c r="O130" s="199">
        <f t="shared" si="32"/>
        <v>0</v>
      </c>
      <c r="P130" s="199">
        <f t="shared" si="33"/>
        <v>0</v>
      </c>
      <c r="Q130" s="199">
        <f t="shared" si="34"/>
        <v>0</v>
      </c>
      <c r="R130" s="199" t="e">
        <f t="shared" si="35"/>
        <v>#DIV/0!</v>
      </c>
      <c r="S130" s="199" t="e">
        <f t="shared" si="36"/>
        <v>#DIV/0!</v>
      </c>
      <c r="T130" s="199" t="str">
        <f t="shared" si="37"/>
        <v/>
      </c>
      <c r="U130" s="415">
        <f t="shared" si="39"/>
        <v>0</v>
      </c>
      <c r="V130" s="233">
        <f>IF(B130&lt;&gt;"",1/PRODUCT($U$11:U130),0)</f>
        <v>0</v>
      </c>
      <c r="AA130" s="240">
        <f t="shared" si="38"/>
        <v>0</v>
      </c>
      <c r="AB130" s="240">
        <f>IF(B130&lt;&gt;"",AA130/((1+$V$5)^(SUM($T$11:T130))),0)</f>
        <v>0</v>
      </c>
      <c r="AD130">
        <f t="shared" si="40"/>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honeticPr fontId="6" type="noConversion"/>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18531" r:id="rId5" name="Button 99">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Arkusz22">
    <tabColor indexed="18"/>
  </sheetPr>
  <dimension ref="A1:AI200"/>
  <sheetViews>
    <sheetView workbookViewId="0">
      <selection activeCell="D1" sqref="D1"/>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46229</v>
      </c>
      <c r="C1" s="85"/>
      <c r="D1" s="217">
        <f>IF(D3=D4,D4,D3-F_SKROCONY!$D$12+3%)</f>
        <v>7.7399999999999997E-2</v>
      </c>
      <c r="E1" s="218" t="str">
        <f ca="1">IF(I2&lt;&gt;"",I2,IF(I3&lt;&gt;"",I3,I4))</f>
        <v/>
      </c>
      <c r="F1" s="218">
        <f ca="1">IF(G2&lt;=MAX_,E2,IF(G3&lt;=MAX_,E3,E4))</f>
        <v>46229</v>
      </c>
      <c r="G1" s="214">
        <v>45</v>
      </c>
      <c r="H1" s="255">
        <f ca="1">IF(OR(H2=D4,D1=D4),1,0)</f>
        <v>0</v>
      </c>
      <c r="I1">
        <v>15</v>
      </c>
      <c r="K1" s="252"/>
      <c r="M1" s="252"/>
      <c r="N1" s="252"/>
      <c r="O1" s="252"/>
      <c r="P1" s="252"/>
      <c r="Q1" s="252"/>
      <c r="R1" s="252"/>
      <c r="S1" s="252"/>
      <c r="T1" s="252"/>
    </row>
    <row r="2" spans="1:33" ht="13" x14ac:dyDescent="0.3">
      <c r="A2" s="205"/>
      <c r="B2" s="350">
        <f ca="1">DATE(YEAR((E5)),MONTH((E5))+1,1)-1</f>
        <v>46203</v>
      </c>
      <c r="C2" s="351">
        <f ca="1">DAY(B2)</f>
        <v>30</v>
      </c>
      <c r="D2" s="4"/>
      <c r="E2" s="213">
        <f ca="1">IF(MOD(MONTH(F2)-MONTH(F3),12)&gt;1,DATE(YEAR(F2),MONTH(F2),DAY(F2)-DAY(F2)),F2)</f>
        <v>46260</v>
      </c>
      <c r="F2" s="213">
        <f ca="1">DATE(YEAR(E5),MONTH(E5)+2,$G$5)</f>
        <v>46260</v>
      </c>
      <c r="G2" s="215">
        <f ca="1">E2-$E$5</f>
        <v>61</v>
      </c>
      <c r="H2" s="221">
        <f ca="1">ROUND(AE4,2)</f>
        <v>753.16</v>
      </c>
      <c r="I2" s="264" t="str">
        <f ca="1">IF(AND(G2&lt;=MAX_,G2&gt;=MIN),E2,"")</f>
        <v/>
      </c>
    </row>
    <row r="3" spans="1:33" ht="13.5" thickBot="1" x14ac:dyDescent="0.35">
      <c r="A3" s="209" t="s">
        <v>59</v>
      </c>
      <c r="B3" s="254"/>
      <c r="C3" s="4"/>
      <c r="D3" s="212">
        <f>'DOD1'!H3</f>
        <v>8.4900000000000003E-2</v>
      </c>
      <c r="E3" s="213">
        <f ca="1">IF(MOD(MONTH(F3)-MONTH(F4),12)&gt;1,DATE(YEAR(F3),MONTH(F3),DAY(F3)-DAY(F3)),F3)</f>
        <v>46229</v>
      </c>
      <c r="F3" s="213">
        <f ca="1">DATE(YEAR(E5),MONTH(E5)+1,$G$5)</f>
        <v>46229</v>
      </c>
      <c r="G3" s="215">
        <f ca="1">E3-E5</f>
        <v>30</v>
      </c>
      <c r="I3" s="265"/>
      <c r="P3" s="411" t="s">
        <v>180</v>
      </c>
      <c r="Q3" s="412">
        <v>365</v>
      </c>
    </row>
    <row r="4" spans="1:33" ht="13.5" thickBot="1" x14ac:dyDescent="0.35">
      <c r="A4" s="211" t="s">
        <v>19</v>
      </c>
      <c r="B4" s="204"/>
      <c r="C4" s="204"/>
      <c r="D4" s="206" t="s">
        <v>15</v>
      </c>
      <c r="E4" s="213">
        <f ca="1">IF(MOD(MONTH(F4)-MONTH(F5),12)&gt;1,DATE(YEAR(F4),MONTH(F4),DAY(F4)-DAY(F4)),F4)</f>
        <v>46199</v>
      </c>
      <c r="F4" s="213">
        <f ca="1">DATE(YEAR(E5),MONTH(E5),$G$5)</f>
        <v>46199</v>
      </c>
      <c r="G4" s="215">
        <f ca="1">(E4-E5)</f>
        <v>0</v>
      </c>
      <c r="H4" s="262">
        <f ca="1">VLOOKUP(B6,B11:D130,3,FALSE)</f>
        <v>47660</v>
      </c>
      <c r="I4" s="265" t="str">
        <f ca="1">IF(AND(G4&lt;=MAX_,G4&gt;=MIN),E4,"")</f>
        <v/>
      </c>
      <c r="M4" s="916"/>
      <c r="U4" s="945" t="s">
        <v>121</v>
      </c>
      <c r="V4" s="946">
        <f ca="1">G10/V9</f>
        <v>753.08161622293937</v>
      </c>
      <c r="AD4" s="413" t="s">
        <v>121</v>
      </c>
      <c r="AE4" s="203">
        <f ca="1">G10/AE9</f>
        <v>753.15597936362394</v>
      </c>
      <c r="AF4" s="609" t="s">
        <v>1959</v>
      </c>
    </row>
    <row r="5" spans="1:33" ht="13.5" thickBot="1" x14ac:dyDescent="0.35">
      <c r="A5" s="210" t="s">
        <v>60</v>
      </c>
      <c r="B5" s="2"/>
      <c r="C5" s="615">
        <f>'DOD1'!E8</f>
        <v>48</v>
      </c>
      <c r="D5" s="2"/>
      <c r="E5" s="614">
        <f ca="1">WERSJA2!D18</f>
        <v>46199</v>
      </c>
      <c r="F5" s="618">
        <f ca="1">DATE(YEAR(E5),MONTH(E5)-1,$G$5)</f>
        <v>46168</v>
      </c>
      <c r="G5" s="615">
        <f ca="1">WERSJA2!D19</f>
        <v>26</v>
      </c>
      <c r="H5" s="262">
        <f ca="1">D11</f>
        <v>46229</v>
      </c>
      <c r="I5" s="263" t="s">
        <v>167</v>
      </c>
      <c r="M5" s="916"/>
      <c r="U5" s="228" t="s">
        <v>150</v>
      </c>
      <c r="V5" s="229">
        <v>0.17451905146291249</v>
      </c>
      <c r="AD5" s="609" t="s">
        <v>1817</v>
      </c>
    </row>
    <row r="6" spans="1:33" ht="13.5" thickBot="1" x14ac:dyDescent="0.35">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45</v>
      </c>
      <c r="AB7" s="226" t="s">
        <v>144</v>
      </c>
      <c r="AD7" s="178" t="s">
        <v>182</v>
      </c>
      <c r="AE7" s="178" t="s">
        <v>183</v>
      </c>
    </row>
    <row r="8" spans="1:33" ht="13.5" thickBot="1" x14ac:dyDescent="0.35">
      <c r="A8" s="192" t="str">
        <f>WERSJA2!C4</f>
        <v>RODZAJ POŻYCZKI</v>
      </c>
      <c r="B8" s="24"/>
      <c r="C8" s="24"/>
      <c r="E8" s="207" t="s">
        <v>5</v>
      </c>
      <c r="F8" s="241">
        <f>D1</f>
        <v>7.7399999999999997E-2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-4521.7784548693962</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46203</v>
      </c>
      <c r="N9" s="232">
        <f ca="1">D10</f>
        <v>46199</v>
      </c>
      <c r="Q9" s="199">
        <f ca="1">IF(B9&lt;&gt;"",IF(MOD(YEAR(N9),4)=0,366,365),0)</f>
        <v>365</v>
      </c>
      <c r="U9" s="234"/>
      <c r="V9" s="235">
        <f ca="1">SUM(V11:V130)</f>
        <v>41.164196990333757</v>
      </c>
      <c r="Z9" s="236">
        <f ca="1">G10/((1+$V$5)^(0/Q9))</f>
        <v>31000</v>
      </c>
      <c r="AA9" s="237">
        <f>G10</f>
        <v>31000</v>
      </c>
      <c r="AB9" s="236">
        <f ca="1">SUM(AB10:AB130)</f>
        <v>26478.221545130604</v>
      </c>
      <c r="AE9" s="235">
        <f ca="1">SUM(AE11:AE130)</f>
        <v>41.160132627763673</v>
      </c>
      <c r="AF9">
        <v>11.930682479761785</v>
      </c>
      <c r="AG9" s="653"/>
    </row>
    <row r="10" spans="1:33" ht="13" x14ac:dyDescent="0.3">
      <c r="A10" s="194" t="str">
        <f>WERSJA2!C6</f>
        <v>SEGMENT KLIENTA</v>
      </c>
      <c r="B10" s="242">
        <v>0</v>
      </c>
      <c r="C10" s="243">
        <f ca="1">E5</f>
        <v>46199</v>
      </c>
      <c r="D10" s="243">
        <f ca="1">E5</f>
        <v>46199</v>
      </c>
      <c r="E10" s="24"/>
      <c r="F10" s="24"/>
      <c r="G10" s="244">
        <f>'DOD1'!K3</f>
        <v>31000</v>
      </c>
      <c r="H10" s="24"/>
      <c r="I10" s="99"/>
      <c r="K10" s="919">
        <v>0</v>
      </c>
      <c r="L10" s="199" t="s">
        <v>147</v>
      </c>
      <c r="M10" s="232">
        <f ca="1">DATE(YEAR((N11)),MONTH((N11)+1),1)-1</f>
        <v>46203</v>
      </c>
      <c r="N10" s="232">
        <f ca="1">DATE(YEAR(N11),MONTH(N11)-1,DAY(N11))</f>
        <v>46199</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46229</v>
      </c>
      <c r="D11" s="246">
        <f ca="1">B1</f>
        <v>46229</v>
      </c>
      <c r="E11" s="247">
        <f ca="1">IF($H$1&lt;&gt;1,IF(B11=$C$5,H11-F11,IF(B11&lt;&gt;"",ROUND(G10*($D$3)*((SUM(O10:P11)/365)),2),"")),"Brak Oferty")</f>
        <v>216.32</v>
      </c>
      <c r="F11" s="247">
        <f ca="1">IF($H$1&lt;&gt;1,IF(B11=$C$5,G10,IF(B11&lt;&gt;"",ROUND((H11-E11),2),"")),"Brak Oferty")</f>
        <v>536.84</v>
      </c>
      <c r="G11" s="247">
        <f ca="1">IF($H$1&lt;&gt;1,IF(B11&lt;&gt;"",G10-F11,""),"Brak Oferty")</f>
        <v>30463.16</v>
      </c>
      <c r="H11" s="247">
        <f ca="1">IF($H$1&lt;&gt;1,IF(B11&lt;&gt;"",$H$2,""),$D$4)</f>
        <v>753.16</v>
      </c>
      <c r="I11" s="99"/>
      <c r="K11" s="918">
        <v>1</v>
      </c>
      <c r="L11" s="202" t="s">
        <v>147</v>
      </c>
      <c r="M11" s="238">
        <f ca="1">IF(B11&lt;&gt;"",DATE(YEAR((D11)),MONTH((D11))+1,1)-1,"")</f>
        <v>46234</v>
      </c>
      <c r="N11" s="238">
        <f ca="1">D11</f>
        <v>46229</v>
      </c>
      <c r="O11" s="202">
        <f ca="1">IF(M6=1,0,IF(M6=2,M9-N9+1,M10-N10+1))</f>
        <v>5</v>
      </c>
      <c r="P11" s="202">
        <f ca="1">IF(M6=1,N11-N9,IF(M6=2,N11-M9-1,N11-M10-1))</f>
        <v>25</v>
      </c>
      <c r="Q11" s="202">
        <f t="shared" ref="Q11:Q74" ca="1" si="0">IF(B11&lt;&gt;"",IF(MOD(YEAR(N11),4)=0,366,365),0)</f>
        <v>365</v>
      </c>
      <c r="R11" s="202">
        <f ca="1">IF(1,O11/Q10,"")</f>
        <v>1.3698630136986301E-2</v>
      </c>
      <c r="S11" s="202">
        <f ca="1">IF(1,P11/Q11,"")</f>
        <v>6.8493150684931503E-2</v>
      </c>
      <c r="T11" s="202">
        <f ca="1">IF(B11&lt;&gt;"",R10+S10+R11+S11,"")</f>
        <v>8.2191780821917804E-2</v>
      </c>
      <c r="U11" s="415">
        <f ca="1">IF(B11&lt;&gt;"",1+$D$1*T11,0)</f>
        <v>1.0063616438356164</v>
      </c>
      <c r="V11" s="202">
        <f ca="1">IF(B11&lt;&gt;"",1/U11,0)</f>
        <v>0.99367857084519851</v>
      </c>
      <c r="W11" s="197"/>
      <c r="X11" s="197"/>
      <c r="Y11" s="197"/>
      <c r="Z11" s="197"/>
      <c r="AA11" s="239">
        <f ca="1">IF(B11&lt;&gt;"",$H$2,0)</f>
        <v>753.16</v>
      </c>
      <c r="AB11" s="239">
        <f ca="1">IF(B11&lt;&gt;"",AA11/((1+$V$5)^T11),0)</f>
        <v>743.26780845645305</v>
      </c>
      <c r="AC11" s="197"/>
      <c r="AD11" s="202">
        <f ca="1">IF(B11&lt;&gt;"",1+$D$1*((O10+P10+O11+P11)/365),0)</f>
        <v>1.0063616438356164</v>
      </c>
      <c r="AE11" s="202">
        <f ca="1">IF(B11&lt;&gt;"",1/AD11,0)</f>
        <v>0.99367857084519851</v>
      </c>
    </row>
    <row r="12" spans="1:33" ht="13" x14ac:dyDescent="0.3">
      <c r="A12" s="194" t="str">
        <f>WERSJA2!C8</f>
        <v>KONSOLIDACJA</v>
      </c>
      <c r="B12" s="248">
        <f t="shared" ref="B12:B75" si="1">IF(B11&lt;$C$5,IF(B11&lt;&gt;"",B11+1,1),"")</f>
        <v>2</v>
      </c>
      <c r="C12" s="249">
        <f ca="1">IF(B12&lt;&gt;"",DATE(YEAR(D11),MONTH(D11)+1,$G$5),"")</f>
        <v>46260</v>
      </c>
      <c r="D12" s="249">
        <f ca="1">IF(B12&lt;&gt;"",IF(MOD(MONTH(C12)-MONTH(C11),12)&gt;1,DATE(YEAR(C12),MONTH(C12),DAY(C12)-DAY(C12)),C12),"")</f>
        <v>46260</v>
      </c>
      <c r="E12" s="250">
        <f ca="1">IF($H$1&lt;&gt;1,IF(B12=$C$5,H12-F12,IF(B12&lt;&gt;"",ROUND(G11*($D$3)*((SUM(O12:P12)/365)),2),"")),"Brak Oferty")</f>
        <v>219.66</v>
      </c>
      <c r="F12" s="250">
        <f ca="1">IF($H$1&lt;&gt;1,IF(B12=$C$5,G11,IF(B12&lt;&gt;"",ROUND((H12-E12),2),"")),"Brak Oferty")</f>
        <v>533.5</v>
      </c>
      <c r="G12" s="250">
        <f t="shared" ref="G12:G75" ca="1" si="2">IF($H$1&lt;&gt;1,IF(B12&lt;&gt;"",G11-F12,""),"Brak Oferty")</f>
        <v>29929.66</v>
      </c>
      <c r="H12" s="250">
        <f t="shared" ref="H12:H75" ca="1" si="3">IF($H$1&lt;&gt;1,IF(B12&lt;&gt;"",$H$2,""),$D$4)</f>
        <v>753.16</v>
      </c>
      <c r="I12" s="99"/>
      <c r="K12" s="240"/>
      <c r="L12" s="199" t="str">
        <f>IF(B12&lt;&gt;"",L11,"")</f>
        <v>R</v>
      </c>
      <c r="M12" s="231">
        <f ca="1">IF(B12&lt;&gt;"",DATE(YEAR((D12)),MONTH((D12))+1,1)-1,"")</f>
        <v>46265</v>
      </c>
      <c r="N12" s="231">
        <f ca="1">D12</f>
        <v>46260</v>
      </c>
      <c r="O12" s="253">
        <f ca="1">IF(B12&lt;&gt;"",M11-N11+1,0)</f>
        <v>6</v>
      </c>
      <c r="P12" s="199">
        <f ca="1">IF(B12&lt;&gt;"",N12-M11-1,0)</f>
        <v>25</v>
      </c>
      <c r="Q12" s="199">
        <f ca="1">IF(B12&lt;&gt;"",IF(MOD(YEAR(N12),4)=0,366,365),0)</f>
        <v>365</v>
      </c>
      <c r="R12" s="199">
        <f ca="1">IF(1,O12/Q11,"")</f>
        <v>1.643835616438356E-2</v>
      </c>
      <c r="S12" s="199">
        <f ca="1">IF(1,P12/Q12,"")</f>
        <v>6.8493150684931503E-2</v>
      </c>
      <c r="T12" s="199">
        <f t="shared" ref="T12:T75" ca="1" si="4">IF(B12&lt;&gt;"",R12+S12,"")</f>
        <v>8.4931506849315067E-2</v>
      </c>
      <c r="U12" s="415">
        <f ca="1">IF(B12&lt;&gt;"",1+$D$1*T12,0)</f>
        <v>1.006573698630137</v>
      </c>
      <c r="V12" s="233">
        <f ca="1">IF(B12&lt;&gt;"",1/PRODUCT($U$11:U12),0)</f>
        <v>0.98718908729436528</v>
      </c>
      <c r="AA12" s="240">
        <f t="shared" ref="AA12:AA75" ca="1" si="5">IF(B12&lt;&gt;"",$H$2,0)</f>
        <v>753.16</v>
      </c>
      <c r="AB12" s="240">
        <f ca="1">IF(B12&lt;&gt;"",AA12/((1+$V$5)^(SUM($T$11:T12))),0)</f>
        <v>733.18235223312536</v>
      </c>
      <c r="AD12">
        <f ca="1">IF(B12&lt;&gt;"",1+$D$1*((O12+P12)/365),0)</f>
        <v>1.006573698630137</v>
      </c>
      <c r="AE12">
        <f ca="1">IF(B12&lt;&gt;"",1/PRODUCT($AD$11:AD12),0)</f>
        <v>0.98718908729436528</v>
      </c>
      <c r="AF12" s="609" t="s">
        <v>1963</v>
      </c>
    </row>
    <row r="13" spans="1:33" ht="13.5" thickBot="1" x14ac:dyDescent="0.35">
      <c r="A13" s="193" t="str">
        <f>WERSJA2!D8</f>
        <v>NIE</v>
      </c>
      <c r="B13" s="248">
        <f t="shared" si="1"/>
        <v>3</v>
      </c>
      <c r="C13" s="249">
        <f t="shared" ref="C13:C76" ca="1" si="6">IF(B13&lt;&gt;"",DATE(YEAR(D12),MONTH(D12)+1,$G$5),"")</f>
        <v>46291</v>
      </c>
      <c r="D13" s="249">
        <f ca="1">IF(B13&lt;&gt;"",IF(MOD(MONTH(C13)-MONTH(C12),12)&gt;1,DATE(YEAR(C13),MONTH(C13),DAY(C13)-DAY(C13)),C13),"")</f>
        <v>46291</v>
      </c>
      <c r="E13" s="250">
        <f t="shared" ref="E13:E70" ca="1" si="7">IF($H$1&lt;&gt;1,IF(B13=$C$5,H13-F13,IF(B13&lt;&gt;"",ROUND(G12*($D$3)*((SUM(O13:P13)/365)),2),"")),"Brak Oferty")</f>
        <v>215.81</v>
      </c>
      <c r="F13" s="250">
        <f t="shared" ref="F13:F76" ca="1" si="8">IF($H$1&lt;&gt;1,IF(B13=$C$5,G12,IF(B13&lt;&gt;"",ROUND((H13-E13),2),"")),"Brak Oferty")</f>
        <v>537.35</v>
      </c>
      <c r="G13" s="250">
        <f t="shared" ca="1" si="2"/>
        <v>29392.31</v>
      </c>
      <c r="H13" s="250">
        <f t="shared" ca="1" si="3"/>
        <v>753.16</v>
      </c>
      <c r="I13" s="99"/>
      <c r="K13" s="240"/>
      <c r="L13" s="199" t="str">
        <f t="shared" ref="L13:L76" si="9">IF(B13&lt;&gt;"",L12,"")</f>
        <v>R</v>
      </c>
      <c r="M13" s="231">
        <f t="shared" ref="M13:M76" ca="1" si="10">IF(B13&lt;&gt;"",DATE(YEAR((D13)),MONTH((D13))+1,1)-1,"")</f>
        <v>46295</v>
      </c>
      <c r="N13" s="231">
        <f ca="1">D13</f>
        <v>46291</v>
      </c>
      <c r="O13" s="199">
        <f ca="1">IF(B13&lt;&gt;"",M12-N12+1,0)</f>
        <v>6</v>
      </c>
      <c r="P13" s="199">
        <f t="shared" ref="P13:P76" ca="1" si="11">IF(B13&lt;&gt;"",N13-M12-1,0)</f>
        <v>25</v>
      </c>
      <c r="Q13" s="199">
        <f t="shared" ca="1" si="0"/>
        <v>365</v>
      </c>
      <c r="R13" s="199">
        <f t="shared" ref="R13:R76" ca="1" si="12">IF(1,O13/Q12,"")</f>
        <v>1.643835616438356E-2</v>
      </c>
      <c r="S13" s="199">
        <f t="shared" ref="S13:S76" ca="1" si="13">IF(1,P13/Q13,"")</f>
        <v>6.8493150684931503E-2</v>
      </c>
      <c r="T13" s="199">
        <f t="shared" ca="1" si="4"/>
        <v>8.4931506849315067E-2</v>
      </c>
      <c r="U13" s="415">
        <f t="shared" ref="U13:U76" ca="1" si="14">IF(B13&lt;&gt;"",1+$D$1*T13,0)</f>
        <v>1.006573698630137</v>
      </c>
      <c r="V13" s="233">
        <f ca="1">IF(B13&lt;&gt;"",1/PRODUCT($U$11:U13),0)</f>
        <v>0.98074198505071941</v>
      </c>
      <c r="AA13" s="240">
        <f t="shared" ca="1" si="5"/>
        <v>753.16</v>
      </c>
      <c r="AB13" s="963">
        <f ca="1">IF(B13&lt;&gt;"",AA13/((1+$V$5)^(SUM($T$11:T13))),0)</f>
        <v>723.23374631607419</v>
      </c>
      <c r="AD13">
        <f t="shared" ref="AD13:AD76" ca="1" si="15">IF(B13&lt;&gt;"",1+$D$1*((O13+P13)/365),0)</f>
        <v>1.006573698630137</v>
      </c>
      <c r="AE13">
        <f ca="1">IF(B13&lt;&gt;"",1/PRODUCT($AD$11:AD13),0)</f>
        <v>0.98074198505071941</v>
      </c>
    </row>
    <row r="14" spans="1:33" ht="13" x14ac:dyDescent="0.3">
      <c r="A14" s="194" t="str">
        <f>WERSJA2!C9</f>
        <v>MIEJSCE ZŁOŻENIA WNIOSKU</v>
      </c>
      <c r="B14" s="248">
        <f t="shared" si="1"/>
        <v>4</v>
      </c>
      <c r="C14" s="249">
        <f t="shared" ca="1" si="6"/>
        <v>46321</v>
      </c>
      <c r="D14" s="249">
        <f t="shared" ref="D14:D77" ca="1" si="16">IF(B14&lt;&gt;"",IF(MOD(MONTH(C14)-MONTH(C13),12)&gt;1,DATE(YEAR(C14),MONTH(C14),DAY(C14)-DAY(C14)),C14),"")</f>
        <v>46321</v>
      </c>
      <c r="E14" s="250">
        <f t="shared" ca="1" si="7"/>
        <v>205.1</v>
      </c>
      <c r="F14" s="250">
        <f t="shared" ca="1" si="8"/>
        <v>548.05999999999995</v>
      </c>
      <c r="G14" s="250">
        <f t="shared" ca="1" si="2"/>
        <v>28844.25</v>
      </c>
      <c r="H14" s="250">
        <f t="shared" ca="1" si="3"/>
        <v>753.16</v>
      </c>
      <c r="I14" s="99"/>
      <c r="K14" s="240"/>
      <c r="L14" s="199" t="str">
        <f t="shared" si="9"/>
        <v>R</v>
      </c>
      <c r="M14" s="231">
        <f t="shared" ca="1" si="10"/>
        <v>46326</v>
      </c>
      <c r="N14" s="231">
        <f t="shared" ref="N14:N77" ca="1" si="17">D14</f>
        <v>46321</v>
      </c>
      <c r="O14" s="199">
        <f t="shared" ref="O14:O77" ca="1" si="18">IF(B14&lt;&gt;"",M13-N13+1,0)</f>
        <v>5</v>
      </c>
      <c r="P14" s="199">
        <f t="shared" ca="1" si="11"/>
        <v>25</v>
      </c>
      <c r="Q14" s="199">
        <f t="shared" ca="1" si="0"/>
        <v>365</v>
      </c>
      <c r="R14" s="199">
        <f t="shared" ca="1" si="12"/>
        <v>1.3698630136986301E-2</v>
      </c>
      <c r="S14" s="199">
        <f ca="1">IF(1,P14/Q14,"")</f>
        <v>6.8493150684931503E-2</v>
      </c>
      <c r="T14" s="199">
        <f t="shared" ca="1" si="4"/>
        <v>8.2191780821917804E-2</v>
      </c>
      <c r="U14" s="415">
        <f t="shared" ca="1" si="14"/>
        <v>1.0063616438356164</v>
      </c>
      <c r="V14" s="233">
        <f ca="1">IF(B14&lt;&gt;"",1/PRODUCT($U$11:U14),0)</f>
        <v>0.97454229407308202</v>
      </c>
      <c r="AA14" s="240">
        <f t="shared" ca="1" si="5"/>
        <v>753.16</v>
      </c>
      <c r="AB14" s="240">
        <f ca="1">IF(B14&lt;&gt;"",AA14/((1+$V$5)^(SUM($T$11:T14))),0)</f>
        <v>713.73461366256674</v>
      </c>
      <c r="AD14">
        <f t="shared" ca="1" si="15"/>
        <v>1.0063616438356164</v>
      </c>
      <c r="AE14">
        <f ca="1">IF(B14&lt;&gt;"",1/PRODUCT($AD$11:AD14),0)</f>
        <v>0.97454229407308202</v>
      </c>
    </row>
    <row r="15" spans="1:33" ht="13.5" thickBot="1" x14ac:dyDescent="0.35">
      <c r="A15" s="193" t="str">
        <f>WERSJA2!D9</f>
        <v>MOJE ING</v>
      </c>
      <c r="B15" s="248">
        <f t="shared" si="1"/>
        <v>5</v>
      </c>
      <c r="C15" s="249">
        <f t="shared" ca="1" si="6"/>
        <v>46352</v>
      </c>
      <c r="D15" s="249">
        <f ca="1">IF(B15&lt;&gt;"",IF(MOD(MONTH(C15)-MONTH(C14),12)&gt;1,DATE(YEAR(C15),MONTH(C15),DAY(C15)-DAY(C15)),C15),"")</f>
        <v>46352</v>
      </c>
      <c r="E15" s="250">
        <f t="shared" ca="1" si="7"/>
        <v>207.99</v>
      </c>
      <c r="F15" s="250">
        <f t="shared" ca="1" si="8"/>
        <v>545.16999999999996</v>
      </c>
      <c r="G15" s="250">
        <f t="shared" ca="1" si="2"/>
        <v>28299.08</v>
      </c>
      <c r="H15" s="250">
        <f t="shared" ca="1" si="3"/>
        <v>753.16</v>
      </c>
      <c r="I15" s="99"/>
      <c r="K15" s="240"/>
      <c r="L15" s="199" t="str">
        <f t="shared" si="9"/>
        <v>R</v>
      </c>
      <c r="M15" s="231">
        <f t="shared" ca="1" si="10"/>
        <v>46356</v>
      </c>
      <c r="N15" s="231">
        <f t="shared" ca="1" si="17"/>
        <v>46352</v>
      </c>
      <c r="O15" s="199">
        <f t="shared" ca="1" si="18"/>
        <v>6</v>
      </c>
      <c r="P15" s="199">
        <f t="shared" ca="1" si="11"/>
        <v>25</v>
      </c>
      <c r="Q15" s="199">
        <f t="shared" ca="1" si="0"/>
        <v>365</v>
      </c>
      <c r="R15" s="199">
        <f t="shared" ca="1" si="12"/>
        <v>1.643835616438356E-2</v>
      </c>
      <c r="S15" s="199">
        <f t="shared" ca="1" si="13"/>
        <v>6.8493150684931503E-2</v>
      </c>
      <c r="T15" s="199">
        <f t="shared" ca="1" si="4"/>
        <v>8.4931506849315067E-2</v>
      </c>
      <c r="U15" s="415">
        <f t="shared" ca="1" si="14"/>
        <v>1.006573698630137</v>
      </c>
      <c r="V15" s="233">
        <f ca="1">IF(B15&lt;&gt;"",1/PRODUCT($U$11:U15),0)</f>
        <v>0.96817778509348384</v>
      </c>
      <c r="AA15" s="240">
        <f t="shared" ca="1" si="5"/>
        <v>753.16</v>
      </c>
      <c r="AB15" s="240">
        <f ca="1">IF(B15&lt;&gt;"",AA15/((1+$V$5)^(SUM($T$11:T15))),0)</f>
        <v>704.04989555790905</v>
      </c>
      <c r="AD15">
        <f t="shared" ca="1" si="15"/>
        <v>1.006573698630137</v>
      </c>
      <c r="AE15">
        <f ca="1">IF(B15&lt;&gt;"",1/PRODUCT($AD$11:AD15),0)</f>
        <v>0.96817778509348384</v>
      </c>
    </row>
    <row r="16" spans="1:33" ht="13" x14ac:dyDescent="0.3">
      <c r="A16" s="194" t="str">
        <f>WERSJA2!C13</f>
        <v>LICZBA RAT W MIESIĄCACH</v>
      </c>
      <c r="B16" s="248">
        <f t="shared" si="1"/>
        <v>6</v>
      </c>
      <c r="C16" s="249">
        <f t="shared" ca="1" si="6"/>
        <v>46382</v>
      </c>
      <c r="D16" s="249">
        <f t="shared" ca="1" si="16"/>
        <v>46382</v>
      </c>
      <c r="E16" s="250">
        <f ca="1">IF($H$1&lt;&gt;1,IF(B16=$C$5,H16-F16,IF(B16&lt;&gt;"",ROUND(G15*($D$3)*((SUM(O16:P16)/365)),2),"")),"Brak Oferty")</f>
        <v>197.47</v>
      </c>
      <c r="F16" s="250">
        <f t="shared" ca="1" si="8"/>
        <v>555.69000000000005</v>
      </c>
      <c r="G16" s="250">
        <f t="shared" ca="1" si="2"/>
        <v>27743.390000000003</v>
      </c>
      <c r="H16" s="250">
        <f t="shared" ca="1" si="3"/>
        <v>753.16</v>
      </c>
      <c r="I16" s="99"/>
      <c r="K16" s="240"/>
      <c r="L16" s="199" t="str">
        <f t="shared" si="9"/>
        <v>R</v>
      </c>
      <c r="M16" s="231">
        <f t="shared" ca="1" si="10"/>
        <v>46387</v>
      </c>
      <c r="N16" s="231">
        <f t="shared" ca="1" si="17"/>
        <v>46382</v>
      </c>
      <c r="O16" s="199">
        <f t="shared" ca="1" si="18"/>
        <v>5</v>
      </c>
      <c r="P16" s="199">
        <f t="shared" ca="1" si="11"/>
        <v>25</v>
      </c>
      <c r="Q16" s="199">
        <f t="shared" ca="1" si="0"/>
        <v>365</v>
      </c>
      <c r="R16" s="199">
        <f t="shared" ca="1" si="12"/>
        <v>1.3698630136986301E-2</v>
      </c>
      <c r="S16" s="199">
        <f t="shared" ca="1" si="13"/>
        <v>6.8493150684931503E-2</v>
      </c>
      <c r="T16" s="199">
        <f t="shared" ca="1" si="4"/>
        <v>8.2191780821917804E-2</v>
      </c>
      <c r="U16" s="415">
        <f t="shared" ca="1" si="14"/>
        <v>1.0063616438356164</v>
      </c>
      <c r="V16" s="233">
        <f ca="1">IF(B16&lt;&gt;"",1/PRODUCT($U$11:U16),0)</f>
        <v>0.96205751781576276</v>
      </c>
      <c r="AA16" s="240">
        <f t="shared" ca="1" si="5"/>
        <v>753.16</v>
      </c>
      <c r="AB16" s="240">
        <f ca="1">IF(B16&lt;&gt;"",AA16/((1+$V$5)^(SUM($T$11:T16))),0)</f>
        <v>694.8027283914729</v>
      </c>
      <c r="AD16">
        <f t="shared" ca="1" si="15"/>
        <v>1.0063616438356164</v>
      </c>
      <c r="AE16">
        <f ca="1">IF(B16&lt;&gt;"",1/PRODUCT($AD$11:AD16),0)</f>
        <v>0.96205751781576276</v>
      </c>
    </row>
    <row r="17" spans="1:35" ht="13.5" thickBot="1" x14ac:dyDescent="0.35">
      <c r="A17" s="195">
        <f>WERSJA2!D13</f>
        <v>48</v>
      </c>
      <c r="B17" s="248">
        <f t="shared" si="1"/>
        <v>7</v>
      </c>
      <c r="C17" s="249">
        <f t="shared" ca="1" si="6"/>
        <v>46413</v>
      </c>
      <c r="D17" s="249">
        <f t="shared" ca="1" si="16"/>
        <v>46413</v>
      </c>
      <c r="E17" s="250">
        <f t="shared" ca="1" si="7"/>
        <v>200.05</v>
      </c>
      <c r="F17" s="250">
        <f t="shared" ca="1" si="8"/>
        <v>553.11</v>
      </c>
      <c r="G17" s="250">
        <f t="shared" ca="1" si="2"/>
        <v>27190.280000000002</v>
      </c>
      <c r="H17" s="250">
        <f t="shared" ca="1" si="3"/>
        <v>753.16</v>
      </c>
      <c r="I17" s="99"/>
      <c r="K17" s="240"/>
      <c r="L17" s="199" t="str">
        <f t="shared" si="9"/>
        <v>R</v>
      </c>
      <c r="M17" s="231">
        <f t="shared" ca="1" si="10"/>
        <v>46418</v>
      </c>
      <c r="N17" s="231">
        <f t="shared" ca="1" si="17"/>
        <v>46413</v>
      </c>
      <c r="O17" s="199">
        <f t="shared" ca="1" si="18"/>
        <v>6</v>
      </c>
      <c r="P17" s="199">
        <f t="shared" ca="1" si="11"/>
        <v>25</v>
      </c>
      <c r="Q17" s="199">
        <f t="shared" ca="1" si="0"/>
        <v>365</v>
      </c>
      <c r="R17" s="199">
        <f t="shared" ca="1" si="12"/>
        <v>1.643835616438356E-2</v>
      </c>
      <c r="S17" s="199">
        <f t="shared" ca="1" si="13"/>
        <v>6.8493150684931503E-2</v>
      </c>
      <c r="T17" s="199">
        <f t="shared" ca="1" si="4"/>
        <v>8.4931506849315067E-2</v>
      </c>
      <c r="U17" s="415">
        <f t="shared" ca="1" si="14"/>
        <v>1.006573698630137</v>
      </c>
      <c r="V17" s="233">
        <f ca="1">IF(B17&lt;&gt;"",1/PRODUCT($U$11:U17),0)</f>
        <v>0.95577454400511652</v>
      </c>
      <c r="AA17" s="240">
        <f t="shared" ca="1" si="5"/>
        <v>753.16</v>
      </c>
      <c r="AB17" s="240">
        <f ca="1">IF(B17&lt;&gt;"",AA17/((1+$V$5)^(SUM($T$11:T17))),0)</f>
        <v>685.37489844738707</v>
      </c>
      <c r="AD17">
        <f t="shared" ca="1" si="15"/>
        <v>1.006573698630137</v>
      </c>
      <c r="AE17">
        <f ca="1">IF(B17&lt;&gt;"",1/PRODUCT($AD$11:AD17),0)</f>
        <v>0.95577454400511652</v>
      </c>
    </row>
    <row r="18" spans="1:35" ht="13" x14ac:dyDescent="0.3">
      <c r="A18" s="194" t="str">
        <f>WERSJA2!I5</f>
        <v>PROWIZJA (KWOTA)</v>
      </c>
      <c r="B18" s="248">
        <f t="shared" si="1"/>
        <v>8</v>
      </c>
      <c r="C18" s="249">
        <f t="shared" ca="1" si="6"/>
        <v>46444</v>
      </c>
      <c r="D18" s="249">
        <f t="shared" ca="1" si="16"/>
        <v>46444</v>
      </c>
      <c r="E18" s="250">
        <f t="shared" ca="1" si="7"/>
        <v>196.06</v>
      </c>
      <c r="F18" s="250">
        <f t="shared" ca="1" si="8"/>
        <v>557.1</v>
      </c>
      <c r="G18" s="250">
        <f t="shared" ca="1" si="2"/>
        <v>26633.180000000004</v>
      </c>
      <c r="H18" s="250">
        <f t="shared" ca="1" si="3"/>
        <v>753.16</v>
      </c>
      <c r="I18" s="99"/>
      <c r="K18" s="240"/>
      <c r="L18" s="199" t="str">
        <f t="shared" si="9"/>
        <v>R</v>
      </c>
      <c r="M18" s="231">
        <f t="shared" ca="1" si="10"/>
        <v>46446</v>
      </c>
      <c r="N18" s="231">
        <f t="shared" ca="1" si="17"/>
        <v>46444</v>
      </c>
      <c r="O18" s="199">
        <f t="shared" ca="1" si="18"/>
        <v>6</v>
      </c>
      <c r="P18" s="199">
        <f t="shared" ca="1" si="11"/>
        <v>25</v>
      </c>
      <c r="Q18" s="199">
        <f t="shared" ca="1" si="0"/>
        <v>365</v>
      </c>
      <c r="R18" s="199">
        <f t="shared" ca="1" si="12"/>
        <v>1.643835616438356E-2</v>
      </c>
      <c r="S18" s="199">
        <f t="shared" ca="1" si="13"/>
        <v>6.8493150684931503E-2</v>
      </c>
      <c r="T18" s="199">
        <f t="shared" ca="1" si="4"/>
        <v>8.4931506849315067E-2</v>
      </c>
      <c r="U18" s="415">
        <f t="shared" ca="1" si="14"/>
        <v>1.006573698630137</v>
      </c>
      <c r="V18" s="233">
        <f ca="1">IF(B18&lt;&gt;"",1/PRODUCT($U$11:U18),0)</f>
        <v>0.94953260283459229</v>
      </c>
      <c r="AA18" s="240">
        <f t="shared" ca="1" si="5"/>
        <v>753.16</v>
      </c>
      <c r="AB18" s="240">
        <f ca="1">IF(B18&lt;&gt;"",AA18/((1+$V$5)^(SUM($T$11:T18))),0)</f>
        <v>676.07499542963956</v>
      </c>
      <c r="AD18">
        <f t="shared" ca="1" si="15"/>
        <v>1.006573698630137</v>
      </c>
      <c r="AE18">
        <f ca="1">IF(B18&lt;&gt;"",1/PRODUCT($AD$11:AD18),0)</f>
        <v>0.94953260283459229</v>
      </c>
    </row>
    <row r="19" spans="1:35" ht="13.5" thickBot="1" x14ac:dyDescent="0.35">
      <c r="A19" s="196">
        <f>WERSJA2!J5</f>
        <v>0</v>
      </c>
      <c r="B19" s="248">
        <f t="shared" si="1"/>
        <v>9</v>
      </c>
      <c r="C19" s="249">
        <f t="shared" ca="1" si="6"/>
        <v>46472</v>
      </c>
      <c r="D19" s="249">
        <f t="shared" ca="1" si="16"/>
        <v>46472</v>
      </c>
      <c r="E19" s="250">
        <f t="shared" ca="1" si="7"/>
        <v>173.46</v>
      </c>
      <c r="F19" s="250">
        <f t="shared" ca="1" si="8"/>
        <v>579.70000000000005</v>
      </c>
      <c r="G19" s="250">
        <f t="shared" ca="1" si="2"/>
        <v>26053.480000000003</v>
      </c>
      <c r="H19" s="250">
        <f t="shared" ca="1" si="3"/>
        <v>753.16</v>
      </c>
      <c r="I19" s="99"/>
      <c r="K19" s="240"/>
      <c r="L19" s="199" t="str">
        <f t="shared" si="9"/>
        <v>R</v>
      </c>
      <c r="M19" s="231">
        <f t="shared" ca="1" si="10"/>
        <v>46477</v>
      </c>
      <c r="N19" s="231">
        <f t="shared" ca="1" si="17"/>
        <v>46472</v>
      </c>
      <c r="O19" s="199">
        <f t="shared" ca="1" si="18"/>
        <v>3</v>
      </c>
      <c r="P19" s="199">
        <f t="shared" ca="1" si="11"/>
        <v>25</v>
      </c>
      <c r="Q19" s="199">
        <f t="shared" ca="1" si="0"/>
        <v>365</v>
      </c>
      <c r="R19" s="199">
        <f t="shared" ca="1" si="12"/>
        <v>8.21917808219178E-3</v>
      </c>
      <c r="S19" s="199">
        <f t="shared" ca="1" si="13"/>
        <v>6.8493150684931503E-2</v>
      </c>
      <c r="T19" s="199">
        <f t="shared" ca="1" si="4"/>
        <v>7.6712328767123278E-2</v>
      </c>
      <c r="U19" s="415">
        <f t="shared" ca="1" si="14"/>
        <v>1.0059375342465753</v>
      </c>
      <c r="V19" s="233">
        <f ca="1">IF(B19&lt;&gt;"",1/PRODUCT($U$11:U19),0)</f>
        <v>0.94392799802004701</v>
      </c>
      <c r="AA19" s="240">
        <f t="shared" ca="1" si="5"/>
        <v>753.16</v>
      </c>
      <c r="AB19" s="240">
        <f ca="1">IF(B19&lt;&gt;"",AA19/((1+$V$5)^(SUM($T$11:T19))),0)</f>
        <v>667.78359460215609</v>
      </c>
      <c r="AD19">
        <f t="shared" ca="1" si="15"/>
        <v>1.0059375342465753</v>
      </c>
      <c r="AE19">
        <f ca="1">IF(B19&lt;&gt;"",1/PRODUCT($AD$11:AD19),0)</f>
        <v>0.94392799802004701</v>
      </c>
    </row>
    <row r="20" spans="1:35" ht="13" x14ac:dyDescent="0.3">
      <c r="A20" s="194" t="str">
        <f>WERSJA2!I6</f>
        <v>KWOTA UBEZPIECZENIA jednorazowego</v>
      </c>
      <c r="B20" s="248">
        <f t="shared" si="1"/>
        <v>10</v>
      </c>
      <c r="C20" s="249">
        <f t="shared" ca="1" si="6"/>
        <v>46503</v>
      </c>
      <c r="D20" s="249">
        <f t="shared" ca="1" si="16"/>
        <v>46503</v>
      </c>
      <c r="E20" s="250">
        <f t="shared" ca="1" si="7"/>
        <v>187.86</v>
      </c>
      <c r="F20" s="250">
        <f t="shared" ca="1" si="8"/>
        <v>565.29999999999995</v>
      </c>
      <c r="G20" s="250">
        <f t="shared" ca="1" si="2"/>
        <v>25488.180000000004</v>
      </c>
      <c r="H20" s="250">
        <f t="shared" ca="1" si="3"/>
        <v>753.16</v>
      </c>
      <c r="I20" s="99"/>
      <c r="K20" s="240"/>
      <c r="L20" s="199" t="str">
        <f t="shared" si="9"/>
        <v>R</v>
      </c>
      <c r="M20" s="231">
        <f t="shared" ca="1" si="10"/>
        <v>46507</v>
      </c>
      <c r="N20" s="231">
        <f t="shared" ca="1" si="17"/>
        <v>46503</v>
      </c>
      <c r="O20" s="199">
        <f t="shared" ca="1" si="18"/>
        <v>6</v>
      </c>
      <c r="P20" s="199">
        <f t="shared" ca="1" si="11"/>
        <v>25</v>
      </c>
      <c r="Q20" s="199">
        <f t="shared" ca="1" si="0"/>
        <v>365</v>
      </c>
      <c r="R20" s="928">
        <f ca="1">IF(B20&lt;&gt;"",O20/Q19,"")</f>
        <v>1.643835616438356E-2</v>
      </c>
      <c r="S20" s="199">
        <f t="shared" ca="1" si="13"/>
        <v>6.8493150684931503E-2</v>
      </c>
      <c r="T20" s="199">
        <f t="shared" ca="1" si="4"/>
        <v>8.4931506849315067E-2</v>
      </c>
      <c r="U20" s="415">
        <f t="shared" ca="1" si="14"/>
        <v>1.006573698630137</v>
      </c>
      <c r="V20" s="233">
        <f ca="1">IF(B20&lt;&gt;"",1/PRODUCT($U$11:U20),0)</f>
        <v>0.93776342388506106</v>
      </c>
      <c r="AA20" s="240">
        <f t="shared" ca="1" si="5"/>
        <v>753.16</v>
      </c>
      <c r="AB20" s="240">
        <f ca="1">IF(B20&lt;&gt;"",AA20/((1+$V$5)^(SUM($T$11:T20))),0)</f>
        <v>658.72238929581738</v>
      </c>
      <c r="AD20">
        <f t="shared" ca="1" si="15"/>
        <v>1.006573698630137</v>
      </c>
      <c r="AE20">
        <f ca="1">IF(B20&lt;&gt;"",1/PRODUCT($AD$11:AD20),0)</f>
        <v>0.93776342388506106</v>
      </c>
    </row>
    <row r="21" spans="1:35" ht="13.5" thickBot="1" x14ac:dyDescent="0.35">
      <c r="A21" s="196">
        <f>WERSJA2!J6</f>
        <v>0</v>
      </c>
      <c r="B21" s="248">
        <f t="shared" si="1"/>
        <v>11</v>
      </c>
      <c r="C21" s="249">
        <f t="shared" ca="1" si="6"/>
        <v>46533</v>
      </c>
      <c r="D21" s="249">
        <f t="shared" ca="1" si="16"/>
        <v>46533</v>
      </c>
      <c r="E21" s="250">
        <f t="shared" ca="1" si="7"/>
        <v>177.86</v>
      </c>
      <c r="F21" s="250">
        <f t="shared" ca="1" si="8"/>
        <v>575.29999999999995</v>
      </c>
      <c r="G21" s="250">
        <f t="shared" ca="1" si="2"/>
        <v>24912.880000000005</v>
      </c>
      <c r="H21" s="250">
        <f t="shared" ca="1" si="3"/>
        <v>753.16</v>
      </c>
      <c r="I21" s="99"/>
      <c r="K21" s="240"/>
      <c r="L21" s="199" t="str">
        <f t="shared" si="9"/>
        <v>R</v>
      </c>
      <c r="M21" s="231">
        <f t="shared" ca="1" si="10"/>
        <v>46538</v>
      </c>
      <c r="N21" s="231">
        <f t="shared" ca="1" si="17"/>
        <v>46533</v>
      </c>
      <c r="O21" s="199">
        <f t="shared" ca="1" si="18"/>
        <v>5</v>
      </c>
      <c r="P21" s="199">
        <f t="shared" ca="1" si="11"/>
        <v>25</v>
      </c>
      <c r="Q21" s="199">
        <f t="shared" ca="1" si="0"/>
        <v>365</v>
      </c>
      <c r="R21" s="199">
        <f t="shared" ca="1" si="12"/>
        <v>1.3698630136986301E-2</v>
      </c>
      <c r="S21" s="199">
        <f t="shared" ca="1" si="13"/>
        <v>6.8493150684931503E-2</v>
      </c>
      <c r="T21" s="199">
        <f t="shared" ca="1" si="4"/>
        <v>8.2191780821917804E-2</v>
      </c>
      <c r="U21" s="415">
        <f t="shared" ca="1" si="14"/>
        <v>1.0063616438356164</v>
      </c>
      <c r="V21" s="233">
        <f ca="1">IF(B21&lt;&gt;"",1/PRODUCT($U$11:U21),0)</f>
        <v>0.93183541883700749</v>
      </c>
      <c r="AA21" s="240">
        <f t="shared" ca="1" si="5"/>
        <v>753.16</v>
      </c>
      <c r="AB21" s="240">
        <f ca="1">IF(B21&lt;&gt;"",AA21/((1+$V$5)^(SUM($T$11:T21))),0)</f>
        <v>650.0705649172827</v>
      </c>
      <c r="AD21">
        <f t="shared" ca="1" si="15"/>
        <v>1.0063616438356164</v>
      </c>
      <c r="AE21">
        <f ca="1">IF(B21&lt;&gt;"",1/PRODUCT($AD$11:AD21),0)</f>
        <v>0.93183541883700749</v>
      </c>
    </row>
    <row r="22" spans="1:35" ht="13" x14ac:dyDescent="0.3">
      <c r="A22" s="194" t="s">
        <v>40</v>
      </c>
      <c r="B22" s="248">
        <f t="shared" si="1"/>
        <v>12</v>
      </c>
      <c r="C22" s="249">
        <f t="shared" ca="1" si="6"/>
        <v>46564</v>
      </c>
      <c r="D22" s="249">
        <f t="shared" ca="1" si="16"/>
        <v>46564</v>
      </c>
      <c r="E22" s="250">
        <f t="shared" ca="1" si="7"/>
        <v>179.64</v>
      </c>
      <c r="F22" s="250">
        <f t="shared" ca="1" si="8"/>
        <v>573.52</v>
      </c>
      <c r="G22" s="250">
        <f t="shared" ca="1" si="2"/>
        <v>24339.360000000004</v>
      </c>
      <c r="H22" s="250">
        <f t="shared" ca="1" si="3"/>
        <v>753.16</v>
      </c>
      <c r="I22" s="99"/>
      <c r="K22" s="240"/>
      <c r="L22" s="199" t="str">
        <f t="shared" si="9"/>
        <v>R</v>
      </c>
      <c r="M22" s="231">
        <f t="shared" ca="1" si="10"/>
        <v>46568</v>
      </c>
      <c r="N22" s="231">
        <f t="shared" ca="1" si="17"/>
        <v>46564</v>
      </c>
      <c r="O22" s="199">
        <f t="shared" ca="1" si="18"/>
        <v>6</v>
      </c>
      <c r="P22" s="199">
        <f t="shared" ca="1" si="11"/>
        <v>25</v>
      </c>
      <c r="Q22" s="199">
        <f t="shared" ca="1" si="0"/>
        <v>365</v>
      </c>
      <c r="R22" s="199">
        <f t="shared" ca="1" si="12"/>
        <v>1.643835616438356E-2</v>
      </c>
      <c r="S22" s="199">
        <f t="shared" ca="1" si="13"/>
        <v>6.8493150684931503E-2</v>
      </c>
      <c r="T22" s="199">
        <f t="shared" ca="1" si="4"/>
        <v>8.4931506849315067E-2</v>
      </c>
      <c r="U22" s="415">
        <f t="shared" ca="1" si="14"/>
        <v>1.006573698630137</v>
      </c>
      <c r="V22" s="233">
        <f ca="1">IF(B22&lt;&gt;"",1/PRODUCT($U$11:U22),0)</f>
        <v>0.92574981852313243</v>
      </c>
      <c r="AA22" s="240">
        <f t="shared" ca="1" si="5"/>
        <v>753.16</v>
      </c>
      <c r="AB22" s="240">
        <f ca="1">IF(B22&lt;&gt;"",AA22/((1+$V$5)^(SUM($T$11:T22))),0)</f>
        <v>641.24970902933228</v>
      </c>
      <c r="AD22">
        <f t="shared" ca="1" si="15"/>
        <v>1.006573698630137</v>
      </c>
      <c r="AE22">
        <f ca="1">IF(B22&lt;&gt;"",1/PRODUCT($AD$11:AD22),0)</f>
        <v>0.92574981852313243</v>
      </c>
    </row>
    <row r="23" spans="1:35" ht="13.5" thickBot="1" x14ac:dyDescent="0.35">
      <c r="A23" s="196">
        <f>G10</f>
        <v>31000</v>
      </c>
      <c r="B23" s="248">
        <f t="shared" si="1"/>
        <v>13</v>
      </c>
      <c r="C23" s="249">
        <f t="shared" ca="1" si="6"/>
        <v>46594</v>
      </c>
      <c r="D23" s="249">
        <f t="shared" ca="1" si="16"/>
        <v>46594</v>
      </c>
      <c r="E23" s="250">
        <f t="shared" ca="1" si="7"/>
        <v>169.84</v>
      </c>
      <c r="F23" s="250">
        <f t="shared" ca="1" si="8"/>
        <v>583.32000000000005</v>
      </c>
      <c r="G23" s="250">
        <f t="shared" ca="1" si="2"/>
        <v>23756.040000000005</v>
      </c>
      <c r="H23" s="250">
        <f t="shared" ca="1" si="3"/>
        <v>753.16</v>
      </c>
      <c r="I23" s="99"/>
      <c r="K23" s="240"/>
      <c r="L23" s="199" t="str">
        <f t="shared" si="9"/>
        <v>R</v>
      </c>
      <c r="M23" s="231">
        <f t="shared" ca="1" si="10"/>
        <v>46599</v>
      </c>
      <c r="N23" s="231">
        <f t="shared" ca="1" si="17"/>
        <v>46594</v>
      </c>
      <c r="O23" s="199">
        <f t="shared" ca="1" si="18"/>
        <v>5</v>
      </c>
      <c r="P23" s="199">
        <f t="shared" ca="1" si="11"/>
        <v>25</v>
      </c>
      <c r="Q23" s="199">
        <f t="shared" ca="1" si="0"/>
        <v>365</v>
      </c>
      <c r="R23" s="199">
        <f t="shared" ca="1" si="12"/>
        <v>1.3698630136986301E-2</v>
      </c>
      <c r="S23" s="199">
        <f t="shared" ca="1" si="13"/>
        <v>6.8493150684931503E-2</v>
      </c>
      <c r="T23" s="199">
        <f t="shared" ca="1" si="4"/>
        <v>8.2191780821917804E-2</v>
      </c>
      <c r="U23" s="415">
        <f t="shared" ca="1" si="14"/>
        <v>1.0063616438356164</v>
      </c>
      <c r="V23" s="233">
        <f ca="1">IF(B23&lt;&gt;"",1/PRODUCT($U$11:U23),0)</f>
        <v>0.91989775663026796</v>
      </c>
      <c r="AA23" s="240">
        <f t="shared" ca="1" si="5"/>
        <v>753.16</v>
      </c>
      <c r="AB23" s="240">
        <f ca="1">IF(B23&lt;&gt;"",AA23/((1+$V$5)^(SUM($T$11:T23))),0)</f>
        <v>632.8273751972622</v>
      </c>
      <c r="AD23">
        <f t="shared" ca="1" si="15"/>
        <v>1.0063616438356164</v>
      </c>
      <c r="AE23">
        <f ca="1">IF(B23&lt;&gt;"",1/PRODUCT($AD$11:AD23),0)</f>
        <v>0.91989775663026796</v>
      </c>
    </row>
    <row r="24" spans="1:35" ht="13" x14ac:dyDescent="0.3">
      <c r="A24" s="194" t="s">
        <v>162</v>
      </c>
      <c r="B24" s="248">
        <f t="shared" si="1"/>
        <v>14</v>
      </c>
      <c r="C24" s="249">
        <f t="shared" ca="1" si="6"/>
        <v>46625</v>
      </c>
      <c r="D24" s="249">
        <f t="shared" ca="1" si="16"/>
        <v>46625</v>
      </c>
      <c r="E24" s="250">
        <f ca="1">IF($H$1&lt;&gt;1,IF(B24=$C$5,H24-F24,IF(B24&lt;&gt;"",ROUND(G23*($D$3)*((SUM(O24:P24)/365)),2),"")),"Brak Oferty")</f>
        <v>171.3</v>
      </c>
      <c r="F24" s="250">
        <f t="shared" ca="1" si="8"/>
        <v>581.86</v>
      </c>
      <c r="G24" s="250">
        <f t="shared" ca="1" si="2"/>
        <v>23174.180000000004</v>
      </c>
      <c r="H24" s="250">
        <f t="shared" ca="1" si="3"/>
        <v>753.16</v>
      </c>
      <c r="I24" s="99"/>
      <c r="K24" s="240"/>
      <c r="L24" s="199" t="str">
        <f t="shared" si="9"/>
        <v>R</v>
      </c>
      <c r="M24" s="231">
        <f t="shared" ca="1" si="10"/>
        <v>46630</v>
      </c>
      <c r="N24" s="231">
        <f t="shared" ca="1" si="17"/>
        <v>46625</v>
      </c>
      <c r="O24" s="199">
        <f ca="1">IF(B24&lt;&gt;"",M23-N23+1,0)</f>
        <v>6</v>
      </c>
      <c r="P24" s="199">
        <f t="shared" ca="1" si="11"/>
        <v>25</v>
      </c>
      <c r="Q24" s="199">
        <f t="shared" ca="1" si="0"/>
        <v>365</v>
      </c>
      <c r="R24" s="928">
        <f ca="1">IF(B24&lt;&gt;"",O24/Q23,0)</f>
        <v>1.643835616438356E-2</v>
      </c>
      <c r="S24" s="199">
        <f t="shared" ca="1" si="13"/>
        <v>6.8493150684931503E-2</v>
      </c>
      <c r="T24" s="199">
        <f t="shared" ca="1" si="4"/>
        <v>8.4931506849315067E-2</v>
      </c>
      <c r="U24" s="415">
        <f t="shared" ca="1" si="14"/>
        <v>1.006573698630137</v>
      </c>
      <c r="V24" s="233">
        <f ca="1">IF(B24&lt;&gt;"",1/PRODUCT($U$11:U24),0)</f>
        <v>0.91389011841077528</v>
      </c>
      <c r="AA24" s="240">
        <f t="shared" ca="1" si="5"/>
        <v>753.16</v>
      </c>
      <c r="AB24" s="240">
        <f ca="1">IF(B24&lt;&gt;"",AA24/((1+$V$5)^(SUM($T$11:T24))),0)</f>
        <v>624.24049343424122</v>
      </c>
      <c r="AD24">
        <f t="shared" ca="1" si="15"/>
        <v>1.006573698630137</v>
      </c>
      <c r="AE24">
        <f ca="1">IF(B24&lt;&gt;"",1/PRODUCT($AD$11:AD24),0)</f>
        <v>0.91389011841077528</v>
      </c>
    </row>
    <row r="25" spans="1:35" ht="13.5" thickBot="1" x14ac:dyDescent="0.35">
      <c r="A25" s="196">
        <f ca="1">SUM(E11:E130)</f>
        <v>5151.68</v>
      </c>
      <c r="B25" s="248">
        <f t="shared" si="1"/>
        <v>15</v>
      </c>
      <c r="C25" s="249">
        <f t="shared" ca="1" si="6"/>
        <v>46656</v>
      </c>
      <c r="D25" s="249">
        <f t="shared" ca="1" si="16"/>
        <v>46656</v>
      </c>
      <c r="E25" s="250">
        <f t="shared" ca="1" si="7"/>
        <v>167.1</v>
      </c>
      <c r="F25" s="250">
        <f t="shared" ca="1" si="8"/>
        <v>586.05999999999995</v>
      </c>
      <c r="G25" s="250">
        <f t="shared" ca="1" si="2"/>
        <v>22588.120000000003</v>
      </c>
      <c r="H25" s="250">
        <f t="shared" ca="1" si="3"/>
        <v>753.16</v>
      </c>
      <c r="I25" s="99"/>
      <c r="K25" s="231"/>
      <c r="L25" s="199" t="str">
        <f t="shared" si="9"/>
        <v>R</v>
      </c>
      <c r="M25" s="231">
        <f t="shared" ca="1" si="10"/>
        <v>46660</v>
      </c>
      <c r="N25" s="231">
        <f t="shared" ca="1" si="17"/>
        <v>46656</v>
      </c>
      <c r="O25" s="199">
        <f t="shared" ca="1" si="18"/>
        <v>6</v>
      </c>
      <c r="P25" s="199">
        <f t="shared" ca="1" si="11"/>
        <v>25</v>
      </c>
      <c r="Q25" s="199">
        <f t="shared" ca="1" si="0"/>
        <v>365</v>
      </c>
      <c r="R25" s="928">
        <f t="shared" ref="R25:R26" ca="1" si="19">IF(B25&lt;&gt;"",O25/Q24,0)</f>
        <v>1.643835616438356E-2</v>
      </c>
      <c r="S25" s="199">
        <f t="shared" ca="1" si="13"/>
        <v>6.8493150684931503E-2</v>
      </c>
      <c r="T25" s="199">
        <f t="shared" ca="1" si="4"/>
        <v>8.4931506849315067E-2</v>
      </c>
      <c r="U25" s="415">
        <f t="shared" ca="1" si="14"/>
        <v>1.006573698630137</v>
      </c>
      <c r="V25" s="233">
        <f ca="1">IF(B25&lt;&gt;"",1/PRODUCT($U$11:U25),0)</f>
        <v>0.90792171467872018</v>
      </c>
      <c r="AA25" s="240">
        <f t="shared" ca="1" si="5"/>
        <v>753.16</v>
      </c>
      <c r="AB25" s="240">
        <f ca="1">IF(B25&lt;&gt;"",AA25/((1+$V$5)^(SUM($T$11:T25))),0)</f>
        <v>615.77012770908766</v>
      </c>
      <c r="AD25">
        <f t="shared" ca="1" si="15"/>
        <v>1.006573698630137</v>
      </c>
      <c r="AE25">
        <f ca="1">IF(B25&lt;&gt;"",1/PRODUCT($AD$11:AD25),0)</f>
        <v>0.90792171467872018</v>
      </c>
      <c r="AI25">
        <v>-3.7778706683311344E+16</v>
      </c>
    </row>
    <row r="26" spans="1:35" ht="13" x14ac:dyDescent="0.3">
      <c r="A26" s="194" t="s">
        <v>138</v>
      </c>
      <c r="B26" s="248">
        <f t="shared" si="1"/>
        <v>16</v>
      </c>
      <c r="C26" s="249">
        <f t="shared" ca="1" si="6"/>
        <v>46686</v>
      </c>
      <c r="D26" s="249">
        <f t="shared" ca="1" si="16"/>
        <v>46686</v>
      </c>
      <c r="E26" s="250">
        <f t="shared" ca="1" si="7"/>
        <v>157.62</v>
      </c>
      <c r="F26" s="250">
        <f t="shared" ca="1" si="8"/>
        <v>595.54</v>
      </c>
      <c r="G26" s="250">
        <f t="shared" ca="1" si="2"/>
        <v>21992.58</v>
      </c>
      <c r="H26" s="250">
        <f t="shared" ca="1" si="3"/>
        <v>753.16</v>
      </c>
      <c r="I26" s="99"/>
      <c r="K26" s="231"/>
      <c r="L26" s="199" t="str">
        <f t="shared" si="9"/>
        <v>R</v>
      </c>
      <c r="M26" s="231">
        <f t="shared" ca="1" si="10"/>
        <v>46691</v>
      </c>
      <c r="N26" s="231">
        <f t="shared" ca="1" si="17"/>
        <v>46686</v>
      </c>
      <c r="O26" s="199">
        <f t="shared" ca="1" si="18"/>
        <v>5</v>
      </c>
      <c r="P26" s="199">
        <f t="shared" ca="1" si="11"/>
        <v>25</v>
      </c>
      <c r="Q26" s="199">
        <f t="shared" ca="1" si="0"/>
        <v>365</v>
      </c>
      <c r="R26" s="928">
        <f t="shared" ca="1" si="19"/>
        <v>1.3698630136986301E-2</v>
      </c>
      <c r="S26" s="199">
        <f t="shared" ca="1" si="13"/>
        <v>6.8493150684931503E-2</v>
      </c>
      <c r="T26" s="199">
        <f t="shared" ca="1" si="4"/>
        <v>8.2191780821917804E-2</v>
      </c>
      <c r="U26" s="415">
        <f t="shared" ca="1" si="14"/>
        <v>1.0063616438356164</v>
      </c>
      <c r="V26" s="233">
        <f ca="1">IF(B26&lt;&gt;"",1/PRODUCT($U$11:U26),0)</f>
        <v>0.90218235188127283</v>
      </c>
      <c r="AA26" s="240">
        <f t="shared" ca="1" si="5"/>
        <v>753.16</v>
      </c>
      <c r="AB26" s="240">
        <f ca="1">IF(B26&lt;&gt;"",AA26/((1+$V$5)^(SUM($T$11:T26))),0)</f>
        <v>607.68244906166535</v>
      </c>
      <c r="AD26">
        <f t="shared" ca="1" si="15"/>
        <v>1.0063616438356164</v>
      </c>
      <c r="AE26">
        <f ca="1">IF(B26&lt;&gt;"",1/PRODUCT($AD$11:AD26),0)</f>
        <v>0.90218235188127283</v>
      </c>
    </row>
    <row r="27" spans="1:35" ht="13.5" thickBot="1" x14ac:dyDescent="0.35">
      <c r="A27" s="223">
        <f ca="1">H2</f>
        <v>753.16</v>
      </c>
      <c r="B27" s="248">
        <f t="shared" si="1"/>
        <v>17</v>
      </c>
      <c r="C27" s="249">
        <f t="shared" ca="1" si="6"/>
        <v>46717</v>
      </c>
      <c r="D27" s="249">
        <f t="shared" ca="1" si="16"/>
        <v>46717</v>
      </c>
      <c r="E27" s="250">
        <f t="shared" ca="1" si="7"/>
        <v>158.58000000000001</v>
      </c>
      <c r="F27" s="250">
        <f t="shared" ca="1" si="8"/>
        <v>594.58000000000004</v>
      </c>
      <c r="G27" s="250">
        <f t="shared" ca="1" si="2"/>
        <v>21398</v>
      </c>
      <c r="H27" s="250">
        <f t="shared" ca="1" si="3"/>
        <v>753.16</v>
      </c>
      <c r="I27" s="99"/>
      <c r="K27" s="231"/>
      <c r="L27" s="199" t="str">
        <f t="shared" si="9"/>
        <v>R</v>
      </c>
      <c r="M27" s="231">
        <f t="shared" ca="1" si="10"/>
        <v>46721</v>
      </c>
      <c r="N27" s="231">
        <f t="shared" ca="1" si="17"/>
        <v>46717</v>
      </c>
      <c r="O27" s="199">
        <f t="shared" ca="1" si="18"/>
        <v>6</v>
      </c>
      <c r="P27" s="199">
        <f t="shared" ca="1" si="11"/>
        <v>25</v>
      </c>
      <c r="Q27" s="199">
        <f t="shared" ca="1" si="0"/>
        <v>365</v>
      </c>
      <c r="R27" s="199">
        <f t="shared" ca="1" si="12"/>
        <v>1.643835616438356E-2</v>
      </c>
      <c r="S27" s="199">
        <f t="shared" ca="1" si="13"/>
        <v>6.8493150684931503E-2</v>
      </c>
      <c r="T27" s="199">
        <f t="shared" ca="1" si="4"/>
        <v>8.4931506849315067E-2</v>
      </c>
      <c r="U27" s="415">
        <f t="shared" ca="1" si="14"/>
        <v>1.006573698630137</v>
      </c>
      <c r="V27" s="233">
        <f ca="1">IF(B27&lt;&gt;"",1/PRODUCT($U$11:U27),0)</f>
        <v>0.89629040884842104</v>
      </c>
      <c r="AA27" s="240">
        <f t="shared" ca="1" si="5"/>
        <v>753.16</v>
      </c>
      <c r="AB27" s="240">
        <f ca="1">IF(B27&lt;&gt;"",AA27/((1+$V$5)^(SUM($T$11:T27))),0)</f>
        <v>599.43676067321826</v>
      </c>
      <c r="AD27">
        <f t="shared" ca="1" si="15"/>
        <v>1.006573698630137</v>
      </c>
      <c r="AE27">
        <f ca="1">IF(B27&lt;&gt;"",1/PRODUCT($AD$11:AD27),0)</f>
        <v>0.89629040884842104</v>
      </c>
    </row>
    <row r="28" spans="1:35" ht="13" x14ac:dyDescent="0.3">
      <c r="A28" s="194" t="s">
        <v>14</v>
      </c>
      <c r="B28" s="248">
        <f t="shared" si="1"/>
        <v>18</v>
      </c>
      <c r="C28" s="249">
        <f t="shared" ca="1" si="6"/>
        <v>46747</v>
      </c>
      <c r="D28" s="249">
        <f t="shared" ca="1" si="16"/>
        <v>46747</v>
      </c>
      <c r="E28" s="250">
        <f t="shared" ca="1" si="7"/>
        <v>149.32</v>
      </c>
      <c r="F28" s="250">
        <f t="shared" ca="1" si="8"/>
        <v>603.84</v>
      </c>
      <c r="G28" s="250">
        <f t="shared" ca="1" si="2"/>
        <v>20794.16</v>
      </c>
      <c r="H28" s="250">
        <f t="shared" ca="1" si="3"/>
        <v>753.16</v>
      </c>
      <c r="I28" s="99"/>
      <c r="K28" s="231"/>
      <c r="L28" s="199" t="str">
        <f t="shared" si="9"/>
        <v>R</v>
      </c>
      <c r="M28" s="231">
        <f t="shared" ca="1" si="10"/>
        <v>46752</v>
      </c>
      <c r="N28" s="231">
        <f t="shared" ca="1" si="17"/>
        <v>46747</v>
      </c>
      <c r="O28" s="199">
        <f t="shared" ca="1" si="18"/>
        <v>5</v>
      </c>
      <c r="P28" s="199">
        <f t="shared" ca="1" si="11"/>
        <v>25</v>
      </c>
      <c r="Q28" s="199">
        <f t="shared" ca="1" si="0"/>
        <v>365</v>
      </c>
      <c r="R28" s="199">
        <f t="shared" ca="1" si="12"/>
        <v>1.3698630136986301E-2</v>
      </c>
      <c r="S28" s="199">
        <f t="shared" ca="1" si="13"/>
        <v>6.8493150684931503E-2</v>
      </c>
      <c r="T28" s="199">
        <f t="shared" ca="1" si="4"/>
        <v>8.2191780821917804E-2</v>
      </c>
      <c r="U28" s="415">
        <f t="shared" ca="1" si="14"/>
        <v>1.0063616438356164</v>
      </c>
      <c r="V28" s="233">
        <f ca="1">IF(B28&lt;&gt;"",1/PRODUCT($U$11:U28),0)</f>
        <v>0.89062457252675764</v>
      </c>
      <c r="AA28" s="240">
        <f t="shared" ca="1" si="5"/>
        <v>753.16</v>
      </c>
      <c r="AB28" s="240">
        <f ca="1">IF(B28&lt;&gt;"",AA28/((1+$V$5)^(SUM($T$11:T28))),0)</f>
        <v>591.56360854774312</v>
      </c>
      <c r="AD28">
        <f t="shared" ca="1" si="15"/>
        <v>1.0063616438356164</v>
      </c>
      <c r="AE28">
        <f ca="1">IF(B28&lt;&gt;"",1/PRODUCT($AD$11:AD28),0)</f>
        <v>0.89062457252675764</v>
      </c>
    </row>
    <row r="29" spans="1:35" ht="13.5" thickBot="1" x14ac:dyDescent="0.35">
      <c r="A29" s="222">
        <f>$H$8</f>
        <v>0.17451905146291249</v>
      </c>
      <c r="B29" s="248">
        <f t="shared" si="1"/>
        <v>19</v>
      </c>
      <c r="C29" s="249">
        <f t="shared" ca="1" si="6"/>
        <v>46778</v>
      </c>
      <c r="D29" s="249">
        <f t="shared" ca="1" si="16"/>
        <v>46778</v>
      </c>
      <c r="E29" s="250">
        <f t="shared" ca="1" si="7"/>
        <v>149.94</v>
      </c>
      <c r="F29" s="250">
        <f t="shared" ca="1" si="8"/>
        <v>603.22</v>
      </c>
      <c r="G29" s="250">
        <f t="shared" ca="1" si="2"/>
        <v>20190.939999999999</v>
      </c>
      <c r="H29" s="250">
        <f t="shared" ca="1" si="3"/>
        <v>753.16</v>
      </c>
      <c r="I29" s="99"/>
      <c r="K29" s="231"/>
      <c r="L29" s="199" t="str">
        <f t="shared" si="9"/>
        <v>R</v>
      </c>
      <c r="M29" s="231">
        <f t="shared" ca="1" si="10"/>
        <v>46783</v>
      </c>
      <c r="N29" s="231">
        <f t="shared" ca="1" si="17"/>
        <v>46778</v>
      </c>
      <c r="O29" s="199">
        <f t="shared" ca="1" si="18"/>
        <v>6</v>
      </c>
      <c r="P29" s="199">
        <f t="shared" ca="1" si="11"/>
        <v>25</v>
      </c>
      <c r="Q29" s="199">
        <f t="shared" ca="1" si="0"/>
        <v>366</v>
      </c>
      <c r="R29" s="199">
        <f t="shared" ca="1" si="12"/>
        <v>1.643835616438356E-2</v>
      </c>
      <c r="S29" s="199">
        <f t="shared" ca="1" si="13"/>
        <v>6.8306010928961755E-2</v>
      </c>
      <c r="T29" s="199">
        <f t="shared" ca="1" si="4"/>
        <v>8.4744367093345319E-2</v>
      </c>
      <c r="U29" s="415">
        <f t="shared" ca="1" si="14"/>
        <v>1.0065592140130248</v>
      </c>
      <c r="V29" s="233">
        <f ca="1">IF(B29&lt;&gt;"",1/PRODUCT($U$11:U29),0)</f>
        <v>0.88482084325267807</v>
      </c>
      <c r="AA29" s="240">
        <f t="shared" ca="1" si="5"/>
        <v>753.16</v>
      </c>
      <c r="AB29" s="240">
        <f ca="1">IF(B29&lt;&gt;"",AA29/((1+$V$5)^(SUM($T$11:T29))),0)</f>
        <v>583.5542044127393</v>
      </c>
      <c r="AD29">
        <f t="shared" ca="1" si="15"/>
        <v>1.006573698630137</v>
      </c>
      <c r="AE29">
        <f ca="1">IF(B29&lt;&gt;"",1/PRODUCT($AD$11:AD29),0)</f>
        <v>0.88480811066176623</v>
      </c>
    </row>
    <row r="30" spans="1:35" ht="13" x14ac:dyDescent="0.3">
      <c r="A30" s="194" t="s">
        <v>159</v>
      </c>
      <c r="B30" s="248">
        <f t="shared" si="1"/>
        <v>20</v>
      </c>
      <c r="C30" s="249">
        <f t="shared" ca="1" si="6"/>
        <v>46809</v>
      </c>
      <c r="D30" s="249">
        <f t="shared" ca="1" si="16"/>
        <v>46809</v>
      </c>
      <c r="E30" s="250">
        <f t="shared" ca="1" si="7"/>
        <v>145.59</v>
      </c>
      <c r="F30" s="250">
        <f t="shared" ca="1" si="8"/>
        <v>607.57000000000005</v>
      </c>
      <c r="G30" s="250">
        <f t="shared" ca="1" si="2"/>
        <v>19583.37</v>
      </c>
      <c r="H30" s="250">
        <f t="shared" ca="1" si="3"/>
        <v>753.16</v>
      </c>
      <c r="I30" s="99"/>
      <c r="K30" s="231"/>
      <c r="L30" s="199" t="str">
        <f t="shared" si="9"/>
        <v>R</v>
      </c>
      <c r="M30" s="231">
        <f ca="1">IF(B30&lt;&gt;"",DATE(YEAR((D30)),MONTH((D30))+1,1)-1,"")</f>
        <v>46812</v>
      </c>
      <c r="N30" s="231">
        <f t="shared" ca="1" si="17"/>
        <v>46809</v>
      </c>
      <c r="O30" s="199">
        <f t="shared" ca="1" si="18"/>
        <v>6</v>
      </c>
      <c r="P30" s="199">
        <f t="shared" ca="1" si="11"/>
        <v>25</v>
      </c>
      <c r="Q30" s="199">
        <f t="shared" ca="1" si="0"/>
        <v>366</v>
      </c>
      <c r="R30" s="199">
        <f t="shared" ca="1" si="12"/>
        <v>1.6393442622950821E-2</v>
      </c>
      <c r="S30" s="199">
        <f t="shared" ca="1" si="13"/>
        <v>6.8306010928961755E-2</v>
      </c>
      <c r="T30" s="199">
        <f t="shared" ca="1" si="4"/>
        <v>8.4699453551912579E-2</v>
      </c>
      <c r="U30" s="415">
        <f t="shared" ca="1" si="14"/>
        <v>1.0065557377049181</v>
      </c>
      <c r="V30" s="233">
        <f ca="1">IF(B30&lt;&gt;"",1/PRODUCT($U$11:U30),0)</f>
        <v>0.87905796977541262</v>
      </c>
      <c r="AA30" s="240">
        <f t="shared" ca="1" si="5"/>
        <v>753.16</v>
      </c>
      <c r="AB30" s="240">
        <f ca="1">IF(B30&lt;&gt;"",AA30/((1+$V$5)^(SUM($T$11:T30))),0)</f>
        <v>575.65740159678205</v>
      </c>
      <c r="AD30">
        <f t="shared" ca="1" si="15"/>
        <v>1.006573698630137</v>
      </c>
      <c r="AE30">
        <f ca="1">IF(B30&lt;&gt;"",1/PRODUCT($AD$11:AD30),0)</f>
        <v>0.87902963475592144</v>
      </c>
    </row>
    <row r="31" spans="1:35" ht="13.5" thickBot="1" x14ac:dyDescent="0.35">
      <c r="A31" s="258">
        <f ca="1">A25+A19</f>
        <v>5151.68</v>
      </c>
      <c r="B31" s="248">
        <f t="shared" si="1"/>
        <v>21</v>
      </c>
      <c r="C31" s="249">
        <f t="shared" ca="1" si="6"/>
        <v>46838</v>
      </c>
      <c r="D31" s="249">
        <f t="shared" ca="1" si="16"/>
        <v>46838</v>
      </c>
      <c r="E31" s="250">
        <f t="shared" ca="1" si="7"/>
        <v>132.1</v>
      </c>
      <c r="F31" s="250">
        <f t="shared" ca="1" si="8"/>
        <v>621.05999999999995</v>
      </c>
      <c r="G31" s="250">
        <f t="shared" ca="1" si="2"/>
        <v>18962.309999999998</v>
      </c>
      <c r="H31" s="250">
        <f t="shared" ca="1" si="3"/>
        <v>753.16</v>
      </c>
      <c r="I31" s="99"/>
      <c r="K31" s="231"/>
      <c r="L31" s="199" t="str">
        <f t="shared" si="9"/>
        <v>R</v>
      </c>
      <c r="M31" s="231">
        <f t="shared" ca="1" si="10"/>
        <v>46843</v>
      </c>
      <c r="N31" s="231">
        <f t="shared" ca="1" si="17"/>
        <v>46838</v>
      </c>
      <c r="O31" s="199">
        <f t="shared" ca="1" si="18"/>
        <v>4</v>
      </c>
      <c r="P31" s="199">
        <f t="shared" ca="1" si="11"/>
        <v>25</v>
      </c>
      <c r="Q31" s="199">
        <f t="shared" ca="1" si="0"/>
        <v>366</v>
      </c>
      <c r="R31" s="199">
        <f t="shared" ca="1" si="12"/>
        <v>1.092896174863388E-2</v>
      </c>
      <c r="S31" s="199">
        <f t="shared" ca="1" si="13"/>
        <v>6.8306010928961755E-2</v>
      </c>
      <c r="T31" s="199">
        <f t="shared" ca="1" si="4"/>
        <v>7.9234972677595633E-2</v>
      </c>
      <c r="U31" s="415">
        <f t="shared" ca="1" si="14"/>
        <v>1.0061327868852459</v>
      </c>
      <c r="V31" s="233">
        <f ca="1">IF(B31&lt;&gt;"",1/PRODUCT($U$11:U31),0)</f>
        <v>0.87369975537401223</v>
      </c>
      <c r="AA31" s="240">
        <f t="shared" ca="1" si="5"/>
        <v>753.16</v>
      </c>
      <c r="AB31" s="240">
        <f ca="1">IF(B31&lt;&gt;"",AA31/((1+$V$5)^(SUM($T$11:T31))),0)</f>
        <v>568.36684067333692</v>
      </c>
      <c r="AD31">
        <f t="shared" ca="1" si="15"/>
        <v>1.0061495890410959</v>
      </c>
      <c r="AE31">
        <f ca="1">IF(B31&lt;&gt;"",1/PRODUCT($AD$11:AD31),0)</f>
        <v>0.87365700322322315</v>
      </c>
    </row>
    <row r="32" spans="1:35" ht="13" x14ac:dyDescent="0.3">
      <c r="A32" s="194" t="s">
        <v>158</v>
      </c>
      <c r="B32" s="248">
        <f t="shared" si="1"/>
        <v>22</v>
      </c>
      <c r="C32" s="249">
        <f t="shared" ca="1" si="6"/>
        <v>46869</v>
      </c>
      <c r="D32" s="249">
        <f t="shared" ca="1" si="16"/>
        <v>46869</v>
      </c>
      <c r="E32" s="250">
        <f t="shared" ca="1" si="7"/>
        <v>136.72999999999999</v>
      </c>
      <c r="F32" s="250">
        <f t="shared" ca="1" si="8"/>
        <v>616.42999999999995</v>
      </c>
      <c r="G32" s="250">
        <f t="shared" ca="1" si="2"/>
        <v>18345.879999999997</v>
      </c>
      <c r="H32" s="250">
        <f t="shared" ca="1" si="3"/>
        <v>753.16</v>
      </c>
      <c r="I32" s="99"/>
      <c r="K32" s="231"/>
      <c r="L32" s="199" t="str">
        <f t="shared" si="9"/>
        <v>R</v>
      </c>
      <c r="M32" s="231">
        <f t="shared" ca="1" si="10"/>
        <v>46873</v>
      </c>
      <c r="N32" s="231">
        <f t="shared" ca="1" si="17"/>
        <v>46869</v>
      </c>
      <c r="O32" s="199">
        <f t="shared" ca="1" si="18"/>
        <v>6</v>
      </c>
      <c r="P32" s="199">
        <f t="shared" ca="1" si="11"/>
        <v>25</v>
      </c>
      <c r="Q32" s="199">
        <f t="shared" ca="1" si="0"/>
        <v>366</v>
      </c>
      <c r="R32" s="199">
        <f t="shared" ca="1" si="12"/>
        <v>1.6393442622950821E-2</v>
      </c>
      <c r="S32" s="199">
        <f t="shared" ca="1" si="13"/>
        <v>6.8306010928961755E-2</v>
      </c>
      <c r="T32" s="199">
        <f t="shared" ca="1" si="4"/>
        <v>8.4699453551912579E-2</v>
      </c>
      <c r="U32" s="415">
        <f t="shared" ca="1" si="14"/>
        <v>1.0065557377049181</v>
      </c>
      <c r="V32" s="233">
        <f ca="1">IF(B32&lt;&gt;"",1/PRODUCT($U$11:U32),0)</f>
        <v>0.8680093139860936</v>
      </c>
      <c r="AA32" s="240">
        <f t="shared" ca="1" si="5"/>
        <v>753.16</v>
      </c>
      <c r="AB32" s="240">
        <f ca="1">IF(B32&lt;&gt;"",AA32/((1+$V$5)^(SUM($T$11:T32))),0)</f>
        <v>560.67555709764451</v>
      </c>
      <c r="AD32">
        <f t="shared" ca="1" si="15"/>
        <v>1.006573698630137</v>
      </c>
      <c r="AE32">
        <f ca="1">IF(B32&lt;&gt;"",1/PRODUCT($AD$11:AD32),0)</f>
        <v>0.86795135260557421</v>
      </c>
    </row>
    <row r="33" spans="1:31" ht="13.5" thickBot="1" x14ac:dyDescent="0.35">
      <c r="A33" s="258">
        <f ca="1">A31+A21</f>
        <v>5151.68</v>
      </c>
      <c r="B33" s="248">
        <f t="shared" si="1"/>
        <v>23</v>
      </c>
      <c r="C33" s="249">
        <f t="shared" ca="1" si="6"/>
        <v>46899</v>
      </c>
      <c r="D33" s="249">
        <f t="shared" ca="1" si="16"/>
        <v>46899</v>
      </c>
      <c r="E33" s="250">
        <f t="shared" ca="1" si="7"/>
        <v>128.02000000000001</v>
      </c>
      <c r="F33" s="250">
        <f t="shared" ca="1" si="8"/>
        <v>625.14</v>
      </c>
      <c r="G33" s="250">
        <f t="shared" ca="1" si="2"/>
        <v>17720.739999999998</v>
      </c>
      <c r="H33" s="250">
        <f t="shared" ca="1" si="3"/>
        <v>753.16</v>
      </c>
      <c r="I33" s="99"/>
      <c r="K33" s="231"/>
      <c r="L33" s="199" t="str">
        <f t="shared" si="9"/>
        <v>R</v>
      </c>
      <c r="M33" s="231">
        <f t="shared" ca="1" si="10"/>
        <v>46904</v>
      </c>
      <c r="N33" s="231">
        <f t="shared" ca="1" si="17"/>
        <v>46899</v>
      </c>
      <c r="O33" s="199">
        <f t="shared" ca="1" si="18"/>
        <v>5</v>
      </c>
      <c r="P33" s="199">
        <f t="shared" ca="1" si="11"/>
        <v>25</v>
      </c>
      <c r="Q33" s="199">
        <f t="shared" ca="1" si="0"/>
        <v>366</v>
      </c>
      <c r="R33" s="199">
        <f t="shared" ca="1" si="12"/>
        <v>1.3661202185792349E-2</v>
      </c>
      <c r="S33" s="199">
        <f t="shared" ca="1" si="13"/>
        <v>6.8306010928961755E-2</v>
      </c>
      <c r="T33" s="199">
        <f t="shared" ca="1" si="4"/>
        <v>8.1967213114754106E-2</v>
      </c>
      <c r="U33" s="415">
        <f t="shared" ca="1" si="14"/>
        <v>1.006344262295082</v>
      </c>
      <c r="V33" s="233">
        <f ca="1">IF(B33&lt;&gt;"",1/PRODUCT($U$11:U33),0)</f>
        <v>0.86253715205420856</v>
      </c>
      <c r="AA33" s="240">
        <f t="shared" ca="1" si="5"/>
        <v>753.16</v>
      </c>
      <c r="AB33" s="240">
        <f ca="1">IF(B33&lt;&gt;"",AA33/((1+$V$5)^(SUM($T$11:T33))),0)</f>
        <v>553.33149230923414</v>
      </c>
      <c r="AD33">
        <f t="shared" ca="1" si="15"/>
        <v>1.0063616438356164</v>
      </c>
      <c r="AE33">
        <f ca="1">IF(B33&lt;&gt;"",1/PRODUCT($AD$11:AD33),0)</f>
        <v>0.86246465962026397</v>
      </c>
    </row>
    <row r="34" spans="1:31" ht="13" x14ac:dyDescent="0.3">
      <c r="A34" s="194" t="s">
        <v>161</v>
      </c>
      <c r="B34" s="248">
        <f t="shared" si="1"/>
        <v>24</v>
      </c>
      <c r="C34" s="249">
        <f t="shared" ca="1" si="6"/>
        <v>46930</v>
      </c>
      <c r="D34" s="249">
        <f t="shared" ca="1" si="16"/>
        <v>46930</v>
      </c>
      <c r="E34" s="250">
        <f t="shared" ca="1" si="7"/>
        <v>127.78</v>
      </c>
      <c r="F34" s="250">
        <f t="shared" ca="1" si="8"/>
        <v>625.38</v>
      </c>
      <c r="G34" s="250">
        <f t="shared" ca="1" si="2"/>
        <v>17095.359999999997</v>
      </c>
      <c r="H34" s="250">
        <f t="shared" ca="1" si="3"/>
        <v>753.16</v>
      </c>
      <c r="I34" s="99"/>
      <c r="K34" s="231"/>
      <c r="L34" s="199" t="str">
        <f t="shared" si="9"/>
        <v>R</v>
      </c>
      <c r="M34" s="231">
        <f t="shared" ca="1" si="10"/>
        <v>46934</v>
      </c>
      <c r="N34" s="231">
        <f t="shared" ca="1" si="17"/>
        <v>46930</v>
      </c>
      <c r="O34" s="199">
        <f t="shared" ca="1" si="18"/>
        <v>6</v>
      </c>
      <c r="P34" s="199">
        <f t="shared" ca="1" si="11"/>
        <v>25</v>
      </c>
      <c r="Q34" s="199">
        <f t="shared" ca="1" si="0"/>
        <v>366</v>
      </c>
      <c r="R34" s="199">
        <f t="shared" ca="1" si="12"/>
        <v>1.6393442622950821E-2</v>
      </c>
      <c r="S34" s="199">
        <f t="shared" ca="1" si="13"/>
        <v>6.8306010928961755E-2</v>
      </c>
      <c r="T34" s="199">
        <f t="shared" ca="1" si="4"/>
        <v>8.4699453551912579E-2</v>
      </c>
      <c r="U34" s="415">
        <f t="shared" ca="1" si="14"/>
        <v>1.0065557377049181</v>
      </c>
      <c r="V34" s="233">
        <f ca="1">IF(B34&lt;&gt;"",1/PRODUCT($U$11:U34),0)</f>
        <v>0.85691941314736209</v>
      </c>
      <c r="AA34" s="240">
        <f t="shared" ca="1" si="5"/>
        <v>753.16</v>
      </c>
      <c r="AB34" s="240">
        <f ca="1">IF(B34&lt;&gt;"",AA34/((1+$V$5)^(SUM($T$11:T34))),0)</f>
        <v>545.84367086337079</v>
      </c>
      <c r="AD34">
        <f t="shared" ca="1" si="15"/>
        <v>1.006573698630137</v>
      </c>
      <c r="AE34">
        <f ca="1">IF(B34&lt;&gt;"",1/PRODUCT($AD$11:AD34),0)</f>
        <v>0.85683210359460682</v>
      </c>
    </row>
    <row r="35" spans="1:31" ht="13.5" thickBot="1" x14ac:dyDescent="0.35">
      <c r="A35" s="911">
        <f ca="1">A23+A25</f>
        <v>36151.68</v>
      </c>
      <c r="B35" s="248">
        <f t="shared" si="1"/>
        <v>25</v>
      </c>
      <c r="C35" s="249">
        <f t="shared" ca="1" si="6"/>
        <v>46960</v>
      </c>
      <c r="D35" s="249">
        <f t="shared" ca="1" si="16"/>
        <v>46960</v>
      </c>
      <c r="E35" s="250">
        <f t="shared" ca="1" si="7"/>
        <v>119.29</v>
      </c>
      <c r="F35" s="250">
        <f t="shared" ca="1" si="8"/>
        <v>633.87</v>
      </c>
      <c r="G35" s="250">
        <f t="shared" ca="1" si="2"/>
        <v>16461.489999999998</v>
      </c>
      <c r="H35" s="250">
        <f t="shared" ca="1" si="3"/>
        <v>753.16</v>
      </c>
      <c r="I35" s="99"/>
      <c r="K35" s="231"/>
      <c r="L35" s="199" t="str">
        <f t="shared" si="9"/>
        <v>R</v>
      </c>
      <c r="M35" s="231">
        <f t="shared" ca="1" si="10"/>
        <v>46965</v>
      </c>
      <c r="N35" s="231">
        <f t="shared" ca="1" si="17"/>
        <v>46960</v>
      </c>
      <c r="O35" s="199">
        <f t="shared" ca="1" si="18"/>
        <v>5</v>
      </c>
      <c r="P35" s="199">
        <f t="shared" ca="1" si="11"/>
        <v>25</v>
      </c>
      <c r="Q35" s="199">
        <f t="shared" ca="1" si="0"/>
        <v>366</v>
      </c>
      <c r="R35" s="199">
        <f t="shared" ca="1" si="12"/>
        <v>1.3661202185792349E-2</v>
      </c>
      <c r="S35" s="199">
        <f t="shared" ca="1" si="13"/>
        <v>6.8306010928961755E-2</v>
      </c>
      <c r="T35" s="199">
        <f t="shared" ca="1" si="4"/>
        <v>8.1967213114754106E-2</v>
      </c>
      <c r="U35" s="415">
        <f t="shared" ca="1" si="14"/>
        <v>1.006344262295082</v>
      </c>
      <c r="V35" s="233">
        <f ca="1">IF(B35&lt;&gt;"",1/PRODUCT($U$11:U35),0)</f>
        <v>0.85151716490444374</v>
      </c>
      <c r="AA35" s="240">
        <f t="shared" ca="1" si="5"/>
        <v>753.16</v>
      </c>
      <c r="AB35" s="240">
        <f ca="1">IF(B35&lt;&gt;"",AA35/((1+$V$5)^(SUM($T$11:T35))),0)</f>
        <v>538.69388301830122</v>
      </c>
      <c r="AD35">
        <f t="shared" ca="1" si="15"/>
        <v>1.0063616438356164</v>
      </c>
      <c r="AE35">
        <f ca="1">IF(B35&lt;&gt;"",1/PRODUCT($AD$11:AD35),0)</f>
        <v>0.851415700154174</v>
      </c>
    </row>
    <row r="36" spans="1:31" ht="13" x14ac:dyDescent="0.3">
      <c r="A36" s="24" t="s">
        <v>160</v>
      </c>
      <c r="B36" s="248">
        <f t="shared" si="1"/>
        <v>26</v>
      </c>
      <c r="C36" s="249">
        <f t="shared" ca="1" si="6"/>
        <v>46991</v>
      </c>
      <c r="D36" s="249">
        <f t="shared" ca="1" si="16"/>
        <v>46991</v>
      </c>
      <c r="E36" s="250">
        <f t="shared" ca="1" si="7"/>
        <v>118.7</v>
      </c>
      <c r="F36" s="250">
        <f t="shared" ca="1" si="8"/>
        <v>634.46</v>
      </c>
      <c r="G36" s="250">
        <f t="shared" ca="1" si="2"/>
        <v>15827.029999999999</v>
      </c>
      <c r="H36" s="250">
        <f t="shared" ca="1" si="3"/>
        <v>753.16</v>
      </c>
      <c r="I36" s="99"/>
      <c r="K36" s="231"/>
      <c r="L36" s="199" t="str">
        <f t="shared" si="9"/>
        <v>R</v>
      </c>
      <c r="M36" s="231">
        <f t="shared" ca="1" si="10"/>
        <v>46996</v>
      </c>
      <c r="N36" s="231">
        <f t="shared" ca="1" si="17"/>
        <v>46991</v>
      </c>
      <c r="O36" s="199">
        <f t="shared" ca="1" si="18"/>
        <v>6</v>
      </c>
      <c r="P36" s="199">
        <f t="shared" ca="1" si="11"/>
        <v>25</v>
      </c>
      <c r="Q36" s="199">
        <f t="shared" ca="1" si="0"/>
        <v>366</v>
      </c>
      <c r="R36" s="199">
        <f t="shared" ca="1" si="12"/>
        <v>1.6393442622950821E-2</v>
      </c>
      <c r="S36" s="199">
        <f t="shared" ca="1" si="13"/>
        <v>6.8306010928961755E-2</v>
      </c>
      <c r="T36" s="199">
        <f t="shared" ca="1" si="4"/>
        <v>8.4699453551912579E-2</v>
      </c>
      <c r="U36" s="415">
        <f t="shared" ca="1" si="14"/>
        <v>1.0065557377049181</v>
      </c>
      <c r="V36" s="233">
        <f ca="1">IF(B36&lt;&gt;"",1/PRODUCT($U$11:U36),0)</f>
        <v>0.84597119961386025</v>
      </c>
      <c r="AA36" s="240">
        <f t="shared" ca="1" si="5"/>
        <v>753.16</v>
      </c>
      <c r="AB36" s="240">
        <f ca="1">IF(B36&lt;&gt;"",AA36/((1+$V$5)^(SUM($T$11:T36))),0)</f>
        <v>531.40414139671736</v>
      </c>
      <c r="AD36">
        <f t="shared" ca="1" si="15"/>
        <v>1.006573698630137</v>
      </c>
      <c r="AE36">
        <f ca="1">IF(B36&lt;&gt;"",1/PRODUCT($AD$11:AD36),0)</f>
        <v>0.84585530231207096</v>
      </c>
    </row>
    <row r="37" spans="1:31" ht="13" x14ac:dyDescent="0.3">
      <c r="A37" s="24"/>
      <c r="B37" s="248">
        <f t="shared" si="1"/>
        <v>27</v>
      </c>
      <c r="C37" s="249">
        <f t="shared" ca="1" si="6"/>
        <v>47022</v>
      </c>
      <c r="D37" s="249">
        <f t="shared" ca="1" si="16"/>
        <v>47022</v>
      </c>
      <c r="E37" s="250">
        <f t="shared" ca="1" si="7"/>
        <v>114.12</v>
      </c>
      <c r="F37" s="250">
        <f t="shared" ca="1" si="8"/>
        <v>639.04</v>
      </c>
      <c r="G37" s="250">
        <f t="shared" ca="1" si="2"/>
        <v>15187.989999999998</v>
      </c>
      <c r="H37" s="250">
        <f t="shared" ca="1" si="3"/>
        <v>753.16</v>
      </c>
      <c r="I37" s="99"/>
      <c r="K37" s="231"/>
      <c r="L37" s="199" t="str">
        <f t="shared" si="9"/>
        <v>R</v>
      </c>
      <c r="M37" s="231">
        <f t="shared" ca="1" si="10"/>
        <v>47026</v>
      </c>
      <c r="N37" s="231">
        <f t="shared" ca="1" si="17"/>
        <v>47022</v>
      </c>
      <c r="O37" s="199">
        <f t="shared" ca="1" si="18"/>
        <v>6</v>
      </c>
      <c r="P37" s="199">
        <f t="shared" ca="1" si="11"/>
        <v>25</v>
      </c>
      <c r="Q37" s="199">
        <f t="shared" ca="1" si="0"/>
        <v>366</v>
      </c>
      <c r="R37" s="199">
        <f t="shared" ca="1" si="12"/>
        <v>1.6393442622950821E-2</v>
      </c>
      <c r="S37" s="199">
        <f t="shared" ca="1" si="13"/>
        <v>6.8306010928961755E-2</v>
      </c>
      <c r="T37" s="199">
        <f t="shared" ca="1" si="4"/>
        <v>8.4699453551912579E-2</v>
      </c>
      <c r="U37" s="415">
        <f t="shared" ca="1" si="14"/>
        <v>1.0065557377049181</v>
      </c>
      <c r="V37" s="233">
        <f ca="1">IF(B37&lt;&gt;"",1/PRODUCT($U$11:U37),0)</f>
        <v>0.84046135541662881</v>
      </c>
      <c r="AA37" s="240">
        <f t="shared" ca="1" si="5"/>
        <v>753.16</v>
      </c>
      <c r="AB37" s="240">
        <f ca="1">IF(B37&lt;&gt;"",AA37/((1+$V$5)^(SUM($T$11:T37))),0)</f>
        <v>524.21304639909658</v>
      </c>
      <c r="AD37">
        <f t="shared" ca="1" si="15"/>
        <v>1.006573698630137</v>
      </c>
      <c r="AE37">
        <f ca="1">IF(B37&lt;&gt;"",1/PRODUCT($AD$11:AD37),0)</f>
        <v>0.84033121813455847</v>
      </c>
    </row>
    <row r="38" spans="1:31" ht="13" x14ac:dyDescent="0.3">
      <c r="A38" s="24"/>
      <c r="B38" s="248">
        <f t="shared" si="1"/>
        <v>28</v>
      </c>
      <c r="C38" s="249">
        <f t="shared" ca="1" si="6"/>
        <v>47052</v>
      </c>
      <c r="D38" s="249">
        <f t="shared" ca="1" si="16"/>
        <v>47052</v>
      </c>
      <c r="E38" s="250">
        <f t="shared" ca="1" si="7"/>
        <v>105.98</v>
      </c>
      <c r="F38" s="250">
        <f t="shared" ca="1" si="8"/>
        <v>647.17999999999995</v>
      </c>
      <c r="G38" s="250">
        <f t="shared" ca="1" si="2"/>
        <v>14540.809999999998</v>
      </c>
      <c r="H38" s="250">
        <f t="shared" ca="1" si="3"/>
        <v>753.16</v>
      </c>
      <c r="I38" s="99"/>
      <c r="K38" s="231"/>
      <c r="L38" s="199" t="str">
        <f t="shared" si="9"/>
        <v>R</v>
      </c>
      <c r="M38" s="231">
        <f t="shared" ca="1" si="10"/>
        <v>47057</v>
      </c>
      <c r="N38" s="231">
        <f t="shared" ca="1" si="17"/>
        <v>47052</v>
      </c>
      <c r="O38" s="199">
        <f t="shared" ca="1" si="18"/>
        <v>5</v>
      </c>
      <c r="P38" s="199">
        <f t="shared" ca="1" si="11"/>
        <v>25</v>
      </c>
      <c r="Q38" s="199">
        <f t="shared" ca="1" si="0"/>
        <v>366</v>
      </c>
      <c r="R38" s="199">
        <f t="shared" ca="1" si="12"/>
        <v>1.3661202185792349E-2</v>
      </c>
      <c r="S38" s="199">
        <f t="shared" ca="1" si="13"/>
        <v>6.8306010928961755E-2</v>
      </c>
      <c r="T38" s="199">
        <f t="shared" ca="1" si="4"/>
        <v>8.1967213114754106E-2</v>
      </c>
      <c r="U38" s="415">
        <f t="shared" ca="1" si="14"/>
        <v>1.006344262295082</v>
      </c>
      <c r="V38" s="233">
        <f ca="1">IF(B38&lt;&gt;"",1/PRODUCT($U$11:U38),0)</f>
        <v>0.83516286315367028</v>
      </c>
      <c r="AA38" s="240">
        <f t="shared" ca="1" si="5"/>
        <v>753.16</v>
      </c>
      <c r="AB38" s="240">
        <f ca="1">IF(B38&lt;&gt;"",AA38/((1+$V$5)^(SUM($T$11:T38))),0)</f>
        <v>517.34658944917385</v>
      </c>
      <c r="AD38">
        <f t="shared" ca="1" si="15"/>
        <v>1.0063616438356164</v>
      </c>
      <c r="AE38">
        <f ca="1">IF(B38&lt;&gt;"",1/PRODUCT($AD$11:AD38),0)</f>
        <v>0.83501912387255284</v>
      </c>
    </row>
    <row r="39" spans="1:31" ht="13" x14ac:dyDescent="0.3">
      <c r="A39" s="24"/>
      <c r="B39" s="248">
        <f t="shared" si="1"/>
        <v>29</v>
      </c>
      <c r="C39" s="249">
        <f t="shared" ca="1" si="6"/>
        <v>47083</v>
      </c>
      <c r="D39" s="249">
        <f t="shared" ca="1" si="16"/>
        <v>47083</v>
      </c>
      <c r="E39" s="250">
        <f t="shared" ca="1" si="7"/>
        <v>104.85</v>
      </c>
      <c r="F39" s="250">
        <f t="shared" ca="1" si="8"/>
        <v>648.30999999999995</v>
      </c>
      <c r="G39" s="250">
        <f t="shared" ca="1" si="2"/>
        <v>13892.499999999998</v>
      </c>
      <c r="H39" s="250">
        <f t="shared" ca="1" si="3"/>
        <v>753.16</v>
      </c>
      <c r="I39" s="99"/>
      <c r="K39" s="231"/>
      <c r="L39" s="199" t="str">
        <f t="shared" si="9"/>
        <v>R</v>
      </c>
      <c r="M39" s="231">
        <f t="shared" ca="1" si="10"/>
        <v>47087</v>
      </c>
      <c r="N39" s="231">
        <f t="shared" ca="1" si="17"/>
        <v>47083</v>
      </c>
      <c r="O39" s="199">
        <f t="shared" ca="1" si="18"/>
        <v>6</v>
      </c>
      <c r="P39" s="199">
        <f t="shared" ca="1" si="11"/>
        <v>25</v>
      </c>
      <c r="Q39" s="199">
        <f t="shared" ca="1" si="0"/>
        <v>366</v>
      </c>
      <c r="R39" s="199">
        <f t="shared" ca="1" si="12"/>
        <v>1.6393442622950821E-2</v>
      </c>
      <c r="S39" s="199">
        <f t="shared" ca="1" si="13"/>
        <v>6.8306010928961755E-2</v>
      </c>
      <c r="T39" s="199">
        <f t="shared" ca="1" si="4"/>
        <v>8.4699453551912579E-2</v>
      </c>
      <c r="U39" s="415">
        <f t="shared" ca="1" si="14"/>
        <v>1.0065557377049181</v>
      </c>
      <c r="V39" s="233">
        <f ca="1">IF(B39&lt;&gt;"",1/PRODUCT($U$11:U39),0)</f>
        <v>0.82972341408331096</v>
      </c>
      <c r="AA39" s="240">
        <f t="shared" ca="1" si="5"/>
        <v>753.16</v>
      </c>
      <c r="AB39" s="240">
        <f ca="1">IF(B39&lt;&gt;"",AA39/((1+$V$5)^(SUM($T$11:T39))),0)</f>
        <v>510.34572479342279</v>
      </c>
      <c r="AD39">
        <f t="shared" ca="1" si="15"/>
        <v>1.006573698630137</v>
      </c>
      <c r="AE39">
        <f ca="1">IF(B39&lt;&gt;"",1/PRODUCT($AD$11:AD39),0)</f>
        <v>0.82956580825521697</v>
      </c>
    </row>
    <row r="40" spans="1:31" ht="13" x14ac:dyDescent="0.3">
      <c r="A40" s="24"/>
      <c r="B40" s="248">
        <f t="shared" si="1"/>
        <v>30</v>
      </c>
      <c r="C40" s="249">
        <f t="shared" ca="1" si="6"/>
        <v>47113</v>
      </c>
      <c r="D40" s="249">
        <f t="shared" ca="1" si="16"/>
        <v>47113</v>
      </c>
      <c r="E40" s="250">
        <f t="shared" ca="1" si="7"/>
        <v>96.94</v>
      </c>
      <c r="F40" s="250">
        <f t="shared" ca="1" si="8"/>
        <v>656.22</v>
      </c>
      <c r="G40" s="250">
        <f t="shared" ca="1" si="2"/>
        <v>13236.279999999999</v>
      </c>
      <c r="H40" s="250">
        <f t="shared" ca="1" si="3"/>
        <v>753.16</v>
      </c>
      <c r="I40" s="99"/>
      <c r="K40" s="231"/>
      <c r="L40" s="199" t="str">
        <f t="shared" si="9"/>
        <v>R</v>
      </c>
      <c r="M40" s="231">
        <f t="shared" ca="1" si="10"/>
        <v>47118</v>
      </c>
      <c r="N40" s="231">
        <f t="shared" ca="1" si="17"/>
        <v>47113</v>
      </c>
      <c r="O40" s="199">
        <f t="shared" ca="1" si="18"/>
        <v>5</v>
      </c>
      <c r="P40" s="199">
        <f t="shared" ca="1" si="11"/>
        <v>25</v>
      </c>
      <c r="Q40" s="199">
        <f t="shared" ca="1" si="0"/>
        <v>366</v>
      </c>
      <c r="R40" s="199">
        <f t="shared" ca="1" si="12"/>
        <v>1.3661202185792349E-2</v>
      </c>
      <c r="S40" s="199">
        <f t="shared" ca="1" si="13"/>
        <v>6.8306010928961755E-2</v>
      </c>
      <c r="T40" s="199">
        <f t="shared" ca="1" si="4"/>
        <v>8.1967213114754106E-2</v>
      </c>
      <c r="U40" s="415">
        <f t="shared" ca="1" si="14"/>
        <v>1.006344262295082</v>
      </c>
      <c r="V40" s="233">
        <f ca="1">IF(B40&lt;&gt;"",1/PRODUCT($U$11:U40),0)</f>
        <v>0.82449261666284335</v>
      </c>
      <c r="AA40" s="240">
        <f t="shared" ca="1" si="5"/>
        <v>753.16</v>
      </c>
      <c r="AB40" s="240">
        <f ca="1">IF(B40&lt;&gt;"",AA40/((1+$V$5)^(SUM($T$11:T40))),0)</f>
        <v>503.66091034070638</v>
      </c>
      <c r="AD40">
        <f t="shared" ca="1" si="15"/>
        <v>1.0063616438356164</v>
      </c>
      <c r="AE40">
        <f ca="1">IF(B40&lt;&gt;"",1/PRODUCT($AD$11:AD40),0)</f>
        <v>0.82432176676908586</v>
      </c>
    </row>
    <row r="41" spans="1:31" ht="13" x14ac:dyDescent="0.3">
      <c r="A41" s="24"/>
      <c r="B41" s="248">
        <f t="shared" si="1"/>
        <v>31</v>
      </c>
      <c r="C41" s="249">
        <f t="shared" ca="1" si="6"/>
        <v>47144</v>
      </c>
      <c r="D41" s="249">
        <f t="shared" ca="1" si="16"/>
        <v>47144</v>
      </c>
      <c r="E41" s="250">
        <f t="shared" ca="1" si="7"/>
        <v>95.44</v>
      </c>
      <c r="F41" s="250">
        <f t="shared" ca="1" si="8"/>
        <v>657.72</v>
      </c>
      <c r="G41" s="250">
        <f t="shared" ca="1" si="2"/>
        <v>12578.56</v>
      </c>
      <c r="H41" s="250">
        <f t="shared" ca="1" si="3"/>
        <v>753.16</v>
      </c>
      <c r="I41" s="99"/>
      <c r="K41" s="231"/>
      <c r="L41" s="199" t="str">
        <f t="shared" si="9"/>
        <v>R</v>
      </c>
      <c r="M41" s="231">
        <f t="shared" ca="1" si="10"/>
        <v>47149</v>
      </c>
      <c r="N41" s="231">
        <f t="shared" ca="1" si="17"/>
        <v>47144</v>
      </c>
      <c r="O41" s="199">
        <f t="shared" ca="1" si="18"/>
        <v>6</v>
      </c>
      <c r="P41" s="199">
        <f t="shared" ca="1" si="11"/>
        <v>25</v>
      </c>
      <c r="Q41" s="199">
        <f t="shared" ca="1" si="0"/>
        <v>365</v>
      </c>
      <c r="R41" s="199">
        <f t="shared" ca="1" si="12"/>
        <v>1.6393442622950821E-2</v>
      </c>
      <c r="S41" s="199">
        <f t="shared" ca="1" si="13"/>
        <v>6.8493150684931503E-2</v>
      </c>
      <c r="T41" s="199">
        <f t="shared" ca="1" si="4"/>
        <v>8.4886593307882327E-2</v>
      </c>
      <c r="U41" s="415">
        <f t="shared" ca="1" si="14"/>
        <v>1.0065702223220301</v>
      </c>
      <c r="V41" s="233">
        <f ca="1">IF(B41&lt;&gt;"",1/PRODUCT($U$11:U41),0)</f>
        <v>0.8191108761004704</v>
      </c>
      <c r="AA41" s="240">
        <f t="shared" ca="1" si="5"/>
        <v>753.16</v>
      </c>
      <c r="AB41" s="240">
        <f ca="1">IF(B41&lt;&gt;"",AA41/((1+$V$5)^(SUM($T$11:T41))),0)</f>
        <v>496.83028740941228</v>
      </c>
      <c r="AD41">
        <f t="shared" ca="1" si="15"/>
        <v>1.006573698630137</v>
      </c>
      <c r="AE41">
        <f ca="1">IF(B41&lt;&gt;"",1/PRODUCT($AD$11:AD41),0)</f>
        <v>0.8189383131020801</v>
      </c>
    </row>
    <row r="42" spans="1:31" ht="13" x14ac:dyDescent="0.3">
      <c r="A42" s="24"/>
      <c r="B42" s="248">
        <f t="shared" si="1"/>
        <v>32</v>
      </c>
      <c r="C42" s="249">
        <f t="shared" ca="1" si="6"/>
        <v>47175</v>
      </c>
      <c r="D42" s="249">
        <f t="shared" ca="1" si="16"/>
        <v>47175</v>
      </c>
      <c r="E42" s="250">
        <f t="shared" ca="1" si="7"/>
        <v>90.7</v>
      </c>
      <c r="F42" s="250">
        <f t="shared" ca="1" si="8"/>
        <v>662.46</v>
      </c>
      <c r="G42" s="250">
        <f t="shared" ca="1" si="2"/>
        <v>11916.099999999999</v>
      </c>
      <c r="H42" s="250">
        <f t="shared" ca="1" si="3"/>
        <v>753.16</v>
      </c>
      <c r="I42" s="99"/>
      <c r="K42" s="231"/>
      <c r="L42" s="199" t="str">
        <f t="shared" si="9"/>
        <v>R</v>
      </c>
      <c r="M42" s="231">
        <f t="shared" ca="1" si="10"/>
        <v>47177</v>
      </c>
      <c r="N42" s="231">
        <f t="shared" ca="1" si="17"/>
        <v>47175</v>
      </c>
      <c r="O42" s="199">
        <f t="shared" ca="1" si="18"/>
        <v>6</v>
      </c>
      <c r="P42" s="199">
        <f t="shared" ca="1" si="11"/>
        <v>25</v>
      </c>
      <c r="Q42" s="199">
        <f t="shared" ca="1" si="0"/>
        <v>365</v>
      </c>
      <c r="R42" s="199">
        <f t="shared" ca="1" si="12"/>
        <v>1.643835616438356E-2</v>
      </c>
      <c r="S42" s="199">
        <f t="shared" ca="1" si="13"/>
        <v>6.8493150684931503E-2</v>
      </c>
      <c r="T42" s="199">
        <f t="shared" ca="1" si="4"/>
        <v>8.4931506849315067E-2</v>
      </c>
      <c r="U42" s="415">
        <f t="shared" ca="1" si="14"/>
        <v>1.006573698630137</v>
      </c>
      <c r="V42" s="233">
        <f ca="1">IF(B42&lt;&gt;"",1/PRODUCT($U$11:U42),0)</f>
        <v>0.81376145354802343</v>
      </c>
      <c r="AA42" s="240">
        <f t="shared" ca="1" si="5"/>
        <v>753.16</v>
      </c>
      <c r="AB42" s="240">
        <f ca="1">IF(B42&lt;&gt;"",AA42/((1+$V$5)^(SUM($T$11:T42))),0)</f>
        <v>490.08876025448706</v>
      </c>
      <c r="AD42">
        <f t="shared" ca="1" si="15"/>
        <v>1.006573698630137</v>
      </c>
      <c r="AE42">
        <f ca="1">IF(B42&lt;&gt;"",1/PRODUCT($AD$11:AD42),0)</f>
        <v>0.81359001751842597</v>
      </c>
    </row>
    <row r="43" spans="1:31" ht="13" x14ac:dyDescent="0.3">
      <c r="A43" s="24"/>
      <c r="B43" s="248">
        <f t="shared" si="1"/>
        <v>33</v>
      </c>
      <c r="C43" s="249">
        <f t="shared" ca="1" si="6"/>
        <v>47203</v>
      </c>
      <c r="D43" s="249">
        <f t="shared" ca="1" si="16"/>
        <v>47203</v>
      </c>
      <c r="E43" s="250">
        <f t="shared" ca="1" si="7"/>
        <v>77.61</v>
      </c>
      <c r="F43" s="250">
        <f t="shared" ca="1" si="8"/>
        <v>675.55</v>
      </c>
      <c r="G43" s="250">
        <f t="shared" ca="1" si="2"/>
        <v>11240.55</v>
      </c>
      <c r="H43" s="250">
        <f t="shared" ca="1" si="3"/>
        <v>753.16</v>
      </c>
      <c r="I43" s="99"/>
      <c r="K43" s="231"/>
      <c r="L43" s="199" t="str">
        <f t="shared" si="9"/>
        <v>R</v>
      </c>
      <c r="M43" s="231">
        <f t="shared" ca="1" si="10"/>
        <v>47208</v>
      </c>
      <c r="N43" s="231">
        <f t="shared" ca="1" si="17"/>
        <v>47203</v>
      </c>
      <c r="O43" s="199">
        <f t="shared" ca="1" si="18"/>
        <v>3</v>
      </c>
      <c r="P43" s="199">
        <f t="shared" ca="1" si="11"/>
        <v>25</v>
      </c>
      <c r="Q43" s="199">
        <f t="shared" ca="1" si="0"/>
        <v>365</v>
      </c>
      <c r="R43" s="199">
        <f t="shared" ca="1" si="12"/>
        <v>8.21917808219178E-3</v>
      </c>
      <c r="S43" s="199">
        <f t="shared" ca="1" si="13"/>
        <v>6.8493150684931503E-2</v>
      </c>
      <c r="T43" s="199">
        <f t="shared" ca="1" si="4"/>
        <v>7.6712328767123278E-2</v>
      </c>
      <c r="U43" s="415">
        <f t="shared" ca="1" si="14"/>
        <v>1.0059375342465753</v>
      </c>
      <c r="V43" s="233">
        <f ca="1">IF(B43&lt;&gt;"",1/PRODUCT($U$11:U43),0)</f>
        <v>0.80895823631584884</v>
      </c>
      <c r="AA43" s="240">
        <f t="shared" ca="1" si="5"/>
        <v>753.16</v>
      </c>
      <c r="AB43" s="240">
        <f ca="1">IF(B43&lt;&gt;"",AA43/((1+$V$5)^(SUM($T$11:T43))),0)</f>
        <v>484.07829931482155</v>
      </c>
      <c r="AD43">
        <f t="shared" ca="1" si="15"/>
        <v>1.0059375342465753</v>
      </c>
      <c r="AE43">
        <f ca="1">IF(B43&lt;&gt;"",1/PRODUCT($AD$11:AD43),0)</f>
        <v>0.80878781218536266</v>
      </c>
    </row>
    <row r="44" spans="1:31" ht="13" x14ac:dyDescent="0.3">
      <c r="A44" s="24"/>
      <c r="B44" s="248">
        <f t="shared" si="1"/>
        <v>34</v>
      </c>
      <c r="C44" s="249">
        <f t="shared" ca="1" si="6"/>
        <v>47234</v>
      </c>
      <c r="D44" s="249">
        <f t="shared" ca="1" si="16"/>
        <v>47234</v>
      </c>
      <c r="E44" s="250">
        <f t="shared" ca="1" si="7"/>
        <v>81.05</v>
      </c>
      <c r="F44" s="250">
        <f t="shared" ca="1" si="8"/>
        <v>672.11</v>
      </c>
      <c r="G44" s="250">
        <f t="shared" ca="1" si="2"/>
        <v>10568.439999999999</v>
      </c>
      <c r="H44" s="250">
        <f t="shared" ca="1" si="3"/>
        <v>753.16</v>
      </c>
      <c r="I44" s="99"/>
      <c r="K44" s="231"/>
      <c r="L44" s="199" t="str">
        <f t="shared" si="9"/>
        <v>R</v>
      </c>
      <c r="M44" s="231">
        <f t="shared" ca="1" si="10"/>
        <v>47238</v>
      </c>
      <c r="N44" s="231">
        <f t="shared" ca="1" si="17"/>
        <v>47234</v>
      </c>
      <c r="O44" s="199">
        <f t="shared" ca="1" si="18"/>
        <v>6</v>
      </c>
      <c r="P44" s="199">
        <f t="shared" ca="1" si="11"/>
        <v>25</v>
      </c>
      <c r="Q44" s="199">
        <f t="shared" ca="1" si="0"/>
        <v>365</v>
      </c>
      <c r="R44" s="199">
        <f t="shared" ca="1" si="12"/>
        <v>1.643835616438356E-2</v>
      </c>
      <c r="S44" s="199">
        <f t="shared" ca="1" si="13"/>
        <v>6.8493150684931503E-2</v>
      </c>
      <c r="T44" s="199">
        <f t="shared" ca="1" si="4"/>
        <v>8.4931506849315067E-2</v>
      </c>
      <c r="U44" s="415">
        <f t="shared" ca="1" si="14"/>
        <v>1.006573698630137</v>
      </c>
      <c r="V44" s="233">
        <f ca="1">IF(B44&lt;&gt;"",1/PRODUCT($U$11:U44),0)</f>
        <v>0.80367511829165972</v>
      </c>
      <c r="AA44" s="240">
        <f t="shared" ca="1" si="5"/>
        <v>753.16</v>
      </c>
      <c r="AB44" s="240">
        <f ca="1">IF(B44&lt;&gt;"",AA44/((1+$V$5)^(SUM($T$11:T44))),0)</f>
        <v>477.50980483563603</v>
      </c>
      <c r="AD44">
        <f t="shared" ca="1" si="15"/>
        <v>1.006573698630137</v>
      </c>
      <c r="AE44">
        <f ca="1">IF(B44&lt;&gt;"",1/PRODUCT($AD$11:AD44),0)</f>
        <v>0.80350580716151787</v>
      </c>
    </row>
    <row r="45" spans="1:31" ht="13" x14ac:dyDescent="0.3">
      <c r="A45" s="24"/>
      <c r="B45" s="248">
        <f t="shared" si="1"/>
        <v>35</v>
      </c>
      <c r="C45" s="249">
        <f t="shared" ca="1" si="6"/>
        <v>47264</v>
      </c>
      <c r="D45" s="249">
        <f t="shared" ca="1" si="16"/>
        <v>47264</v>
      </c>
      <c r="E45" s="250">
        <f t="shared" ca="1" si="7"/>
        <v>73.75</v>
      </c>
      <c r="F45" s="250">
        <f t="shared" ca="1" si="8"/>
        <v>679.41</v>
      </c>
      <c r="G45" s="250">
        <f t="shared" ca="1" si="2"/>
        <v>9889.0299999999988</v>
      </c>
      <c r="H45" s="250">
        <f t="shared" ca="1" si="3"/>
        <v>753.16</v>
      </c>
      <c r="I45" s="99"/>
      <c r="K45" s="231"/>
      <c r="L45" s="199" t="str">
        <f t="shared" si="9"/>
        <v>R</v>
      </c>
      <c r="M45" s="231">
        <f t="shared" ca="1" si="10"/>
        <v>47269</v>
      </c>
      <c r="N45" s="231">
        <f t="shared" ca="1" si="17"/>
        <v>47264</v>
      </c>
      <c r="O45" s="199">
        <f t="shared" ca="1" si="18"/>
        <v>5</v>
      </c>
      <c r="P45" s="199">
        <f t="shared" ca="1" si="11"/>
        <v>25</v>
      </c>
      <c r="Q45" s="199">
        <f t="shared" ca="1" si="0"/>
        <v>365</v>
      </c>
      <c r="R45" s="199">
        <f t="shared" ca="1" si="12"/>
        <v>1.3698630136986301E-2</v>
      </c>
      <c r="S45" s="199">
        <f t="shared" ca="1" si="13"/>
        <v>6.8493150684931503E-2</v>
      </c>
      <c r="T45" s="199">
        <f t="shared" ca="1" si="4"/>
        <v>8.2191780821917804E-2</v>
      </c>
      <c r="U45" s="415">
        <f t="shared" ca="1" si="14"/>
        <v>1.0063616438356164</v>
      </c>
      <c r="V45" s="233">
        <f ca="1">IF(B45&lt;&gt;"",1/PRODUCT($U$11:U45),0)</f>
        <v>0.79859474296790234</v>
      </c>
      <c r="AA45" s="240">
        <f t="shared" ca="1" si="5"/>
        <v>753.16</v>
      </c>
      <c r="AB45" s="240">
        <f ca="1">IF(B45&lt;&gt;"",AA45/((1+$V$5)^(SUM($T$11:T45))),0)</f>
        <v>471.23807179968634</v>
      </c>
      <c r="AD45">
        <f t="shared" ca="1" si="15"/>
        <v>1.0063616438356164</v>
      </c>
      <c r="AE45">
        <f ca="1">IF(B45&lt;&gt;"",1/PRODUCT($AD$11:AD45),0)</f>
        <v>0.7984265021260748</v>
      </c>
    </row>
    <row r="46" spans="1:31" ht="13" x14ac:dyDescent="0.3">
      <c r="A46" s="24"/>
      <c r="B46" s="248">
        <f t="shared" si="1"/>
        <v>36</v>
      </c>
      <c r="C46" s="249">
        <f t="shared" ca="1" si="6"/>
        <v>47295</v>
      </c>
      <c r="D46" s="249">
        <f t="shared" ca="1" si="16"/>
        <v>47295</v>
      </c>
      <c r="E46" s="250">
        <f t="shared" ca="1" si="7"/>
        <v>71.31</v>
      </c>
      <c r="F46" s="250">
        <f t="shared" ca="1" si="8"/>
        <v>681.85</v>
      </c>
      <c r="G46" s="250">
        <f t="shared" ca="1" si="2"/>
        <v>9207.1799999999985</v>
      </c>
      <c r="H46" s="250">
        <f t="shared" ca="1" si="3"/>
        <v>753.16</v>
      </c>
      <c r="I46" s="99"/>
      <c r="K46" s="231"/>
      <c r="L46" s="199" t="str">
        <f t="shared" si="9"/>
        <v>R</v>
      </c>
      <c r="M46" s="231">
        <f t="shared" ca="1" si="10"/>
        <v>47299</v>
      </c>
      <c r="N46" s="231">
        <f t="shared" ca="1" si="17"/>
        <v>47295</v>
      </c>
      <c r="O46" s="199">
        <f t="shared" ca="1" si="18"/>
        <v>6</v>
      </c>
      <c r="P46" s="199">
        <f t="shared" ca="1" si="11"/>
        <v>25</v>
      </c>
      <c r="Q46" s="199">
        <f t="shared" ca="1" si="0"/>
        <v>365</v>
      </c>
      <c r="R46" s="199">
        <f t="shared" ca="1" si="12"/>
        <v>1.643835616438356E-2</v>
      </c>
      <c r="S46" s="199">
        <f t="shared" ca="1" si="13"/>
        <v>6.8493150684931503E-2</v>
      </c>
      <c r="T46" s="199">
        <f t="shared" ca="1" si="4"/>
        <v>8.4931506849315067E-2</v>
      </c>
      <c r="U46" s="415">
        <f t="shared" ca="1" si="14"/>
        <v>1.006573698630137</v>
      </c>
      <c r="V46" s="233">
        <f ca="1">IF(B46&lt;&gt;"",1/PRODUCT($U$11:U46),0)</f>
        <v>0.79337930650753463</v>
      </c>
      <c r="AA46" s="240">
        <f t="shared" ca="1" si="5"/>
        <v>753.16</v>
      </c>
      <c r="AB46" s="240">
        <f ca="1">IF(B46&lt;&gt;"",AA46/((1+$V$5)^(SUM($T$11:T46))),0)</f>
        <v>464.84380732350667</v>
      </c>
      <c r="AD46">
        <f t="shared" ca="1" si="15"/>
        <v>1.006573698630137</v>
      </c>
      <c r="AE46">
        <f ca="1">IF(B46&lt;&gt;"",1/PRODUCT($AD$11:AD46),0)</f>
        <v>0.7932121644075012</v>
      </c>
    </row>
    <row r="47" spans="1:31" ht="13" x14ac:dyDescent="0.3">
      <c r="A47" s="24"/>
      <c r="B47" s="248">
        <f t="shared" si="1"/>
        <v>37</v>
      </c>
      <c r="C47" s="249">
        <f t="shared" ca="1" si="6"/>
        <v>47325</v>
      </c>
      <c r="D47" s="249">
        <f t="shared" ca="1" si="16"/>
        <v>47325</v>
      </c>
      <c r="E47" s="250">
        <f t="shared" ca="1" si="7"/>
        <v>64.25</v>
      </c>
      <c r="F47" s="250">
        <f t="shared" ca="1" si="8"/>
        <v>688.91</v>
      </c>
      <c r="G47" s="250">
        <f t="shared" ca="1" si="2"/>
        <v>8518.2699999999986</v>
      </c>
      <c r="H47" s="250">
        <f t="shared" ca="1" si="3"/>
        <v>753.16</v>
      </c>
      <c r="I47" s="99"/>
      <c r="K47" s="231"/>
      <c r="L47" s="199" t="str">
        <f t="shared" si="9"/>
        <v>R</v>
      </c>
      <c r="M47" s="231">
        <f t="shared" ca="1" si="10"/>
        <v>47330</v>
      </c>
      <c r="N47" s="231">
        <f t="shared" ca="1" si="17"/>
        <v>47325</v>
      </c>
      <c r="O47" s="199">
        <f t="shared" ca="1" si="18"/>
        <v>5</v>
      </c>
      <c r="P47" s="199">
        <f t="shared" ca="1" si="11"/>
        <v>25</v>
      </c>
      <c r="Q47" s="199">
        <f t="shared" ca="1" si="0"/>
        <v>365</v>
      </c>
      <c r="R47" s="199">
        <f t="shared" ca="1" si="12"/>
        <v>1.3698630136986301E-2</v>
      </c>
      <c r="S47" s="199">
        <f t="shared" ca="1" si="13"/>
        <v>6.8493150684931503E-2</v>
      </c>
      <c r="T47" s="199">
        <f t="shared" ca="1" si="4"/>
        <v>8.2191780821917804E-2</v>
      </c>
      <c r="U47" s="415">
        <f t="shared" ca="1" si="14"/>
        <v>1.0063616438356164</v>
      </c>
      <c r="V47" s="233">
        <f ca="1">IF(B47&lt;&gt;"",1/PRODUCT($U$11:U47),0)</f>
        <v>0.78836401542856183</v>
      </c>
      <c r="AA47" s="240">
        <f t="shared" ca="1" si="5"/>
        <v>753.16</v>
      </c>
      <c r="AB47" s="240">
        <f ca="1">IF(B47&lt;&gt;"",AA47/((1+$V$5)^(SUM($T$11:T47))),0)</f>
        <v>458.73843266224515</v>
      </c>
      <c r="AD47">
        <f t="shared" ca="1" si="15"/>
        <v>1.0063616438356164</v>
      </c>
      <c r="AE47">
        <f ca="1">IF(B47&lt;&gt;"",1/PRODUCT($AD$11:AD47),0)</f>
        <v>0.78819792990547233</v>
      </c>
    </row>
    <row r="48" spans="1:31" ht="13" x14ac:dyDescent="0.3">
      <c r="A48" s="24"/>
      <c r="B48" s="248">
        <f t="shared" si="1"/>
        <v>38</v>
      </c>
      <c r="C48" s="249">
        <f t="shared" ca="1" si="6"/>
        <v>47356</v>
      </c>
      <c r="D48" s="249">
        <f t="shared" ca="1" si="16"/>
        <v>47356</v>
      </c>
      <c r="E48" s="250">
        <f t="shared" ca="1" si="7"/>
        <v>61.42</v>
      </c>
      <c r="F48" s="250">
        <f t="shared" ca="1" si="8"/>
        <v>691.74</v>
      </c>
      <c r="G48" s="250">
        <f t="shared" ca="1" si="2"/>
        <v>7826.5299999999988</v>
      </c>
      <c r="H48" s="250">
        <f t="shared" ca="1" si="3"/>
        <v>753.16</v>
      </c>
      <c r="I48" s="99"/>
      <c r="K48" s="231"/>
      <c r="L48" s="199" t="str">
        <f t="shared" si="9"/>
        <v>R</v>
      </c>
      <c r="M48" s="231">
        <f t="shared" ca="1" si="10"/>
        <v>47361</v>
      </c>
      <c r="N48" s="231">
        <f t="shared" ca="1" si="17"/>
        <v>47356</v>
      </c>
      <c r="O48" s="199">
        <f t="shared" ca="1" si="18"/>
        <v>6</v>
      </c>
      <c r="P48" s="199">
        <f t="shared" ca="1" si="11"/>
        <v>25</v>
      </c>
      <c r="Q48" s="199">
        <f t="shared" ca="1" si="0"/>
        <v>365</v>
      </c>
      <c r="R48" s="199">
        <f t="shared" ca="1" si="12"/>
        <v>1.643835616438356E-2</v>
      </c>
      <c r="S48" s="199">
        <f t="shared" ca="1" si="13"/>
        <v>6.8493150684931503E-2</v>
      </c>
      <c r="T48" s="199">
        <f t="shared" ca="1" si="4"/>
        <v>8.4931506849315067E-2</v>
      </c>
      <c r="U48" s="415">
        <f t="shared" ca="1" si="14"/>
        <v>1.006573698630137</v>
      </c>
      <c r="V48" s="233">
        <f ca="1">IF(B48&lt;&gt;"",1/PRODUCT($U$11:U48),0)</f>
        <v>0.78321539346940972</v>
      </c>
      <c r="AA48" s="240">
        <f t="shared" ca="1" si="5"/>
        <v>753.16</v>
      </c>
      <c r="AB48" s="240">
        <f ca="1">IF(B48&lt;&gt;"",AA48/((1+$V$5)^(SUM($T$11:T48))),0)</f>
        <v>452.51377672002013</v>
      </c>
      <c r="AD48">
        <f t="shared" ca="1" si="15"/>
        <v>1.006573698630137</v>
      </c>
      <c r="AE48">
        <f ca="1">IF(B48&lt;&gt;"",1/PRODUCT($AD$11:AD48),0)</f>
        <v>0.78305039261222908</v>
      </c>
    </row>
    <row r="49" spans="1:31" ht="13" x14ac:dyDescent="0.3">
      <c r="A49" s="24"/>
      <c r="B49" s="248">
        <f t="shared" si="1"/>
        <v>39</v>
      </c>
      <c r="C49" s="249">
        <f t="shared" ca="1" si="6"/>
        <v>47387</v>
      </c>
      <c r="D49" s="249">
        <f t="shared" ca="1" si="16"/>
        <v>47387</v>
      </c>
      <c r="E49" s="250">
        <f t="shared" ca="1" si="7"/>
        <v>56.43</v>
      </c>
      <c r="F49" s="250">
        <f t="shared" ca="1" si="8"/>
        <v>696.73</v>
      </c>
      <c r="G49" s="250">
        <f t="shared" ca="1" si="2"/>
        <v>7129.7999999999993</v>
      </c>
      <c r="H49" s="250">
        <f t="shared" ca="1" si="3"/>
        <v>753.16</v>
      </c>
      <c r="I49" s="99"/>
      <c r="K49" s="231"/>
      <c r="L49" s="199" t="str">
        <f t="shared" si="9"/>
        <v>R</v>
      </c>
      <c r="M49" s="231">
        <f t="shared" ca="1" si="10"/>
        <v>47391</v>
      </c>
      <c r="N49" s="231">
        <f t="shared" ca="1" si="17"/>
        <v>47387</v>
      </c>
      <c r="O49" s="199">
        <f t="shared" ca="1" si="18"/>
        <v>6</v>
      </c>
      <c r="P49" s="199">
        <f t="shared" ca="1" si="11"/>
        <v>25</v>
      </c>
      <c r="Q49" s="199">
        <f t="shared" ca="1" si="0"/>
        <v>365</v>
      </c>
      <c r="R49" s="199">
        <f t="shared" ca="1" si="12"/>
        <v>1.643835616438356E-2</v>
      </c>
      <c r="S49" s="199">
        <f t="shared" ca="1" si="13"/>
        <v>6.8493150684931503E-2</v>
      </c>
      <c r="T49" s="199">
        <f t="shared" ca="1" si="4"/>
        <v>8.4931506849315067E-2</v>
      </c>
      <c r="U49" s="415">
        <f t="shared" ca="1" si="14"/>
        <v>1.006573698630137</v>
      </c>
      <c r="V49" s="233">
        <f ca="1">IF(B49&lt;&gt;"",1/PRODUCT($U$11:U49),0)</f>
        <v>0.7781003959623628</v>
      </c>
      <c r="AA49" s="240">
        <f t="shared" ca="1" si="5"/>
        <v>753.16</v>
      </c>
      <c r="AB49" s="240">
        <f ca="1">IF(B49&lt;&gt;"",AA49/((1+$V$5)^(SUM($T$11:T49))),0)</f>
        <v>446.3735835976513</v>
      </c>
      <c r="AD49">
        <f t="shared" ca="1" si="15"/>
        <v>1.006573698630137</v>
      </c>
      <c r="AE49">
        <f ca="1">IF(B49&lt;&gt;"",1/PRODUCT($AD$11:AD49),0)</f>
        <v>0.7779364726873903</v>
      </c>
    </row>
    <row r="50" spans="1:31" ht="13" x14ac:dyDescent="0.3">
      <c r="A50" s="24"/>
      <c r="B50" s="248">
        <f t="shared" si="1"/>
        <v>40</v>
      </c>
      <c r="C50" s="249">
        <f t="shared" ca="1" si="6"/>
        <v>47417</v>
      </c>
      <c r="D50" s="249">
        <f t="shared" ca="1" si="16"/>
        <v>47417</v>
      </c>
      <c r="E50" s="250">
        <f t="shared" ca="1" si="7"/>
        <v>49.75</v>
      </c>
      <c r="F50" s="250">
        <f t="shared" ca="1" si="8"/>
        <v>703.41</v>
      </c>
      <c r="G50" s="250">
        <f t="shared" ca="1" si="2"/>
        <v>6426.3899999999994</v>
      </c>
      <c r="H50" s="250">
        <f t="shared" ca="1" si="3"/>
        <v>753.16</v>
      </c>
      <c r="I50" s="99"/>
      <c r="K50" s="231"/>
      <c r="L50" s="199" t="str">
        <f t="shared" si="9"/>
        <v>R</v>
      </c>
      <c r="M50" s="231">
        <f t="shared" ca="1" si="10"/>
        <v>47422</v>
      </c>
      <c r="N50" s="231">
        <f t="shared" ca="1" si="17"/>
        <v>47417</v>
      </c>
      <c r="O50" s="199">
        <f t="shared" ca="1" si="18"/>
        <v>5</v>
      </c>
      <c r="P50" s="199">
        <f t="shared" ca="1" si="11"/>
        <v>25</v>
      </c>
      <c r="Q50" s="199">
        <f t="shared" ca="1" si="0"/>
        <v>365</v>
      </c>
      <c r="R50" s="199">
        <f t="shared" ca="1" si="12"/>
        <v>1.3698630136986301E-2</v>
      </c>
      <c r="S50" s="199">
        <f t="shared" ca="1" si="13"/>
        <v>6.8493150684931503E-2</v>
      </c>
      <c r="T50" s="199">
        <f t="shared" ca="1" si="4"/>
        <v>8.2191780821917804E-2</v>
      </c>
      <c r="U50" s="415">
        <f t="shared" ca="1" si="14"/>
        <v>1.0063616438356164</v>
      </c>
      <c r="V50" s="233">
        <f ca="1">IF(B50&lt;&gt;"",1/PRODUCT($U$11:U50),0)</f>
        <v>0.7731816894339637</v>
      </c>
      <c r="AA50" s="240">
        <f t="shared" ca="1" si="5"/>
        <v>753.16</v>
      </c>
      <c r="AB50" s="240">
        <f ca="1">IF(B50&lt;&gt;"",AA50/((1+$V$5)^(SUM($T$11:T50))),0)</f>
        <v>440.51080146778861</v>
      </c>
      <c r="AD50">
        <f t="shared" ca="1" si="15"/>
        <v>1.0063616438356164</v>
      </c>
      <c r="AE50">
        <f ca="1">IF(B50&lt;&gt;"",1/PRODUCT($AD$11:AD50),0)</f>
        <v>0.77301880238836085</v>
      </c>
    </row>
    <row r="51" spans="1:31" ht="13" x14ac:dyDescent="0.3">
      <c r="A51" s="24"/>
      <c r="B51" s="248">
        <f t="shared" si="1"/>
        <v>41</v>
      </c>
      <c r="C51" s="249">
        <f t="shared" ca="1" si="6"/>
        <v>47448</v>
      </c>
      <c r="D51" s="249">
        <f t="shared" ca="1" si="16"/>
        <v>47448</v>
      </c>
      <c r="E51" s="250">
        <f t="shared" ca="1" si="7"/>
        <v>46.34</v>
      </c>
      <c r="F51" s="250">
        <f t="shared" ca="1" si="8"/>
        <v>706.82</v>
      </c>
      <c r="G51" s="250">
        <f t="shared" ca="1" si="2"/>
        <v>5719.57</v>
      </c>
      <c r="H51" s="250">
        <f t="shared" ca="1" si="3"/>
        <v>753.16</v>
      </c>
      <c r="I51" s="99"/>
      <c r="K51" s="231"/>
      <c r="L51" s="199" t="str">
        <f t="shared" si="9"/>
        <v>R</v>
      </c>
      <c r="M51" s="231">
        <f t="shared" ca="1" si="10"/>
        <v>47452</v>
      </c>
      <c r="N51" s="231">
        <f t="shared" ca="1" si="17"/>
        <v>47448</v>
      </c>
      <c r="O51" s="199">
        <f t="shared" ca="1" si="18"/>
        <v>6</v>
      </c>
      <c r="P51" s="199">
        <f t="shared" ca="1" si="11"/>
        <v>25</v>
      </c>
      <c r="Q51" s="199">
        <f t="shared" ca="1" si="0"/>
        <v>365</v>
      </c>
      <c r="R51" s="199">
        <f t="shared" ca="1" si="12"/>
        <v>1.643835616438356E-2</v>
      </c>
      <c r="S51" s="199">
        <f t="shared" ca="1" si="13"/>
        <v>6.8493150684931503E-2</v>
      </c>
      <c r="T51" s="199">
        <f t="shared" ca="1" si="4"/>
        <v>8.4931506849315067E-2</v>
      </c>
      <c r="U51" s="415">
        <f t="shared" ca="1" si="14"/>
        <v>1.006573698630137</v>
      </c>
      <c r="V51" s="233">
        <f ca="1">IF(B51&lt;&gt;"",1/PRODUCT($U$11:U51),0)</f>
        <v>0.76813221971346912</v>
      </c>
      <c r="AA51" s="240">
        <f t="shared" ca="1" si="5"/>
        <v>753.16</v>
      </c>
      <c r="AB51" s="240">
        <f ca="1">IF(B51&lt;&gt;"",AA51/((1+$V$5)^(SUM($T$11:T51))),0)</f>
        <v>434.53347761014351</v>
      </c>
      <c r="AD51">
        <f t="shared" ca="1" si="15"/>
        <v>1.006573698630137</v>
      </c>
      <c r="AE51">
        <f ca="1">IF(B51&lt;&gt;"",1/PRODUCT($AD$11:AD51),0)</f>
        <v>0.76797039644526288</v>
      </c>
    </row>
    <row r="52" spans="1:31" ht="13" x14ac:dyDescent="0.3">
      <c r="A52" s="24"/>
      <c r="B52" s="248">
        <f t="shared" si="1"/>
        <v>42</v>
      </c>
      <c r="C52" s="249">
        <f t="shared" ca="1" si="6"/>
        <v>47478</v>
      </c>
      <c r="D52" s="249">
        <f t="shared" ca="1" si="16"/>
        <v>47478</v>
      </c>
      <c r="E52" s="250">
        <f t="shared" ca="1" si="7"/>
        <v>39.909999999999997</v>
      </c>
      <c r="F52" s="250">
        <f t="shared" ca="1" si="8"/>
        <v>713.25</v>
      </c>
      <c r="G52" s="250">
        <f t="shared" ca="1" si="2"/>
        <v>5006.32</v>
      </c>
      <c r="H52" s="250">
        <f t="shared" ca="1" si="3"/>
        <v>753.16</v>
      </c>
      <c r="I52" s="99"/>
      <c r="K52" s="231"/>
      <c r="L52" s="199" t="str">
        <f t="shared" si="9"/>
        <v>R</v>
      </c>
      <c r="M52" s="231">
        <f t="shared" ca="1" si="10"/>
        <v>47483</v>
      </c>
      <c r="N52" s="231">
        <f t="shared" ca="1" si="17"/>
        <v>47478</v>
      </c>
      <c r="O52" s="199">
        <f t="shared" ca="1" si="18"/>
        <v>5</v>
      </c>
      <c r="P52" s="199">
        <f t="shared" ca="1" si="11"/>
        <v>25</v>
      </c>
      <c r="Q52" s="199">
        <f t="shared" ca="1" si="0"/>
        <v>365</v>
      </c>
      <c r="R52" s="199">
        <f t="shared" ca="1" si="12"/>
        <v>1.3698630136986301E-2</v>
      </c>
      <c r="S52" s="199">
        <f t="shared" ca="1" si="13"/>
        <v>6.8493150684931503E-2</v>
      </c>
      <c r="T52" s="199">
        <f t="shared" ca="1" si="4"/>
        <v>8.2191780821917804E-2</v>
      </c>
      <c r="U52" s="415">
        <f t="shared" ca="1" si="14"/>
        <v>1.0063616438356164</v>
      </c>
      <c r="V52" s="233">
        <f ca="1">IF(B52&lt;&gt;"",1/PRODUCT($U$11:U52),0)</f>
        <v>0.76327652630503007</v>
      </c>
      <c r="AA52" s="240">
        <f t="shared" ca="1" si="5"/>
        <v>753.16</v>
      </c>
      <c r="AB52" s="240">
        <f ca="1">IF(B52&lt;&gt;"",AA52/((1+$V$5)^(SUM($T$11:T52))),0)</f>
        <v>428.82620638941609</v>
      </c>
      <c r="AD52">
        <f t="shared" ca="1" si="15"/>
        <v>1.0063616438356164</v>
      </c>
      <c r="AE52">
        <f ca="1">IF(B52&lt;&gt;"",1/PRODUCT($AD$11:AD52),0)</f>
        <v>0.7631157259911493</v>
      </c>
    </row>
    <row r="53" spans="1:31" ht="13" x14ac:dyDescent="0.3">
      <c r="A53" s="24"/>
      <c r="B53" s="248">
        <f t="shared" si="1"/>
        <v>43</v>
      </c>
      <c r="C53" s="249">
        <f t="shared" ca="1" si="6"/>
        <v>47509</v>
      </c>
      <c r="D53" s="249">
        <f t="shared" ca="1" si="16"/>
        <v>47509</v>
      </c>
      <c r="E53" s="250">
        <f t="shared" ca="1" si="7"/>
        <v>36.1</v>
      </c>
      <c r="F53" s="250">
        <f t="shared" ca="1" si="8"/>
        <v>717.06</v>
      </c>
      <c r="G53" s="250">
        <f t="shared" ca="1" si="2"/>
        <v>4289.26</v>
      </c>
      <c r="H53" s="250">
        <f t="shared" ca="1" si="3"/>
        <v>753.16</v>
      </c>
      <c r="I53" s="99"/>
      <c r="K53" s="231"/>
      <c r="L53" s="199" t="str">
        <f t="shared" si="9"/>
        <v>R</v>
      </c>
      <c r="M53" s="231">
        <f t="shared" ca="1" si="10"/>
        <v>47514</v>
      </c>
      <c r="N53" s="231">
        <f t="shared" ca="1" si="17"/>
        <v>47509</v>
      </c>
      <c r="O53" s="199">
        <f t="shared" ca="1" si="18"/>
        <v>6</v>
      </c>
      <c r="P53" s="199">
        <f t="shared" ca="1" si="11"/>
        <v>25</v>
      </c>
      <c r="Q53" s="199">
        <f t="shared" ca="1" si="0"/>
        <v>365</v>
      </c>
      <c r="R53" s="199">
        <f t="shared" ca="1" si="12"/>
        <v>1.643835616438356E-2</v>
      </c>
      <c r="S53" s="199">
        <f t="shared" ca="1" si="13"/>
        <v>6.8493150684931503E-2</v>
      </c>
      <c r="T53" s="199">
        <f t="shared" ca="1" si="4"/>
        <v>8.4931506849315067E-2</v>
      </c>
      <c r="U53" s="415">
        <f t="shared" ca="1" si="14"/>
        <v>1.006573698630137</v>
      </c>
      <c r="V53" s="233">
        <f ca="1">IF(B53&lt;&gt;"",1/PRODUCT($U$11:U53),0)</f>
        <v>0.75829174490033457</v>
      </c>
      <c r="AA53" s="240">
        <f t="shared" ca="1" si="5"/>
        <v>753.16</v>
      </c>
      <c r="AB53" s="240">
        <f ca="1">IF(B53&lt;&gt;"",AA53/((1+$V$5)^(SUM($T$11:T53))),0)</f>
        <v>423.00743167221464</v>
      </c>
      <c r="AD53">
        <f t="shared" ca="1" si="15"/>
        <v>1.006573698630137</v>
      </c>
      <c r="AE53">
        <f ca="1">IF(B53&lt;&gt;"",1/PRODUCT($AD$11:AD53),0)</f>
        <v>0.75813199473589099</v>
      </c>
    </row>
    <row r="54" spans="1:31" ht="13" x14ac:dyDescent="0.3">
      <c r="A54" s="24"/>
      <c r="B54" s="248">
        <f t="shared" si="1"/>
        <v>44</v>
      </c>
      <c r="C54" s="249">
        <f t="shared" ca="1" si="6"/>
        <v>47540</v>
      </c>
      <c r="D54" s="249">
        <f t="shared" ca="1" si="16"/>
        <v>47540</v>
      </c>
      <c r="E54" s="250">
        <f t="shared" ca="1" si="7"/>
        <v>30.93</v>
      </c>
      <c r="F54" s="250">
        <f t="shared" ca="1" si="8"/>
        <v>722.23</v>
      </c>
      <c r="G54" s="250">
        <f t="shared" ca="1" si="2"/>
        <v>3567.03</v>
      </c>
      <c r="H54" s="250">
        <f t="shared" ca="1" si="3"/>
        <v>753.16</v>
      </c>
      <c r="I54" s="99"/>
      <c r="K54" s="231"/>
      <c r="L54" s="199" t="str">
        <f t="shared" si="9"/>
        <v>R</v>
      </c>
      <c r="M54" s="231">
        <f t="shared" ca="1" si="10"/>
        <v>47542</v>
      </c>
      <c r="N54" s="231">
        <f t="shared" ca="1" si="17"/>
        <v>47540</v>
      </c>
      <c r="O54" s="199">
        <f t="shared" ca="1" si="18"/>
        <v>6</v>
      </c>
      <c r="P54" s="199">
        <f t="shared" ca="1" si="11"/>
        <v>25</v>
      </c>
      <c r="Q54" s="199">
        <f t="shared" ca="1" si="0"/>
        <v>365</v>
      </c>
      <c r="R54" s="199">
        <f t="shared" ca="1" si="12"/>
        <v>1.643835616438356E-2</v>
      </c>
      <c r="S54" s="199">
        <f t="shared" ca="1" si="13"/>
        <v>6.8493150684931503E-2</v>
      </c>
      <c r="T54" s="199">
        <f t="shared" ca="1" si="4"/>
        <v>8.4931506849315067E-2</v>
      </c>
      <c r="U54" s="415">
        <f t="shared" ca="1" si="14"/>
        <v>1.006573698630137</v>
      </c>
      <c r="V54" s="233">
        <f ca="1">IF(B54&lt;&gt;"",1/PRODUCT($U$11:U54),0)</f>
        <v>0.75333951794320331</v>
      </c>
      <c r="AA54" s="240">
        <f t="shared" ca="1" si="5"/>
        <v>753.16</v>
      </c>
      <c r="AB54" s="240">
        <f ca="1">IF(B54&lt;&gt;"",AA54/((1+$V$5)^(SUM($T$11:T54))),0)</f>
        <v>417.26761234231242</v>
      </c>
      <c r="AD54">
        <f t="shared" ca="1" si="15"/>
        <v>1.006573698630137</v>
      </c>
      <c r="AE54">
        <f ca="1">IF(B54&lt;&gt;"",1/PRODUCT($AD$11:AD54),0)</f>
        <v>0.75318081106991508</v>
      </c>
    </row>
    <row r="55" spans="1:31" ht="13" x14ac:dyDescent="0.3">
      <c r="A55" s="24"/>
      <c r="B55" s="248">
        <f t="shared" si="1"/>
        <v>45</v>
      </c>
      <c r="C55" s="249">
        <f t="shared" ca="1" si="6"/>
        <v>47568</v>
      </c>
      <c r="D55" s="249">
        <f t="shared" ca="1" si="16"/>
        <v>47568</v>
      </c>
      <c r="E55" s="250">
        <f t="shared" ca="1" si="7"/>
        <v>23.23</v>
      </c>
      <c r="F55" s="250">
        <f t="shared" ca="1" si="8"/>
        <v>729.93</v>
      </c>
      <c r="G55" s="250">
        <f t="shared" ca="1" si="2"/>
        <v>2837.1000000000004</v>
      </c>
      <c r="H55" s="250">
        <f t="shared" ca="1" si="3"/>
        <v>753.16</v>
      </c>
      <c r="I55" s="99"/>
      <c r="K55" s="231"/>
      <c r="L55" s="199" t="str">
        <f t="shared" si="9"/>
        <v>R</v>
      </c>
      <c r="M55" s="231">
        <f t="shared" ca="1" si="10"/>
        <v>47573</v>
      </c>
      <c r="N55" s="231">
        <f t="shared" ca="1" si="17"/>
        <v>47568</v>
      </c>
      <c r="O55" s="199">
        <f t="shared" ca="1" si="18"/>
        <v>3</v>
      </c>
      <c r="P55" s="199">
        <f t="shared" ca="1" si="11"/>
        <v>25</v>
      </c>
      <c r="Q55" s="199">
        <f t="shared" ca="1" si="0"/>
        <v>365</v>
      </c>
      <c r="R55" s="199">
        <f t="shared" ca="1" si="12"/>
        <v>8.21917808219178E-3</v>
      </c>
      <c r="S55" s="199">
        <f t="shared" ca="1" si="13"/>
        <v>6.8493150684931503E-2</v>
      </c>
      <c r="T55" s="199">
        <f t="shared" ca="1" si="4"/>
        <v>7.6712328767123278E-2</v>
      </c>
      <c r="U55" s="415">
        <f t="shared" ca="1" si="14"/>
        <v>1.0059375342465753</v>
      </c>
      <c r="V55" s="233">
        <f ca="1">IF(B55&lt;&gt;"",1/PRODUCT($U$11:U55),0)</f>
        <v>0.74889294046219057</v>
      </c>
      <c r="AA55" s="240">
        <f t="shared" ca="1" si="5"/>
        <v>753.16</v>
      </c>
      <c r="AB55" s="240">
        <f ca="1">IF(B55&lt;&gt;"",AA55/((1+$V$5)^(SUM($T$11:T55))),0)</f>
        <v>412.15023180073734</v>
      </c>
      <c r="AD55">
        <f t="shared" ca="1" si="15"/>
        <v>1.0059375342465753</v>
      </c>
      <c r="AE55">
        <f ca="1">IF(B55&lt;&gt;"",1/PRODUCT($AD$11:AD55),0)</f>
        <v>0.74873517035432102</v>
      </c>
    </row>
    <row r="56" spans="1:31" ht="13" x14ac:dyDescent="0.3">
      <c r="A56" s="24"/>
      <c r="B56" s="248">
        <f t="shared" si="1"/>
        <v>46</v>
      </c>
      <c r="C56" s="249">
        <f t="shared" ca="1" si="6"/>
        <v>47599</v>
      </c>
      <c r="D56" s="249">
        <f t="shared" ca="1" si="16"/>
        <v>47599</v>
      </c>
      <c r="E56" s="250">
        <f t="shared" ca="1" si="7"/>
        <v>20.46</v>
      </c>
      <c r="F56" s="250">
        <f t="shared" ca="1" si="8"/>
        <v>732.7</v>
      </c>
      <c r="G56" s="250">
        <f t="shared" ca="1" si="2"/>
        <v>2104.4000000000005</v>
      </c>
      <c r="H56" s="250">
        <f t="shared" ca="1" si="3"/>
        <v>753.16</v>
      </c>
      <c r="I56" s="99"/>
      <c r="K56" s="231"/>
      <c r="L56" s="199" t="str">
        <f t="shared" si="9"/>
        <v>R</v>
      </c>
      <c r="M56" s="231">
        <f t="shared" ca="1" si="10"/>
        <v>47603</v>
      </c>
      <c r="N56" s="231">
        <f t="shared" ca="1" si="17"/>
        <v>47599</v>
      </c>
      <c r="O56" s="199">
        <f t="shared" ca="1" si="18"/>
        <v>6</v>
      </c>
      <c r="P56" s="199">
        <f t="shared" ca="1" si="11"/>
        <v>25</v>
      </c>
      <c r="Q56" s="199">
        <f t="shared" ca="1" si="0"/>
        <v>365</v>
      </c>
      <c r="R56" s="199">
        <f t="shared" ca="1" si="12"/>
        <v>1.643835616438356E-2</v>
      </c>
      <c r="S56" s="199">
        <f t="shared" ca="1" si="13"/>
        <v>6.8493150684931503E-2</v>
      </c>
      <c r="T56" s="199">
        <f t="shared" ca="1" si="4"/>
        <v>8.4931506849315067E-2</v>
      </c>
      <c r="U56" s="415">
        <f t="shared" ca="1" si="14"/>
        <v>1.006573698630137</v>
      </c>
      <c r="V56" s="233">
        <f ca="1">IF(B56&lt;&gt;"",1/PRODUCT($U$11:U56),0)</f>
        <v>0.74400209491006131</v>
      </c>
      <c r="AA56" s="240">
        <f t="shared" ca="1" si="5"/>
        <v>753.16</v>
      </c>
      <c r="AB56" s="240">
        <f ca="1">IF(B56&lt;&gt;"",AA56/((1+$V$5)^(SUM($T$11:T56))),0)</f>
        <v>406.5577346241235</v>
      </c>
      <c r="AD56">
        <f t="shared" ca="1" si="15"/>
        <v>1.006573698630137</v>
      </c>
      <c r="AE56">
        <f ca="1">IF(B56&lt;&gt;"",1/PRODUCT($AD$11:AD56),0)</f>
        <v>0.74384535516205841</v>
      </c>
    </row>
    <row r="57" spans="1:31" ht="13" x14ac:dyDescent="0.3">
      <c r="A57" s="24"/>
      <c r="B57" s="248">
        <f t="shared" si="1"/>
        <v>47</v>
      </c>
      <c r="C57" s="249">
        <f t="shared" ca="1" si="6"/>
        <v>47629</v>
      </c>
      <c r="D57" s="249">
        <f t="shared" ca="1" si="16"/>
        <v>47629</v>
      </c>
      <c r="E57" s="250">
        <f t="shared" ca="1" si="7"/>
        <v>14.68</v>
      </c>
      <c r="F57" s="250">
        <f t="shared" ca="1" si="8"/>
        <v>738.48</v>
      </c>
      <c r="G57" s="250">
        <f t="shared" ca="1" si="2"/>
        <v>1365.9200000000005</v>
      </c>
      <c r="H57" s="250">
        <f t="shared" ca="1" si="3"/>
        <v>753.16</v>
      </c>
      <c r="I57" s="99"/>
      <c r="K57" s="231"/>
      <c r="L57" s="199" t="str">
        <f t="shared" si="9"/>
        <v>R</v>
      </c>
      <c r="M57" s="231">
        <f t="shared" ca="1" si="10"/>
        <v>47634</v>
      </c>
      <c r="N57" s="231">
        <f t="shared" ca="1" si="17"/>
        <v>47629</v>
      </c>
      <c r="O57" s="199">
        <f t="shared" ca="1" si="18"/>
        <v>5</v>
      </c>
      <c r="P57" s="199">
        <f t="shared" ca="1" si="11"/>
        <v>25</v>
      </c>
      <c r="Q57" s="199">
        <f t="shared" ca="1" si="0"/>
        <v>365</v>
      </c>
      <c r="R57" s="199">
        <f t="shared" ca="1" si="12"/>
        <v>1.3698630136986301E-2</v>
      </c>
      <c r="S57" s="199">
        <f t="shared" ca="1" si="13"/>
        <v>6.8493150684931503E-2</v>
      </c>
      <c r="T57" s="199">
        <f t="shared" ca="1" si="4"/>
        <v>8.2191780821917804E-2</v>
      </c>
      <c r="U57" s="415">
        <f t="shared" ca="1" si="14"/>
        <v>1.0063616438356164</v>
      </c>
      <c r="V57" s="233">
        <f ca="1">IF(B57&lt;&gt;"",1/PRODUCT($U$11:U57),0)</f>
        <v>0.73929893837606342</v>
      </c>
      <c r="AA57" s="240">
        <f t="shared" ca="1" si="5"/>
        <v>753.16</v>
      </c>
      <c r="AB57" s="240">
        <f ca="1">IF(B57&lt;&gt;"",AA57/((1+$V$5)^(SUM($T$11:T57))),0)</f>
        <v>401.21790379878445</v>
      </c>
      <c r="AD57">
        <f t="shared" ca="1" si="15"/>
        <v>1.0063616438356164</v>
      </c>
      <c r="AE57">
        <f ca="1">IF(B57&lt;&gt;"",1/PRODUCT($AD$11:AD57),0)</f>
        <v>0.73914318944727331</v>
      </c>
    </row>
    <row r="58" spans="1:31" ht="13" x14ac:dyDescent="0.3">
      <c r="A58" s="24"/>
      <c r="B58" s="248">
        <f t="shared" si="1"/>
        <v>48</v>
      </c>
      <c r="C58" s="249">
        <f t="shared" ca="1" si="6"/>
        <v>47660</v>
      </c>
      <c r="D58" s="249">
        <f t="shared" ca="1" si="16"/>
        <v>47660</v>
      </c>
      <c r="E58" s="250">
        <f t="shared" ca="1" si="7"/>
        <v>-612.76000000000056</v>
      </c>
      <c r="F58" s="250">
        <f t="shared" ca="1" si="8"/>
        <v>1365.9200000000005</v>
      </c>
      <c r="G58" s="250">
        <f t="shared" ca="1" si="2"/>
        <v>0</v>
      </c>
      <c r="H58" s="250">
        <f t="shared" ca="1" si="3"/>
        <v>753.16</v>
      </c>
      <c r="I58" s="99"/>
      <c r="K58" s="231"/>
      <c r="L58" s="199" t="str">
        <f t="shared" si="9"/>
        <v>R</v>
      </c>
      <c r="M58" s="231">
        <f t="shared" ca="1" si="10"/>
        <v>47664</v>
      </c>
      <c r="N58" s="231">
        <f t="shared" ca="1" si="17"/>
        <v>47660</v>
      </c>
      <c r="O58" s="199">
        <f t="shared" ca="1" si="18"/>
        <v>6</v>
      </c>
      <c r="P58" s="199">
        <f t="shared" ca="1" si="11"/>
        <v>25</v>
      </c>
      <c r="Q58" s="199">
        <f t="shared" ca="1" si="0"/>
        <v>365</v>
      </c>
      <c r="R58" s="199">
        <f t="shared" ca="1" si="12"/>
        <v>1.643835616438356E-2</v>
      </c>
      <c r="S58" s="199">
        <f t="shared" ca="1" si="13"/>
        <v>6.8493150684931503E-2</v>
      </c>
      <c r="T58" s="199">
        <f t="shared" ca="1" si="4"/>
        <v>8.4931506849315067E-2</v>
      </c>
      <c r="U58" s="415">
        <f t="shared" ca="1" si="14"/>
        <v>1.006573698630137</v>
      </c>
      <c r="V58" s="233">
        <f ca="1">IF(B58&lt;&gt;"",1/PRODUCT($U$11:U58),0)</f>
        <v>0.73447074901935916</v>
      </c>
      <c r="AA58" s="240">
        <f t="shared" ca="1" si="5"/>
        <v>753.16</v>
      </c>
      <c r="AB58" s="240">
        <f ca="1">IF(B58&lt;&gt;"",AA58/((1+$V$5)^(SUM($T$11:T58))),0)</f>
        <v>395.7737481946541</v>
      </c>
      <c r="AD58">
        <f t="shared" ca="1" si="15"/>
        <v>1.006573698630137</v>
      </c>
      <c r="AE58">
        <f ca="1">IF(B58&lt;&gt;"",1/PRODUCT($AD$11:AD58),0)</f>
        <v>0.73431601725058548</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0657"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0658"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Arkusz30">
    <tabColor indexed="18"/>
  </sheetPr>
  <dimension ref="A1:AI200"/>
  <sheetViews>
    <sheetView workbookViewId="0">
      <selection activeCell="I4" sqref="I4"/>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46229</v>
      </c>
      <c r="C1" s="85"/>
      <c r="D1" s="217">
        <f>IF(D3=D4,D4,D3+4%)</f>
        <v>0.12490000000000001</v>
      </c>
      <c r="E1" s="218" t="str">
        <f ca="1">IF(I2&lt;&gt;"",I2,IF(I3&lt;&gt;"",I3,I4))</f>
        <v/>
      </c>
      <c r="F1" s="218">
        <f ca="1">IF(G2&lt;=MAX_,E2,IF(G3&lt;=MAX_,E3,E4))</f>
        <v>46229</v>
      </c>
      <c r="G1" s="214">
        <v>45</v>
      </c>
      <c r="H1" s="255">
        <f ca="1">IF(OR(H2=D4,D1=D4),1,0)</f>
        <v>0</v>
      </c>
      <c r="I1">
        <v>15</v>
      </c>
      <c r="K1" s="252"/>
      <c r="M1" s="252"/>
      <c r="N1" s="252"/>
      <c r="O1" s="252"/>
      <c r="P1" s="252"/>
      <c r="Q1" s="252"/>
      <c r="R1" s="252"/>
      <c r="S1" s="252"/>
      <c r="T1" s="252"/>
    </row>
    <row r="2" spans="1:33" ht="13" x14ac:dyDescent="0.3">
      <c r="A2" s="205"/>
      <c r="B2" s="350">
        <f ca="1">DATE(YEAR((E5)),MONTH((E5))+1,1)-1</f>
        <v>46203</v>
      </c>
      <c r="C2" s="351">
        <f ca="1">DAY(B2)</f>
        <v>30</v>
      </c>
      <c r="D2" s="4"/>
      <c r="E2" s="213">
        <f ca="1">IF(MOD(MONTH(F2)-MONTH(F3),12)&gt;1,DATE(YEAR(F2),MONTH(F2),DAY(F2)-DAY(F2)),F2)</f>
        <v>46260</v>
      </c>
      <c r="F2" s="213">
        <f ca="1">DATE(YEAR(E5),MONTH(E5)+2,$G$5)</f>
        <v>46260</v>
      </c>
      <c r="G2" s="215">
        <f ca="1">E2-$E$5</f>
        <v>61</v>
      </c>
      <c r="H2" s="221">
        <f ca="1">ROUND(AE4,2)</f>
        <v>824.05</v>
      </c>
      <c r="I2" s="264" t="str">
        <f ca="1">IF(AND(G2&lt;=MAX_,G2&gt;=MIN),E2,"")</f>
        <v/>
      </c>
    </row>
    <row r="3" spans="1:33" ht="13.5" thickBot="1" x14ac:dyDescent="0.35">
      <c r="A3" s="209" t="s">
        <v>59</v>
      </c>
      <c r="B3" s="254"/>
      <c r="C3" s="4"/>
      <c r="D3" s="212">
        <f>'DOD1'!H3</f>
        <v>8.4900000000000003E-2</v>
      </c>
      <c r="E3" s="213">
        <f ca="1">IF(MOD(MONTH(F3)-MONTH(F4),12)&gt;1,DATE(YEAR(F3),MONTH(F3),DAY(F3)-DAY(F3)),F3)</f>
        <v>46229</v>
      </c>
      <c r="F3" s="213">
        <f ca="1">DATE(YEAR(E5),MONTH(E5)+1,$G$5)</f>
        <v>46229</v>
      </c>
      <c r="G3" s="215">
        <f ca="1">E3-E5</f>
        <v>30</v>
      </c>
      <c r="I3" s="265"/>
      <c r="P3" s="411" t="s">
        <v>180</v>
      </c>
      <c r="Q3" s="412">
        <v>365</v>
      </c>
    </row>
    <row r="4" spans="1:33" ht="13.5" thickBot="1" x14ac:dyDescent="0.35">
      <c r="A4" s="211" t="s">
        <v>19</v>
      </c>
      <c r="B4" s="204"/>
      <c r="C4" s="204"/>
      <c r="D4" s="206" t="s">
        <v>15</v>
      </c>
      <c r="E4" s="213">
        <f ca="1">IF(MOD(MONTH(F4)-MONTH(F5),12)&gt;1,DATE(YEAR(F4),MONTH(F4),DAY(F4)-DAY(F4)),F4)</f>
        <v>46199</v>
      </c>
      <c r="F4" s="213">
        <f ca="1">DATE(YEAR(E5),MONTH(E5),$G$5)</f>
        <v>46199</v>
      </c>
      <c r="G4" s="215">
        <f ca="1">(E4-E5)</f>
        <v>0</v>
      </c>
      <c r="H4" s="262">
        <f ca="1">VLOOKUP(B6,B11:D130,3,FALSE)</f>
        <v>47660</v>
      </c>
      <c r="I4" s="265" t="str">
        <f ca="1">IF(AND(G4&lt;=MAX_,G4&gt;=MIN),E4,"")</f>
        <v/>
      </c>
      <c r="M4" s="916"/>
      <c r="U4" s="945" t="s">
        <v>121</v>
      </c>
      <c r="V4" s="946">
        <f ca="1">G10/V9</f>
        <v>823.93031519360181</v>
      </c>
      <c r="AD4" s="413" t="s">
        <v>121</v>
      </c>
      <c r="AE4" s="203">
        <f ca="1">G10/AE9</f>
        <v>824.05470961060075</v>
      </c>
      <c r="AF4" s="609" t="s">
        <v>1959</v>
      </c>
    </row>
    <row r="5" spans="1:33" ht="13.5" thickBot="1" x14ac:dyDescent="0.35">
      <c r="A5" s="210" t="s">
        <v>60</v>
      </c>
      <c r="B5" s="2"/>
      <c r="C5" s="615">
        <f>'DOD1'!E8</f>
        <v>48</v>
      </c>
      <c r="D5" s="2"/>
      <c r="E5" s="614">
        <f ca="1">WERSJA2!D18</f>
        <v>46199</v>
      </c>
      <c r="F5" s="618">
        <f ca="1">DATE(YEAR(E5),MONTH(E5)-1,$G$5)</f>
        <v>46168</v>
      </c>
      <c r="G5" s="615">
        <f ca="1">WERSJA2!D19</f>
        <v>26</v>
      </c>
      <c r="H5" s="262">
        <f ca="1">D11</f>
        <v>46229</v>
      </c>
      <c r="I5" s="263" t="s">
        <v>167</v>
      </c>
      <c r="M5" s="916"/>
      <c r="U5" s="228" t="s">
        <v>150</v>
      </c>
      <c r="V5" s="229">
        <v>0.17451905146291249</v>
      </c>
      <c r="AD5" s="609" t="s">
        <v>1817</v>
      </c>
    </row>
    <row r="6" spans="1:33" ht="13.5" thickBot="1" x14ac:dyDescent="0.35">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45</v>
      </c>
      <c r="AB7" s="226" t="s">
        <v>144</v>
      </c>
      <c r="AD7" s="178" t="s">
        <v>182</v>
      </c>
      <c r="AE7" s="178" t="s">
        <v>183</v>
      </c>
    </row>
    <row r="8" spans="1:33" ht="13.5" thickBot="1" x14ac:dyDescent="0.35">
      <c r="A8" s="192" t="str">
        <f>WERSJA2!C4</f>
        <v>RODZAJ POŻYCZKI</v>
      </c>
      <c r="B8" s="24"/>
      <c r="C8" s="24"/>
      <c r="E8" s="207" t="s">
        <v>5</v>
      </c>
      <c r="F8" s="241">
        <f>D1</f>
        <v>0.12490000000000001</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-2029.5575119962996</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46203</v>
      </c>
      <c r="N9" s="232">
        <f ca="1">D10</f>
        <v>46199</v>
      </c>
      <c r="Q9" s="199">
        <f ca="1">IF(B9&lt;&gt;"",IF(MOD(YEAR(N9),4)=0,366,365),0)</f>
        <v>365</v>
      </c>
      <c r="U9" s="234"/>
      <c r="V9" s="235">
        <f ca="1">SUM(V11:V130)</f>
        <v>37.624541090851622</v>
      </c>
      <c r="Z9" s="236">
        <f ca="1">G10/((1+$V$5)^(0/Q9))</f>
        <v>31000</v>
      </c>
      <c r="AA9" s="237">
        <f>G10</f>
        <v>31000</v>
      </c>
      <c r="AB9" s="236">
        <f ca="1">SUM(AB10:AB130)</f>
        <v>28970.4424880037</v>
      </c>
      <c r="AE9" s="235">
        <f ca="1">SUM(AE11:AE130)</f>
        <v>37.618861513028371</v>
      </c>
      <c r="AF9">
        <v>11.930682479761785</v>
      </c>
      <c r="AG9" s="653"/>
    </row>
    <row r="10" spans="1:33" ht="13" x14ac:dyDescent="0.3">
      <c r="A10" s="194" t="str">
        <f>WERSJA2!C6</f>
        <v>SEGMENT KLIENTA</v>
      </c>
      <c r="B10" s="242">
        <v>0</v>
      </c>
      <c r="C10" s="243">
        <f ca="1">E5</f>
        <v>46199</v>
      </c>
      <c r="D10" s="243">
        <f ca="1">E5</f>
        <v>46199</v>
      </c>
      <c r="E10" s="24"/>
      <c r="F10" s="24"/>
      <c r="G10" s="244">
        <f>'DOD1'!K3</f>
        <v>31000</v>
      </c>
      <c r="H10" s="24"/>
      <c r="I10" s="99"/>
      <c r="K10" s="919">
        <v>0</v>
      </c>
      <c r="L10" s="199" t="s">
        <v>147</v>
      </c>
      <c r="M10" s="232">
        <f ca="1">DATE(YEAR((N11)),MONTH((N11)+1),1)-1</f>
        <v>46203</v>
      </c>
      <c r="N10" s="232">
        <f ca="1">DATE(YEAR(N11),MONTH(N11)-1,DAY(N11))</f>
        <v>46199</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46229</v>
      </c>
      <c r="D11" s="246">
        <f ca="1">B1</f>
        <v>46229</v>
      </c>
      <c r="E11" s="247">
        <f ca="1">IF($H$1&lt;&gt;1,IF(B11=$C$5,H11-F11,IF(B11&lt;&gt;"",ROUND(G10*($D$3)*((SUM(O10:P11)/365)),2),"")),"Brak Oferty")</f>
        <v>216.32</v>
      </c>
      <c r="F11" s="247">
        <f ca="1">IF($H$1&lt;&gt;1,IF(B11=$C$5,G10,IF(B11&lt;&gt;"",ROUND((H11-E11),2),"")),"Brak Oferty")</f>
        <v>607.73</v>
      </c>
      <c r="G11" s="247">
        <f ca="1">IF($H$1&lt;&gt;1,IF(B11&lt;&gt;"",G10-F11,""),"Brak Oferty")</f>
        <v>30392.27</v>
      </c>
      <c r="H11" s="247">
        <f ca="1">IF($H$1&lt;&gt;1,IF(B11&lt;&gt;"",$H$2,""),$D$4)</f>
        <v>824.05</v>
      </c>
      <c r="I11" s="99"/>
      <c r="K11" s="918">
        <v>1</v>
      </c>
      <c r="L11" s="202" t="s">
        <v>147</v>
      </c>
      <c r="M11" s="238">
        <f ca="1">IF(B11&lt;&gt;"",DATE(YEAR((D11)),MONTH((D11))+1,1)-1,"")</f>
        <v>46234</v>
      </c>
      <c r="N11" s="238">
        <f ca="1">D11</f>
        <v>46229</v>
      </c>
      <c r="O11" s="202">
        <f ca="1">IF(M6=1,0,IF(M6=2,M9-N9+1,M10-N10+1))</f>
        <v>5</v>
      </c>
      <c r="P11" s="202">
        <f ca="1">IF(M6=1,N11-N9,IF(M6=2,N11-M9-1,N11-M10-1))</f>
        <v>25</v>
      </c>
      <c r="Q11" s="202">
        <f t="shared" ref="Q11:Q74" ca="1" si="0">IF(B11&lt;&gt;"",IF(MOD(YEAR(N11),4)=0,366,365),0)</f>
        <v>365</v>
      </c>
      <c r="R11" s="202">
        <f ca="1">IF(1,O11/Q10,"")</f>
        <v>1.3698630136986301E-2</v>
      </c>
      <c r="S11" s="202">
        <f ca="1">IF(1,P11/Q11,"")</f>
        <v>6.8493150684931503E-2</v>
      </c>
      <c r="T11" s="202">
        <f ca="1">IF(B11&lt;&gt;"",R10+S10+R11+S11,"")</f>
        <v>8.2191780821917804E-2</v>
      </c>
      <c r="U11" s="415">
        <f ca="1">IF(B11&lt;&gt;"",1+$D$1*T11,0)</f>
        <v>1.0102657534246575</v>
      </c>
      <c r="V11" s="202">
        <f ca="1">IF(B11&lt;&gt;"",1/U11,0)</f>
        <v>0.9898385613984656</v>
      </c>
      <c r="W11" s="197"/>
      <c r="X11" s="197"/>
      <c r="Y11" s="197"/>
      <c r="Z11" s="197"/>
      <c r="AA11" s="239">
        <f ca="1">IF(B11&lt;&gt;"",$H$2,0)</f>
        <v>824.05</v>
      </c>
      <c r="AB11" s="239">
        <f ca="1">IF(B11&lt;&gt;"",AA11/((1+$V$5)^T11),0)</f>
        <v>813.22672149150264</v>
      </c>
      <c r="AC11" s="197"/>
      <c r="AD11" s="202">
        <f ca="1">IF(B11&lt;&gt;"",1+$D$1*((O10+P10+O11+P11)/365),0)</f>
        <v>1.0102657534246575</v>
      </c>
      <c r="AE11" s="202">
        <f ca="1">IF(B11&lt;&gt;"",1/AD11,0)</f>
        <v>0.9898385613984656</v>
      </c>
    </row>
    <row r="12" spans="1:33" ht="13" x14ac:dyDescent="0.3">
      <c r="A12" s="194" t="str">
        <f>WERSJA2!C8</f>
        <v>KONSOLIDACJA</v>
      </c>
      <c r="B12" s="248">
        <f t="shared" ref="B12:B75" si="1">IF(B11&lt;$C$5,IF(B11&lt;&gt;"",B11+1,1),"")</f>
        <v>2</v>
      </c>
      <c r="C12" s="249">
        <f ca="1">IF(B12&lt;&gt;"",DATE(YEAR(D11),MONTH(D11)+1,$G$5),"")</f>
        <v>46260</v>
      </c>
      <c r="D12" s="249">
        <f ca="1">IF(B12&lt;&gt;"",IF(MOD(MONTH(C12)-MONTH(C11),12)&gt;1,DATE(YEAR(C12),MONTH(C12),DAY(C12)-DAY(C12)),C12),"")</f>
        <v>46260</v>
      </c>
      <c r="E12" s="250">
        <f ca="1">IF($H$1&lt;&gt;1,IF(B12=$C$5,H12-F12,IF(B12&lt;&gt;"",ROUND(G11*($D$3)*((SUM(O12:P12)/365)),2),"")),"Brak Oferty")</f>
        <v>219.15</v>
      </c>
      <c r="F12" s="250">
        <f ca="1">IF($H$1&lt;&gt;1,IF(B12=$C$5,G11,IF(B12&lt;&gt;"",ROUND((H12-E12),2),"")),"Brak Oferty")</f>
        <v>604.9</v>
      </c>
      <c r="G12" s="250">
        <f t="shared" ref="G12:G75" ca="1" si="2">IF($H$1&lt;&gt;1,IF(B12&lt;&gt;"",G11-F12,""),"Brak Oferty")</f>
        <v>29787.37</v>
      </c>
      <c r="H12" s="250">
        <f t="shared" ref="H12:H75" ca="1" si="3">IF($H$1&lt;&gt;1,IF(B12&lt;&gt;"",$H$2,""),$D$4)</f>
        <v>824.05</v>
      </c>
      <c r="I12" s="99"/>
      <c r="K12" s="240"/>
      <c r="L12" s="199" t="str">
        <f>IF(B12&lt;&gt;"",L11,"")</f>
        <v>R</v>
      </c>
      <c r="M12" s="231">
        <f ca="1">IF(B12&lt;&gt;"",DATE(YEAR((D12)),MONTH((D12))+1,1)-1,"")</f>
        <v>46265</v>
      </c>
      <c r="N12" s="231">
        <f ca="1">D12</f>
        <v>46260</v>
      </c>
      <c r="O12" s="253">
        <f ca="1">IF(B12&lt;&gt;"",M11-N11+1,0)</f>
        <v>6</v>
      </c>
      <c r="P12" s="199">
        <f ca="1">IF(B12&lt;&gt;"",N12-M11-1,0)</f>
        <v>25</v>
      </c>
      <c r="Q12" s="199">
        <f ca="1">IF(B12&lt;&gt;"",IF(MOD(YEAR(N12),4)=0,366,365),0)</f>
        <v>365</v>
      </c>
      <c r="R12" s="199">
        <f ca="1">IF(1,O12/Q11,"")</f>
        <v>1.643835616438356E-2</v>
      </c>
      <c r="S12" s="199">
        <f ca="1">IF(1,P12/Q12,"")</f>
        <v>6.8493150684931503E-2</v>
      </c>
      <c r="T12" s="199">
        <f t="shared" ref="T12:T75" ca="1" si="4">IF(B12&lt;&gt;"",R12+S12,"")</f>
        <v>8.4931506849315067E-2</v>
      </c>
      <c r="U12" s="415">
        <f ca="1">IF(B12&lt;&gt;"",1+$D$1*T12,0)</f>
        <v>1.0106079452054795</v>
      </c>
      <c r="V12" s="233">
        <f ca="1">IF(B12&lt;&gt;"",1/PRODUCT($U$11:U12),0)</f>
        <v>0.97944862406282496</v>
      </c>
      <c r="AA12" s="240">
        <f t="shared" ref="AA12:AA75" ca="1" si="5">IF(B12&lt;&gt;"",$H$2,0)</f>
        <v>824.05</v>
      </c>
      <c r="AB12" s="240">
        <f ca="1">IF(B12&lt;&gt;"",AA12/((1+$V$5)^(SUM($T$11:T12))),0)</f>
        <v>802.19198756931723</v>
      </c>
      <c r="AD12">
        <f ca="1">IF(B12&lt;&gt;"",1+$D$1*((O12+P12)/365),0)</f>
        <v>1.0106079452054795</v>
      </c>
      <c r="AE12">
        <f ca="1">IF(B12&lt;&gt;"",1/PRODUCT($AD$11:AD12),0)</f>
        <v>0.97944862406282496</v>
      </c>
      <c r="AF12" s="609" t="s">
        <v>1963</v>
      </c>
    </row>
    <row r="13" spans="1:33" ht="13.5" thickBot="1" x14ac:dyDescent="0.35">
      <c r="A13" s="193" t="str">
        <f>WERSJA2!D8</f>
        <v>NIE</v>
      </c>
      <c r="B13" s="248">
        <f t="shared" si="1"/>
        <v>3</v>
      </c>
      <c r="C13" s="249">
        <f t="shared" ref="C13:C76" ca="1" si="6">IF(B13&lt;&gt;"",DATE(YEAR(D12),MONTH(D12)+1,$G$5),"")</f>
        <v>46291</v>
      </c>
      <c r="D13" s="249">
        <f ca="1">IF(B13&lt;&gt;"",IF(MOD(MONTH(C13)-MONTH(C12),12)&gt;1,DATE(YEAR(C13),MONTH(C13),DAY(C13)-DAY(C13)),C13),"")</f>
        <v>46291</v>
      </c>
      <c r="E13" s="250">
        <f t="shared" ref="E13:E70" ca="1" si="7">IF($H$1&lt;&gt;1,IF(B13=$C$5,H13-F13,IF(B13&lt;&gt;"",ROUND(G12*($D$3)*((SUM(O13:P13)/365)),2),"")),"Brak Oferty")</f>
        <v>214.79</v>
      </c>
      <c r="F13" s="250">
        <f t="shared" ref="F13:F76" ca="1" si="8">IF($H$1&lt;&gt;1,IF(B13=$C$5,G12,IF(B13&lt;&gt;"",ROUND((H13-E13),2),"")),"Brak Oferty")</f>
        <v>609.26</v>
      </c>
      <c r="G13" s="250">
        <f t="shared" ca="1" si="2"/>
        <v>29178.11</v>
      </c>
      <c r="H13" s="250">
        <f t="shared" ca="1" si="3"/>
        <v>824.05</v>
      </c>
      <c r="I13" s="99"/>
      <c r="K13" s="240"/>
      <c r="L13" s="199" t="str">
        <f t="shared" ref="L13:L76" si="9">IF(B13&lt;&gt;"",L12,"")</f>
        <v>R</v>
      </c>
      <c r="M13" s="231">
        <f t="shared" ref="M13:M76" ca="1" si="10">IF(B13&lt;&gt;"",DATE(YEAR((D13)),MONTH((D13))+1,1)-1,"")</f>
        <v>46295</v>
      </c>
      <c r="N13" s="231">
        <f ca="1">D13</f>
        <v>46291</v>
      </c>
      <c r="O13" s="199">
        <f ca="1">IF(B13&lt;&gt;"",M12-N12+1,0)</f>
        <v>6</v>
      </c>
      <c r="P13" s="199">
        <f t="shared" ref="P13:P76" ca="1" si="11">IF(B13&lt;&gt;"",N13-M12-1,0)</f>
        <v>25</v>
      </c>
      <c r="Q13" s="199">
        <f t="shared" ca="1" si="0"/>
        <v>365</v>
      </c>
      <c r="R13" s="199">
        <f t="shared" ref="R13:R76" ca="1" si="12">IF(1,O13/Q12,"")</f>
        <v>1.643835616438356E-2</v>
      </c>
      <c r="S13" s="199">
        <f t="shared" ref="S13:S76" ca="1" si="13">IF(1,P13/Q13,"")</f>
        <v>6.8493150684931503E-2</v>
      </c>
      <c r="T13" s="199">
        <f t="shared" ca="1" si="4"/>
        <v>8.4931506849315067E-2</v>
      </c>
      <c r="U13" s="415">
        <f t="shared" ref="U13:U76" ca="1" si="14">IF(B13&lt;&gt;"",1+$D$1*T13,0)</f>
        <v>1.0106079452054795</v>
      </c>
      <c r="V13" s="233">
        <f ca="1">IF(B13&lt;&gt;"",1/PRODUCT($U$11:U13),0)</f>
        <v>0.96916774572129538</v>
      </c>
      <c r="AA13" s="240">
        <f t="shared" ca="1" si="5"/>
        <v>824.05</v>
      </c>
      <c r="AB13" s="963">
        <f ca="1">IF(B13&lt;&gt;"",AA13/((1+$V$5)^(SUM($T$11:T13))),0)</f>
        <v>791.30698477317026</v>
      </c>
      <c r="AD13">
        <f t="shared" ref="AD13:AD76" ca="1" si="15">IF(B13&lt;&gt;"",1+$D$1*((O13+P13)/365),0)</f>
        <v>1.0106079452054795</v>
      </c>
      <c r="AE13">
        <f ca="1">IF(B13&lt;&gt;"",1/PRODUCT($AD$11:AD13),0)</f>
        <v>0.96916774572129538</v>
      </c>
    </row>
    <row r="14" spans="1:33" ht="13" x14ac:dyDescent="0.3">
      <c r="A14" s="194" t="str">
        <f>WERSJA2!C9</f>
        <v>MIEJSCE ZŁOŻENIA WNIOSKU</v>
      </c>
      <c r="B14" s="248">
        <f t="shared" si="1"/>
        <v>4</v>
      </c>
      <c r="C14" s="249">
        <f t="shared" ca="1" si="6"/>
        <v>46321</v>
      </c>
      <c r="D14" s="249">
        <f t="shared" ref="D14:D77" ca="1" si="16">IF(B14&lt;&gt;"",IF(MOD(MONTH(C14)-MONTH(C13),12)&gt;1,DATE(YEAR(C14),MONTH(C14),DAY(C14)-DAY(C14)),C14),"")</f>
        <v>46321</v>
      </c>
      <c r="E14" s="250">
        <f t="shared" ca="1" si="7"/>
        <v>203.61</v>
      </c>
      <c r="F14" s="250">
        <f t="shared" ca="1" si="8"/>
        <v>620.44000000000005</v>
      </c>
      <c r="G14" s="250">
        <f t="shared" ca="1" si="2"/>
        <v>28557.670000000002</v>
      </c>
      <c r="H14" s="250">
        <f t="shared" ca="1" si="3"/>
        <v>824.05</v>
      </c>
      <c r="I14" s="99"/>
      <c r="K14" s="240"/>
      <c r="L14" s="199" t="str">
        <f t="shared" si="9"/>
        <v>R</v>
      </c>
      <c r="M14" s="231">
        <f t="shared" ca="1" si="10"/>
        <v>46326</v>
      </c>
      <c r="N14" s="231">
        <f t="shared" ref="N14:N77" ca="1" si="17">D14</f>
        <v>46321</v>
      </c>
      <c r="O14" s="199">
        <f t="shared" ref="O14:O77" ca="1" si="18">IF(B14&lt;&gt;"",M13-N13+1,0)</f>
        <v>5</v>
      </c>
      <c r="P14" s="199">
        <f t="shared" ca="1" si="11"/>
        <v>25</v>
      </c>
      <c r="Q14" s="199">
        <f t="shared" ca="1" si="0"/>
        <v>365</v>
      </c>
      <c r="R14" s="199">
        <f t="shared" ca="1" si="12"/>
        <v>1.3698630136986301E-2</v>
      </c>
      <c r="S14" s="199">
        <f ca="1">IF(1,P14/Q14,"")</f>
        <v>6.8493150684931503E-2</v>
      </c>
      <c r="T14" s="199">
        <f t="shared" ca="1" si="4"/>
        <v>8.2191780821917804E-2</v>
      </c>
      <c r="U14" s="415">
        <f t="shared" ca="1" si="14"/>
        <v>1.0102657534246575</v>
      </c>
      <c r="V14" s="233">
        <f ca="1">IF(B14&lt;&gt;"",1/PRODUCT($U$11:U14),0)</f>
        <v>0.95931960717856091</v>
      </c>
      <c r="AA14" s="240">
        <f t="shared" ca="1" si="5"/>
        <v>824.05</v>
      </c>
      <c r="AB14" s="240">
        <f ca="1">IF(B14&lt;&gt;"",AA14/((1+$V$5)^(SUM($T$11:T14))),0)</f>
        <v>780.91376120431005</v>
      </c>
      <c r="AD14">
        <f t="shared" ca="1" si="15"/>
        <v>1.0102657534246575</v>
      </c>
      <c r="AE14">
        <f ca="1">IF(B14&lt;&gt;"",1/PRODUCT($AD$11:AD14),0)</f>
        <v>0.95931960717856091</v>
      </c>
    </row>
    <row r="15" spans="1:33" ht="13.5" thickBot="1" x14ac:dyDescent="0.35">
      <c r="A15" s="193" t="str">
        <f>WERSJA2!D9</f>
        <v>MOJE ING</v>
      </c>
      <c r="B15" s="248">
        <f t="shared" si="1"/>
        <v>5</v>
      </c>
      <c r="C15" s="249">
        <f t="shared" ca="1" si="6"/>
        <v>46352</v>
      </c>
      <c r="D15" s="249">
        <f ca="1">IF(B15&lt;&gt;"",IF(MOD(MONTH(C15)-MONTH(C14),12)&gt;1,DATE(YEAR(C15),MONTH(C15),DAY(C15)-DAY(C15)),C15),"")</f>
        <v>46352</v>
      </c>
      <c r="E15" s="250">
        <f t="shared" ca="1" si="7"/>
        <v>205.92</v>
      </c>
      <c r="F15" s="250">
        <f t="shared" ca="1" si="8"/>
        <v>618.13</v>
      </c>
      <c r="G15" s="250">
        <f t="shared" ca="1" si="2"/>
        <v>27939.54</v>
      </c>
      <c r="H15" s="250">
        <f t="shared" ca="1" si="3"/>
        <v>824.05</v>
      </c>
      <c r="I15" s="99"/>
      <c r="K15" s="240"/>
      <c r="L15" s="199" t="str">
        <f t="shared" si="9"/>
        <v>R</v>
      </c>
      <c r="M15" s="231">
        <f t="shared" ca="1" si="10"/>
        <v>46356</v>
      </c>
      <c r="N15" s="231">
        <f t="shared" ca="1" si="17"/>
        <v>46352</v>
      </c>
      <c r="O15" s="199">
        <f t="shared" ca="1" si="18"/>
        <v>6</v>
      </c>
      <c r="P15" s="199">
        <f t="shared" ca="1" si="11"/>
        <v>25</v>
      </c>
      <c r="Q15" s="199">
        <f t="shared" ca="1" si="0"/>
        <v>365</v>
      </c>
      <c r="R15" s="199">
        <f t="shared" ca="1" si="12"/>
        <v>1.643835616438356E-2</v>
      </c>
      <c r="S15" s="199">
        <f t="shared" ca="1" si="13"/>
        <v>6.8493150684931503E-2</v>
      </c>
      <c r="T15" s="199">
        <f t="shared" ca="1" si="4"/>
        <v>8.4931506849315067E-2</v>
      </c>
      <c r="U15" s="415">
        <f t="shared" ca="1" si="14"/>
        <v>1.0106079452054795</v>
      </c>
      <c r="V15" s="233">
        <f ca="1">IF(B15&lt;&gt;"",1/PRODUCT($U$11:U15),0)</f>
        <v>0.94925001503279249</v>
      </c>
      <c r="AA15" s="240">
        <f t="shared" ca="1" si="5"/>
        <v>824.05</v>
      </c>
      <c r="AB15" s="240">
        <f ca="1">IF(B15&lt;&gt;"",AA15/((1+$V$5)^(SUM($T$11:T15))),0)</f>
        <v>770.31748424570469</v>
      </c>
      <c r="AD15">
        <f t="shared" ca="1" si="15"/>
        <v>1.0106079452054795</v>
      </c>
      <c r="AE15">
        <f ca="1">IF(B15&lt;&gt;"",1/PRODUCT($AD$11:AD15),0)</f>
        <v>0.94925001503279249</v>
      </c>
    </row>
    <row r="16" spans="1:33" ht="13" x14ac:dyDescent="0.3">
      <c r="A16" s="194" t="str">
        <f>WERSJA2!C13</f>
        <v>LICZBA RAT W MIESIĄCACH</v>
      </c>
      <c r="B16" s="248">
        <f t="shared" si="1"/>
        <v>6</v>
      </c>
      <c r="C16" s="249">
        <f t="shared" ca="1" si="6"/>
        <v>46382</v>
      </c>
      <c r="D16" s="249">
        <f t="shared" ca="1" si="16"/>
        <v>46382</v>
      </c>
      <c r="E16" s="250">
        <f ca="1">IF($H$1&lt;&gt;1,IF(B16=$C$5,H16-F16,IF(B16&lt;&gt;"",ROUND(G15*($D$3)*((SUM(O16:P16)/365)),2),"")),"Brak Oferty")</f>
        <v>194.96</v>
      </c>
      <c r="F16" s="250">
        <f t="shared" ca="1" si="8"/>
        <v>629.09</v>
      </c>
      <c r="G16" s="250">
        <f t="shared" ca="1" si="2"/>
        <v>27310.45</v>
      </c>
      <c r="H16" s="250">
        <f t="shared" ca="1" si="3"/>
        <v>824.05</v>
      </c>
      <c r="I16" s="99"/>
      <c r="K16" s="240"/>
      <c r="L16" s="199" t="str">
        <f t="shared" si="9"/>
        <v>R</v>
      </c>
      <c r="M16" s="231">
        <f t="shared" ca="1" si="10"/>
        <v>46387</v>
      </c>
      <c r="N16" s="231">
        <f t="shared" ca="1" si="17"/>
        <v>46382</v>
      </c>
      <c r="O16" s="199">
        <f t="shared" ca="1" si="18"/>
        <v>5</v>
      </c>
      <c r="P16" s="199">
        <f t="shared" ca="1" si="11"/>
        <v>25</v>
      </c>
      <c r="Q16" s="199">
        <f t="shared" ca="1" si="0"/>
        <v>365</v>
      </c>
      <c r="R16" s="199">
        <f t="shared" ca="1" si="12"/>
        <v>1.3698630136986301E-2</v>
      </c>
      <c r="S16" s="199">
        <f t="shared" ca="1" si="13"/>
        <v>6.8493150684931503E-2</v>
      </c>
      <c r="T16" s="199">
        <f t="shared" ca="1" si="4"/>
        <v>8.2191780821917804E-2</v>
      </c>
      <c r="U16" s="415">
        <f t="shared" ca="1" si="14"/>
        <v>1.0102657534246575</v>
      </c>
      <c r="V16" s="233">
        <f ca="1">IF(B16&lt;&gt;"",1/PRODUCT($U$11:U16),0)</f>
        <v>0.93960426928753116</v>
      </c>
      <c r="AA16" s="240">
        <f t="shared" ca="1" si="5"/>
        <v>824.05</v>
      </c>
      <c r="AB16" s="240">
        <f ca="1">IF(B16&lt;&gt;"",AA16/((1+$V$5)^(SUM($T$11:T16))),0)</f>
        <v>760.19994201895122</v>
      </c>
      <c r="AD16">
        <f t="shared" ca="1" si="15"/>
        <v>1.0102657534246575</v>
      </c>
      <c r="AE16">
        <f ca="1">IF(B16&lt;&gt;"",1/PRODUCT($AD$11:AD16),0)</f>
        <v>0.93960426928753116</v>
      </c>
    </row>
    <row r="17" spans="1:35" ht="13.5" thickBot="1" x14ac:dyDescent="0.35">
      <c r="A17" s="195">
        <f>WERSJA2!D13</f>
        <v>48</v>
      </c>
      <c r="B17" s="248">
        <f t="shared" si="1"/>
        <v>7</v>
      </c>
      <c r="C17" s="249">
        <f t="shared" ca="1" si="6"/>
        <v>46413</v>
      </c>
      <c r="D17" s="249">
        <f t="shared" ca="1" si="16"/>
        <v>46413</v>
      </c>
      <c r="E17" s="250">
        <f t="shared" ca="1" si="7"/>
        <v>196.93</v>
      </c>
      <c r="F17" s="250">
        <f t="shared" ca="1" si="8"/>
        <v>627.12</v>
      </c>
      <c r="G17" s="250">
        <f t="shared" ca="1" si="2"/>
        <v>26683.33</v>
      </c>
      <c r="H17" s="250">
        <f t="shared" ca="1" si="3"/>
        <v>824.05</v>
      </c>
      <c r="I17" s="99"/>
      <c r="K17" s="240"/>
      <c r="L17" s="199" t="str">
        <f t="shared" si="9"/>
        <v>R</v>
      </c>
      <c r="M17" s="231">
        <f t="shared" ca="1" si="10"/>
        <v>46418</v>
      </c>
      <c r="N17" s="231">
        <f t="shared" ca="1" si="17"/>
        <v>46413</v>
      </c>
      <c r="O17" s="199">
        <f t="shared" ca="1" si="18"/>
        <v>6</v>
      </c>
      <c r="P17" s="199">
        <f t="shared" ca="1" si="11"/>
        <v>25</v>
      </c>
      <c r="Q17" s="199">
        <f t="shared" ca="1" si="0"/>
        <v>365</v>
      </c>
      <c r="R17" s="199">
        <f t="shared" ca="1" si="12"/>
        <v>1.643835616438356E-2</v>
      </c>
      <c r="S17" s="199">
        <f t="shared" ca="1" si="13"/>
        <v>6.8493150684931503E-2</v>
      </c>
      <c r="T17" s="199">
        <f t="shared" ca="1" si="4"/>
        <v>8.4931506849315067E-2</v>
      </c>
      <c r="U17" s="415">
        <f t="shared" ca="1" si="14"/>
        <v>1.0106079452054795</v>
      </c>
      <c r="V17" s="233">
        <f ca="1">IF(B17&lt;&gt;"",1/PRODUCT($U$11:U17),0)</f>
        <v>0.92974162111548453</v>
      </c>
      <c r="AA17" s="240">
        <f t="shared" ca="1" si="5"/>
        <v>824.05</v>
      </c>
      <c r="AB17" s="240">
        <f ca="1">IF(B17&lt;&gt;"",AA17/((1+$V$5)^(SUM($T$11:T17))),0)</f>
        <v>749.88473241485121</v>
      </c>
      <c r="AD17">
        <f t="shared" ca="1" si="15"/>
        <v>1.0106079452054795</v>
      </c>
      <c r="AE17">
        <f ca="1">IF(B17&lt;&gt;"",1/PRODUCT($AD$11:AD17),0)</f>
        <v>0.92974162111548453</v>
      </c>
    </row>
    <row r="18" spans="1:35" ht="13" x14ac:dyDescent="0.3">
      <c r="A18" s="194" t="str">
        <f>WERSJA2!I5</f>
        <v>PROWIZJA (KWOTA)</v>
      </c>
      <c r="B18" s="248">
        <f t="shared" si="1"/>
        <v>8</v>
      </c>
      <c r="C18" s="249">
        <f t="shared" ca="1" si="6"/>
        <v>46444</v>
      </c>
      <c r="D18" s="249">
        <f t="shared" ca="1" si="16"/>
        <v>46444</v>
      </c>
      <c r="E18" s="250">
        <f t="shared" ca="1" si="7"/>
        <v>192.41</v>
      </c>
      <c r="F18" s="250">
        <f t="shared" ca="1" si="8"/>
        <v>631.64</v>
      </c>
      <c r="G18" s="250">
        <f t="shared" ca="1" si="2"/>
        <v>26051.690000000002</v>
      </c>
      <c r="H18" s="250">
        <f t="shared" ca="1" si="3"/>
        <v>824.05</v>
      </c>
      <c r="I18" s="99"/>
      <c r="K18" s="240"/>
      <c r="L18" s="199" t="str">
        <f t="shared" si="9"/>
        <v>R</v>
      </c>
      <c r="M18" s="231">
        <f t="shared" ca="1" si="10"/>
        <v>46446</v>
      </c>
      <c r="N18" s="231">
        <f t="shared" ca="1" si="17"/>
        <v>46444</v>
      </c>
      <c r="O18" s="199">
        <f t="shared" ca="1" si="18"/>
        <v>6</v>
      </c>
      <c r="P18" s="199">
        <f t="shared" ca="1" si="11"/>
        <v>25</v>
      </c>
      <c r="Q18" s="199">
        <f t="shared" ca="1" si="0"/>
        <v>365</v>
      </c>
      <c r="R18" s="199">
        <f t="shared" ca="1" si="12"/>
        <v>1.643835616438356E-2</v>
      </c>
      <c r="S18" s="199">
        <f t="shared" ca="1" si="13"/>
        <v>6.8493150684931503E-2</v>
      </c>
      <c r="T18" s="199">
        <f t="shared" ca="1" si="4"/>
        <v>8.4931506849315067E-2</v>
      </c>
      <c r="U18" s="415">
        <f t="shared" ca="1" si="14"/>
        <v>1.0106079452054795</v>
      </c>
      <c r="V18" s="233">
        <f ca="1">IF(B18&lt;&gt;"",1/PRODUCT($U$11:U18),0)</f>
        <v>0.91998249719523717</v>
      </c>
      <c r="AA18" s="240">
        <f t="shared" ca="1" si="5"/>
        <v>824.05</v>
      </c>
      <c r="AB18" s="240">
        <f ca="1">IF(B18&lt;&gt;"",AA18/((1+$V$5)^(SUM($T$11:T18))),0)</f>
        <v>739.70949065775471</v>
      </c>
      <c r="AD18">
        <f t="shared" ca="1" si="15"/>
        <v>1.0106079452054795</v>
      </c>
      <c r="AE18">
        <f ca="1">IF(B18&lt;&gt;"",1/PRODUCT($AD$11:AD18),0)</f>
        <v>0.91998249719523717</v>
      </c>
    </row>
    <row r="19" spans="1:35" ht="13.5" thickBot="1" x14ac:dyDescent="0.35">
      <c r="A19" s="196">
        <f>WERSJA2!J5</f>
        <v>0</v>
      </c>
      <c r="B19" s="248">
        <f t="shared" si="1"/>
        <v>9</v>
      </c>
      <c r="C19" s="249">
        <f t="shared" ca="1" si="6"/>
        <v>46472</v>
      </c>
      <c r="D19" s="249">
        <f t="shared" ca="1" si="16"/>
        <v>46472</v>
      </c>
      <c r="E19" s="250">
        <f t="shared" ca="1" si="7"/>
        <v>169.67</v>
      </c>
      <c r="F19" s="250">
        <f t="shared" ca="1" si="8"/>
        <v>654.38</v>
      </c>
      <c r="G19" s="250">
        <f t="shared" ca="1" si="2"/>
        <v>25397.31</v>
      </c>
      <c r="H19" s="250">
        <f t="shared" ca="1" si="3"/>
        <v>824.05</v>
      </c>
      <c r="I19" s="99"/>
      <c r="K19" s="240"/>
      <c r="L19" s="199" t="str">
        <f t="shared" si="9"/>
        <v>R</v>
      </c>
      <c r="M19" s="231">
        <f t="shared" ca="1" si="10"/>
        <v>46477</v>
      </c>
      <c r="N19" s="231">
        <f t="shared" ca="1" si="17"/>
        <v>46472</v>
      </c>
      <c r="O19" s="199">
        <f t="shared" ca="1" si="18"/>
        <v>3</v>
      </c>
      <c r="P19" s="199">
        <f t="shared" ca="1" si="11"/>
        <v>25</v>
      </c>
      <c r="Q19" s="199">
        <f t="shared" ca="1" si="0"/>
        <v>365</v>
      </c>
      <c r="R19" s="199">
        <f t="shared" ca="1" si="12"/>
        <v>8.21917808219178E-3</v>
      </c>
      <c r="S19" s="199">
        <f t="shared" ca="1" si="13"/>
        <v>6.8493150684931503E-2</v>
      </c>
      <c r="T19" s="199">
        <f t="shared" ca="1" si="4"/>
        <v>7.6712328767123278E-2</v>
      </c>
      <c r="U19" s="415">
        <f t="shared" ca="1" si="14"/>
        <v>1.0095813698630136</v>
      </c>
      <c r="V19" s="233">
        <f ca="1">IF(B19&lt;&gt;"",1/PRODUCT($U$11:U19),0)</f>
        <v>0.91125145991953704</v>
      </c>
      <c r="AA19" s="240">
        <f t="shared" ca="1" si="5"/>
        <v>824.05</v>
      </c>
      <c r="AB19" s="240">
        <f ca="1">IF(B19&lt;&gt;"",AA19/((1+$V$5)^(SUM($T$11:T19))),0)</f>
        <v>730.63767477283284</v>
      </c>
      <c r="AD19">
        <f t="shared" ca="1" si="15"/>
        <v>1.0095813698630136</v>
      </c>
      <c r="AE19">
        <f ca="1">IF(B19&lt;&gt;"",1/PRODUCT($AD$11:AD19),0)</f>
        <v>0.91125145991953704</v>
      </c>
    </row>
    <row r="20" spans="1:35" ht="13" x14ac:dyDescent="0.3">
      <c r="A20" s="194" t="str">
        <f>WERSJA2!I6</f>
        <v>KWOTA UBEZPIECZENIA jednorazowego</v>
      </c>
      <c r="B20" s="248">
        <f t="shared" si="1"/>
        <v>10</v>
      </c>
      <c r="C20" s="249">
        <f t="shared" ca="1" si="6"/>
        <v>46503</v>
      </c>
      <c r="D20" s="249">
        <f t="shared" ca="1" si="16"/>
        <v>46503</v>
      </c>
      <c r="E20" s="250">
        <f t="shared" ca="1" si="7"/>
        <v>183.13</v>
      </c>
      <c r="F20" s="250">
        <f t="shared" ca="1" si="8"/>
        <v>640.91999999999996</v>
      </c>
      <c r="G20" s="250">
        <f t="shared" ca="1" si="2"/>
        <v>24756.390000000003</v>
      </c>
      <c r="H20" s="250">
        <f t="shared" ca="1" si="3"/>
        <v>824.05</v>
      </c>
      <c r="I20" s="99"/>
      <c r="K20" s="240"/>
      <c r="L20" s="199" t="str">
        <f t="shared" si="9"/>
        <v>R</v>
      </c>
      <c r="M20" s="231">
        <f t="shared" ca="1" si="10"/>
        <v>46507</v>
      </c>
      <c r="N20" s="231">
        <f t="shared" ca="1" si="17"/>
        <v>46503</v>
      </c>
      <c r="O20" s="199">
        <f t="shared" ca="1" si="18"/>
        <v>6</v>
      </c>
      <c r="P20" s="199">
        <f t="shared" ca="1" si="11"/>
        <v>25</v>
      </c>
      <c r="Q20" s="199">
        <f t="shared" ca="1" si="0"/>
        <v>365</v>
      </c>
      <c r="R20" s="928">
        <f ca="1">IF(B20&lt;&gt;"",O20/Q19,"")</f>
        <v>1.643835616438356E-2</v>
      </c>
      <c r="S20" s="199">
        <f t="shared" ca="1" si="13"/>
        <v>6.8493150684931503E-2</v>
      </c>
      <c r="T20" s="199">
        <f t="shared" ca="1" si="4"/>
        <v>8.4931506849315067E-2</v>
      </c>
      <c r="U20" s="415">
        <f t="shared" ca="1" si="14"/>
        <v>1.0106079452054795</v>
      </c>
      <c r="V20" s="233">
        <f ca="1">IF(B20&lt;&gt;"",1/PRODUCT($U$11:U20),0)</f>
        <v>0.90168641978592301</v>
      </c>
      <c r="AA20" s="240">
        <f t="shared" ca="1" si="5"/>
        <v>824.05</v>
      </c>
      <c r="AB20" s="240">
        <f ca="1">IF(B20&lt;&gt;"",AA20/((1+$V$5)^(SUM($T$11:T20))),0)</f>
        <v>720.72359777367126</v>
      </c>
      <c r="AD20">
        <f t="shared" ca="1" si="15"/>
        <v>1.0106079452054795</v>
      </c>
      <c r="AE20">
        <f ca="1">IF(B20&lt;&gt;"",1/PRODUCT($AD$11:AD20),0)</f>
        <v>0.90168641978592301</v>
      </c>
    </row>
    <row r="21" spans="1:35" ht="13.5" thickBot="1" x14ac:dyDescent="0.35">
      <c r="A21" s="196">
        <f>WERSJA2!J6</f>
        <v>0</v>
      </c>
      <c r="B21" s="248">
        <f t="shared" si="1"/>
        <v>11</v>
      </c>
      <c r="C21" s="249">
        <f t="shared" ca="1" si="6"/>
        <v>46533</v>
      </c>
      <c r="D21" s="249">
        <f t="shared" ca="1" si="16"/>
        <v>46533</v>
      </c>
      <c r="E21" s="250">
        <f t="shared" ca="1" si="7"/>
        <v>172.75</v>
      </c>
      <c r="F21" s="250">
        <f t="shared" ca="1" si="8"/>
        <v>651.29999999999995</v>
      </c>
      <c r="G21" s="250">
        <f t="shared" ca="1" si="2"/>
        <v>24105.090000000004</v>
      </c>
      <c r="H21" s="250">
        <f t="shared" ca="1" si="3"/>
        <v>824.05</v>
      </c>
      <c r="I21" s="99"/>
      <c r="K21" s="240"/>
      <c r="L21" s="199" t="str">
        <f t="shared" si="9"/>
        <v>R</v>
      </c>
      <c r="M21" s="231">
        <f t="shared" ca="1" si="10"/>
        <v>46538</v>
      </c>
      <c r="N21" s="231">
        <f t="shared" ca="1" si="17"/>
        <v>46533</v>
      </c>
      <c r="O21" s="199">
        <f t="shared" ca="1" si="18"/>
        <v>5</v>
      </c>
      <c r="P21" s="199">
        <f t="shared" ca="1" si="11"/>
        <v>25</v>
      </c>
      <c r="Q21" s="199">
        <f t="shared" ca="1" si="0"/>
        <v>365</v>
      </c>
      <c r="R21" s="199">
        <f t="shared" ca="1" si="12"/>
        <v>1.3698630136986301E-2</v>
      </c>
      <c r="S21" s="199">
        <f t="shared" ca="1" si="13"/>
        <v>6.8493150684931503E-2</v>
      </c>
      <c r="T21" s="199">
        <f t="shared" ca="1" si="4"/>
        <v>8.2191780821917804E-2</v>
      </c>
      <c r="U21" s="415">
        <f t="shared" ca="1" si="14"/>
        <v>1.0102657534246575</v>
      </c>
      <c r="V21" s="233">
        <f ca="1">IF(B21&lt;&gt;"",1/PRODUCT($U$11:U21),0)</f>
        <v>0.89252398859343096</v>
      </c>
      <c r="AA21" s="240">
        <f t="shared" ca="1" si="5"/>
        <v>824.05</v>
      </c>
      <c r="AB21" s="240">
        <f ca="1">IF(B21&lt;&gt;"",AA21/((1+$V$5)^(SUM($T$11:T21))),0)</f>
        <v>711.25743403803551</v>
      </c>
      <c r="AD21">
        <f t="shared" ca="1" si="15"/>
        <v>1.0102657534246575</v>
      </c>
      <c r="AE21">
        <f ca="1">IF(B21&lt;&gt;"",1/PRODUCT($AD$11:AD21),0)</f>
        <v>0.89252398859343096</v>
      </c>
    </row>
    <row r="22" spans="1:35" ht="13" x14ac:dyDescent="0.3">
      <c r="A22" s="194" t="s">
        <v>40</v>
      </c>
      <c r="B22" s="248">
        <f t="shared" si="1"/>
        <v>12</v>
      </c>
      <c r="C22" s="249">
        <f t="shared" ca="1" si="6"/>
        <v>46564</v>
      </c>
      <c r="D22" s="249">
        <f t="shared" ca="1" si="16"/>
        <v>46564</v>
      </c>
      <c r="E22" s="250">
        <f t="shared" ca="1" si="7"/>
        <v>173.81</v>
      </c>
      <c r="F22" s="250">
        <f t="shared" ca="1" si="8"/>
        <v>650.24</v>
      </c>
      <c r="G22" s="250">
        <f t="shared" ca="1" si="2"/>
        <v>23454.850000000002</v>
      </c>
      <c r="H22" s="250">
        <f t="shared" ca="1" si="3"/>
        <v>824.05</v>
      </c>
      <c r="I22" s="99"/>
      <c r="K22" s="240"/>
      <c r="L22" s="199" t="str">
        <f t="shared" si="9"/>
        <v>R</v>
      </c>
      <c r="M22" s="231">
        <f t="shared" ca="1" si="10"/>
        <v>46568</v>
      </c>
      <c r="N22" s="231">
        <f t="shared" ca="1" si="17"/>
        <v>46564</v>
      </c>
      <c r="O22" s="199">
        <f t="shared" ca="1" si="18"/>
        <v>6</v>
      </c>
      <c r="P22" s="199">
        <f t="shared" ca="1" si="11"/>
        <v>25</v>
      </c>
      <c r="Q22" s="199">
        <f t="shared" ca="1" si="0"/>
        <v>365</v>
      </c>
      <c r="R22" s="199">
        <f t="shared" ca="1" si="12"/>
        <v>1.643835616438356E-2</v>
      </c>
      <c r="S22" s="199">
        <f t="shared" ca="1" si="13"/>
        <v>6.8493150684931503E-2</v>
      </c>
      <c r="T22" s="199">
        <f t="shared" ca="1" si="4"/>
        <v>8.4931506849315067E-2</v>
      </c>
      <c r="U22" s="415">
        <f t="shared" ca="1" si="14"/>
        <v>1.0106079452054795</v>
      </c>
      <c r="V22" s="233">
        <f ca="1">IF(B22&lt;&gt;"",1/PRODUCT($U$11:U22),0)</f>
        <v>0.88315552319545709</v>
      </c>
      <c r="AA22" s="240">
        <f t="shared" ca="1" si="5"/>
        <v>824.05</v>
      </c>
      <c r="AB22" s="240">
        <f ca="1">IF(B22&lt;&gt;"",AA22/((1+$V$5)^(SUM($T$11:T22))),0)</f>
        <v>701.60632896810932</v>
      </c>
      <c r="AD22">
        <f t="shared" ca="1" si="15"/>
        <v>1.0106079452054795</v>
      </c>
      <c r="AE22">
        <f ca="1">IF(B22&lt;&gt;"",1/PRODUCT($AD$11:AD22),0)</f>
        <v>0.88315552319545709</v>
      </c>
    </row>
    <row r="23" spans="1:35" ht="13.5" thickBot="1" x14ac:dyDescent="0.35">
      <c r="A23" s="196">
        <f>G10</f>
        <v>31000</v>
      </c>
      <c r="B23" s="248">
        <f t="shared" si="1"/>
        <v>13</v>
      </c>
      <c r="C23" s="249">
        <f t="shared" ca="1" si="6"/>
        <v>46594</v>
      </c>
      <c r="D23" s="249">
        <f t="shared" ca="1" si="16"/>
        <v>46594</v>
      </c>
      <c r="E23" s="250">
        <f t="shared" ca="1" si="7"/>
        <v>163.66999999999999</v>
      </c>
      <c r="F23" s="250">
        <f t="shared" ca="1" si="8"/>
        <v>660.38</v>
      </c>
      <c r="G23" s="250">
        <f t="shared" ca="1" si="2"/>
        <v>22794.47</v>
      </c>
      <c r="H23" s="250">
        <f t="shared" ca="1" si="3"/>
        <v>824.05</v>
      </c>
      <c r="I23" s="99"/>
      <c r="K23" s="240"/>
      <c r="L23" s="199" t="str">
        <f t="shared" si="9"/>
        <v>R</v>
      </c>
      <c r="M23" s="231">
        <f t="shared" ca="1" si="10"/>
        <v>46599</v>
      </c>
      <c r="N23" s="231">
        <f t="shared" ca="1" si="17"/>
        <v>46594</v>
      </c>
      <c r="O23" s="199">
        <f t="shared" ca="1" si="18"/>
        <v>5</v>
      </c>
      <c r="P23" s="199">
        <f t="shared" ca="1" si="11"/>
        <v>25</v>
      </c>
      <c r="Q23" s="199">
        <f t="shared" ca="1" si="0"/>
        <v>365</v>
      </c>
      <c r="R23" s="199">
        <f t="shared" ca="1" si="12"/>
        <v>1.3698630136986301E-2</v>
      </c>
      <c r="S23" s="199">
        <f t="shared" ca="1" si="13"/>
        <v>6.8493150684931503E-2</v>
      </c>
      <c r="T23" s="199">
        <f t="shared" ca="1" si="4"/>
        <v>8.2191780821917804E-2</v>
      </c>
      <c r="U23" s="415">
        <f t="shared" ca="1" si="14"/>
        <v>1.0102657534246575</v>
      </c>
      <c r="V23" s="233">
        <f ca="1">IF(B23&lt;&gt;"",1/PRODUCT($U$11:U23),0)</f>
        <v>0.87418139257090044</v>
      </c>
      <c r="AA23" s="240">
        <f t="shared" ca="1" si="5"/>
        <v>824.05</v>
      </c>
      <c r="AB23" s="240">
        <f ca="1">IF(B23&lt;&gt;"",AA23/((1+$V$5)^(SUM($T$11:T23))),0)</f>
        <v>692.39125621555036</v>
      </c>
      <c r="AD23">
        <f t="shared" ca="1" si="15"/>
        <v>1.0102657534246575</v>
      </c>
      <c r="AE23">
        <f ca="1">IF(B23&lt;&gt;"",1/PRODUCT($AD$11:AD23),0)</f>
        <v>0.87418139257090044</v>
      </c>
    </row>
    <row r="24" spans="1:35" ht="13" x14ac:dyDescent="0.3">
      <c r="A24" s="194" t="s">
        <v>162</v>
      </c>
      <c r="B24" s="248">
        <f t="shared" si="1"/>
        <v>14</v>
      </c>
      <c r="C24" s="249">
        <f t="shared" ca="1" si="6"/>
        <v>46625</v>
      </c>
      <c r="D24" s="249">
        <f t="shared" ca="1" si="16"/>
        <v>46625</v>
      </c>
      <c r="E24" s="250">
        <f ca="1">IF($H$1&lt;&gt;1,IF(B24=$C$5,H24-F24,IF(B24&lt;&gt;"",ROUND(G23*($D$3)*((SUM(O24:P24)/365)),2),"")),"Brak Oferty")</f>
        <v>164.36</v>
      </c>
      <c r="F24" s="250">
        <f t="shared" ca="1" si="8"/>
        <v>659.69</v>
      </c>
      <c r="G24" s="250">
        <f t="shared" ca="1" si="2"/>
        <v>22134.780000000002</v>
      </c>
      <c r="H24" s="250">
        <f t="shared" ca="1" si="3"/>
        <v>824.05</v>
      </c>
      <c r="I24" s="99"/>
      <c r="K24" s="240"/>
      <c r="L24" s="199" t="str">
        <f t="shared" si="9"/>
        <v>R</v>
      </c>
      <c r="M24" s="231">
        <f t="shared" ca="1" si="10"/>
        <v>46630</v>
      </c>
      <c r="N24" s="231">
        <f t="shared" ca="1" si="17"/>
        <v>46625</v>
      </c>
      <c r="O24" s="199">
        <f ca="1">IF(B24&lt;&gt;"",M23-N23+1,0)</f>
        <v>6</v>
      </c>
      <c r="P24" s="199">
        <f t="shared" ca="1" si="11"/>
        <v>25</v>
      </c>
      <c r="Q24" s="199">
        <f t="shared" ca="1" si="0"/>
        <v>365</v>
      </c>
      <c r="R24" s="928">
        <f ca="1">IF(B24&lt;&gt;"",O24/Q23,0)</f>
        <v>1.643835616438356E-2</v>
      </c>
      <c r="S24" s="199">
        <f t="shared" ca="1" si="13"/>
        <v>6.8493150684931503E-2</v>
      </c>
      <c r="T24" s="199">
        <f t="shared" ca="1" si="4"/>
        <v>8.4931506849315067E-2</v>
      </c>
      <c r="U24" s="415">
        <f t="shared" ca="1" si="14"/>
        <v>1.0106079452054795</v>
      </c>
      <c r="V24" s="233">
        <f ca="1">IF(B24&lt;&gt;"",1/PRODUCT($U$11:U24),0)</f>
        <v>0.86500546202727457</v>
      </c>
      <c r="AA24" s="240">
        <f t="shared" ca="1" si="5"/>
        <v>824.05</v>
      </c>
      <c r="AB24" s="240">
        <f ca="1">IF(B24&lt;&gt;"",AA24/((1+$V$5)^(SUM($T$11:T24))),0)</f>
        <v>682.99614771693462</v>
      </c>
      <c r="AD24">
        <f t="shared" ca="1" si="15"/>
        <v>1.0106079452054795</v>
      </c>
      <c r="AE24">
        <f ca="1">IF(B24&lt;&gt;"",1/PRODUCT($AD$11:AD24),0)</f>
        <v>0.86500546202727457</v>
      </c>
    </row>
    <row r="25" spans="1:35" ht="13.5" thickBot="1" x14ac:dyDescent="0.35">
      <c r="A25" s="196">
        <f ca="1">SUM(E11:E130)</f>
        <v>8554.3999999999887</v>
      </c>
      <c r="B25" s="248">
        <f t="shared" si="1"/>
        <v>15</v>
      </c>
      <c r="C25" s="249">
        <f t="shared" ca="1" si="6"/>
        <v>46656</v>
      </c>
      <c r="D25" s="249">
        <f t="shared" ca="1" si="16"/>
        <v>46656</v>
      </c>
      <c r="E25" s="250">
        <f t="shared" ca="1" si="7"/>
        <v>159.61000000000001</v>
      </c>
      <c r="F25" s="250">
        <f t="shared" ca="1" si="8"/>
        <v>664.44</v>
      </c>
      <c r="G25" s="250">
        <f t="shared" ca="1" si="2"/>
        <v>21470.340000000004</v>
      </c>
      <c r="H25" s="250">
        <f t="shared" ca="1" si="3"/>
        <v>824.05</v>
      </c>
      <c r="I25" s="99"/>
      <c r="K25" s="231"/>
      <c r="L25" s="199" t="str">
        <f t="shared" si="9"/>
        <v>R</v>
      </c>
      <c r="M25" s="231">
        <f t="shared" ca="1" si="10"/>
        <v>46660</v>
      </c>
      <c r="N25" s="231">
        <f t="shared" ca="1" si="17"/>
        <v>46656</v>
      </c>
      <c r="O25" s="199">
        <f t="shared" ca="1" si="18"/>
        <v>6</v>
      </c>
      <c r="P25" s="199">
        <f t="shared" ca="1" si="11"/>
        <v>25</v>
      </c>
      <c r="Q25" s="199">
        <f t="shared" ca="1" si="0"/>
        <v>365</v>
      </c>
      <c r="R25" s="928">
        <f t="shared" ref="R25:R26" ca="1" si="19">IF(B25&lt;&gt;"",O25/Q24,0)</f>
        <v>1.643835616438356E-2</v>
      </c>
      <c r="S25" s="199">
        <f t="shared" ca="1" si="13"/>
        <v>6.8493150684931503E-2</v>
      </c>
      <c r="T25" s="199">
        <f t="shared" ca="1" si="4"/>
        <v>8.4931506849315067E-2</v>
      </c>
      <c r="U25" s="415">
        <f t="shared" ca="1" si="14"/>
        <v>1.0106079452054795</v>
      </c>
      <c r="V25" s="233">
        <f ca="1">IF(B25&lt;&gt;"",1/PRODUCT($U$11:U25),0)</f>
        <v>0.85592584753665224</v>
      </c>
      <c r="AA25" s="240">
        <f t="shared" ca="1" si="5"/>
        <v>824.05</v>
      </c>
      <c r="AB25" s="240">
        <f ca="1">IF(B25&lt;&gt;"",AA25/((1+$V$5)^(SUM($T$11:T25))),0)</f>
        <v>673.72852214492764</v>
      </c>
      <c r="AD25">
        <f t="shared" ca="1" si="15"/>
        <v>1.0106079452054795</v>
      </c>
      <c r="AE25">
        <f ca="1">IF(B25&lt;&gt;"",1/PRODUCT($AD$11:AD25),0)</f>
        <v>0.85592584753665224</v>
      </c>
      <c r="AI25">
        <v>-3.7778706683311344E+16</v>
      </c>
    </row>
    <row r="26" spans="1:35" ht="13" x14ac:dyDescent="0.3">
      <c r="A26" s="194" t="s">
        <v>138</v>
      </c>
      <c r="B26" s="248">
        <f t="shared" si="1"/>
        <v>16</v>
      </c>
      <c r="C26" s="249">
        <f t="shared" ca="1" si="6"/>
        <v>46686</v>
      </c>
      <c r="D26" s="249">
        <f t="shared" ca="1" si="16"/>
        <v>46686</v>
      </c>
      <c r="E26" s="250">
        <f t="shared" ca="1" si="7"/>
        <v>149.82</v>
      </c>
      <c r="F26" s="250">
        <f t="shared" ca="1" si="8"/>
        <v>674.23</v>
      </c>
      <c r="G26" s="250">
        <f t="shared" ca="1" si="2"/>
        <v>20796.110000000004</v>
      </c>
      <c r="H26" s="250">
        <f t="shared" ca="1" si="3"/>
        <v>824.05</v>
      </c>
      <c r="I26" s="99"/>
      <c r="K26" s="231"/>
      <c r="L26" s="199" t="str">
        <f t="shared" si="9"/>
        <v>R</v>
      </c>
      <c r="M26" s="231">
        <f t="shared" ca="1" si="10"/>
        <v>46691</v>
      </c>
      <c r="N26" s="231">
        <f t="shared" ca="1" si="17"/>
        <v>46686</v>
      </c>
      <c r="O26" s="199">
        <f t="shared" ca="1" si="18"/>
        <v>5</v>
      </c>
      <c r="P26" s="199">
        <f t="shared" ca="1" si="11"/>
        <v>25</v>
      </c>
      <c r="Q26" s="199">
        <f t="shared" ca="1" si="0"/>
        <v>365</v>
      </c>
      <c r="R26" s="928">
        <f t="shared" ca="1" si="19"/>
        <v>1.3698630136986301E-2</v>
      </c>
      <c r="S26" s="199">
        <f t="shared" ca="1" si="13"/>
        <v>6.8493150684931503E-2</v>
      </c>
      <c r="T26" s="199">
        <f t="shared" ca="1" si="4"/>
        <v>8.2191780821917804E-2</v>
      </c>
      <c r="U26" s="415">
        <f t="shared" ca="1" si="14"/>
        <v>1.0102657534246575</v>
      </c>
      <c r="V26" s="233">
        <f ca="1">IF(B26&lt;&gt;"",1/PRODUCT($U$11:U26),0)</f>
        <v>0.84722840958944223</v>
      </c>
      <c r="AA26" s="240">
        <f t="shared" ca="1" si="5"/>
        <v>824.05</v>
      </c>
      <c r="AB26" s="240">
        <f ca="1">IF(B26&lt;&gt;"",AA26/((1+$V$5)^(SUM($T$11:T26))),0)</f>
        <v>664.87960346973466</v>
      </c>
      <c r="AD26">
        <f t="shared" ca="1" si="15"/>
        <v>1.0102657534246575</v>
      </c>
      <c r="AE26">
        <f ca="1">IF(B26&lt;&gt;"",1/PRODUCT($AD$11:AD26),0)</f>
        <v>0.84722840958944223</v>
      </c>
    </row>
    <row r="27" spans="1:35" ht="13.5" thickBot="1" x14ac:dyDescent="0.35">
      <c r="A27" s="223">
        <f ca="1">H2</f>
        <v>824.05</v>
      </c>
      <c r="B27" s="248">
        <f t="shared" si="1"/>
        <v>17</v>
      </c>
      <c r="C27" s="249">
        <f t="shared" ca="1" si="6"/>
        <v>46717</v>
      </c>
      <c r="D27" s="249">
        <f t="shared" ca="1" si="16"/>
        <v>46717</v>
      </c>
      <c r="E27" s="250">
        <f t="shared" ca="1" si="7"/>
        <v>149.94999999999999</v>
      </c>
      <c r="F27" s="250">
        <f t="shared" ca="1" si="8"/>
        <v>674.1</v>
      </c>
      <c r="G27" s="250">
        <f t="shared" ca="1" si="2"/>
        <v>20122.010000000006</v>
      </c>
      <c r="H27" s="250">
        <f t="shared" ca="1" si="3"/>
        <v>824.05</v>
      </c>
      <c r="I27" s="99"/>
      <c r="K27" s="231"/>
      <c r="L27" s="199" t="str">
        <f t="shared" si="9"/>
        <v>R</v>
      </c>
      <c r="M27" s="231">
        <f t="shared" ca="1" si="10"/>
        <v>46721</v>
      </c>
      <c r="N27" s="231">
        <f t="shared" ca="1" si="17"/>
        <v>46717</v>
      </c>
      <c r="O27" s="199">
        <f t="shared" ca="1" si="18"/>
        <v>6</v>
      </c>
      <c r="P27" s="199">
        <f t="shared" ca="1" si="11"/>
        <v>25</v>
      </c>
      <c r="Q27" s="199">
        <f t="shared" ca="1" si="0"/>
        <v>365</v>
      </c>
      <c r="R27" s="199">
        <f t="shared" ca="1" si="12"/>
        <v>1.643835616438356E-2</v>
      </c>
      <c r="S27" s="199">
        <f t="shared" ca="1" si="13"/>
        <v>6.8493150684931503E-2</v>
      </c>
      <c r="T27" s="199">
        <f t="shared" ca="1" si="4"/>
        <v>8.4931506849315067E-2</v>
      </c>
      <c r="U27" s="415">
        <f t="shared" ca="1" si="14"/>
        <v>1.0106079452054795</v>
      </c>
      <c r="V27" s="233">
        <f ca="1">IF(B27&lt;&gt;"",1/PRODUCT($U$11:U27),0)</f>
        <v>0.83833539366958132</v>
      </c>
      <c r="AA27" s="240">
        <f t="shared" ca="1" si="5"/>
        <v>824.05</v>
      </c>
      <c r="AB27" s="240">
        <f ca="1">IF(B27&lt;&gt;"",AA27/((1+$V$5)^(SUM($T$11:T27))),0)</f>
        <v>655.85780263525078</v>
      </c>
      <c r="AD27">
        <f t="shared" ca="1" si="15"/>
        <v>1.0106079452054795</v>
      </c>
      <c r="AE27">
        <f ca="1">IF(B27&lt;&gt;"",1/PRODUCT($AD$11:AD27),0)</f>
        <v>0.83833539366958132</v>
      </c>
    </row>
    <row r="28" spans="1:35" ht="13" x14ac:dyDescent="0.3">
      <c r="A28" s="194" t="s">
        <v>14</v>
      </c>
      <c r="B28" s="248">
        <f t="shared" si="1"/>
        <v>18</v>
      </c>
      <c r="C28" s="249">
        <f t="shared" ca="1" si="6"/>
        <v>46747</v>
      </c>
      <c r="D28" s="249">
        <f t="shared" ca="1" si="16"/>
        <v>46747</v>
      </c>
      <c r="E28" s="250">
        <f t="shared" ca="1" si="7"/>
        <v>140.41</v>
      </c>
      <c r="F28" s="250">
        <f t="shared" ca="1" si="8"/>
        <v>683.64</v>
      </c>
      <c r="G28" s="250">
        <f t="shared" ca="1" si="2"/>
        <v>19438.370000000006</v>
      </c>
      <c r="H28" s="250">
        <f t="shared" ca="1" si="3"/>
        <v>824.05</v>
      </c>
      <c r="I28" s="99"/>
      <c r="K28" s="231"/>
      <c r="L28" s="199" t="str">
        <f t="shared" si="9"/>
        <v>R</v>
      </c>
      <c r="M28" s="231">
        <f t="shared" ca="1" si="10"/>
        <v>46752</v>
      </c>
      <c r="N28" s="231">
        <f t="shared" ca="1" si="17"/>
        <v>46747</v>
      </c>
      <c r="O28" s="199">
        <f t="shared" ca="1" si="18"/>
        <v>5</v>
      </c>
      <c r="P28" s="199">
        <f t="shared" ca="1" si="11"/>
        <v>25</v>
      </c>
      <c r="Q28" s="199">
        <f t="shared" ca="1" si="0"/>
        <v>365</v>
      </c>
      <c r="R28" s="199">
        <f t="shared" ca="1" si="12"/>
        <v>1.3698630136986301E-2</v>
      </c>
      <c r="S28" s="199">
        <f t="shared" ca="1" si="13"/>
        <v>6.8493150684931503E-2</v>
      </c>
      <c r="T28" s="199">
        <f t="shared" ca="1" si="4"/>
        <v>8.2191780821917804E-2</v>
      </c>
      <c r="U28" s="415">
        <f t="shared" ca="1" si="14"/>
        <v>1.0102657534246575</v>
      </c>
      <c r="V28" s="233">
        <f ca="1">IF(B28&lt;&gt;"",1/PRODUCT($U$11:U28),0)</f>
        <v>0.82981670003931474</v>
      </c>
      <c r="AA28" s="240">
        <f t="shared" ca="1" si="5"/>
        <v>824.05</v>
      </c>
      <c r="AB28" s="240">
        <f ca="1">IF(B28&lt;&gt;"",AA28/((1+$V$5)^(SUM($T$11:T28))),0)</f>
        <v>647.24360245335356</v>
      </c>
      <c r="AD28">
        <f t="shared" ca="1" si="15"/>
        <v>1.0102657534246575</v>
      </c>
      <c r="AE28">
        <f ca="1">IF(B28&lt;&gt;"",1/PRODUCT($AD$11:AD28),0)</f>
        <v>0.82981670003931474</v>
      </c>
    </row>
    <row r="29" spans="1:35" ht="13.5" thickBot="1" x14ac:dyDescent="0.35">
      <c r="A29" s="222">
        <f>$H$8</f>
        <v>0.17451905146291249</v>
      </c>
      <c r="B29" s="248">
        <f t="shared" si="1"/>
        <v>19</v>
      </c>
      <c r="C29" s="249">
        <f t="shared" ca="1" si="6"/>
        <v>46778</v>
      </c>
      <c r="D29" s="249">
        <f t="shared" ca="1" si="16"/>
        <v>46778</v>
      </c>
      <c r="E29" s="250">
        <f t="shared" ca="1" si="7"/>
        <v>140.16</v>
      </c>
      <c r="F29" s="250">
        <f t="shared" ca="1" si="8"/>
        <v>683.89</v>
      </c>
      <c r="G29" s="250">
        <f t="shared" ca="1" si="2"/>
        <v>18754.480000000007</v>
      </c>
      <c r="H29" s="250">
        <f t="shared" ca="1" si="3"/>
        <v>824.05</v>
      </c>
      <c r="I29" s="99"/>
      <c r="K29" s="231"/>
      <c r="L29" s="199" t="str">
        <f t="shared" si="9"/>
        <v>R</v>
      </c>
      <c r="M29" s="231">
        <f t="shared" ca="1" si="10"/>
        <v>46783</v>
      </c>
      <c r="N29" s="231">
        <f t="shared" ca="1" si="17"/>
        <v>46778</v>
      </c>
      <c r="O29" s="199">
        <f t="shared" ca="1" si="18"/>
        <v>6</v>
      </c>
      <c r="P29" s="199">
        <f t="shared" ca="1" si="11"/>
        <v>25</v>
      </c>
      <c r="Q29" s="199">
        <f t="shared" ca="1" si="0"/>
        <v>366</v>
      </c>
      <c r="R29" s="199">
        <f t="shared" ca="1" si="12"/>
        <v>1.643835616438356E-2</v>
      </c>
      <c r="S29" s="199">
        <f t="shared" ca="1" si="13"/>
        <v>6.8306010928961755E-2</v>
      </c>
      <c r="T29" s="199">
        <f t="shared" ca="1" si="4"/>
        <v>8.4744367093345319E-2</v>
      </c>
      <c r="U29" s="415">
        <f t="shared" ca="1" si="14"/>
        <v>1.0105845714499588</v>
      </c>
      <c r="V29" s="233">
        <f ca="1">IF(B29&lt;&gt;"",1/PRODUCT($U$11:U29),0)</f>
        <v>0.8211254391591557</v>
      </c>
      <c r="AA29" s="240">
        <f t="shared" ca="1" si="5"/>
        <v>824.05</v>
      </c>
      <c r="AB29" s="240">
        <f ca="1">IF(B29&lt;&gt;"",AA29/((1+$V$5)^(SUM($T$11:T29))),0)</f>
        <v>638.48032575590548</v>
      </c>
      <c r="AD29">
        <f t="shared" ca="1" si="15"/>
        <v>1.0106079452054795</v>
      </c>
      <c r="AE29">
        <f ca="1">IF(B29&lt;&gt;"",1/PRODUCT($AD$11:AD29),0)</f>
        <v>0.82110644783283804</v>
      </c>
    </row>
    <row r="30" spans="1:35" ht="13" x14ac:dyDescent="0.3">
      <c r="A30" s="194" t="s">
        <v>159</v>
      </c>
      <c r="B30" s="248">
        <f t="shared" si="1"/>
        <v>20</v>
      </c>
      <c r="C30" s="249">
        <f t="shared" ca="1" si="6"/>
        <v>46809</v>
      </c>
      <c r="D30" s="249">
        <f t="shared" ca="1" si="16"/>
        <v>46809</v>
      </c>
      <c r="E30" s="250">
        <f t="shared" ca="1" si="7"/>
        <v>135.22999999999999</v>
      </c>
      <c r="F30" s="250">
        <f t="shared" ca="1" si="8"/>
        <v>688.82</v>
      </c>
      <c r="G30" s="250">
        <f t="shared" ca="1" si="2"/>
        <v>18065.660000000007</v>
      </c>
      <c r="H30" s="250">
        <f t="shared" ca="1" si="3"/>
        <v>824.05</v>
      </c>
      <c r="I30" s="99"/>
      <c r="K30" s="231"/>
      <c r="L30" s="199" t="str">
        <f t="shared" si="9"/>
        <v>R</v>
      </c>
      <c r="M30" s="231">
        <f ca="1">IF(B30&lt;&gt;"",DATE(YEAR((D30)),MONTH((D30))+1,1)-1,"")</f>
        <v>46812</v>
      </c>
      <c r="N30" s="231">
        <f t="shared" ca="1" si="17"/>
        <v>46809</v>
      </c>
      <c r="O30" s="199">
        <f t="shared" ca="1" si="18"/>
        <v>6</v>
      </c>
      <c r="P30" s="199">
        <f t="shared" ca="1" si="11"/>
        <v>25</v>
      </c>
      <c r="Q30" s="199">
        <f t="shared" ca="1" si="0"/>
        <v>366</v>
      </c>
      <c r="R30" s="199">
        <f t="shared" ca="1" si="12"/>
        <v>1.6393442622950821E-2</v>
      </c>
      <c r="S30" s="199">
        <f t="shared" ca="1" si="13"/>
        <v>6.8306010928961755E-2</v>
      </c>
      <c r="T30" s="199">
        <f t="shared" ca="1" si="4"/>
        <v>8.4699453551912579E-2</v>
      </c>
      <c r="U30" s="415">
        <f t="shared" ca="1" si="14"/>
        <v>1.0105789617486338</v>
      </c>
      <c r="V30" s="233">
        <f ca="1">IF(B30&lt;&gt;"",1/PRODUCT($U$11:U30),0)</f>
        <v>0.81252971834911225</v>
      </c>
      <c r="AA30" s="240">
        <f t="shared" ca="1" si="5"/>
        <v>824.05</v>
      </c>
      <c r="AB30" s="240">
        <f ca="1">IF(B30&lt;&gt;"",AA30/((1+$V$5)^(SUM($T$11:T30))),0)</f>
        <v>629.84024879949573</v>
      </c>
      <c r="AD30">
        <f t="shared" ca="1" si="15"/>
        <v>1.0106079452054795</v>
      </c>
      <c r="AE30">
        <f ca="1">IF(B30&lt;&gt;"",1/PRODUCT($AD$11:AD30),0)</f>
        <v>0.81248762364112281</v>
      </c>
    </row>
    <row r="31" spans="1:35" ht="13.5" thickBot="1" x14ac:dyDescent="0.35">
      <c r="A31" s="258">
        <f ca="1">A25+A19</f>
        <v>8554.3999999999887</v>
      </c>
      <c r="B31" s="248">
        <f t="shared" si="1"/>
        <v>21</v>
      </c>
      <c r="C31" s="249">
        <f t="shared" ca="1" si="6"/>
        <v>46838</v>
      </c>
      <c r="D31" s="249">
        <f t="shared" ca="1" si="16"/>
        <v>46838</v>
      </c>
      <c r="E31" s="250">
        <f t="shared" ca="1" si="7"/>
        <v>121.86</v>
      </c>
      <c r="F31" s="250">
        <f t="shared" ca="1" si="8"/>
        <v>702.19</v>
      </c>
      <c r="G31" s="250">
        <f t="shared" ca="1" si="2"/>
        <v>17363.470000000008</v>
      </c>
      <c r="H31" s="250">
        <f t="shared" ca="1" si="3"/>
        <v>824.05</v>
      </c>
      <c r="I31" s="99"/>
      <c r="K31" s="231"/>
      <c r="L31" s="199" t="str">
        <f t="shared" si="9"/>
        <v>R</v>
      </c>
      <c r="M31" s="231">
        <f t="shared" ca="1" si="10"/>
        <v>46843</v>
      </c>
      <c r="N31" s="231">
        <f t="shared" ca="1" si="17"/>
        <v>46838</v>
      </c>
      <c r="O31" s="199">
        <f t="shared" ca="1" si="18"/>
        <v>4</v>
      </c>
      <c r="P31" s="199">
        <f t="shared" ca="1" si="11"/>
        <v>25</v>
      </c>
      <c r="Q31" s="199">
        <f t="shared" ca="1" si="0"/>
        <v>366</v>
      </c>
      <c r="R31" s="199">
        <f t="shared" ca="1" si="12"/>
        <v>1.092896174863388E-2</v>
      </c>
      <c r="S31" s="199">
        <f t="shared" ca="1" si="13"/>
        <v>6.8306010928961755E-2</v>
      </c>
      <c r="T31" s="199">
        <f t="shared" ca="1" si="4"/>
        <v>7.9234972677595633E-2</v>
      </c>
      <c r="U31" s="415">
        <f t="shared" ca="1" si="14"/>
        <v>1.0098964480874317</v>
      </c>
      <c r="V31" s="233">
        <f ca="1">IF(B31&lt;&gt;"",1/PRODUCT($U$11:U31),0)</f>
        <v>0.80456735924549705</v>
      </c>
      <c r="AA31" s="240">
        <f t="shared" ca="1" si="5"/>
        <v>824.05</v>
      </c>
      <c r="AB31" s="240">
        <f ca="1">IF(B31&lt;&gt;"",AA31/((1+$V$5)^(SUM($T$11:T31))),0)</f>
        <v>621.86347529988745</v>
      </c>
      <c r="AD31">
        <f t="shared" ca="1" si="15"/>
        <v>1.0099235616438356</v>
      </c>
      <c r="AE31">
        <f ca="1">IF(B31&lt;&gt;"",1/PRODUCT($AD$11:AD31),0)</f>
        <v>0.80450407783203959</v>
      </c>
    </row>
    <row r="32" spans="1:35" ht="13" x14ac:dyDescent="0.3">
      <c r="A32" s="194" t="s">
        <v>158</v>
      </c>
      <c r="B32" s="248">
        <f t="shared" si="1"/>
        <v>22</v>
      </c>
      <c r="C32" s="249">
        <f t="shared" ca="1" si="6"/>
        <v>46869</v>
      </c>
      <c r="D32" s="249">
        <f t="shared" ca="1" si="16"/>
        <v>46869</v>
      </c>
      <c r="E32" s="250">
        <f t="shared" ca="1" si="7"/>
        <v>125.2</v>
      </c>
      <c r="F32" s="250">
        <f t="shared" ca="1" si="8"/>
        <v>698.85</v>
      </c>
      <c r="G32" s="250">
        <f t="shared" ca="1" si="2"/>
        <v>16664.62000000001</v>
      </c>
      <c r="H32" s="250">
        <f t="shared" ca="1" si="3"/>
        <v>824.05</v>
      </c>
      <c r="I32" s="99"/>
      <c r="K32" s="231"/>
      <c r="L32" s="199" t="str">
        <f t="shared" si="9"/>
        <v>R</v>
      </c>
      <c r="M32" s="231">
        <f t="shared" ca="1" si="10"/>
        <v>46873</v>
      </c>
      <c r="N32" s="231">
        <f t="shared" ca="1" si="17"/>
        <v>46869</v>
      </c>
      <c r="O32" s="199">
        <f t="shared" ca="1" si="18"/>
        <v>6</v>
      </c>
      <c r="P32" s="199">
        <f t="shared" ca="1" si="11"/>
        <v>25</v>
      </c>
      <c r="Q32" s="199">
        <f t="shared" ca="1" si="0"/>
        <v>366</v>
      </c>
      <c r="R32" s="199">
        <f t="shared" ca="1" si="12"/>
        <v>1.6393442622950821E-2</v>
      </c>
      <c r="S32" s="199">
        <f t="shared" ca="1" si="13"/>
        <v>6.8306010928961755E-2</v>
      </c>
      <c r="T32" s="199">
        <f t="shared" ca="1" si="4"/>
        <v>8.4699453551912579E-2</v>
      </c>
      <c r="U32" s="415">
        <f t="shared" ca="1" si="14"/>
        <v>1.0105789617486338</v>
      </c>
      <c r="V32" s="233">
        <f ca="1">IF(B32&lt;&gt;"",1/PRODUCT($U$11:U32),0)</f>
        <v>0.79614497203991963</v>
      </c>
      <c r="AA32" s="240">
        <f t="shared" ca="1" si="5"/>
        <v>824.05</v>
      </c>
      <c r="AB32" s="240">
        <f ca="1">IF(B32&lt;&gt;"",AA32/((1+$V$5)^(SUM($T$11:T32))),0)</f>
        <v>613.44826175887454</v>
      </c>
      <c r="AD32">
        <f t="shared" ca="1" si="15"/>
        <v>1.0106079452054795</v>
      </c>
      <c r="AE32">
        <f ca="1">IF(B32&lt;&gt;"",1/PRODUCT($AD$11:AD32),0)</f>
        <v>0.79605952204191877</v>
      </c>
    </row>
    <row r="33" spans="1:31" ht="13.5" thickBot="1" x14ac:dyDescent="0.35">
      <c r="A33" s="258">
        <f ca="1">A31+A21</f>
        <v>8554.3999999999887</v>
      </c>
      <c r="B33" s="248">
        <f t="shared" si="1"/>
        <v>23</v>
      </c>
      <c r="C33" s="249">
        <f t="shared" ca="1" si="6"/>
        <v>46899</v>
      </c>
      <c r="D33" s="249">
        <f t="shared" ca="1" si="16"/>
        <v>46899</v>
      </c>
      <c r="E33" s="250">
        <f t="shared" ca="1" si="7"/>
        <v>116.29</v>
      </c>
      <c r="F33" s="250">
        <f t="shared" ca="1" si="8"/>
        <v>707.76</v>
      </c>
      <c r="G33" s="250">
        <f t="shared" ca="1" si="2"/>
        <v>15956.86000000001</v>
      </c>
      <c r="H33" s="250">
        <f t="shared" ca="1" si="3"/>
        <v>824.05</v>
      </c>
      <c r="I33" s="99"/>
      <c r="K33" s="231"/>
      <c r="L33" s="199" t="str">
        <f t="shared" si="9"/>
        <v>R</v>
      </c>
      <c r="M33" s="231">
        <f t="shared" ca="1" si="10"/>
        <v>46904</v>
      </c>
      <c r="N33" s="231">
        <f t="shared" ca="1" si="17"/>
        <v>46899</v>
      </c>
      <c r="O33" s="199">
        <f t="shared" ca="1" si="18"/>
        <v>5</v>
      </c>
      <c r="P33" s="199">
        <f t="shared" ca="1" si="11"/>
        <v>25</v>
      </c>
      <c r="Q33" s="199">
        <f t="shared" ca="1" si="0"/>
        <v>366</v>
      </c>
      <c r="R33" s="199">
        <f t="shared" ca="1" si="12"/>
        <v>1.3661202185792349E-2</v>
      </c>
      <c r="S33" s="199">
        <f t="shared" ca="1" si="13"/>
        <v>6.8306010928961755E-2</v>
      </c>
      <c r="T33" s="199">
        <f t="shared" ca="1" si="4"/>
        <v>8.1967213114754106E-2</v>
      </c>
      <c r="U33" s="415">
        <f t="shared" ca="1" si="14"/>
        <v>1.0102377049180329</v>
      </c>
      <c r="V33" s="233">
        <f ca="1">IF(B33&lt;&gt;"",1/PRODUCT($U$11:U33),0)</f>
        <v>0.78807687355573008</v>
      </c>
      <c r="AA33" s="240">
        <f t="shared" ca="1" si="5"/>
        <v>824.05</v>
      </c>
      <c r="AB33" s="240">
        <f ca="1">IF(B33&lt;&gt;"",AA33/((1+$V$5)^(SUM($T$11:T33))),0)</f>
        <v>605.41294842719265</v>
      </c>
      <c r="AD33">
        <f t="shared" ca="1" si="15"/>
        <v>1.0102657534246575</v>
      </c>
      <c r="AE33">
        <f ca="1">IF(B33&lt;&gt;"",1/PRODUCT($AD$11:AD33),0)</f>
        <v>0.78797041208552299</v>
      </c>
    </row>
    <row r="34" spans="1:31" ht="13" x14ac:dyDescent="0.3">
      <c r="A34" s="194" t="s">
        <v>161</v>
      </c>
      <c r="B34" s="248">
        <f t="shared" si="1"/>
        <v>24</v>
      </c>
      <c r="C34" s="249">
        <f t="shared" ca="1" si="6"/>
        <v>46930</v>
      </c>
      <c r="D34" s="249">
        <f t="shared" ca="1" si="16"/>
        <v>46930</v>
      </c>
      <c r="E34" s="250">
        <f t="shared" ca="1" si="7"/>
        <v>115.06</v>
      </c>
      <c r="F34" s="250">
        <f t="shared" ca="1" si="8"/>
        <v>708.99</v>
      </c>
      <c r="G34" s="250">
        <f t="shared" ca="1" si="2"/>
        <v>15247.87000000001</v>
      </c>
      <c r="H34" s="250">
        <f t="shared" ca="1" si="3"/>
        <v>824.05</v>
      </c>
      <c r="I34" s="99"/>
      <c r="K34" s="231"/>
      <c r="L34" s="199" t="str">
        <f t="shared" si="9"/>
        <v>R</v>
      </c>
      <c r="M34" s="231">
        <f t="shared" ca="1" si="10"/>
        <v>46934</v>
      </c>
      <c r="N34" s="231">
        <f t="shared" ca="1" si="17"/>
        <v>46930</v>
      </c>
      <c r="O34" s="199">
        <f t="shared" ca="1" si="18"/>
        <v>6</v>
      </c>
      <c r="P34" s="199">
        <f t="shared" ca="1" si="11"/>
        <v>25</v>
      </c>
      <c r="Q34" s="199">
        <f t="shared" ca="1" si="0"/>
        <v>366</v>
      </c>
      <c r="R34" s="199">
        <f t="shared" ca="1" si="12"/>
        <v>1.6393442622950821E-2</v>
      </c>
      <c r="S34" s="199">
        <f t="shared" ca="1" si="13"/>
        <v>6.8306010928961755E-2</v>
      </c>
      <c r="T34" s="199">
        <f t="shared" ca="1" si="4"/>
        <v>8.4699453551912579E-2</v>
      </c>
      <c r="U34" s="415">
        <f t="shared" ca="1" si="14"/>
        <v>1.0105789617486338</v>
      </c>
      <c r="V34" s="233">
        <f ca="1">IF(B34&lt;&gt;"",1/PRODUCT($U$11:U34),0)</f>
        <v>0.77982711236348912</v>
      </c>
      <c r="AA34" s="240">
        <f t="shared" ca="1" si="5"/>
        <v>824.05</v>
      </c>
      <c r="AB34" s="240">
        <f ca="1">IF(B34&lt;&gt;"",AA34/((1+$V$5)^(SUM($T$11:T34))),0)</f>
        <v>597.22034756885751</v>
      </c>
      <c r="AD34">
        <f t="shared" ca="1" si="15"/>
        <v>1.0106079452054795</v>
      </c>
      <c r="AE34">
        <f ca="1">IF(B34&lt;&gt;"",1/PRODUCT($AD$11:AD34),0)</f>
        <v>0.77969940353606737</v>
      </c>
    </row>
    <row r="35" spans="1:31" ht="13.5" thickBot="1" x14ac:dyDescent="0.35">
      <c r="A35" s="911">
        <f ca="1">A23+A25</f>
        <v>39554.399999999987</v>
      </c>
      <c r="B35" s="248">
        <f t="shared" si="1"/>
        <v>25</v>
      </c>
      <c r="C35" s="249">
        <f t="shared" ca="1" si="6"/>
        <v>46960</v>
      </c>
      <c r="D35" s="249">
        <f t="shared" ca="1" si="16"/>
        <v>46960</v>
      </c>
      <c r="E35" s="250">
        <f t="shared" ca="1" si="7"/>
        <v>106.4</v>
      </c>
      <c r="F35" s="250">
        <f t="shared" ca="1" si="8"/>
        <v>717.65</v>
      </c>
      <c r="G35" s="250">
        <f t="shared" ca="1" si="2"/>
        <v>14530.22000000001</v>
      </c>
      <c r="H35" s="250">
        <f t="shared" ca="1" si="3"/>
        <v>824.05</v>
      </c>
      <c r="I35" s="99"/>
      <c r="K35" s="231"/>
      <c r="L35" s="199" t="str">
        <f t="shared" si="9"/>
        <v>R</v>
      </c>
      <c r="M35" s="231">
        <f t="shared" ca="1" si="10"/>
        <v>46965</v>
      </c>
      <c r="N35" s="231">
        <f t="shared" ca="1" si="17"/>
        <v>46960</v>
      </c>
      <c r="O35" s="199">
        <f t="shared" ca="1" si="18"/>
        <v>5</v>
      </c>
      <c r="P35" s="199">
        <f t="shared" ca="1" si="11"/>
        <v>25</v>
      </c>
      <c r="Q35" s="199">
        <f t="shared" ca="1" si="0"/>
        <v>366</v>
      </c>
      <c r="R35" s="199">
        <f t="shared" ca="1" si="12"/>
        <v>1.3661202185792349E-2</v>
      </c>
      <c r="S35" s="199">
        <f t="shared" ca="1" si="13"/>
        <v>6.8306010928961755E-2</v>
      </c>
      <c r="T35" s="199">
        <f t="shared" ca="1" si="4"/>
        <v>8.1967213114754106E-2</v>
      </c>
      <c r="U35" s="415">
        <f t="shared" ca="1" si="14"/>
        <v>1.0102377049180329</v>
      </c>
      <c r="V35" s="233">
        <f ca="1">IF(B35&lt;&gt;"",1/PRODUCT($U$11:U35),0)</f>
        <v>0.77192437835881567</v>
      </c>
      <c r="AA35" s="240">
        <f t="shared" ca="1" si="5"/>
        <v>824.05</v>
      </c>
      <c r="AB35" s="240">
        <f ca="1">IF(B35&lt;&gt;"",AA35/((1+$V$5)^(SUM($T$11:T35))),0)</f>
        <v>589.39759719213862</v>
      </c>
      <c r="AD35">
        <f t="shared" ca="1" si="15"/>
        <v>1.0102657534246575</v>
      </c>
      <c r="AE35">
        <f ca="1">IF(B35&lt;&gt;"",1/PRODUCT($AD$11:AD35),0)</f>
        <v>0.77177653591938256</v>
      </c>
    </row>
    <row r="36" spans="1:31" ht="13" x14ac:dyDescent="0.3">
      <c r="A36" s="24" t="s">
        <v>160</v>
      </c>
      <c r="B36" s="248">
        <f t="shared" si="1"/>
        <v>26</v>
      </c>
      <c r="C36" s="249">
        <f t="shared" ca="1" si="6"/>
        <v>46991</v>
      </c>
      <c r="D36" s="249">
        <f t="shared" ca="1" si="16"/>
        <v>46991</v>
      </c>
      <c r="E36" s="250">
        <f t="shared" ca="1" si="7"/>
        <v>104.77</v>
      </c>
      <c r="F36" s="250">
        <f t="shared" ca="1" si="8"/>
        <v>719.28</v>
      </c>
      <c r="G36" s="250">
        <f t="shared" ca="1" si="2"/>
        <v>13810.94000000001</v>
      </c>
      <c r="H36" s="250">
        <f t="shared" ca="1" si="3"/>
        <v>824.05</v>
      </c>
      <c r="I36" s="99"/>
      <c r="K36" s="231"/>
      <c r="L36" s="199" t="str">
        <f t="shared" si="9"/>
        <v>R</v>
      </c>
      <c r="M36" s="231">
        <f t="shared" ca="1" si="10"/>
        <v>46996</v>
      </c>
      <c r="N36" s="231">
        <f t="shared" ca="1" si="17"/>
        <v>46991</v>
      </c>
      <c r="O36" s="199">
        <f t="shared" ca="1" si="18"/>
        <v>6</v>
      </c>
      <c r="P36" s="199">
        <f t="shared" ca="1" si="11"/>
        <v>25</v>
      </c>
      <c r="Q36" s="199">
        <f t="shared" ca="1" si="0"/>
        <v>366</v>
      </c>
      <c r="R36" s="199">
        <f t="shared" ca="1" si="12"/>
        <v>1.6393442622950821E-2</v>
      </c>
      <c r="S36" s="199">
        <f t="shared" ca="1" si="13"/>
        <v>6.8306010928961755E-2</v>
      </c>
      <c r="T36" s="199">
        <f t="shared" ca="1" si="4"/>
        <v>8.4699453551912579E-2</v>
      </c>
      <c r="U36" s="415">
        <f t="shared" ca="1" si="14"/>
        <v>1.0105789617486338</v>
      </c>
      <c r="V36" s="233">
        <f ca="1">IF(B36&lt;&gt;"",1/PRODUCT($U$11:U36),0)</f>
        <v>0.76384370502145893</v>
      </c>
      <c r="AA36" s="240">
        <f t="shared" ca="1" si="5"/>
        <v>824.05</v>
      </c>
      <c r="AB36" s="240">
        <f ca="1">IF(B36&lt;&gt;"",AA36/((1+$V$5)^(SUM($T$11:T36))),0)</f>
        <v>581.4217201098902</v>
      </c>
      <c r="AD36">
        <f t="shared" ca="1" si="15"/>
        <v>1.0106079452054795</v>
      </c>
      <c r="AE36">
        <f ca="1">IF(B36&lt;&gt;"",1/PRODUCT($AD$11:AD36),0)</f>
        <v>0.76367550797600636</v>
      </c>
    </row>
    <row r="37" spans="1:31" ht="13" x14ac:dyDescent="0.3">
      <c r="A37" s="24"/>
      <c r="B37" s="248">
        <f t="shared" si="1"/>
        <v>27</v>
      </c>
      <c r="C37" s="249">
        <f t="shared" ca="1" si="6"/>
        <v>47022</v>
      </c>
      <c r="D37" s="249">
        <f t="shared" ca="1" si="16"/>
        <v>47022</v>
      </c>
      <c r="E37" s="250">
        <f t="shared" ca="1" si="7"/>
        <v>99.59</v>
      </c>
      <c r="F37" s="250">
        <f t="shared" ca="1" si="8"/>
        <v>724.46</v>
      </c>
      <c r="G37" s="250">
        <f t="shared" ca="1" si="2"/>
        <v>13086.48000000001</v>
      </c>
      <c r="H37" s="250">
        <f t="shared" ca="1" si="3"/>
        <v>824.05</v>
      </c>
      <c r="I37" s="99"/>
      <c r="K37" s="231"/>
      <c r="L37" s="199" t="str">
        <f t="shared" si="9"/>
        <v>R</v>
      </c>
      <c r="M37" s="231">
        <f t="shared" ca="1" si="10"/>
        <v>47026</v>
      </c>
      <c r="N37" s="231">
        <f t="shared" ca="1" si="17"/>
        <v>47022</v>
      </c>
      <c r="O37" s="199">
        <f t="shared" ca="1" si="18"/>
        <v>6</v>
      </c>
      <c r="P37" s="199">
        <f t="shared" ca="1" si="11"/>
        <v>25</v>
      </c>
      <c r="Q37" s="199">
        <f t="shared" ca="1" si="0"/>
        <v>366</v>
      </c>
      <c r="R37" s="199">
        <f t="shared" ca="1" si="12"/>
        <v>1.6393442622950821E-2</v>
      </c>
      <c r="S37" s="199">
        <f t="shared" ca="1" si="13"/>
        <v>6.8306010928961755E-2</v>
      </c>
      <c r="T37" s="199">
        <f t="shared" ca="1" si="4"/>
        <v>8.4699453551912579E-2</v>
      </c>
      <c r="U37" s="415">
        <f t="shared" ca="1" si="14"/>
        <v>1.0105789617486338</v>
      </c>
      <c r="V37" s="233">
        <f ca="1">IF(B37&lt;&gt;"",1/PRODUCT($U$11:U37),0)</f>
        <v>0.75584762194114774</v>
      </c>
      <c r="AA37" s="240">
        <f t="shared" ca="1" si="5"/>
        <v>824.05</v>
      </c>
      <c r="AB37" s="240">
        <f ca="1">IF(B37&lt;&gt;"",AA37/((1+$V$5)^(SUM($T$11:T37))),0)</f>
        <v>573.55377460987779</v>
      </c>
      <c r="AD37">
        <f t="shared" ca="1" si="15"/>
        <v>1.0106079452054795</v>
      </c>
      <c r="AE37">
        <f ca="1">IF(B37&lt;&gt;"",1/PRODUCT($AD$11:AD37),0)</f>
        <v>0.75565951326528891</v>
      </c>
    </row>
    <row r="38" spans="1:31" ht="13" x14ac:dyDescent="0.3">
      <c r="A38" s="24"/>
      <c r="B38" s="248">
        <f t="shared" si="1"/>
        <v>28</v>
      </c>
      <c r="C38" s="249">
        <f t="shared" ca="1" si="6"/>
        <v>47052</v>
      </c>
      <c r="D38" s="249">
        <f t="shared" ca="1" si="16"/>
        <v>47052</v>
      </c>
      <c r="E38" s="250">
        <f t="shared" ca="1" si="7"/>
        <v>91.32</v>
      </c>
      <c r="F38" s="250">
        <f t="shared" ca="1" si="8"/>
        <v>732.73</v>
      </c>
      <c r="G38" s="250">
        <f t="shared" ca="1" si="2"/>
        <v>12353.750000000011</v>
      </c>
      <c r="H38" s="250">
        <f t="shared" ca="1" si="3"/>
        <v>824.05</v>
      </c>
      <c r="I38" s="99"/>
      <c r="K38" s="231"/>
      <c r="L38" s="199" t="str">
        <f t="shared" si="9"/>
        <v>R</v>
      </c>
      <c r="M38" s="231">
        <f t="shared" ca="1" si="10"/>
        <v>47057</v>
      </c>
      <c r="N38" s="231">
        <f t="shared" ca="1" si="17"/>
        <v>47052</v>
      </c>
      <c r="O38" s="199">
        <f t="shared" ca="1" si="18"/>
        <v>5</v>
      </c>
      <c r="P38" s="199">
        <f t="shared" ca="1" si="11"/>
        <v>25</v>
      </c>
      <c r="Q38" s="199">
        <f t="shared" ca="1" si="0"/>
        <v>366</v>
      </c>
      <c r="R38" s="199">
        <f t="shared" ca="1" si="12"/>
        <v>1.3661202185792349E-2</v>
      </c>
      <c r="S38" s="199">
        <f t="shared" ca="1" si="13"/>
        <v>6.8306010928961755E-2</v>
      </c>
      <c r="T38" s="199">
        <f t="shared" ca="1" si="4"/>
        <v>8.1967213114754106E-2</v>
      </c>
      <c r="U38" s="415">
        <f t="shared" ca="1" si="14"/>
        <v>1.0102377049180329</v>
      </c>
      <c r="V38" s="233">
        <f ca="1">IF(B38&lt;&gt;"",1/PRODUCT($U$11:U38),0)</f>
        <v>0.74818789504839811</v>
      </c>
      <c r="AA38" s="240">
        <f t="shared" ca="1" si="5"/>
        <v>824.05</v>
      </c>
      <c r="AB38" s="240">
        <f ca="1">IF(B38&lt;&gt;"",AA38/((1+$V$5)^(SUM($T$11:T38))),0)</f>
        <v>566.04102320302684</v>
      </c>
      <c r="AD38">
        <f t="shared" ca="1" si="15"/>
        <v>1.0102657534246575</v>
      </c>
      <c r="AE38">
        <f ca="1">IF(B38&lt;&gt;"",1/PRODUCT($AD$11:AD38),0)</f>
        <v>0.74798092551757822</v>
      </c>
    </row>
    <row r="39" spans="1:31" ht="13" x14ac:dyDescent="0.3">
      <c r="A39" s="24"/>
      <c r="B39" s="248">
        <f t="shared" si="1"/>
        <v>29</v>
      </c>
      <c r="C39" s="249">
        <f t="shared" ca="1" si="6"/>
        <v>47083</v>
      </c>
      <c r="D39" s="249">
        <f t="shared" ca="1" si="16"/>
        <v>47083</v>
      </c>
      <c r="E39" s="250">
        <f t="shared" ca="1" si="7"/>
        <v>89.08</v>
      </c>
      <c r="F39" s="250">
        <f t="shared" ca="1" si="8"/>
        <v>734.97</v>
      </c>
      <c r="G39" s="250">
        <f t="shared" ca="1" si="2"/>
        <v>11618.780000000012</v>
      </c>
      <c r="H39" s="250">
        <f t="shared" ca="1" si="3"/>
        <v>824.05</v>
      </c>
      <c r="I39" s="99"/>
      <c r="K39" s="231"/>
      <c r="L39" s="199" t="str">
        <f t="shared" si="9"/>
        <v>R</v>
      </c>
      <c r="M39" s="231">
        <f t="shared" ca="1" si="10"/>
        <v>47087</v>
      </c>
      <c r="N39" s="231">
        <f t="shared" ca="1" si="17"/>
        <v>47083</v>
      </c>
      <c r="O39" s="199">
        <f t="shared" ca="1" si="18"/>
        <v>6</v>
      </c>
      <c r="P39" s="199">
        <f t="shared" ca="1" si="11"/>
        <v>25</v>
      </c>
      <c r="Q39" s="199">
        <f t="shared" ca="1" si="0"/>
        <v>366</v>
      </c>
      <c r="R39" s="199">
        <f t="shared" ca="1" si="12"/>
        <v>1.6393442622950821E-2</v>
      </c>
      <c r="S39" s="199">
        <f t="shared" ca="1" si="13"/>
        <v>6.8306010928961755E-2</v>
      </c>
      <c r="T39" s="199">
        <f t="shared" ca="1" si="4"/>
        <v>8.4699453551912579E-2</v>
      </c>
      <c r="U39" s="415">
        <f t="shared" ca="1" si="14"/>
        <v>1.0105789617486338</v>
      </c>
      <c r="V39" s="233">
        <f ca="1">IF(B39&lt;&gt;"",1/PRODUCT($U$11:U39),0)</f>
        <v>0.74035570041334242</v>
      </c>
      <c r="AA39" s="240">
        <f t="shared" ca="1" si="5"/>
        <v>824.05</v>
      </c>
      <c r="AB39" s="240">
        <f ca="1">IF(B39&lt;&gt;"",AA39/((1+$V$5)^(SUM($T$11:T39))),0)</f>
        <v>558.38121317650973</v>
      </c>
      <c r="AD39">
        <f t="shared" ca="1" si="15"/>
        <v>1.0106079452054795</v>
      </c>
      <c r="AE39">
        <f ca="1">IF(B39&lt;&gt;"",1/PRODUCT($AD$11:AD39),0)</f>
        <v>0.7401296705276712</v>
      </c>
    </row>
    <row r="40" spans="1:31" ht="13" x14ac:dyDescent="0.3">
      <c r="A40" s="24"/>
      <c r="B40" s="248">
        <f t="shared" si="1"/>
        <v>30</v>
      </c>
      <c r="C40" s="249">
        <f t="shared" ca="1" si="6"/>
        <v>47113</v>
      </c>
      <c r="D40" s="249">
        <f t="shared" ca="1" si="16"/>
        <v>47113</v>
      </c>
      <c r="E40" s="250">
        <f t="shared" ca="1" si="7"/>
        <v>81.08</v>
      </c>
      <c r="F40" s="250">
        <f t="shared" ca="1" si="8"/>
        <v>742.97</v>
      </c>
      <c r="G40" s="250">
        <f t="shared" ca="1" si="2"/>
        <v>10875.810000000012</v>
      </c>
      <c r="H40" s="250">
        <f t="shared" ca="1" si="3"/>
        <v>824.05</v>
      </c>
      <c r="I40" s="99"/>
      <c r="K40" s="231"/>
      <c r="L40" s="199" t="str">
        <f t="shared" si="9"/>
        <v>R</v>
      </c>
      <c r="M40" s="231">
        <f t="shared" ca="1" si="10"/>
        <v>47118</v>
      </c>
      <c r="N40" s="231">
        <f t="shared" ca="1" si="17"/>
        <v>47113</v>
      </c>
      <c r="O40" s="199">
        <f t="shared" ca="1" si="18"/>
        <v>5</v>
      </c>
      <c r="P40" s="199">
        <f t="shared" ca="1" si="11"/>
        <v>25</v>
      </c>
      <c r="Q40" s="199">
        <f t="shared" ca="1" si="0"/>
        <v>366</v>
      </c>
      <c r="R40" s="199">
        <f t="shared" ca="1" si="12"/>
        <v>1.3661202185792349E-2</v>
      </c>
      <c r="S40" s="199">
        <f t="shared" ca="1" si="13"/>
        <v>6.8306010928961755E-2</v>
      </c>
      <c r="T40" s="199">
        <f t="shared" ca="1" si="4"/>
        <v>8.1967213114754106E-2</v>
      </c>
      <c r="U40" s="415">
        <f t="shared" ca="1" si="14"/>
        <v>1.0102377049180329</v>
      </c>
      <c r="V40" s="233">
        <f ca="1">IF(B40&lt;&gt;"",1/PRODUCT($U$11:U40),0)</f>
        <v>0.73285296797887012</v>
      </c>
      <c r="AA40" s="240">
        <f t="shared" ca="1" si="5"/>
        <v>824.05</v>
      </c>
      <c r="AB40" s="240">
        <f ca="1">IF(B40&lt;&gt;"",AA40/((1+$V$5)^(SUM($T$11:T40))),0)</f>
        <v>551.0672010811237</v>
      </c>
      <c r="AD40">
        <f t="shared" ca="1" si="15"/>
        <v>1.0102657534246575</v>
      </c>
      <c r="AE40">
        <f ca="1">IF(B40&lt;&gt;"",1/PRODUCT($AD$11:AD40),0)</f>
        <v>0.73260888832343041</v>
      </c>
    </row>
    <row r="41" spans="1:31" ht="13" x14ac:dyDescent="0.3">
      <c r="A41" s="24"/>
      <c r="B41" s="248">
        <f t="shared" si="1"/>
        <v>31</v>
      </c>
      <c r="C41" s="249">
        <f t="shared" ca="1" si="6"/>
        <v>47144</v>
      </c>
      <c r="D41" s="249">
        <f t="shared" ca="1" si="16"/>
        <v>47144</v>
      </c>
      <c r="E41" s="250">
        <f t="shared" ca="1" si="7"/>
        <v>78.42</v>
      </c>
      <c r="F41" s="250">
        <f t="shared" ca="1" si="8"/>
        <v>745.63</v>
      </c>
      <c r="G41" s="250">
        <f t="shared" ca="1" si="2"/>
        <v>10130.180000000013</v>
      </c>
      <c r="H41" s="250">
        <f t="shared" ca="1" si="3"/>
        <v>824.05</v>
      </c>
      <c r="I41" s="99"/>
      <c r="K41" s="231"/>
      <c r="L41" s="199" t="str">
        <f t="shared" si="9"/>
        <v>R</v>
      </c>
      <c r="M41" s="231">
        <f t="shared" ca="1" si="10"/>
        <v>47149</v>
      </c>
      <c r="N41" s="231">
        <f t="shared" ca="1" si="17"/>
        <v>47144</v>
      </c>
      <c r="O41" s="199">
        <f t="shared" ca="1" si="18"/>
        <v>6</v>
      </c>
      <c r="P41" s="199">
        <f t="shared" ca="1" si="11"/>
        <v>25</v>
      </c>
      <c r="Q41" s="199">
        <f t="shared" ca="1" si="0"/>
        <v>365</v>
      </c>
      <c r="R41" s="199">
        <f t="shared" ca="1" si="12"/>
        <v>1.6393442622950821E-2</v>
      </c>
      <c r="S41" s="199">
        <f t="shared" ca="1" si="13"/>
        <v>6.8493150684931503E-2</v>
      </c>
      <c r="T41" s="199">
        <f t="shared" ca="1" si="4"/>
        <v>8.4886593307882327E-2</v>
      </c>
      <c r="U41" s="415">
        <f t="shared" ca="1" si="14"/>
        <v>1.0106023355041545</v>
      </c>
      <c r="V41" s="233">
        <f ca="1">IF(B41&lt;&gt;"",1/PRODUCT($U$11:U41),0)</f>
        <v>0.72516453033257167</v>
      </c>
      <c r="AA41" s="240">
        <f t="shared" ca="1" si="5"/>
        <v>824.05</v>
      </c>
      <c r="AB41" s="240">
        <f ca="1">IF(B41&lt;&gt;"",AA41/((1+$V$5)^(SUM($T$11:T41))),0)</f>
        <v>543.59365651352459</v>
      </c>
      <c r="AD41">
        <f t="shared" ca="1" si="15"/>
        <v>1.0106079452054795</v>
      </c>
      <c r="AE41">
        <f ca="1">IF(B41&lt;&gt;"",1/PRODUCT($AD$11:AD41),0)</f>
        <v>0.72491898742639949</v>
      </c>
    </row>
    <row r="42" spans="1:31" ht="13" x14ac:dyDescent="0.3">
      <c r="A42" s="24"/>
      <c r="B42" s="248">
        <f t="shared" si="1"/>
        <v>32</v>
      </c>
      <c r="C42" s="249">
        <f t="shared" ca="1" si="6"/>
        <v>47175</v>
      </c>
      <c r="D42" s="249">
        <f t="shared" ca="1" si="16"/>
        <v>47175</v>
      </c>
      <c r="E42" s="250">
        <f t="shared" ca="1" si="7"/>
        <v>73.05</v>
      </c>
      <c r="F42" s="250">
        <f t="shared" ca="1" si="8"/>
        <v>751</v>
      </c>
      <c r="G42" s="250">
        <f t="shared" ca="1" si="2"/>
        <v>9379.180000000013</v>
      </c>
      <c r="H42" s="250">
        <f t="shared" ca="1" si="3"/>
        <v>824.05</v>
      </c>
      <c r="I42" s="99"/>
      <c r="K42" s="231"/>
      <c r="L42" s="199" t="str">
        <f t="shared" si="9"/>
        <v>R</v>
      </c>
      <c r="M42" s="231">
        <f t="shared" ca="1" si="10"/>
        <v>47177</v>
      </c>
      <c r="N42" s="231">
        <f t="shared" ca="1" si="17"/>
        <v>47175</v>
      </c>
      <c r="O42" s="199">
        <f t="shared" ca="1" si="18"/>
        <v>6</v>
      </c>
      <c r="P42" s="199">
        <f t="shared" ca="1" si="11"/>
        <v>25</v>
      </c>
      <c r="Q42" s="199">
        <f t="shared" ca="1" si="0"/>
        <v>365</v>
      </c>
      <c r="R42" s="199">
        <f t="shared" ca="1" si="12"/>
        <v>1.643835616438356E-2</v>
      </c>
      <c r="S42" s="199">
        <f t="shared" ca="1" si="13"/>
        <v>6.8493150684931503E-2</v>
      </c>
      <c r="T42" s="199">
        <f t="shared" ca="1" si="4"/>
        <v>8.4931506849315067E-2</v>
      </c>
      <c r="U42" s="415">
        <f t="shared" ca="1" si="14"/>
        <v>1.0106079452054795</v>
      </c>
      <c r="V42" s="233">
        <f ca="1">IF(B42&lt;&gt;"",1/PRODUCT($U$11:U42),0)</f>
        <v>0.71755276986777428</v>
      </c>
      <c r="AA42" s="240">
        <f t="shared" ca="1" si="5"/>
        <v>824.05</v>
      </c>
      <c r="AB42" s="240">
        <f ca="1">IF(B42&lt;&gt;"",AA42/((1+$V$5)^(SUM($T$11:T42))),0)</f>
        <v>536.21759372206441</v>
      </c>
      <c r="AD42">
        <f t="shared" ca="1" si="15"/>
        <v>1.0106079452054795</v>
      </c>
      <c r="AE42">
        <f ca="1">IF(B42&lt;&gt;"",1/PRODUCT($AD$11:AD42),0)</f>
        <v>0.71730980432674807</v>
      </c>
    </row>
    <row r="43" spans="1:31" ht="13" x14ac:dyDescent="0.3">
      <c r="A43" s="24"/>
      <c r="B43" s="248">
        <f t="shared" si="1"/>
        <v>33</v>
      </c>
      <c r="C43" s="249">
        <f t="shared" ca="1" si="6"/>
        <v>47203</v>
      </c>
      <c r="D43" s="249">
        <f t="shared" ca="1" si="16"/>
        <v>47203</v>
      </c>
      <c r="E43" s="250">
        <f t="shared" ca="1" si="7"/>
        <v>61.09</v>
      </c>
      <c r="F43" s="250">
        <f t="shared" ca="1" si="8"/>
        <v>762.96</v>
      </c>
      <c r="G43" s="250">
        <f t="shared" ca="1" si="2"/>
        <v>8616.2200000000121</v>
      </c>
      <c r="H43" s="250">
        <f t="shared" ca="1" si="3"/>
        <v>824.05</v>
      </c>
      <c r="I43" s="99"/>
      <c r="K43" s="231"/>
      <c r="L43" s="199" t="str">
        <f t="shared" si="9"/>
        <v>R</v>
      </c>
      <c r="M43" s="231">
        <f t="shared" ca="1" si="10"/>
        <v>47208</v>
      </c>
      <c r="N43" s="231">
        <f t="shared" ca="1" si="17"/>
        <v>47203</v>
      </c>
      <c r="O43" s="199">
        <f t="shared" ca="1" si="18"/>
        <v>3</v>
      </c>
      <c r="P43" s="199">
        <f t="shared" ca="1" si="11"/>
        <v>25</v>
      </c>
      <c r="Q43" s="199">
        <f t="shared" ca="1" si="0"/>
        <v>365</v>
      </c>
      <c r="R43" s="199">
        <f t="shared" ca="1" si="12"/>
        <v>8.21917808219178E-3</v>
      </c>
      <c r="S43" s="199">
        <f t="shared" ca="1" si="13"/>
        <v>6.8493150684931503E-2</v>
      </c>
      <c r="T43" s="199">
        <f t="shared" ca="1" si="4"/>
        <v>7.6712328767123278E-2</v>
      </c>
      <c r="U43" s="415">
        <f t="shared" ca="1" si="14"/>
        <v>1.0095813698630136</v>
      </c>
      <c r="V43" s="233">
        <f ca="1">IF(B43&lt;&gt;"",1/PRODUCT($U$11:U43),0)</f>
        <v>0.71074287946214409</v>
      </c>
      <c r="AA43" s="240">
        <f t="shared" ca="1" si="5"/>
        <v>824.05</v>
      </c>
      <c r="AB43" s="240">
        <f ca="1">IF(B43&lt;&gt;"",AA43/((1+$V$5)^(SUM($T$11:T43))),0)</f>
        <v>529.64140760313705</v>
      </c>
      <c r="AD43">
        <f t="shared" ca="1" si="15"/>
        <v>1.0095813698630136</v>
      </c>
      <c r="AE43">
        <f ca="1">IF(B43&lt;&gt;"",1/PRODUCT($AD$11:AD43),0)</f>
        <v>0.71050221977063355</v>
      </c>
    </row>
    <row r="44" spans="1:31" ht="13" x14ac:dyDescent="0.3">
      <c r="A44" s="24"/>
      <c r="B44" s="248">
        <f t="shared" si="1"/>
        <v>34</v>
      </c>
      <c r="C44" s="249">
        <f t="shared" ca="1" si="6"/>
        <v>47234</v>
      </c>
      <c r="D44" s="249">
        <f t="shared" ca="1" si="16"/>
        <v>47234</v>
      </c>
      <c r="E44" s="250">
        <f t="shared" ca="1" si="7"/>
        <v>62.13</v>
      </c>
      <c r="F44" s="250">
        <f t="shared" ca="1" si="8"/>
        <v>761.92</v>
      </c>
      <c r="G44" s="250">
        <f t="shared" ca="1" si="2"/>
        <v>7854.300000000012</v>
      </c>
      <c r="H44" s="250">
        <f t="shared" ca="1" si="3"/>
        <v>824.05</v>
      </c>
      <c r="I44" s="99"/>
      <c r="K44" s="231"/>
      <c r="L44" s="199" t="str">
        <f t="shared" si="9"/>
        <v>R</v>
      </c>
      <c r="M44" s="231">
        <f t="shared" ca="1" si="10"/>
        <v>47238</v>
      </c>
      <c r="N44" s="231">
        <f t="shared" ca="1" si="17"/>
        <v>47234</v>
      </c>
      <c r="O44" s="199">
        <f t="shared" ca="1" si="18"/>
        <v>6</v>
      </c>
      <c r="P44" s="199">
        <f t="shared" ca="1" si="11"/>
        <v>25</v>
      </c>
      <c r="Q44" s="199">
        <f t="shared" ca="1" si="0"/>
        <v>365</v>
      </c>
      <c r="R44" s="199">
        <f t="shared" ca="1" si="12"/>
        <v>1.643835616438356E-2</v>
      </c>
      <c r="S44" s="199">
        <f t="shared" ca="1" si="13"/>
        <v>6.8493150684931503E-2</v>
      </c>
      <c r="T44" s="199">
        <f t="shared" ca="1" si="4"/>
        <v>8.4931506849315067E-2</v>
      </c>
      <c r="U44" s="415">
        <f t="shared" ca="1" si="14"/>
        <v>1.0106079452054795</v>
      </c>
      <c r="V44" s="233">
        <f ca="1">IF(B44&lt;&gt;"",1/PRODUCT($U$11:U44),0)</f>
        <v>0.7032824972671613</v>
      </c>
      <c r="AA44" s="240">
        <f t="shared" ca="1" si="5"/>
        <v>824.05</v>
      </c>
      <c r="AB44" s="240">
        <f ca="1">IF(B44&lt;&gt;"",AA44/((1+$V$5)^(SUM($T$11:T44))),0)</f>
        <v>522.454663915776</v>
      </c>
      <c r="AD44">
        <f t="shared" ca="1" si="15"/>
        <v>1.0106079452054795</v>
      </c>
      <c r="AE44">
        <f ca="1">IF(B44&lt;&gt;"",1/PRODUCT($AD$11:AD44),0)</f>
        <v>0.70304436368365619</v>
      </c>
    </row>
    <row r="45" spans="1:31" ht="13" x14ac:dyDescent="0.3">
      <c r="A45" s="24"/>
      <c r="B45" s="248">
        <f t="shared" si="1"/>
        <v>35</v>
      </c>
      <c r="C45" s="249">
        <f t="shared" ca="1" si="6"/>
        <v>47264</v>
      </c>
      <c r="D45" s="249">
        <f t="shared" ca="1" si="16"/>
        <v>47264</v>
      </c>
      <c r="E45" s="250">
        <f t="shared" ca="1" si="7"/>
        <v>54.81</v>
      </c>
      <c r="F45" s="250">
        <f t="shared" ca="1" si="8"/>
        <v>769.24</v>
      </c>
      <c r="G45" s="250">
        <f t="shared" ca="1" si="2"/>
        <v>7085.0600000000122</v>
      </c>
      <c r="H45" s="250">
        <f t="shared" ca="1" si="3"/>
        <v>824.05</v>
      </c>
      <c r="I45" s="99"/>
      <c r="K45" s="231"/>
      <c r="L45" s="199" t="str">
        <f t="shared" si="9"/>
        <v>R</v>
      </c>
      <c r="M45" s="231">
        <f t="shared" ca="1" si="10"/>
        <v>47269</v>
      </c>
      <c r="N45" s="231">
        <f t="shared" ca="1" si="17"/>
        <v>47264</v>
      </c>
      <c r="O45" s="199">
        <f t="shared" ca="1" si="18"/>
        <v>5</v>
      </c>
      <c r="P45" s="199">
        <f t="shared" ca="1" si="11"/>
        <v>25</v>
      </c>
      <c r="Q45" s="199">
        <f t="shared" ca="1" si="0"/>
        <v>365</v>
      </c>
      <c r="R45" s="199">
        <f t="shared" ca="1" si="12"/>
        <v>1.3698630136986301E-2</v>
      </c>
      <c r="S45" s="199">
        <f t="shared" ca="1" si="13"/>
        <v>6.8493150684931503E-2</v>
      </c>
      <c r="T45" s="199">
        <f t="shared" ca="1" si="4"/>
        <v>8.2191780821917804E-2</v>
      </c>
      <c r="U45" s="415">
        <f t="shared" ca="1" si="14"/>
        <v>1.0102657534246575</v>
      </c>
      <c r="V45" s="233">
        <f ca="1">IF(B45&lt;&gt;"",1/PRODUCT($U$11:U45),0)</f>
        <v>0.69613613535164731</v>
      </c>
      <c r="AA45" s="240">
        <f t="shared" ca="1" si="5"/>
        <v>824.05</v>
      </c>
      <c r="AB45" s="240">
        <f ca="1">IF(B45&lt;&gt;"",AA45/((1+$V$5)^(SUM($T$11:T45))),0)</f>
        <v>515.59261387557956</v>
      </c>
      <c r="AD45">
        <f t="shared" ca="1" si="15"/>
        <v>1.0102657534246575</v>
      </c>
      <c r="AE45">
        <f ca="1">IF(B45&lt;&gt;"",1/PRODUCT($AD$11:AD45),0)</f>
        <v>0.69590042154792997</v>
      </c>
    </row>
    <row r="46" spans="1:31" ht="13" x14ac:dyDescent="0.3">
      <c r="A46" s="24"/>
      <c r="B46" s="248">
        <f t="shared" si="1"/>
        <v>36</v>
      </c>
      <c r="C46" s="249">
        <f t="shared" ca="1" si="6"/>
        <v>47295</v>
      </c>
      <c r="D46" s="249">
        <f t="shared" ca="1" si="16"/>
        <v>47295</v>
      </c>
      <c r="E46" s="250">
        <f t="shared" ca="1" si="7"/>
        <v>51.09</v>
      </c>
      <c r="F46" s="250">
        <f t="shared" ca="1" si="8"/>
        <v>772.96</v>
      </c>
      <c r="G46" s="250">
        <f t="shared" ca="1" si="2"/>
        <v>6312.1000000000122</v>
      </c>
      <c r="H46" s="250">
        <f t="shared" ca="1" si="3"/>
        <v>824.05</v>
      </c>
      <c r="I46" s="99"/>
      <c r="K46" s="231"/>
      <c r="L46" s="199" t="str">
        <f t="shared" si="9"/>
        <v>R</v>
      </c>
      <c r="M46" s="231">
        <f t="shared" ca="1" si="10"/>
        <v>47299</v>
      </c>
      <c r="N46" s="231">
        <f t="shared" ca="1" si="17"/>
        <v>47295</v>
      </c>
      <c r="O46" s="199">
        <f t="shared" ca="1" si="18"/>
        <v>6</v>
      </c>
      <c r="P46" s="199">
        <f t="shared" ca="1" si="11"/>
        <v>25</v>
      </c>
      <c r="Q46" s="199">
        <f t="shared" ca="1" si="0"/>
        <v>365</v>
      </c>
      <c r="R46" s="199">
        <f t="shared" ca="1" si="12"/>
        <v>1.643835616438356E-2</v>
      </c>
      <c r="S46" s="199">
        <f t="shared" ca="1" si="13"/>
        <v>6.8493150684931503E-2</v>
      </c>
      <c r="T46" s="199">
        <f t="shared" ca="1" si="4"/>
        <v>8.4931506849315067E-2</v>
      </c>
      <c r="U46" s="415">
        <f t="shared" ca="1" si="14"/>
        <v>1.0106079452054795</v>
      </c>
      <c r="V46" s="233">
        <f ca="1">IF(B46&lt;&gt;"",1/PRODUCT($U$11:U46),0)</f>
        <v>0.68882907427578866</v>
      </c>
      <c r="AA46" s="240">
        <f t="shared" ca="1" si="5"/>
        <v>824.05</v>
      </c>
      <c r="AB46" s="240">
        <f ca="1">IF(B46&lt;&gt;"",AA46/((1+$V$5)^(SUM($T$11:T46))),0)</f>
        <v>508.59649931612893</v>
      </c>
      <c r="AD46">
        <f t="shared" ca="1" si="15"/>
        <v>1.0106079452054795</v>
      </c>
      <c r="AE46">
        <f ca="1">IF(B46&lt;&gt;"",1/PRODUCT($AD$11:AD46),0)</f>
        <v>0.68859583466508134</v>
      </c>
    </row>
    <row r="47" spans="1:31" ht="13" x14ac:dyDescent="0.3">
      <c r="A47" s="24"/>
      <c r="B47" s="248">
        <f t="shared" si="1"/>
        <v>37</v>
      </c>
      <c r="C47" s="249">
        <f t="shared" ca="1" si="6"/>
        <v>47325</v>
      </c>
      <c r="D47" s="249">
        <f t="shared" ca="1" si="16"/>
        <v>47325</v>
      </c>
      <c r="E47" s="250">
        <f t="shared" ca="1" si="7"/>
        <v>44.05</v>
      </c>
      <c r="F47" s="250">
        <f t="shared" ca="1" si="8"/>
        <v>780</v>
      </c>
      <c r="G47" s="250">
        <f t="shared" ca="1" si="2"/>
        <v>5532.1000000000122</v>
      </c>
      <c r="H47" s="250">
        <f t="shared" ca="1" si="3"/>
        <v>824.05</v>
      </c>
      <c r="I47" s="99"/>
      <c r="K47" s="231"/>
      <c r="L47" s="199" t="str">
        <f t="shared" si="9"/>
        <v>R</v>
      </c>
      <c r="M47" s="231">
        <f t="shared" ca="1" si="10"/>
        <v>47330</v>
      </c>
      <c r="N47" s="231">
        <f t="shared" ca="1" si="17"/>
        <v>47325</v>
      </c>
      <c r="O47" s="199">
        <f t="shared" ca="1" si="18"/>
        <v>5</v>
      </c>
      <c r="P47" s="199">
        <f t="shared" ca="1" si="11"/>
        <v>25</v>
      </c>
      <c r="Q47" s="199">
        <f t="shared" ca="1" si="0"/>
        <v>365</v>
      </c>
      <c r="R47" s="199">
        <f t="shared" ca="1" si="12"/>
        <v>1.3698630136986301E-2</v>
      </c>
      <c r="S47" s="199">
        <f t="shared" ca="1" si="13"/>
        <v>6.8493150684931503E-2</v>
      </c>
      <c r="T47" s="199">
        <f t="shared" ca="1" si="4"/>
        <v>8.2191780821917804E-2</v>
      </c>
      <c r="U47" s="415">
        <f t="shared" ca="1" si="14"/>
        <v>1.0102657534246575</v>
      </c>
      <c r="V47" s="233">
        <f ca="1">IF(B47&lt;&gt;"",1/PRODUCT($U$11:U47),0)</f>
        <v>0.68182957993058346</v>
      </c>
      <c r="AA47" s="240">
        <f t="shared" ca="1" si="5"/>
        <v>824.05</v>
      </c>
      <c r="AB47" s="240">
        <f ca="1">IF(B47&lt;&gt;"",AA47/((1+$V$5)^(SUM($T$11:T47))),0)</f>
        <v>501.9164658708948</v>
      </c>
      <c r="AD47">
        <f t="shared" ca="1" si="15"/>
        <v>1.0102657534246575</v>
      </c>
      <c r="AE47">
        <f ca="1">IF(B47&lt;&gt;"",1/PRODUCT($AD$11:AD47),0)</f>
        <v>0.68159871036985986</v>
      </c>
    </row>
    <row r="48" spans="1:31" ht="13" x14ac:dyDescent="0.3">
      <c r="A48" s="24"/>
      <c r="B48" s="248">
        <f t="shared" si="1"/>
        <v>38</v>
      </c>
      <c r="C48" s="249">
        <f t="shared" ca="1" si="6"/>
        <v>47356</v>
      </c>
      <c r="D48" s="249">
        <f t="shared" ca="1" si="16"/>
        <v>47356</v>
      </c>
      <c r="E48" s="250">
        <f t="shared" ca="1" si="7"/>
        <v>39.89</v>
      </c>
      <c r="F48" s="250">
        <f t="shared" ca="1" si="8"/>
        <v>784.16</v>
      </c>
      <c r="G48" s="250">
        <f t="shared" ca="1" si="2"/>
        <v>4747.9400000000123</v>
      </c>
      <c r="H48" s="250">
        <f t="shared" ca="1" si="3"/>
        <v>824.05</v>
      </c>
      <c r="I48" s="99"/>
      <c r="K48" s="231"/>
      <c r="L48" s="199" t="str">
        <f t="shared" si="9"/>
        <v>R</v>
      </c>
      <c r="M48" s="231">
        <f t="shared" ca="1" si="10"/>
        <v>47361</v>
      </c>
      <c r="N48" s="231">
        <f t="shared" ca="1" si="17"/>
        <v>47356</v>
      </c>
      <c r="O48" s="199">
        <f t="shared" ca="1" si="18"/>
        <v>6</v>
      </c>
      <c r="P48" s="199">
        <f t="shared" ca="1" si="11"/>
        <v>25</v>
      </c>
      <c r="Q48" s="199">
        <f t="shared" ca="1" si="0"/>
        <v>365</v>
      </c>
      <c r="R48" s="199">
        <f t="shared" ca="1" si="12"/>
        <v>1.643835616438356E-2</v>
      </c>
      <c r="S48" s="199">
        <f t="shared" ca="1" si="13"/>
        <v>6.8493150684931503E-2</v>
      </c>
      <c r="T48" s="199">
        <f t="shared" ca="1" si="4"/>
        <v>8.4931506849315067E-2</v>
      </c>
      <c r="U48" s="415">
        <f t="shared" ca="1" si="14"/>
        <v>1.0106079452054795</v>
      </c>
      <c r="V48" s="233">
        <f ca="1">IF(B48&lt;&gt;"",1/PRODUCT($U$11:U48),0)</f>
        <v>0.67467268901389055</v>
      </c>
      <c r="AA48" s="240">
        <f t="shared" ca="1" si="5"/>
        <v>824.05</v>
      </c>
      <c r="AB48" s="240">
        <f ca="1">IF(B48&lt;&gt;"",AA48/((1+$V$5)^(SUM($T$11:T48))),0)</f>
        <v>495.10592398180012</v>
      </c>
      <c r="AD48">
        <f t="shared" ca="1" si="15"/>
        <v>1.0106079452054795</v>
      </c>
      <c r="AE48">
        <f ca="1">IF(B48&lt;&gt;"",1/PRODUCT($AD$11:AD48),0)</f>
        <v>0.67444424279810644</v>
      </c>
    </row>
    <row r="49" spans="1:31" ht="13" x14ac:dyDescent="0.3">
      <c r="A49" s="24"/>
      <c r="B49" s="248">
        <f t="shared" si="1"/>
        <v>39</v>
      </c>
      <c r="C49" s="249">
        <f t="shared" ca="1" si="6"/>
        <v>47387</v>
      </c>
      <c r="D49" s="249">
        <f t="shared" ca="1" si="16"/>
        <v>47387</v>
      </c>
      <c r="E49" s="250">
        <f t="shared" ca="1" si="7"/>
        <v>34.24</v>
      </c>
      <c r="F49" s="250">
        <f t="shared" ca="1" si="8"/>
        <v>789.81</v>
      </c>
      <c r="G49" s="250">
        <f t="shared" ca="1" si="2"/>
        <v>3958.1300000000124</v>
      </c>
      <c r="H49" s="250">
        <f t="shared" ca="1" si="3"/>
        <v>824.05</v>
      </c>
      <c r="I49" s="99"/>
      <c r="K49" s="231"/>
      <c r="L49" s="199" t="str">
        <f t="shared" si="9"/>
        <v>R</v>
      </c>
      <c r="M49" s="231">
        <f t="shared" ca="1" si="10"/>
        <v>47391</v>
      </c>
      <c r="N49" s="231">
        <f t="shared" ca="1" si="17"/>
        <v>47387</v>
      </c>
      <c r="O49" s="199">
        <f t="shared" ca="1" si="18"/>
        <v>6</v>
      </c>
      <c r="P49" s="199">
        <f t="shared" ca="1" si="11"/>
        <v>25</v>
      </c>
      <c r="Q49" s="199">
        <f t="shared" ca="1" si="0"/>
        <v>365</v>
      </c>
      <c r="R49" s="199">
        <f t="shared" ca="1" si="12"/>
        <v>1.643835616438356E-2</v>
      </c>
      <c r="S49" s="199">
        <f t="shared" ca="1" si="13"/>
        <v>6.8493150684931503E-2</v>
      </c>
      <c r="T49" s="199">
        <f t="shared" ca="1" si="4"/>
        <v>8.4931506849315067E-2</v>
      </c>
      <c r="U49" s="415">
        <f t="shared" ca="1" si="14"/>
        <v>1.0106079452054795</v>
      </c>
      <c r="V49" s="233">
        <f ca="1">IF(B49&lt;&gt;"",1/PRODUCT($U$11:U49),0)</f>
        <v>0.66759092110315277</v>
      </c>
      <c r="AA49" s="240">
        <f t="shared" ca="1" si="5"/>
        <v>824.05</v>
      </c>
      <c r="AB49" s="240">
        <f ca="1">IF(B49&lt;&gt;"",AA49/((1+$V$5)^(SUM($T$11:T49))),0)</f>
        <v>488.3877948425893</v>
      </c>
      <c r="AD49">
        <f t="shared" ca="1" si="15"/>
        <v>1.0106079452054795</v>
      </c>
      <c r="AE49">
        <f ca="1">IF(B49&lt;&gt;"",1/PRODUCT($AD$11:AD49),0)</f>
        <v>0.66736487279543077</v>
      </c>
    </row>
    <row r="50" spans="1:31" ht="13" x14ac:dyDescent="0.3">
      <c r="A50" s="24"/>
      <c r="B50" s="248">
        <f t="shared" si="1"/>
        <v>40</v>
      </c>
      <c r="C50" s="249">
        <f t="shared" ca="1" si="6"/>
        <v>47417</v>
      </c>
      <c r="D50" s="249">
        <f t="shared" ca="1" si="16"/>
        <v>47417</v>
      </c>
      <c r="E50" s="250">
        <f t="shared" ca="1" si="7"/>
        <v>27.62</v>
      </c>
      <c r="F50" s="250">
        <f t="shared" ca="1" si="8"/>
        <v>796.43</v>
      </c>
      <c r="G50" s="250">
        <f t="shared" ca="1" si="2"/>
        <v>3161.7000000000126</v>
      </c>
      <c r="H50" s="250">
        <f t="shared" ca="1" si="3"/>
        <v>824.05</v>
      </c>
      <c r="I50" s="99"/>
      <c r="K50" s="231"/>
      <c r="L50" s="199" t="str">
        <f t="shared" si="9"/>
        <v>R</v>
      </c>
      <c r="M50" s="231">
        <f t="shared" ca="1" si="10"/>
        <v>47422</v>
      </c>
      <c r="N50" s="231">
        <f t="shared" ca="1" si="17"/>
        <v>47417</v>
      </c>
      <c r="O50" s="199">
        <f t="shared" ca="1" si="18"/>
        <v>5</v>
      </c>
      <c r="P50" s="199">
        <f t="shared" ca="1" si="11"/>
        <v>25</v>
      </c>
      <c r="Q50" s="199">
        <f t="shared" ca="1" si="0"/>
        <v>365</v>
      </c>
      <c r="R50" s="199">
        <f t="shared" ca="1" si="12"/>
        <v>1.3698630136986301E-2</v>
      </c>
      <c r="S50" s="199">
        <f t="shared" ca="1" si="13"/>
        <v>6.8493150684931503E-2</v>
      </c>
      <c r="T50" s="199">
        <f t="shared" ca="1" si="4"/>
        <v>8.2191780821917804E-2</v>
      </c>
      <c r="U50" s="415">
        <f t="shared" ca="1" si="14"/>
        <v>1.0102657534246575</v>
      </c>
      <c r="V50" s="233">
        <f ca="1">IF(B50&lt;&gt;"",1/PRODUCT($U$11:U50),0)</f>
        <v>0.66080723694742127</v>
      </c>
      <c r="AA50" s="240">
        <f t="shared" ca="1" si="5"/>
        <v>824.05</v>
      </c>
      <c r="AB50" s="240">
        <f ca="1">IF(B50&lt;&gt;"",AA50/((1+$V$5)^(SUM($T$11:T50))),0)</f>
        <v>481.97318756908385</v>
      </c>
      <c r="AD50">
        <f t="shared" ca="1" si="15"/>
        <v>1.0102657534246575</v>
      </c>
      <c r="AE50">
        <f ca="1">IF(B50&lt;&gt;"",1/PRODUCT($AD$11:AD50),0)</f>
        <v>0.66058348561569924</v>
      </c>
    </row>
    <row r="51" spans="1:31" ht="13" x14ac:dyDescent="0.3">
      <c r="A51" s="24"/>
      <c r="B51" s="248">
        <f t="shared" si="1"/>
        <v>41</v>
      </c>
      <c r="C51" s="249">
        <f t="shared" ca="1" si="6"/>
        <v>47448</v>
      </c>
      <c r="D51" s="249">
        <f t="shared" ca="1" si="16"/>
        <v>47448</v>
      </c>
      <c r="E51" s="250">
        <f t="shared" ca="1" si="7"/>
        <v>22.8</v>
      </c>
      <c r="F51" s="250">
        <f t="shared" ca="1" si="8"/>
        <v>801.25</v>
      </c>
      <c r="G51" s="250">
        <f t="shared" ca="1" si="2"/>
        <v>2360.4500000000126</v>
      </c>
      <c r="H51" s="250">
        <f t="shared" ca="1" si="3"/>
        <v>824.05</v>
      </c>
      <c r="I51" s="99"/>
      <c r="K51" s="231"/>
      <c r="L51" s="199" t="str">
        <f t="shared" si="9"/>
        <v>R</v>
      </c>
      <c r="M51" s="231">
        <f t="shared" ca="1" si="10"/>
        <v>47452</v>
      </c>
      <c r="N51" s="231">
        <f t="shared" ca="1" si="17"/>
        <v>47448</v>
      </c>
      <c r="O51" s="199">
        <f t="shared" ca="1" si="18"/>
        <v>6</v>
      </c>
      <c r="P51" s="199">
        <f t="shared" ca="1" si="11"/>
        <v>25</v>
      </c>
      <c r="Q51" s="199">
        <f t="shared" ca="1" si="0"/>
        <v>365</v>
      </c>
      <c r="R51" s="199">
        <f t="shared" ca="1" si="12"/>
        <v>1.643835616438356E-2</v>
      </c>
      <c r="S51" s="199">
        <f t="shared" ca="1" si="13"/>
        <v>6.8493150684931503E-2</v>
      </c>
      <c r="T51" s="199">
        <f t="shared" ca="1" si="4"/>
        <v>8.4931506849315067E-2</v>
      </c>
      <c r="U51" s="415">
        <f t="shared" ca="1" si="14"/>
        <v>1.0106079452054795</v>
      </c>
      <c r="V51" s="233">
        <f ca="1">IF(B51&lt;&gt;"",1/PRODUCT($U$11:U51),0)</f>
        <v>0.6538710091113169</v>
      </c>
      <c r="AA51" s="240">
        <f t="shared" ca="1" si="5"/>
        <v>824.05</v>
      </c>
      <c r="AB51" s="240">
        <f ca="1">IF(B51&lt;&gt;"",AA51/((1+$V$5)^(SUM($T$11:T51))),0)</f>
        <v>475.43325750788506</v>
      </c>
      <c r="AD51">
        <f t="shared" ca="1" si="15"/>
        <v>1.0106079452054795</v>
      </c>
      <c r="AE51">
        <f ca="1">IF(B51&lt;&gt;"",1/PRODUCT($AD$11:AD51),0)</f>
        <v>0.65364960640734682</v>
      </c>
    </row>
    <row r="52" spans="1:31" ht="13" x14ac:dyDescent="0.3">
      <c r="A52" s="24"/>
      <c r="B52" s="248">
        <f t="shared" si="1"/>
        <v>42</v>
      </c>
      <c r="C52" s="249">
        <f t="shared" ca="1" si="6"/>
        <v>47478</v>
      </c>
      <c r="D52" s="249">
        <f t="shared" ca="1" si="16"/>
        <v>47478</v>
      </c>
      <c r="E52" s="250">
        <f t="shared" ca="1" si="7"/>
        <v>16.47</v>
      </c>
      <c r="F52" s="250">
        <f t="shared" ca="1" si="8"/>
        <v>807.58</v>
      </c>
      <c r="G52" s="250">
        <f t="shared" ca="1" si="2"/>
        <v>1552.8700000000126</v>
      </c>
      <c r="H52" s="250">
        <f t="shared" ca="1" si="3"/>
        <v>824.05</v>
      </c>
      <c r="I52" s="99"/>
      <c r="K52" s="231"/>
      <c r="L52" s="199" t="str">
        <f t="shared" si="9"/>
        <v>R</v>
      </c>
      <c r="M52" s="231">
        <f t="shared" ca="1" si="10"/>
        <v>47483</v>
      </c>
      <c r="N52" s="231">
        <f t="shared" ca="1" si="17"/>
        <v>47478</v>
      </c>
      <c r="O52" s="199">
        <f t="shared" ca="1" si="18"/>
        <v>5</v>
      </c>
      <c r="P52" s="199">
        <f t="shared" ca="1" si="11"/>
        <v>25</v>
      </c>
      <c r="Q52" s="199">
        <f t="shared" ca="1" si="0"/>
        <v>365</v>
      </c>
      <c r="R52" s="199">
        <f t="shared" ca="1" si="12"/>
        <v>1.3698630136986301E-2</v>
      </c>
      <c r="S52" s="199">
        <f t="shared" ca="1" si="13"/>
        <v>6.8493150684931503E-2</v>
      </c>
      <c r="T52" s="199">
        <f t="shared" ca="1" si="4"/>
        <v>8.2191780821917804E-2</v>
      </c>
      <c r="U52" s="415">
        <f t="shared" ca="1" si="14"/>
        <v>1.0102657534246575</v>
      </c>
      <c r="V52" s="233">
        <f ca="1">IF(B52&lt;&gt;"",1/PRODUCT($U$11:U52),0)</f>
        <v>0.64722673899890892</v>
      </c>
      <c r="AA52" s="240">
        <f t="shared" ca="1" si="5"/>
        <v>824.05</v>
      </c>
      <c r="AB52" s="240">
        <f ca="1">IF(B52&lt;&gt;"",AA52/((1+$V$5)^(SUM($T$11:T52))),0)</f>
        <v>469.18879836316097</v>
      </c>
      <c r="AD52">
        <f t="shared" ca="1" si="15"/>
        <v>1.0102657534246575</v>
      </c>
      <c r="AE52">
        <f ca="1">IF(B52&lt;&gt;"",1/PRODUCT($AD$11:AD52),0)</f>
        <v>0.64700758606492148</v>
      </c>
    </row>
    <row r="53" spans="1:31" ht="13" x14ac:dyDescent="0.3">
      <c r="A53" s="24"/>
      <c r="B53" s="248">
        <f t="shared" si="1"/>
        <v>43</v>
      </c>
      <c r="C53" s="249">
        <f t="shared" ca="1" si="6"/>
        <v>47509</v>
      </c>
      <c r="D53" s="249">
        <f t="shared" ca="1" si="16"/>
        <v>47509</v>
      </c>
      <c r="E53" s="250">
        <f t="shared" ca="1" si="7"/>
        <v>11.2</v>
      </c>
      <c r="F53" s="250">
        <f t="shared" ca="1" si="8"/>
        <v>812.85</v>
      </c>
      <c r="G53" s="250">
        <f t="shared" ca="1" si="2"/>
        <v>740.0200000000126</v>
      </c>
      <c r="H53" s="250">
        <f t="shared" ca="1" si="3"/>
        <v>824.05</v>
      </c>
      <c r="I53" s="99"/>
      <c r="K53" s="231"/>
      <c r="L53" s="199" t="str">
        <f t="shared" si="9"/>
        <v>R</v>
      </c>
      <c r="M53" s="231">
        <f t="shared" ca="1" si="10"/>
        <v>47514</v>
      </c>
      <c r="N53" s="231">
        <f t="shared" ca="1" si="17"/>
        <v>47509</v>
      </c>
      <c r="O53" s="199">
        <f t="shared" ca="1" si="18"/>
        <v>6</v>
      </c>
      <c r="P53" s="199">
        <f t="shared" ca="1" si="11"/>
        <v>25</v>
      </c>
      <c r="Q53" s="199">
        <f t="shared" ca="1" si="0"/>
        <v>365</v>
      </c>
      <c r="R53" s="199">
        <f t="shared" ca="1" si="12"/>
        <v>1.643835616438356E-2</v>
      </c>
      <c r="S53" s="199">
        <f t="shared" ca="1" si="13"/>
        <v>6.8493150684931503E-2</v>
      </c>
      <c r="T53" s="199">
        <f t="shared" ca="1" si="4"/>
        <v>8.4931506849315067E-2</v>
      </c>
      <c r="U53" s="415">
        <f t="shared" ca="1" si="14"/>
        <v>1.0106079452054795</v>
      </c>
      <c r="V53" s="233">
        <f ca="1">IF(B53&lt;&gt;"",1/PRODUCT($U$11:U53),0)</f>
        <v>0.64043306018865021</v>
      </c>
      <c r="AA53" s="240">
        <f t="shared" ca="1" si="5"/>
        <v>824.05</v>
      </c>
      <c r="AB53" s="240">
        <f ca="1">IF(B53&lt;&gt;"",AA53/((1+$V$5)^(SUM($T$11:T53))),0)</f>
        <v>462.82234063079352</v>
      </c>
      <c r="AD53">
        <f t="shared" ca="1" si="15"/>
        <v>1.0106079452054795</v>
      </c>
      <c r="AE53">
        <f ca="1">IF(B53&lt;&gt;"",1/PRODUCT($AD$11:AD53),0)</f>
        <v>0.64021620761488296</v>
      </c>
    </row>
    <row r="54" spans="1:31" ht="13" x14ac:dyDescent="0.3">
      <c r="A54" s="24"/>
      <c r="B54" s="248">
        <f t="shared" si="1"/>
        <v>44</v>
      </c>
      <c r="C54" s="249">
        <f t="shared" ca="1" si="6"/>
        <v>47540</v>
      </c>
      <c r="D54" s="249">
        <f t="shared" ca="1" si="16"/>
        <v>47540</v>
      </c>
      <c r="E54" s="250">
        <f t="shared" ca="1" si="7"/>
        <v>5.34</v>
      </c>
      <c r="F54" s="250">
        <f t="shared" ca="1" si="8"/>
        <v>818.71</v>
      </c>
      <c r="G54" s="250">
        <f t="shared" ca="1" si="2"/>
        <v>-78.689999999987435</v>
      </c>
      <c r="H54" s="250">
        <f t="shared" ca="1" si="3"/>
        <v>824.05</v>
      </c>
      <c r="I54" s="99"/>
      <c r="K54" s="231"/>
      <c r="L54" s="199" t="str">
        <f t="shared" si="9"/>
        <v>R</v>
      </c>
      <c r="M54" s="231">
        <f t="shared" ca="1" si="10"/>
        <v>47542</v>
      </c>
      <c r="N54" s="231">
        <f t="shared" ca="1" si="17"/>
        <v>47540</v>
      </c>
      <c r="O54" s="199">
        <f t="shared" ca="1" si="18"/>
        <v>6</v>
      </c>
      <c r="P54" s="199">
        <f t="shared" ca="1" si="11"/>
        <v>25</v>
      </c>
      <c r="Q54" s="199">
        <f t="shared" ca="1" si="0"/>
        <v>365</v>
      </c>
      <c r="R54" s="199">
        <f t="shared" ca="1" si="12"/>
        <v>1.643835616438356E-2</v>
      </c>
      <c r="S54" s="199">
        <f t="shared" ca="1" si="13"/>
        <v>6.8493150684931503E-2</v>
      </c>
      <c r="T54" s="199">
        <f t="shared" ca="1" si="4"/>
        <v>8.4931506849315067E-2</v>
      </c>
      <c r="U54" s="415">
        <f t="shared" ca="1" si="14"/>
        <v>1.0106079452054795</v>
      </c>
      <c r="V54" s="233">
        <f ca="1">IF(B54&lt;&gt;"",1/PRODUCT($U$11:U54),0)</f>
        <v>0.63371069189292362</v>
      </c>
      <c r="AA54" s="240">
        <f t="shared" ca="1" si="5"/>
        <v>824.05</v>
      </c>
      <c r="AB54" s="240">
        <f ca="1">IF(B54&lt;&gt;"",AA54/((1+$V$5)^(SUM($T$11:T54))),0)</f>
        <v>456.54226983732877</v>
      </c>
      <c r="AD54">
        <f t="shared" ca="1" si="15"/>
        <v>1.0106079452054795</v>
      </c>
      <c r="AE54">
        <f ca="1">IF(B54&lt;&gt;"",1/PRODUCT($AD$11:AD54),0)</f>
        <v>0.63349611553342033</v>
      </c>
    </row>
    <row r="55" spans="1:31" ht="13" x14ac:dyDescent="0.3">
      <c r="A55" s="24"/>
      <c r="B55" s="248">
        <f t="shared" si="1"/>
        <v>45</v>
      </c>
      <c r="C55" s="249">
        <f t="shared" ca="1" si="6"/>
        <v>47568</v>
      </c>
      <c r="D55" s="249">
        <f t="shared" ca="1" si="16"/>
        <v>47568</v>
      </c>
      <c r="E55" s="250">
        <f t="shared" ca="1" si="7"/>
        <v>-0.51</v>
      </c>
      <c r="F55" s="250">
        <f t="shared" ca="1" si="8"/>
        <v>824.56</v>
      </c>
      <c r="G55" s="250">
        <f t="shared" ca="1" si="2"/>
        <v>-903.24999999998738</v>
      </c>
      <c r="H55" s="250">
        <f t="shared" ca="1" si="3"/>
        <v>824.05</v>
      </c>
      <c r="I55" s="99"/>
      <c r="K55" s="231"/>
      <c r="L55" s="199" t="str">
        <f t="shared" si="9"/>
        <v>R</v>
      </c>
      <c r="M55" s="231">
        <f t="shared" ca="1" si="10"/>
        <v>47573</v>
      </c>
      <c r="N55" s="231">
        <f t="shared" ca="1" si="17"/>
        <v>47568</v>
      </c>
      <c r="O55" s="199">
        <f t="shared" ca="1" si="18"/>
        <v>3</v>
      </c>
      <c r="P55" s="199">
        <f t="shared" ca="1" si="11"/>
        <v>25</v>
      </c>
      <c r="Q55" s="199">
        <f t="shared" ca="1" si="0"/>
        <v>365</v>
      </c>
      <c r="R55" s="199">
        <f t="shared" ca="1" si="12"/>
        <v>8.21917808219178E-3</v>
      </c>
      <c r="S55" s="199">
        <f t="shared" ca="1" si="13"/>
        <v>6.8493150684931503E-2</v>
      </c>
      <c r="T55" s="199">
        <f t="shared" ca="1" si="4"/>
        <v>7.6712328767123278E-2</v>
      </c>
      <c r="U55" s="415">
        <f t="shared" ca="1" si="14"/>
        <v>1.0095813698630136</v>
      </c>
      <c r="V55" s="233">
        <f ca="1">IF(B55&lt;&gt;"",1/PRODUCT($U$11:U55),0)</f>
        <v>0.62769649956883555</v>
      </c>
      <c r="AA55" s="240">
        <f t="shared" ca="1" si="5"/>
        <v>824.05</v>
      </c>
      <c r="AB55" s="240">
        <f ca="1">IF(B55&lt;&gt;"",AA55/((1+$V$5)^(SUM($T$11:T55))),0)</f>
        <v>450.94322390381541</v>
      </c>
      <c r="AD55">
        <f t="shared" ca="1" si="15"/>
        <v>1.0095813698630136</v>
      </c>
      <c r="AE55">
        <f ca="1">IF(B55&lt;&gt;"",1/PRODUCT($AD$11:AD55),0)</f>
        <v>0.62748395963306758</v>
      </c>
    </row>
    <row r="56" spans="1:31" ht="13" x14ac:dyDescent="0.3">
      <c r="A56" s="24"/>
      <c r="B56" s="248">
        <f t="shared" si="1"/>
        <v>46</v>
      </c>
      <c r="C56" s="249">
        <f t="shared" ca="1" si="6"/>
        <v>47599</v>
      </c>
      <c r="D56" s="249">
        <f t="shared" ca="1" si="16"/>
        <v>47599</v>
      </c>
      <c r="E56" s="250">
        <f t="shared" ca="1" si="7"/>
        <v>-6.51</v>
      </c>
      <c r="F56" s="250">
        <f t="shared" ca="1" si="8"/>
        <v>830.56</v>
      </c>
      <c r="G56" s="250">
        <f t="shared" ca="1" si="2"/>
        <v>-1733.8099999999872</v>
      </c>
      <c r="H56" s="250">
        <f t="shared" ca="1" si="3"/>
        <v>824.05</v>
      </c>
      <c r="I56" s="99"/>
      <c r="K56" s="231"/>
      <c r="L56" s="199" t="str">
        <f t="shared" si="9"/>
        <v>R</v>
      </c>
      <c r="M56" s="231">
        <f t="shared" ca="1" si="10"/>
        <v>47603</v>
      </c>
      <c r="N56" s="231">
        <f t="shared" ca="1" si="17"/>
        <v>47599</v>
      </c>
      <c r="O56" s="199">
        <f t="shared" ca="1" si="18"/>
        <v>6</v>
      </c>
      <c r="P56" s="199">
        <f t="shared" ca="1" si="11"/>
        <v>25</v>
      </c>
      <c r="Q56" s="199">
        <f t="shared" ca="1" si="0"/>
        <v>365</v>
      </c>
      <c r="R56" s="199">
        <f t="shared" ca="1" si="12"/>
        <v>1.643835616438356E-2</v>
      </c>
      <c r="S56" s="199">
        <f t="shared" ca="1" si="13"/>
        <v>6.8493150684931503E-2</v>
      </c>
      <c r="T56" s="199">
        <f t="shared" ca="1" si="4"/>
        <v>8.4931506849315067E-2</v>
      </c>
      <c r="U56" s="415">
        <f t="shared" ca="1" si="14"/>
        <v>1.0106079452054795</v>
      </c>
      <c r="V56" s="233">
        <f ca="1">IF(B56&lt;&gt;"",1/PRODUCT($U$11:U56),0)</f>
        <v>0.62110782182818747</v>
      </c>
      <c r="AA56" s="240">
        <f t="shared" ca="1" si="5"/>
        <v>824.05</v>
      </c>
      <c r="AB56" s="240">
        <f ca="1">IF(B56&lt;&gt;"",AA56/((1+$V$5)^(SUM($T$11:T56))),0)</f>
        <v>444.82434172952492</v>
      </c>
      <c r="AD56">
        <f t="shared" ca="1" si="15"/>
        <v>1.0106079452054795</v>
      </c>
      <c r="AE56">
        <f ca="1">IF(B56&lt;&gt;"",1/PRODUCT($AD$11:AD56),0)</f>
        <v>0.62089751283865657</v>
      </c>
    </row>
    <row r="57" spans="1:31" ht="13" x14ac:dyDescent="0.3">
      <c r="A57" s="24"/>
      <c r="B57" s="248">
        <f t="shared" si="1"/>
        <v>47</v>
      </c>
      <c r="C57" s="249">
        <f t="shared" ca="1" si="6"/>
        <v>47629</v>
      </c>
      <c r="D57" s="249">
        <f t="shared" ca="1" si="16"/>
        <v>47629</v>
      </c>
      <c r="E57" s="250">
        <f t="shared" ca="1" si="7"/>
        <v>-12.1</v>
      </c>
      <c r="F57" s="250">
        <f t="shared" ca="1" si="8"/>
        <v>836.15</v>
      </c>
      <c r="G57" s="250">
        <f t="shared" ca="1" si="2"/>
        <v>-2569.9599999999873</v>
      </c>
      <c r="H57" s="250">
        <f t="shared" ca="1" si="3"/>
        <v>824.05</v>
      </c>
      <c r="I57" s="99"/>
      <c r="K57" s="231"/>
      <c r="L57" s="199" t="str">
        <f t="shared" si="9"/>
        <v>R</v>
      </c>
      <c r="M57" s="231">
        <f t="shared" ca="1" si="10"/>
        <v>47634</v>
      </c>
      <c r="N57" s="231">
        <f t="shared" ca="1" si="17"/>
        <v>47629</v>
      </c>
      <c r="O57" s="199">
        <f t="shared" ca="1" si="18"/>
        <v>5</v>
      </c>
      <c r="P57" s="199">
        <f t="shared" ca="1" si="11"/>
        <v>25</v>
      </c>
      <c r="Q57" s="199">
        <f t="shared" ca="1" si="0"/>
        <v>365</v>
      </c>
      <c r="R57" s="199">
        <f t="shared" ca="1" si="12"/>
        <v>1.3698630136986301E-2</v>
      </c>
      <c r="S57" s="199">
        <f t="shared" ca="1" si="13"/>
        <v>6.8493150684931503E-2</v>
      </c>
      <c r="T57" s="199">
        <f t="shared" ca="1" si="4"/>
        <v>8.2191780821917804E-2</v>
      </c>
      <c r="U57" s="415">
        <f t="shared" ca="1" si="14"/>
        <v>1.0102657534246575</v>
      </c>
      <c r="V57" s="233">
        <f ca="1">IF(B57&lt;&gt;"",1/PRODUCT($U$11:U57),0)</f>
        <v>0.61479647283174754</v>
      </c>
      <c r="AA57" s="240">
        <f t="shared" ca="1" si="5"/>
        <v>824.05</v>
      </c>
      <c r="AB57" s="240">
        <f ca="1">IF(B57&lt;&gt;"",AA57/((1+$V$5)^(SUM($T$11:T57))),0)</f>
        <v>438.98190772928507</v>
      </c>
      <c r="AD57">
        <f t="shared" ca="1" si="15"/>
        <v>1.0102657534246575</v>
      </c>
      <c r="AE57">
        <f ca="1">IF(B57&lt;&gt;"",1/PRODUCT($AD$11:AD57),0)</f>
        <v>0.6145883008841011</v>
      </c>
    </row>
    <row r="58" spans="1:31" ht="13" x14ac:dyDescent="0.3">
      <c r="A58" s="24"/>
      <c r="B58" s="248">
        <f t="shared" si="1"/>
        <v>48</v>
      </c>
      <c r="C58" s="249">
        <f t="shared" ca="1" si="6"/>
        <v>47660</v>
      </c>
      <c r="D58" s="249">
        <f t="shared" ca="1" si="16"/>
        <v>47660</v>
      </c>
      <c r="E58" s="250">
        <f t="shared" ca="1" si="7"/>
        <v>3394.0099999999875</v>
      </c>
      <c r="F58" s="250">
        <f t="shared" ca="1" si="8"/>
        <v>-2569.9599999999873</v>
      </c>
      <c r="G58" s="250">
        <f t="shared" ca="1" si="2"/>
        <v>0</v>
      </c>
      <c r="H58" s="250">
        <f t="shared" ca="1" si="3"/>
        <v>824.05</v>
      </c>
      <c r="I58" s="99"/>
      <c r="K58" s="231"/>
      <c r="L58" s="199" t="str">
        <f t="shared" si="9"/>
        <v>R</v>
      </c>
      <c r="M58" s="231">
        <f t="shared" ca="1" si="10"/>
        <v>47664</v>
      </c>
      <c r="N58" s="231">
        <f t="shared" ca="1" si="17"/>
        <v>47660</v>
      </c>
      <c r="O58" s="199">
        <f t="shared" ca="1" si="18"/>
        <v>6</v>
      </c>
      <c r="P58" s="199">
        <f t="shared" ca="1" si="11"/>
        <v>25</v>
      </c>
      <c r="Q58" s="199">
        <f t="shared" ca="1" si="0"/>
        <v>365</v>
      </c>
      <c r="R58" s="199">
        <f t="shared" ca="1" si="12"/>
        <v>1.643835616438356E-2</v>
      </c>
      <c r="S58" s="199">
        <f t="shared" ca="1" si="13"/>
        <v>6.8493150684931503E-2</v>
      </c>
      <c r="T58" s="199">
        <f t="shared" ca="1" si="4"/>
        <v>8.4931506849315067E-2</v>
      </c>
      <c r="U58" s="415">
        <f t="shared" ca="1" si="14"/>
        <v>1.0106079452054795</v>
      </c>
      <c r="V58" s="233">
        <f ca="1">IF(B58&lt;&gt;"",1/PRODUCT($U$11:U58),0)</f>
        <v>0.60834320148427645</v>
      </c>
      <c r="AA58" s="240">
        <f t="shared" ca="1" si="5"/>
        <v>824.05</v>
      </c>
      <c r="AB58" s="240">
        <f ca="1">IF(B58&lt;&gt;"",AA58/((1+$V$5)^(SUM($T$11:T58))),0)</f>
        <v>433.02532954459173</v>
      </c>
      <c r="AD58">
        <f t="shared" ca="1" si="15"/>
        <v>1.0106079452054795</v>
      </c>
      <c r="AE58">
        <f ca="1">IF(B58&lt;&gt;"",1/PRODUCT($AD$11:AD58),0)</f>
        <v>0.60813721463385229</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5473"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105474"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Arkusz31">
    <tabColor indexed="18"/>
  </sheetPr>
  <dimension ref="A1:AI200"/>
  <sheetViews>
    <sheetView workbookViewId="0">
      <selection activeCell="D2" sqref="D2"/>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46229</v>
      </c>
      <c r="C1" s="85"/>
      <c r="D1" s="217">
        <f>IF(D3=D4,D4,D3+1.4%)</f>
        <v>9.8900000000000002E-2</v>
      </c>
      <c r="E1" s="218" t="str">
        <f ca="1">IF(I2&lt;&gt;"",I2,IF(I3&lt;&gt;"",I3,I4))</f>
        <v/>
      </c>
      <c r="F1" s="218">
        <f ca="1">IF(G2&lt;=MAX_,E2,IF(G3&lt;=MAX_,E3,E4))</f>
        <v>46229</v>
      </c>
      <c r="G1" s="214">
        <v>45</v>
      </c>
      <c r="H1" s="255">
        <f ca="1">IF(OR(H2=D4,D1=D4),1,0)</f>
        <v>0</v>
      </c>
      <c r="I1">
        <v>15</v>
      </c>
      <c r="K1" s="252"/>
      <c r="M1" s="252"/>
      <c r="N1" s="252"/>
      <c r="O1" s="252"/>
      <c r="P1" s="252"/>
      <c r="Q1" s="252"/>
      <c r="R1" s="252"/>
      <c r="S1" s="252"/>
      <c r="T1" s="252"/>
    </row>
    <row r="2" spans="1:33" ht="13" x14ac:dyDescent="0.3">
      <c r="A2" s="205"/>
      <c r="B2" s="350">
        <f ca="1">DATE(YEAR((E5)),MONTH((E5))+1,1)-1</f>
        <v>46203</v>
      </c>
      <c r="C2" s="351">
        <f ca="1">DAY(B2)</f>
        <v>30</v>
      </c>
      <c r="D2" s="4"/>
      <c r="E2" s="213">
        <f ca="1">IF(MOD(MONTH(F2)-MONTH(F3),12)&gt;1,DATE(YEAR(F2),MONTH(F2),DAY(F2)-DAY(F2)),F2)</f>
        <v>46260</v>
      </c>
      <c r="F2" s="213">
        <f ca="1">DATE(YEAR(E5),MONTH(E5)+2,$G$5)</f>
        <v>46260</v>
      </c>
      <c r="G2" s="215">
        <f ca="1">E2-$E$5</f>
        <v>61</v>
      </c>
      <c r="H2" s="221">
        <f ca="1">ROUND(AE4,2)</f>
        <v>784.78</v>
      </c>
      <c r="I2" s="264" t="str">
        <f ca="1">IF(AND(G2&lt;=MAX_,G2&gt;=MIN),E2,"")</f>
        <v/>
      </c>
    </row>
    <row r="3" spans="1:33" ht="13.5" thickBot="1" x14ac:dyDescent="0.35">
      <c r="A3" s="209" t="s">
        <v>59</v>
      </c>
      <c r="B3" s="254"/>
      <c r="C3" s="4"/>
      <c r="D3" s="212">
        <f>'DOD1'!H3</f>
        <v>8.4900000000000003E-2</v>
      </c>
      <c r="E3" s="213">
        <f ca="1">IF(MOD(MONTH(F3)-MONTH(F4),12)&gt;1,DATE(YEAR(F3),MONTH(F3),DAY(F3)-DAY(F3)),F3)</f>
        <v>46229</v>
      </c>
      <c r="F3" s="213">
        <f ca="1">DATE(YEAR(E5),MONTH(E5)+1,$G$5)</f>
        <v>46229</v>
      </c>
      <c r="G3" s="215">
        <f ca="1">E3-E5</f>
        <v>30</v>
      </c>
      <c r="I3" s="265"/>
      <c r="P3" s="411" t="s">
        <v>180</v>
      </c>
      <c r="Q3" s="412">
        <v>365</v>
      </c>
    </row>
    <row r="4" spans="1:33" ht="13.5" thickBot="1" x14ac:dyDescent="0.35">
      <c r="A4" s="211" t="s">
        <v>19</v>
      </c>
      <c r="B4" s="204"/>
      <c r="C4" s="204"/>
      <c r="D4" s="206" t="s">
        <v>15</v>
      </c>
      <c r="E4" s="213">
        <f ca="1">IF(MOD(MONTH(F4)-MONTH(F5),12)&gt;1,DATE(YEAR(F4),MONTH(F4),DAY(F4)-DAY(F4)),F4)</f>
        <v>46199</v>
      </c>
      <c r="F4" s="213">
        <f ca="1">DATE(YEAR(E5),MONTH(E5),$G$5)</f>
        <v>46199</v>
      </c>
      <c r="G4" s="215">
        <f ca="1">(E4-E5)</f>
        <v>0</v>
      </c>
      <c r="H4" s="262">
        <f ca="1">VLOOKUP(B6,B11:D130,3,FALSE)</f>
        <v>47660</v>
      </c>
      <c r="I4" s="265" t="str">
        <f ca="1">IF(AND(G4&lt;=MAX_,G4&gt;=MIN),E4,"")</f>
        <v/>
      </c>
      <c r="M4" s="916"/>
      <c r="U4" s="945" t="s">
        <v>121</v>
      </c>
      <c r="V4" s="946">
        <f ca="1">G10/V9</f>
        <v>784.68153804295321</v>
      </c>
      <c r="AD4" s="413" t="s">
        <v>121</v>
      </c>
      <c r="AE4" s="203">
        <f ca="1">G10/AE9</f>
        <v>784.77817904036726</v>
      </c>
      <c r="AF4" s="609" t="s">
        <v>1959</v>
      </c>
    </row>
    <row r="5" spans="1:33" ht="13.5" thickBot="1" x14ac:dyDescent="0.35">
      <c r="A5" s="210" t="s">
        <v>60</v>
      </c>
      <c r="B5" s="2"/>
      <c r="C5" s="615">
        <f>'DOD1'!E8</f>
        <v>48</v>
      </c>
      <c r="D5" s="2"/>
      <c r="E5" s="614">
        <f ca="1">WERSJA2!D18</f>
        <v>46199</v>
      </c>
      <c r="F5" s="618">
        <f ca="1">DATE(YEAR(E5),MONTH(E5)-1,$G$5)</f>
        <v>46168</v>
      </c>
      <c r="G5" s="615">
        <f ca="1">WERSJA2!D19</f>
        <v>26</v>
      </c>
      <c r="H5" s="262">
        <f ca="1">D11</f>
        <v>46229</v>
      </c>
      <c r="I5" s="263" t="s">
        <v>167</v>
      </c>
      <c r="M5" s="916"/>
      <c r="U5" s="228" t="s">
        <v>150</v>
      </c>
      <c r="V5" s="229">
        <v>0.17451905146291249</v>
      </c>
      <c r="AD5" s="609" t="s">
        <v>1817</v>
      </c>
    </row>
    <row r="6" spans="1:33" ht="13.5" thickBot="1" x14ac:dyDescent="0.35">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45</v>
      </c>
      <c r="AB7" s="226" t="s">
        <v>144</v>
      </c>
      <c r="AD7" s="178" t="s">
        <v>182</v>
      </c>
      <c r="AE7" s="178" t="s">
        <v>183</v>
      </c>
    </row>
    <row r="8" spans="1:33" ht="13.5" thickBot="1" x14ac:dyDescent="0.35">
      <c r="A8" s="192" t="str">
        <f>WERSJA2!C4</f>
        <v>RODZAJ POŻYCZKI</v>
      </c>
      <c r="B8" s="24"/>
      <c r="C8" s="24"/>
      <c r="E8" s="207" t="s">
        <v>5</v>
      </c>
      <c r="F8" s="241">
        <f>D1</f>
        <v>9.8900000000000002E-2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-3410.1403364655635</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46203</v>
      </c>
      <c r="N9" s="232">
        <f ca="1">D10</f>
        <v>46199</v>
      </c>
      <c r="Q9" s="199">
        <f ca="1">IF(B9&lt;&gt;"",IF(MOD(YEAR(N9),4)=0,366,365),0)</f>
        <v>365</v>
      </c>
      <c r="U9" s="234"/>
      <c r="V9" s="235">
        <f ca="1">SUM(V11:V130)</f>
        <v>39.506473004724967</v>
      </c>
      <c r="Z9" s="236">
        <f ca="1">G10/((1+$V$5)^(0/Q9))</f>
        <v>31000</v>
      </c>
      <c r="AA9" s="237">
        <f>G10</f>
        <v>31000</v>
      </c>
      <c r="AB9" s="236">
        <f ca="1">SUM(AB10:AB130)</f>
        <v>27589.859663534437</v>
      </c>
      <c r="AE9" s="235">
        <f ca="1">SUM(AE11:AE130)</f>
        <v>39.50160800585337</v>
      </c>
      <c r="AF9">
        <v>11.930682479761785</v>
      </c>
      <c r="AG9" s="653"/>
    </row>
    <row r="10" spans="1:33" ht="13" x14ac:dyDescent="0.3">
      <c r="A10" s="194" t="str">
        <f>WERSJA2!C6</f>
        <v>SEGMENT KLIENTA</v>
      </c>
      <c r="B10" s="242">
        <v>0</v>
      </c>
      <c r="C10" s="243">
        <f ca="1">E5</f>
        <v>46199</v>
      </c>
      <c r="D10" s="243">
        <f ca="1">E5</f>
        <v>46199</v>
      </c>
      <c r="E10" s="24"/>
      <c r="F10" s="24"/>
      <c r="G10" s="244">
        <f>'DOD1'!K3</f>
        <v>31000</v>
      </c>
      <c r="H10" s="24"/>
      <c r="I10" s="99"/>
      <c r="K10" s="919">
        <v>0</v>
      </c>
      <c r="L10" s="199" t="s">
        <v>147</v>
      </c>
      <c r="M10" s="232">
        <f ca="1">DATE(YEAR((N11)),MONTH((N11)+1),1)-1</f>
        <v>46203</v>
      </c>
      <c r="N10" s="232">
        <f ca="1">DATE(YEAR(N11),MONTH(N11)-1,DAY(N11))</f>
        <v>46199</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46229</v>
      </c>
      <c r="D11" s="246">
        <f ca="1">B1</f>
        <v>46229</v>
      </c>
      <c r="E11" s="247">
        <f ca="1">IF($H$1&lt;&gt;1,IF(B11=$C$5,H11-F11,IF(B11&lt;&gt;"",ROUND(G10*($D$3)*((SUM(O10:P11)/365)),2),"")),"Brak Oferty")</f>
        <v>216.32</v>
      </c>
      <c r="F11" s="247">
        <f ca="1">IF($H$1&lt;&gt;1,IF(B11=$C$5,G10,IF(B11&lt;&gt;"",ROUND((H11-E11),2),"")),"Brak Oferty")</f>
        <v>568.46</v>
      </c>
      <c r="G11" s="247">
        <f ca="1">IF($H$1&lt;&gt;1,IF(B11&lt;&gt;"",G10-F11,""),"Brak Oferty")</f>
        <v>30431.54</v>
      </c>
      <c r="H11" s="247">
        <f ca="1">IF($H$1&lt;&gt;1,IF(B11&lt;&gt;"",$H$2,""),$D$4)</f>
        <v>784.78</v>
      </c>
      <c r="I11" s="99"/>
      <c r="K11" s="918">
        <v>1</v>
      </c>
      <c r="L11" s="202" t="s">
        <v>147</v>
      </c>
      <c r="M11" s="238">
        <f ca="1">IF(B11&lt;&gt;"",DATE(YEAR((D11)),MONTH((D11))+1,1)-1,"")</f>
        <v>46234</v>
      </c>
      <c r="N11" s="238">
        <f ca="1">D11</f>
        <v>46229</v>
      </c>
      <c r="O11" s="202">
        <f ca="1">IF(M6=1,0,IF(M6=2,M9-N9+1,M10-N10+1))</f>
        <v>5</v>
      </c>
      <c r="P11" s="202">
        <f ca="1">IF(M6=1,N11-N9,IF(M6=2,N11-M9-1,N11-M10-1))</f>
        <v>25</v>
      </c>
      <c r="Q11" s="202">
        <f t="shared" ref="Q11:Q74" ca="1" si="0">IF(B11&lt;&gt;"",IF(MOD(YEAR(N11),4)=0,366,365),0)</f>
        <v>365</v>
      </c>
      <c r="R11" s="202">
        <f ca="1">IF(1,O11/Q10,"")</f>
        <v>1.3698630136986301E-2</v>
      </c>
      <c r="S11" s="202">
        <f ca="1">IF(1,P11/Q11,"")</f>
        <v>6.8493150684931503E-2</v>
      </c>
      <c r="T11" s="202">
        <f ca="1">IF(B11&lt;&gt;"",R10+S10+R11+S11,"")</f>
        <v>8.2191780821917804E-2</v>
      </c>
      <c r="U11" s="415">
        <f ca="1">IF(B11&lt;&gt;"",1+$D$1*T11,0)</f>
        <v>1.0081287671232877</v>
      </c>
      <c r="V11" s="202">
        <f ca="1">IF(B11&lt;&gt;"",1/U11,0)</f>
        <v>0.99193677693923643</v>
      </c>
      <c r="W11" s="197"/>
      <c r="X11" s="197"/>
      <c r="Y11" s="197"/>
      <c r="Z11" s="197"/>
      <c r="AA11" s="239">
        <f ca="1">IF(B11&lt;&gt;"",$H$2,0)</f>
        <v>784.78</v>
      </c>
      <c r="AB11" s="239">
        <f ca="1">IF(B11&lt;&gt;"",AA11/((1+$V$5)^T11),0)</f>
        <v>774.47250347928093</v>
      </c>
      <c r="AC11" s="197"/>
      <c r="AD11" s="202">
        <f ca="1">IF(B11&lt;&gt;"",1+$D$1*((O10+P10+O11+P11)/365),0)</f>
        <v>1.0081287671232877</v>
      </c>
      <c r="AE11" s="202">
        <f ca="1">IF(B11&lt;&gt;"",1/AD11,0)</f>
        <v>0.99193677693923643</v>
      </c>
    </row>
    <row r="12" spans="1:33" ht="13" x14ac:dyDescent="0.3">
      <c r="A12" s="194" t="str">
        <f>WERSJA2!C8</f>
        <v>KONSOLIDACJA</v>
      </c>
      <c r="B12" s="248">
        <f t="shared" ref="B12:B75" si="1">IF(B11&lt;$C$5,IF(B11&lt;&gt;"",B11+1,1),"")</f>
        <v>2</v>
      </c>
      <c r="C12" s="249">
        <f ca="1">IF(B12&lt;&gt;"",DATE(YEAR(D11),MONTH(D11)+1,$G$5),"")</f>
        <v>46260</v>
      </c>
      <c r="D12" s="249">
        <f ca="1">IF(B12&lt;&gt;"",IF(MOD(MONTH(C12)-MONTH(C11),12)&gt;1,DATE(YEAR(C12),MONTH(C12),DAY(C12)-DAY(C12)),C12),"")</f>
        <v>46260</v>
      </c>
      <c r="E12" s="250">
        <f ca="1">IF($H$1&lt;&gt;1,IF(B12=$C$5,H12-F12,IF(B12&lt;&gt;"",ROUND(G11*($D$3)*((SUM(O12:P12)/365)),2),"")),"Brak Oferty")</f>
        <v>219.43</v>
      </c>
      <c r="F12" s="250">
        <f ca="1">IF($H$1&lt;&gt;1,IF(B12=$C$5,G11,IF(B12&lt;&gt;"",ROUND((H12-E12),2),"")),"Brak Oferty")</f>
        <v>565.35</v>
      </c>
      <c r="G12" s="250">
        <f t="shared" ref="G12:G75" ca="1" si="2">IF($H$1&lt;&gt;1,IF(B12&lt;&gt;"",G11-F12,""),"Brak Oferty")</f>
        <v>29866.190000000002</v>
      </c>
      <c r="H12" s="250">
        <f t="shared" ref="H12:H75" ca="1" si="3">IF($H$1&lt;&gt;1,IF(B12&lt;&gt;"",$H$2,""),$D$4)</f>
        <v>784.78</v>
      </c>
      <c r="I12" s="99"/>
      <c r="K12" s="240"/>
      <c r="L12" s="199" t="str">
        <f>IF(B12&lt;&gt;"",L11,"")</f>
        <v>R</v>
      </c>
      <c r="M12" s="231">
        <f ca="1">IF(B12&lt;&gt;"",DATE(YEAR((D12)),MONTH((D12))+1,1)-1,"")</f>
        <v>46265</v>
      </c>
      <c r="N12" s="231">
        <f ca="1">D12</f>
        <v>46260</v>
      </c>
      <c r="O12" s="253">
        <f ca="1">IF(B12&lt;&gt;"",M11-N11+1,0)</f>
        <v>6</v>
      </c>
      <c r="P12" s="199">
        <f ca="1">IF(B12&lt;&gt;"",N12-M11-1,0)</f>
        <v>25</v>
      </c>
      <c r="Q12" s="199">
        <f ca="1">IF(B12&lt;&gt;"",IF(MOD(YEAR(N12),4)=0,366,365),0)</f>
        <v>365</v>
      </c>
      <c r="R12" s="199">
        <f ca="1">IF(1,O12/Q11,"")</f>
        <v>1.643835616438356E-2</v>
      </c>
      <c r="S12" s="199">
        <f ca="1">IF(1,P12/Q12,"")</f>
        <v>6.8493150684931503E-2</v>
      </c>
      <c r="T12" s="199">
        <f t="shared" ref="T12:T75" ca="1" si="4">IF(B12&lt;&gt;"",R12+S12,"")</f>
        <v>8.4931506849315067E-2</v>
      </c>
      <c r="U12" s="415">
        <f ca="1">IF(B12&lt;&gt;"",1+$D$1*T12,0)</f>
        <v>1.0083997260273974</v>
      </c>
      <c r="V12" s="233">
        <f ca="1">IF(B12&lt;&gt;"",1/PRODUCT($U$11:U12),0)</f>
        <v>0.98367418329929845</v>
      </c>
      <c r="AA12" s="240">
        <f t="shared" ref="AA12:AA75" ca="1" si="5">IF(B12&lt;&gt;"",$H$2,0)</f>
        <v>784.78</v>
      </c>
      <c r="AB12" s="240">
        <f ca="1">IF(B12&lt;&gt;"",AA12/((1+$V$5)^(SUM($T$11:T12))),0)</f>
        <v>763.96362842624694</v>
      </c>
      <c r="AD12">
        <f ca="1">IF(B12&lt;&gt;"",1+$D$1*((O12+P12)/365),0)</f>
        <v>1.0083997260273974</v>
      </c>
      <c r="AE12">
        <f ca="1">IF(B12&lt;&gt;"",1/PRODUCT($AD$11:AD12),0)</f>
        <v>0.98367418329929845</v>
      </c>
      <c r="AF12" s="609" t="s">
        <v>1963</v>
      </c>
    </row>
    <row r="13" spans="1:33" ht="13.5" thickBot="1" x14ac:dyDescent="0.35">
      <c r="A13" s="193" t="str">
        <f>WERSJA2!D8</f>
        <v>NIE</v>
      </c>
      <c r="B13" s="248">
        <f t="shared" si="1"/>
        <v>3</v>
      </c>
      <c r="C13" s="249">
        <f t="shared" ref="C13:C76" ca="1" si="6">IF(B13&lt;&gt;"",DATE(YEAR(D12),MONTH(D12)+1,$G$5),"")</f>
        <v>46291</v>
      </c>
      <c r="D13" s="249">
        <f ca="1">IF(B13&lt;&gt;"",IF(MOD(MONTH(C13)-MONTH(C12),12)&gt;1,DATE(YEAR(C13),MONTH(C13),DAY(C13)-DAY(C13)),C13),"")</f>
        <v>46291</v>
      </c>
      <c r="E13" s="250">
        <f t="shared" ref="E13:E70" ca="1" si="7">IF($H$1&lt;&gt;1,IF(B13=$C$5,H13-F13,IF(B13&lt;&gt;"",ROUND(G12*($D$3)*((SUM(O13:P13)/365)),2),"")),"Brak Oferty")</f>
        <v>215.36</v>
      </c>
      <c r="F13" s="250">
        <f t="shared" ref="F13:F76" ca="1" si="8">IF($H$1&lt;&gt;1,IF(B13=$C$5,G12,IF(B13&lt;&gt;"",ROUND((H13-E13),2),"")),"Brak Oferty")</f>
        <v>569.41999999999996</v>
      </c>
      <c r="G13" s="250">
        <f t="shared" ca="1" si="2"/>
        <v>29296.770000000004</v>
      </c>
      <c r="H13" s="250">
        <f t="shared" ca="1" si="3"/>
        <v>784.78</v>
      </c>
      <c r="I13" s="99"/>
      <c r="K13" s="240"/>
      <c r="L13" s="199" t="str">
        <f t="shared" ref="L13:L76" si="9">IF(B13&lt;&gt;"",L12,"")</f>
        <v>R</v>
      </c>
      <c r="M13" s="231">
        <f t="shared" ref="M13:M76" ca="1" si="10">IF(B13&lt;&gt;"",DATE(YEAR((D13)),MONTH((D13))+1,1)-1,"")</f>
        <v>46295</v>
      </c>
      <c r="N13" s="231">
        <f ca="1">D13</f>
        <v>46291</v>
      </c>
      <c r="O13" s="199">
        <f ca="1">IF(B13&lt;&gt;"",M12-N12+1,0)</f>
        <v>6</v>
      </c>
      <c r="P13" s="199">
        <f t="shared" ref="P13:P76" ca="1" si="11">IF(B13&lt;&gt;"",N13-M12-1,0)</f>
        <v>25</v>
      </c>
      <c r="Q13" s="199">
        <f t="shared" ca="1" si="0"/>
        <v>365</v>
      </c>
      <c r="R13" s="199">
        <f t="shared" ref="R13:R76" ca="1" si="12">IF(1,O13/Q12,"")</f>
        <v>1.643835616438356E-2</v>
      </c>
      <c r="S13" s="199">
        <f t="shared" ref="S13:S76" ca="1" si="13">IF(1,P13/Q13,"")</f>
        <v>6.8493150684931503E-2</v>
      </c>
      <c r="T13" s="199">
        <f t="shared" ca="1" si="4"/>
        <v>8.4931506849315067E-2</v>
      </c>
      <c r="U13" s="415">
        <f t="shared" ref="U13:U76" ca="1" si="14">IF(B13&lt;&gt;"",1+$D$1*T13,0)</f>
        <v>1.0083997260273974</v>
      </c>
      <c r="V13" s="233">
        <f ca="1">IF(B13&lt;&gt;"",1/PRODUCT($U$11:U13),0)</f>
        <v>0.97548041506763838</v>
      </c>
      <c r="AA13" s="240">
        <f t="shared" ca="1" si="5"/>
        <v>784.78</v>
      </c>
      <c r="AB13" s="963">
        <f ca="1">IF(B13&lt;&gt;"",AA13/((1+$V$5)^(SUM($T$11:T13))),0)</f>
        <v>753.59734908110977</v>
      </c>
      <c r="AD13">
        <f t="shared" ref="AD13:AD76" ca="1" si="15">IF(B13&lt;&gt;"",1+$D$1*((O13+P13)/365),0)</f>
        <v>1.0083997260273974</v>
      </c>
      <c r="AE13">
        <f ca="1">IF(B13&lt;&gt;"",1/PRODUCT($AD$11:AD13),0)</f>
        <v>0.97548041506763838</v>
      </c>
    </row>
    <row r="14" spans="1:33" ht="13" x14ac:dyDescent="0.3">
      <c r="A14" s="194" t="str">
        <f>WERSJA2!C9</f>
        <v>MIEJSCE ZŁOŻENIA WNIOSKU</v>
      </c>
      <c r="B14" s="248">
        <f t="shared" si="1"/>
        <v>4</v>
      </c>
      <c r="C14" s="249">
        <f t="shared" ca="1" si="6"/>
        <v>46321</v>
      </c>
      <c r="D14" s="249">
        <f t="shared" ref="D14:D77" ca="1" si="16">IF(B14&lt;&gt;"",IF(MOD(MONTH(C14)-MONTH(C13),12)&gt;1,DATE(YEAR(C14),MONTH(C14),DAY(C14)-DAY(C14)),C14),"")</f>
        <v>46321</v>
      </c>
      <c r="E14" s="250">
        <f t="shared" ca="1" si="7"/>
        <v>204.44</v>
      </c>
      <c r="F14" s="250">
        <f t="shared" ca="1" si="8"/>
        <v>580.34</v>
      </c>
      <c r="G14" s="250">
        <f t="shared" ca="1" si="2"/>
        <v>28716.430000000004</v>
      </c>
      <c r="H14" s="250">
        <f t="shared" ca="1" si="3"/>
        <v>784.78</v>
      </c>
      <c r="I14" s="99"/>
      <c r="K14" s="240"/>
      <c r="L14" s="199" t="str">
        <f t="shared" si="9"/>
        <v>R</v>
      </c>
      <c r="M14" s="231">
        <f t="shared" ca="1" si="10"/>
        <v>46326</v>
      </c>
      <c r="N14" s="231">
        <f t="shared" ref="N14:N77" ca="1" si="17">D14</f>
        <v>46321</v>
      </c>
      <c r="O14" s="199">
        <f t="shared" ref="O14:O77" ca="1" si="18">IF(B14&lt;&gt;"",M13-N13+1,0)</f>
        <v>5</v>
      </c>
      <c r="P14" s="199">
        <f t="shared" ca="1" si="11"/>
        <v>25</v>
      </c>
      <c r="Q14" s="199">
        <f t="shared" ca="1" si="0"/>
        <v>365</v>
      </c>
      <c r="R14" s="199">
        <f t="shared" ca="1" si="12"/>
        <v>1.3698630136986301E-2</v>
      </c>
      <c r="S14" s="199">
        <f ca="1">IF(1,P14/Q14,"")</f>
        <v>6.8493150684931503E-2</v>
      </c>
      <c r="T14" s="199">
        <f t="shared" ca="1" si="4"/>
        <v>8.2191780821917804E-2</v>
      </c>
      <c r="U14" s="415">
        <f t="shared" ca="1" si="14"/>
        <v>1.0081287671232877</v>
      </c>
      <c r="V14" s="233">
        <f ca="1">IF(B14&lt;&gt;"",1/PRODUCT($U$11:U14),0)</f>
        <v>0.96761489888954177</v>
      </c>
      <c r="AA14" s="240">
        <f t="shared" ca="1" si="5"/>
        <v>784.78</v>
      </c>
      <c r="AB14" s="240">
        <f ca="1">IF(B14&lt;&gt;"",AA14/((1+$V$5)^(SUM($T$11:T14))),0)</f>
        <v>743.6994132855026</v>
      </c>
      <c r="AD14">
        <f t="shared" ca="1" si="15"/>
        <v>1.0081287671232877</v>
      </c>
      <c r="AE14">
        <f ca="1">IF(B14&lt;&gt;"",1/PRODUCT($AD$11:AD14),0)</f>
        <v>0.96761489888954177</v>
      </c>
    </row>
    <row r="15" spans="1:33" ht="13.5" thickBot="1" x14ac:dyDescent="0.35">
      <c r="A15" s="193" t="str">
        <f>WERSJA2!D9</f>
        <v>MOJE ING</v>
      </c>
      <c r="B15" s="248">
        <f t="shared" si="1"/>
        <v>5</v>
      </c>
      <c r="C15" s="249">
        <f t="shared" ca="1" si="6"/>
        <v>46352</v>
      </c>
      <c r="D15" s="249">
        <f ca="1">IF(B15&lt;&gt;"",IF(MOD(MONTH(C15)-MONTH(C14),12)&gt;1,DATE(YEAR(C15),MONTH(C15),DAY(C15)-DAY(C15)),C15),"")</f>
        <v>46352</v>
      </c>
      <c r="E15" s="250">
        <f t="shared" ca="1" si="7"/>
        <v>207.07</v>
      </c>
      <c r="F15" s="250">
        <f t="shared" ca="1" si="8"/>
        <v>577.71</v>
      </c>
      <c r="G15" s="250">
        <f t="shared" ca="1" si="2"/>
        <v>28138.720000000005</v>
      </c>
      <c r="H15" s="250">
        <f t="shared" ca="1" si="3"/>
        <v>784.78</v>
      </c>
      <c r="I15" s="99"/>
      <c r="K15" s="240"/>
      <c r="L15" s="199" t="str">
        <f t="shared" si="9"/>
        <v>R</v>
      </c>
      <c r="M15" s="231">
        <f t="shared" ca="1" si="10"/>
        <v>46356</v>
      </c>
      <c r="N15" s="231">
        <f t="shared" ca="1" si="17"/>
        <v>46352</v>
      </c>
      <c r="O15" s="199">
        <f t="shared" ca="1" si="18"/>
        <v>6</v>
      </c>
      <c r="P15" s="199">
        <f t="shared" ca="1" si="11"/>
        <v>25</v>
      </c>
      <c r="Q15" s="199">
        <f t="shared" ca="1" si="0"/>
        <v>365</v>
      </c>
      <c r="R15" s="199">
        <f t="shared" ca="1" si="12"/>
        <v>1.643835616438356E-2</v>
      </c>
      <c r="S15" s="199">
        <f t="shared" ca="1" si="13"/>
        <v>6.8493150684931503E-2</v>
      </c>
      <c r="T15" s="199">
        <f t="shared" ca="1" si="4"/>
        <v>8.4931506849315067E-2</v>
      </c>
      <c r="U15" s="415">
        <f t="shared" ca="1" si="14"/>
        <v>1.0083997260273974</v>
      </c>
      <c r="V15" s="233">
        <f ca="1">IF(B15&lt;&gt;"",1/PRODUCT($U$11:U15),0)</f>
        <v>0.95955490061611992</v>
      </c>
      <c r="AA15" s="240">
        <f t="shared" ca="1" si="5"/>
        <v>784.78</v>
      </c>
      <c r="AB15" s="240">
        <f ca="1">IF(B15&lt;&gt;"",AA15/((1+$V$5)^(SUM($T$11:T15))),0)</f>
        <v>733.60810058412005</v>
      </c>
      <c r="AD15">
        <f t="shared" ca="1" si="15"/>
        <v>1.0083997260273974</v>
      </c>
      <c r="AE15">
        <f ca="1">IF(B15&lt;&gt;"",1/PRODUCT($AD$11:AD15),0)</f>
        <v>0.95955490061611992</v>
      </c>
    </row>
    <row r="16" spans="1:33" ht="13" x14ac:dyDescent="0.3">
      <c r="A16" s="194" t="str">
        <f>WERSJA2!C13</f>
        <v>LICZBA RAT W MIESIĄCACH</v>
      </c>
      <c r="B16" s="248">
        <f t="shared" si="1"/>
        <v>6</v>
      </c>
      <c r="C16" s="249">
        <f t="shared" ca="1" si="6"/>
        <v>46382</v>
      </c>
      <c r="D16" s="249">
        <f t="shared" ca="1" si="16"/>
        <v>46382</v>
      </c>
      <c r="E16" s="250">
        <f ca="1">IF($H$1&lt;&gt;1,IF(B16=$C$5,H16-F16,IF(B16&lt;&gt;"",ROUND(G15*($D$3)*((SUM(O16:P16)/365)),2),"")),"Brak Oferty")</f>
        <v>196.35</v>
      </c>
      <c r="F16" s="250">
        <f t="shared" ca="1" si="8"/>
        <v>588.42999999999995</v>
      </c>
      <c r="G16" s="250">
        <f t="shared" ca="1" si="2"/>
        <v>27550.290000000005</v>
      </c>
      <c r="H16" s="250">
        <f t="shared" ca="1" si="3"/>
        <v>784.78</v>
      </c>
      <c r="I16" s="99"/>
      <c r="K16" s="240"/>
      <c r="L16" s="199" t="str">
        <f t="shared" si="9"/>
        <v>R</v>
      </c>
      <c r="M16" s="231">
        <f t="shared" ca="1" si="10"/>
        <v>46387</v>
      </c>
      <c r="N16" s="231">
        <f t="shared" ca="1" si="17"/>
        <v>46382</v>
      </c>
      <c r="O16" s="199">
        <f t="shared" ca="1" si="18"/>
        <v>5</v>
      </c>
      <c r="P16" s="199">
        <f t="shared" ca="1" si="11"/>
        <v>25</v>
      </c>
      <c r="Q16" s="199">
        <f t="shared" ca="1" si="0"/>
        <v>365</v>
      </c>
      <c r="R16" s="199">
        <f t="shared" ca="1" si="12"/>
        <v>1.3698630136986301E-2</v>
      </c>
      <c r="S16" s="199">
        <f t="shared" ca="1" si="13"/>
        <v>6.8493150684931503E-2</v>
      </c>
      <c r="T16" s="199">
        <f t="shared" ca="1" si="4"/>
        <v>8.2191780821917804E-2</v>
      </c>
      <c r="U16" s="415">
        <f t="shared" ca="1" si="14"/>
        <v>1.0081287671232877</v>
      </c>
      <c r="V16" s="233">
        <f ca="1">IF(B16&lt;&gt;"",1/PRODUCT($U$11:U16),0)</f>
        <v>0.95181779541340339</v>
      </c>
      <c r="AA16" s="240">
        <f t="shared" ca="1" si="5"/>
        <v>784.78</v>
      </c>
      <c r="AB16" s="240">
        <f ca="1">IF(B16&lt;&gt;"",AA16/((1+$V$5)^(SUM($T$11:T16))),0)</f>
        <v>723.97270857063586</v>
      </c>
      <c r="AD16">
        <f t="shared" ca="1" si="15"/>
        <v>1.0081287671232877</v>
      </c>
      <c r="AE16">
        <f ca="1">IF(B16&lt;&gt;"",1/PRODUCT($AD$11:AD16),0)</f>
        <v>0.95181779541340339</v>
      </c>
    </row>
    <row r="17" spans="1:35" ht="13.5" thickBot="1" x14ac:dyDescent="0.35">
      <c r="A17" s="195">
        <f>WERSJA2!D13</f>
        <v>48</v>
      </c>
      <c r="B17" s="248">
        <f t="shared" si="1"/>
        <v>7</v>
      </c>
      <c r="C17" s="249">
        <f t="shared" ca="1" si="6"/>
        <v>46413</v>
      </c>
      <c r="D17" s="249">
        <f t="shared" ca="1" si="16"/>
        <v>46413</v>
      </c>
      <c r="E17" s="250">
        <f t="shared" ca="1" si="7"/>
        <v>198.66</v>
      </c>
      <c r="F17" s="250">
        <f t="shared" ca="1" si="8"/>
        <v>586.12</v>
      </c>
      <c r="G17" s="250">
        <f t="shared" ca="1" si="2"/>
        <v>26964.170000000006</v>
      </c>
      <c r="H17" s="250">
        <f t="shared" ca="1" si="3"/>
        <v>784.78</v>
      </c>
      <c r="I17" s="99"/>
      <c r="K17" s="240"/>
      <c r="L17" s="199" t="str">
        <f t="shared" si="9"/>
        <v>R</v>
      </c>
      <c r="M17" s="231">
        <f t="shared" ca="1" si="10"/>
        <v>46418</v>
      </c>
      <c r="N17" s="231">
        <f t="shared" ca="1" si="17"/>
        <v>46413</v>
      </c>
      <c r="O17" s="199">
        <f t="shared" ca="1" si="18"/>
        <v>6</v>
      </c>
      <c r="P17" s="199">
        <f t="shared" ca="1" si="11"/>
        <v>25</v>
      </c>
      <c r="Q17" s="199">
        <f t="shared" ca="1" si="0"/>
        <v>365</v>
      </c>
      <c r="R17" s="199">
        <f t="shared" ca="1" si="12"/>
        <v>1.643835616438356E-2</v>
      </c>
      <c r="S17" s="199">
        <f t="shared" ca="1" si="13"/>
        <v>6.8493150684931503E-2</v>
      </c>
      <c r="T17" s="199">
        <f t="shared" ca="1" si="4"/>
        <v>8.4931506849315067E-2</v>
      </c>
      <c r="U17" s="415">
        <f t="shared" ca="1" si="14"/>
        <v>1.0083997260273974</v>
      </c>
      <c r="V17" s="233">
        <f ca="1">IF(B17&lt;&gt;"",1/PRODUCT($U$11:U17),0)</f>
        <v>0.94388938319440119</v>
      </c>
      <c r="AA17" s="240">
        <f t="shared" ca="1" si="5"/>
        <v>784.78</v>
      </c>
      <c r="AB17" s="240">
        <f ca="1">IF(B17&lt;&gt;"",AA17/((1+$V$5)^(SUM($T$11:T17))),0)</f>
        <v>714.1490689940257</v>
      </c>
      <c r="AD17">
        <f t="shared" ca="1" si="15"/>
        <v>1.0083997260273974</v>
      </c>
      <c r="AE17">
        <f ca="1">IF(B17&lt;&gt;"",1/PRODUCT($AD$11:AD17),0)</f>
        <v>0.94388938319440119</v>
      </c>
    </row>
    <row r="18" spans="1:35" ht="13" x14ac:dyDescent="0.3">
      <c r="A18" s="194" t="str">
        <f>WERSJA2!I5</f>
        <v>PROWIZJA (KWOTA)</v>
      </c>
      <c r="B18" s="248">
        <f t="shared" si="1"/>
        <v>8</v>
      </c>
      <c r="C18" s="249">
        <f t="shared" ca="1" si="6"/>
        <v>46444</v>
      </c>
      <c r="D18" s="249">
        <f t="shared" ca="1" si="16"/>
        <v>46444</v>
      </c>
      <c r="E18" s="250">
        <f t="shared" ca="1" si="7"/>
        <v>194.43</v>
      </c>
      <c r="F18" s="250">
        <f t="shared" ca="1" si="8"/>
        <v>590.35</v>
      </c>
      <c r="G18" s="250">
        <f t="shared" ca="1" si="2"/>
        <v>26373.820000000007</v>
      </c>
      <c r="H18" s="250">
        <f t="shared" ca="1" si="3"/>
        <v>784.78</v>
      </c>
      <c r="I18" s="99"/>
      <c r="K18" s="240"/>
      <c r="L18" s="199" t="str">
        <f t="shared" si="9"/>
        <v>R</v>
      </c>
      <c r="M18" s="231">
        <f t="shared" ca="1" si="10"/>
        <v>46446</v>
      </c>
      <c r="N18" s="231">
        <f t="shared" ca="1" si="17"/>
        <v>46444</v>
      </c>
      <c r="O18" s="199">
        <f t="shared" ca="1" si="18"/>
        <v>6</v>
      </c>
      <c r="P18" s="199">
        <f t="shared" ca="1" si="11"/>
        <v>25</v>
      </c>
      <c r="Q18" s="199">
        <f t="shared" ca="1" si="0"/>
        <v>365</v>
      </c>
      <c r="R18" s="199">
        <f t="shared" ca="1" si="12"/>
        <v>1.643835616438356E-2</v>
      </c>
      <c r="S18" s="199">
        <f t="shared" ca="1" si="13"/>
        <v>6.8493150684931503E-2</v>
      </c>
      <c r="T18" s="199">
        <f t="shared" ca="1" si="4"/>
        <v>8.4931506849315067E-2</v>
      </c>
      <c r="U18" s="415">
        <f t="shared" ca="1" si="14"/>
        <v>1.0083997260273974</v>
      </c>
      <c r="V18" s="233">
        <f ca="1">IF(B18&lt;&gt;"",1/PRODUCT($U$11:U18),0)</f>
        <v>0.9360270127331991</v>
      </c>
      <c r="AA18" s="240">
        <f t="shared" ca="1" si="5"/>
        <v>784.78</v>
      </c>
      <c r="AB18" s="240">
        <f ca="1">IF(B18&lt;&gt;"",AA18/((1+$V$5)^(SUM($T$11:T18))),0)</f>
        <v>704.45872711412255</v>
      </c>
      <c r="AD18">
        <f t="shared" ca="1" si="15"/>
        <v>1.0083997260273974</v>
      </c>
      <c r="AE18">
        <f ca="1">IF(B18&lt;&gt;"",1/PRODUCT($AD$11:AD18),0)</f>
        <v>0.9360270127331991</v>
      </c>
    </row>
    <row r="19" spans="1:35" ht="13.5" thickBot="1" x14ac:dyDescent="0.35">
      <c r="A19" s="196">
        <f>WERSJA2!J5</f>
        <v>0</v>
      </c>
      <c r="B19" s="248">
        <f t="shared" si="1"/>
        <v>9</v>
      </c>
      <c r="C19" s="249">
        <f t="shared" ca="1" si="6"/>
        <v>46472</v>
      </c>
      <c r="D19" s="249">
        <f t="shared" ca="1" si="16"/>
        <v>46472</v>
      </c>
      <c r="E19" s="250">
        <f t="shared" ca="1" si="7"/>
        <v>171.77</v>
      </c>
      <c r="F19" s="250">
        <f t="shared" ca="1" si="8"/>
        <v>613.01</v>
      </c>
      <c r="G19" s="250">
        <f t="shared" ca="1" si="2"/>
        <v>25760.810000000009</v>
      </c>
      <c r="H19" s="250">
        <f t="shared" ca="1" si="3"/>
        <v>784.78</v>
      </c>
      <c r="I19" s="99"/>
      <c r="K19" s="240"/>
      <c r="L19" s="199" t="str">
        <f t="shared" si="9"/>
        <v>R</v>
      </c>
      <c r="M19" s="231">
        <f t="shared" ca="1" si="10"/>
        <v>46477</v>
      </c>
      <c r="N19" s="231">
        <f t="shared" ca="1" si="17"/>
        <v>46472</v>
      </c>
      <c r="O19" s="199">
        <f t="shared" ca="1" si="18"/>
        <v>3</v>
      </c>
      <c r="P19" s="199">
        <f t="shared" ca="1" si="11"/>
        <v>25</v>
      </c>
      <c r="Q19" s="199">
        <f t="shared" ca="1" si="0"/>
        <v>365</v>
      </c>
      <c r="R19" s="199">
        <f t="shared" ca="1" si="12"/>
        <v>8.21917808219178E-3</v>
      </c>
      <c r="S19" s="199">
        <f t="shared" ca="1" si="13"/>
        <v>6.8493150684931503E-2</v>
      </c>
      <c r="T19" s="199">
        <f t="shared" ca="1" si="4"/>
        <v>7.6712328767123278E-2</v>
      </c>
      <c r="U19" s="415">
        <f t="shared" ca="1" si="14"/>
        <v>1.0075868493150686</v>
      </c>
      <c r="V19" s="233">
        <f ca="1">IF(B19&lt;&gt;"",1/PRODUCT($U$11:U19),0)</f>
        <v>0.92897898912583665</v>
      </c>
      <c r="AA19" s="240">
        <f t="shared" ca="1" si="5"/>
        <v>784.78</v>
      </c>
      <c r="AB19" s="240">
        <f ca="1">IF(B19&lt;&gt;"",AA19/((1+$V$5)^(SUM($T$11:T19))),0)</f>
        <v>695.81922748404065</v>
      </c>
      <c r="AD19">
        <f t="shared" ca="1" si="15"/>
        <v>1.0075868493150686</v>
      </c>
      <c r="AE19">
        <f ca="1">IF(B19&lt;&gt;"",1/PRODUCT($AD$11:AD19),0)</f>
        <v>0.92897898912583665</v>
      </c>
    </row>
    <row r="20" spans="1:35" ht="13" x14ac:dyDescent="0.3">
      <c r="A20" s="194" t="str">
        <f>WERSJA2!I6</f>
        <v>KWOTA UBEZPIECZENIA jednorazowego</v>
      </c>
      <c r="B20" s="248">
        <f t="shared" si="1"/>
        <v>10</v>
      </c>
      <c r="C20" s="249">
        <f t="shared" ca="1" si="6"/>
        <v>46503</v>
      </c>
      <c r="D20" s="249">
        <f t="shared" ca="1" si="16"/>
        <v>46503</v>
      </c>
      <c r="E20" s="250">
        <f t="shared" ca="1" si="7"/>
        <v>185.75</v>
      </c>
      <c r="F20" s="250">
        <f t="shared" ca="1" si="8"/>
        <v>599.03</v>
      </c>
      <c r="G20" s="250">
        <f t="shared" ca="1" si="2"/>
        <v>25161.78000000001</v>
      </c>
      <c r="H20" s="250">
        <f t="shared" ca="1" si="3"/>
        <v>784.78</v>
      </c>
      <c r="I20" s="99"/>
      <c r="K20" s="240"/>
      <c r="L20" s="199" t="str">
        <f t="shared" si="9"/>
        <v>R</v>
      </c>
      <c r="M20" s="231">
        <f t="shared" ca="1" si="10"/>
        <v>46507</v>
      </c>
      <c r="N20" s="231">
        <f t="shared" ca="1" si="17"/>
        <v>46503</v>
      </c>
      <c r="O20" s="199">
        <f t="shared" ca="1" si="18"/>
        <v>6</v>
      </c>
      <c r="P20" s="199">
        <f t="shared" ca="1" si="11"/>
        <v>25</v>
      </c>
      <c r="Q20" s="199">
        <f t="shared" ca="1" si="0"/>
        <v>365</v>
      </c>
      <c r="R20" s="928">
        <f ca="1">IF(B20&lt;&gt;"",O20/Q19,"")</f>
        <v>1.643835616438356E-2</v>
      </c>
      <c r="S20" s="199">
        <f t="shared" ca="1" si="13"/>
        <v>6.8493150684931503E-2</v>
      </c>
      <c r="T20" s="199">
        <f t="shared" ca="1" si="4"/>
        <v>8.4931506849315067E-2</v>
      </c>
      <c r="U20" s="415">
        <f t="shared" ca="1" si="14"/>
        <v>1.0083997260273974</v>
      </c>
      <c r="V20" s="233">
        <f ca="1">IF(B20&lt;&gt;"",1/PRODUCT($U$11:U20),0)</f>
        <v>0.92124081864397211</v>
      </c>
      <c r="AA20" s="240">
        <f t="shared" ca="1" si="5"/>
        <v>784.78</v>
      </c>
      <c r="AB20" s="240">
        <f ca="1">IF(B20&lt;&gt;"",AA20/((1+$V$5)^(SUM($T$11:T20))),0)</f>
        <v>686.37760458809748</v>
      </c>
      <c r="AD20">
        <f t="shared" ca="1" si="15"/>
        <v>1.0083997260273974</v>
      </c>
      <c r="AE20">
        <f ca="1">IF(B20&lt;&gt;"",1/PRODUCT($AD$11:AD20),0)</f>
        <v>0.92124081864397211</v>
      </c>
    </row>
    <row r="21" spans="1:35" ht="13.5" thickBot="1" x14ac:dyDescent="0.35">
      <c r="A21" s="196">
        <f>WERSJA2!J6</f>
        <v>0</v>
      </c>
      <c r="B21" s="248">
        <f t="shared" si="1"/>
        <v>11</v>
      </c>
      <c r="C21" s="249">
        <f t="shared" ca="1" si="6"/>
        <v>46533</v>
      </c>
      <c r="D21" s="249">
        <f t="shared" ca="1" si="16"/>
        <v>46533</v>
      </c>
      <c r="E21" s="250">
        <f t="shared" ca="1" si="7"/>
        <v>175.58</v>
      </c>
      <c r="F21" s="250">
        <f t="shared" ca="1" si="8"/>
        <v>609.20000000000005</v>
      </c>
      <c r="G21" s="250">
        <f t="shared" ca="1" si="2"/>
        <v>24552.580000000009</v>
      </c>
      <c r="H21" s="250">
        <f t="shared" ca="1" si="3"/>
        <v>784.78</v>
      </c>
      <c r="I21" s="99"/>
      <c r="K21" s="240"/>
      <c r="L21" s="199" t="str">
        <f t="shared" si="9"/>
        <v>R</v>
      </c>
      <c r="M21" s="231">
        <f t="shared" ca="1" si="10"/>
        <v>46538</v>
      </c>
      <c r="N21" s="231">
        <f t="shared" ca="1" si="17"/>
        <v>46533</v>
      </c>
      <c r="O21" s="199">
        <f t="shared" ca="1" si="18"/>
        <v>5</v>
      </c>
      <c r="P21" s="199">
        <f t="shared" ca="1" si="11"/>
        <v>25</v>
      </c>
      <c r="Q21" s="199">
        <f t="shared" ca="1" si="0"/>
        <v>365</v>
      </c>
      <c r="R21" s="199">
        <f t="shared" ca="1" si="12"/>
        <v>1.3698630136986301E-2</v>
      </c>
      <c r="S21" s="199">
        <f t="shared" ca="1" si="13"/>
        <v>6.8493150684931503E-2</v>
      </c>
      <c r="T21" s="199">
        <f t="shared" ca="1" si="4"/>
        <v>8.2191780821917804E-2</v>
      </c>
      <c r="U21" s="415">
        <f t="shared" ca="1" si="14"/>
        <v>1.0081287671232877</v>
      </c>
      <c r="V21" s="233">
        <f ca="1">IF(B21&lt;&gt;"",1/PRODUCT($U$11:U21),0)</f>
        <v>0.9138126484305652</v>
      </c>
      <c r="AA21" s="240">
        <f t="shared" ca="1" si="5"/>
        <v>784.78</v>
      </c>
      <c r="AB21" s="240">
        <f ca="1">IF(B21&lt;&gt;"",AA21/((1+$V$5)^(SUM($T$11:T21))),0)</f>
        <v>677.36254970495656</v>
      </c>
      <c r="AD21">
        <f t="shared" ca="1" si="15"/>
        <v>1.0081287671232877</v>
      </c>
      <c r="AE21">
        <f ca="1">IF(B21&lt;&gt;"",1/PRODUCT($AD$11:AD21),0)</f>
        <v>0.9138126484305652</v>
      </c>
    </row>
    <row r="22" spans="1:35" ht="13" x14ac:dyDescent="0.3">
      <c r="A22" s="194" t="s">
        <v>40</v>
      </c>
      <c r="B22" s="248">
        <f t="shared" si="1"/>
        <v>12</v>
      </c>
      <c r="C22" s="249">
        <f t="shared" ca="1" si="6"/>
        <v>46564</v>
      </c>
      <c r="D22" s="249">
        <f t="shared" ca="1" si="16"/>
        <v>46564</v>
      </c>
      <c r="E22" s="250">
        <f t="shared" ca="1" si="7"/>
        <v>177.04</v>
      </c>
      <c r="F22" s="250">
        <f t="shared" ca="1" si="8"/>
        <v>607.74</v>
      </c>
      <c r="G22" s="250">
        <f t="shared" ca="1" si="2"/>
        <v>23944.840000000007</v>
      </c>
      <c r="H22" s="250">
        <f t="shared" ca="1" si="3"/>
        <v>784.78</v>
      </c>
      <c r="I22" s="99"/>
      <c r="K22" s="240"/>
      <c r="L22" s="199" t="str">
        <f t="shared" si="9"/>
        <v>R</v>
      </c>
      <c r="M22" s="231">
        <f t="shared" ca="1" si="10"/>
        <v>46568</v>
      </c>
      <c r="N22" s="231">
        <f t="shared" ca="1" si="17"/>
        <v>46564</v>
      </c>
      <c r="O22" s="199">
        <f t="shared" ca="1" si="18"/>
        <v>6</v>
      </c>
      <c r="P22" s="199">
        <f t="shared" ca="1" si="11"/>
        <v>25</v>
      </c>
      <c r="Q22" s="199">
        <f t="shared" ca="1" si="0"/>
        <v>365</v>
      </c>
      <c r="R22" s="199">
        <f t="shared" ca="1" si="12"/>
        <v>1.643835616438356E-2</v>
      </c>
      <c r="S22" s="199">
        <f t="shared" ca="1" si="13"/>
        <v>6.8493150684931503E-2</v>
      </c>
      <c r="T22" s="199">
        <f t="shared" ca="1" si="4"/>
        <v>8.4931506849315067E-2</v>
      </c>
      <c r="U22" s="415">
        <f t="shared" ca="1" si="14"/>
        <v>1.0083997260273974</v>
      </c>
      <c r="V22" s="233">
        <f ca="1">IF(B22&lt;&gt;"",1/PRODUCT($U$11:U22),0)</f>
        <v>0.90620080990158625</v>
      </c>
      <c r="AA22" s="240">
        <f t="shared" ca="1" si="5"/>
        <v>784.78</v>
      </c>
      <c r="AB22" s="240">
        <f ca="1">IF(B22&lt;&gt;"",AA22/((1+$V$5)^(SUM($T$11:T22))),0)</f>
        <v>668.17136684375089</v>
      </c>
      <c r="AD22">
        <f t="shared" ca="1" si="15"/>
        <v>1.0083997260273974</v>
      </c>
      <c r="AE22">
        <f ca="1">IF(B22&lt;&gt;"",1/PRODUCT($AD$11:AD22),0)</f>
        <v>0.90620080990158625</v>
      </c>
    </row>
    <row r="23" spans="1:35" ht="13.5" thickBot="1" x14ac:dyDescent="0.35">
      <c r="A23" s="196">
        <f>G10</f>
        <v>31000</v>
      </c>
      <c r="B23" s="248">
        <f t="shared" si="1"/>
        <v>13</v>
      </c>
      <c r="C23" s="249">
        <f t="shared" ca="1" si="6"/>
        <v>46594</v>
      </c>
      <c r="D23" s="249">
        <f t="shared" ca="1" si="16"/>
        <v>46594</v>
      </c>
      <c r="E23" s="250">
        <f t="shared" ca="1" si="7"/>
        <v>167.09</v>
      </c>
      <c r="F23" s="250">
        <f t="shared" ca="1" si="8"/>
        <v>617.69000000000005</v>
      </c>
      <c r="G23" s="250">
        <f t="shared" ca="1" si="2"/>
        <v>23327.150000000009</v>
      </c>
      <c r="H23" s="250">
        <f t="shared" ca="1" si="3"/>
        <v>784.78</v>
      </c>
      <c r="I23" s="99"/>
      <c r="K23" s="240"/>
      <c r="L23" s="199" t="str">
        <f t="shared" si="9"/>
        <v>R</v>
      </c>
      <c r="M23" s="231">
        <f t="shared" ca="1" si="10"/>
        <v>46599</v>
      </c>
      <c r="N23" s="231">
        <f t="shared" ca="1" si="17"/>
        <v>46594</v>
      </c>
      <c r="O23" s="199">
        <f t="shared" ca="1" si="18"/>
        <v>5</v>
      </c>
      <c r="P23" s="199">
        <f t="shared" ca="1" si="11"/>
        <v>25</v>
      </c>
      <c r="Q23" s="199">
        <f t="shared" ca="1" si="0"/>
        <v>365</v>
      </c>
      <c r="R23" s="199">
        <f t="shared" ca="1" si="12"/>
        <v>1.3698630136986301E-2</v>
      </c>
      <c r="S23" s="199">
        <f t="shared" ca="1" si="13"/>
        <v>6.8493150684931503E-2</v>
      </c>
      <c r="T23" s="199">
        <f t="shared" ca="1" si="4"/>
        <v>8.2191780821917804E-2</v>
      </c>
      <c r="U23" s="415">
        <f t="shared" ca="1" si="14"/>
        <v>1.0081287671232877</v>
      </c>
      <c r="V23" s="233">
        <f ca="1">IF(B23&lt;&gt;"",1/PRODUCT($U$11:U23),0)</f>
        <v>0.8988939106335051</v>
      </c>
      <c r="AA23" s="240">
        <f t="shared" ca="1" si="5"/>
        <v>784.78</v>
      </c>
      <c r="AB23" s="240">
        <f ca="1">IF(B23&lt;&gt;"",AA23/((1+$V$5)^(SUM($T$11:T23))),0)</f>
        <v>659.39543723419649</v>
      </c>
      <c r="AD23">
        <f t="shared" ca="1" si="15"/>
        <v>1.0081287671232877</v>
      </c>
      <c r="AE23">
        <f ca="1">IF(B23&lt;&gt;"",1/PRODUCT($AD$11:AD23),0)</f>
        <v>0.8988939106335051</v>
      </c>
    </row>
    <row r="24" spans="1:35" ht="13" x14ac:dyDescent="0.3">
      <c r="A24" s="194" t="s">
        <v>162</v>
      </c>
      <c r="B24" s="248">
        <f t="shared" si="1"/>
        <v>14</v>
      </c>
      <c r="C24" s="249">
        <f t="shared" ca="1" si="6"/>
        <v>46625</v>
      </c>
      <c r="D24" s="249">
        <f t="shared" ca="1" si="16"/>
        <v>46625</v>
      </c>
      <c r="E24" s="250">
        <f ca="1">IF($H$1&lt;&gt;1,IF(B24=$C$5,H24-F24,IF(B24&lt;&gt;"",ROUND(G23*($D$3)*((SUM(O24:P24)/365)),2),"")),"Brak Oferty")</f>
        <v>168.2</v>
      </c>
      <c r="F24" s="250">
        <f t="shared" ca="1" si="8"/>
        <v>616.58000000000004</v>
      </c>
      <c r="G24" s="250">
        <f t="shared" ca="1" si="2"/>
        <v>22710.570000000007</v>
      </c>
      <c r="H24" s="250">
        <f t="shared" ca="1" si="3"/>
        <v>784.78</v>
      </c>
      <c r="I24" s="99"/>
      <c r="K24" s="240"/>
      <c r="L24" s="199" t="str">
        <f t="shared" si="9"/>
        <v>R</v>
      </c>
      <c r="M24" s="231">
        <f t="shared" ca="1" si="10"/>
        <v>46630</v>
      </c>
      <c r="N24" s="231">
        <f t="shared" ca="1" si="17"/>
        <v>46625</v>
      </c>
      <c r="O24" s="199">
        <f ca="1">IF(B24&lt;&gt;"",M23-N23+1,0)</f>
        <v>6</v>
      </c>
      <c r="P24" s="199">
        <f t="shared" ca="1" si="11"/>
        <v>25</v>
      </c>
      <c r="Q24" s="199">
        <f t="shared" ca="1" si="0"/>
        <v>365</v>
      </c>
      <c r="R24" s="928">
        <f ca="1">IF(B24&lt;&gt;"",O24/Q23,0)</f>
        <v>1.643835616438356E-2</v>
      </c>
      <c r="S24" s="199">
        <f t="shared" ca="1" si="13"/>
        <v>6.8493150684931503E-2</v>
      </c>
      <c r="T24" s="199">
        <f t="shared" ca="1" si="4"/>
        <v>8.4931506849315067E-2</v>
      </c>
      <c r="U24" s="415">
        <f t="shared" ca="1" si="14"/>
        <v>1.0083997260273974</v>
      </c>
      <c r="V24" s="233">
        <f ca="1">IF(B24&lt;&gt;"",1/PRODUCT($U$11:U24),0)</f>
        <v>0.89140634158510579</v>
      </c>
      <c r="AA24" s="240">
        <f t="shared" ca="1" si="5"/>
        <v>784.78</v>
      </c>
      <c r="AB24" s="240">
        <f ca="1">IF(B24&lt;&gt;"",AA24/((1+$V$5)^(SUM($T$11:T24))),0)</f>
        <v>650.44805145961527</v>
      </c>
      <c r="AD24">
        <f t="shared" ca="1" si="15"/>
        <v>1.0083997260273974</v>
      </c>
      <c r="AE24">
        <f ca="1">IF(B24&lt;&gt;"",1/PRODUCT($AD$11:AD24),0)</f>
        <v>0.89140634158510579</v>
      </c>
    </row>
    <row r="25" spans="1:35" ht="13.5" thickBot="1" x14ac:dyDescent="0.35">
      <c r="A25" s="196">
        <f ca="1">SUM(E11:E130)</f>
        <v>6669.4399999999951</v>
      </c>
      <c r="B25" s="248">
        <f t="shared" si="1"/>
        <v>15</v>
      </c>
      <c r="C25" s="249">
        <f t="shared" ca="1" si="6"/>
        <v>46656</v>
      </c>
      <c r="D25" s="249">
        <f t="shared" ca="1" si="16"/>
        <v>46656</v>
      </c>
      <c r="E25" s="250">
        <f t="shared" ca="1" si="7"/>
        <v>163.76</v>
      </c>
      <c r="F25" s="250">
        <f t="shared" ca="1" si="8"/>
        <v>621.02</v>
      </c>
      <c r="G25" s="250">
        <f t="shared" ca="1" si="2"/>
        <v>22089.550000000007</v>
      </c>
      <c r="H25" s="250">
        <f t="shared" ca="1" si="3"/>
        <v>784.78</v>
      </c>
      <c r="I25" s="99"/>
      <c r="K25" s="231"/>
      <c r="L25" s="199" t="str">
        <f t="shared" si="9"/>
        <v>R</v>
      </c>
      <c r="M25" s="231">
        <f t="shared" ca="1" si="10"/>
        <v>46660</v>
      </c>
      <c r="N25" s="231">
        <f t="shared" ca="1" si="17"/>
        <v>46656</v>
      </c>
      <c r="O25" s="199">
        <f t="shared" ca="1" si="18"/>
        <v>6</v>
      </c>
      <c r="P25" s="199">
        <f t="shared" ca="1" si="11"/>
        <v>25</v>
      </c>
      <c r="Q25" s="199">
        <f t="shared" ca="1" si="0"/>
        <v>365</v>
      </c>
      <c r="R25" s="928">
        <f t="shared" ref="R25:R26" ca="1" si="19">IF(B25&lt;&gt;"",O25/Q24,0)</f>
        <v>1.643835616438356E-2</v>
      </c>
      <c r="S25" s="199">
        <f t="shared" ca="1" si="13"/>
        <v>6.8493150684931503E-2</v>
      </c>
      <c r="T25" s="199">
        <f t="shared" ca="1" si="4"/>
        <v>8.4931506849315067E-2</v>
      </c>
      <c r="U25" s="415">
        <f t="shared" ca="1" si="14"/>
        <v>1.0083997260273974</v>
      </c>
      <c r="V25" s="233">
        <f ca="1">IF(B25&lt;&gt;"",1/PRODUCT($U$11:U25),0)</f>
        <v>0.88398114217742951</v>
      </c>
      <c r="AA25" s="240">
        <f t="shared" ca="1" si="5"/>
        <v>784.78</v>
      </c>
      <c r="AB25" s="240">
        <f ca="1">IF(B25&lt;&gt;"",AA25/((1+$V$5)^(SUM($T$11:T25))),0)</f>
        <v>641.622073428671</v>
      </c>
      <c r="AD25">
        <f t="shared" ca="1" si="15"/>
        <v>1.0083997260273974</v>
      </c>
      <c r="AE25">
        <f ca="1">IF(B25&lt;&gt;"",1/PRODUCT($AD$11:AD25),0)</f>
        <v>0.88398114217742951</v>
      </c>
      <c r="AI25">
        <v>-3.7778706683311344E+16</v>
      </c>
    </row>
    <row r="26" spans="1:35" ht="13" x14ac:dyDescent="0.3">
      <c r="A26" s="194" t="s">
        <v>138</v>
      </c>
      <c r="B26" s="248">
        <f t="shared" si="1"/>
        <v>16</v>
      </c>
      <c r="C26" s="249">
        <f t="shared" ca="1" si="6"/>
        <v>46686</v>
      </c>
      <c r="D26" s="249">
        <f t="shared" ca="1" si="16"/>
        <v>46686</v>
      </c>
      <c r="E26" s="250">
        <f t="shared" ca="1" si="7"/>
        <v>154.13999999999999</v>
      </c>
      <c r="F26" s="250">
        <f t="shared" ca="1" si="8"/>
        <v>630.64</v>
      </c>
      <c r="G26" s="250">
        <f t="shared" ca="1" si="2"/>
        <v>21458.910000000007</v>
      </c>
      <c r="H26" s="250">
        <f t="shared" ca="1" si="3"/>
        <v>784.78</v>
      </c>
      <c r="I26" s="99"/>
      <c r="K26" s="231"/>
      <c r="L26" s="199" t="str">
        <f t="shared" si="9"/>
        <v>R</v>
      </c>
      <c r="M26" s="231">
        <f t="shared" ca="1" si="10"/>
        <v>46691</v>
      </c>
      <c r="N26" s="231">
        <f t="shared" ca="1" si="17"/>
        <v>46686</v>
      </c>
      <c r="O26" s="199">
        <f t="shared" ca="1" si="18"/>
        <v>5</v>
      </c>
      <c r="P26" s="199">
        <f t="shared" ca="1" si="11"/>
        <v>25</v>
      </c>
      <c r="Q26" s="199">
        <f t="shared" ca="1" si="0"/>
        <v>365</v>
      </c>
      <c r="R26" s="928">
        <f t="shared" ca="1" si="19"/>
        <v>1.3698630136986301E-2</v>
      </c>
      <c r="S26" s="199">
        <f t="shared" ca="1" si="13"/>
        <v>6.8493150684931503E-2</v>
      </c>
      <c r="T26" s="199">
        <f t="shared" ca="1" si="4"/>
        <v>8.2191780821917804E-2</v>
      </c>
      <c r="U26" s="415">
        <f t="shared" ca="1" si="14"/>
        <v>1.0081287671232877</v>
      </c>
      <c r="V26" s="233">
        <f ca="1">IF(B26&lt;&gt;"",1/PRODUCT($U$11:U26),0)</f>
        <v>0.8768534050465443</v>
      </c>
      <c r="AA26" s="240">
        <f t="shared" ca="1" si="5"/>
        <v>784.78</v>
      </c>
      <c r="AB26" s="240">
        <f ca="1">IF(B26&lt;&gt;"",AA26/((1+$V$5)^(SUM($T$11:T26))),0)</f>
        <v>633.19484886958116</v>
      </c>
      <c r="AD26">
        <f t="shared" ca="1" si="15"/>
        <v>1.0081287671232877</v>
      </c>
      <c r="AE26">
        <f ca="1">IF(B26&lt;&gt;"",1/PRODUCT($AD$11:AD26),0)</f>
        <v>0.8768534050465443</v>
      </c>
    </row>
    <row r="27" spans="1:35" ht="13.5" thickBot="1" x14ac:dyDescent="0.35">
      <c r="A27" s="223">
        <f ca="1">H2</f>
        <v>784.78</v>
      </c>
      <c r="B27" s="248">
        <f t="shared" si="1"/>
        <v>17</v>
      </c>
      <c r="C27" s="249">
        <f t="shared" ca="1" si="6"/>
        <v>46717</v>
      </c>
      <c r="D27" s="249">
        <f t="shared" ca="1" si="16"/>
        <v>46717</v>
      </c>
      <c r="E27" s="250">
        <f t="shared" ca="1" si="7"/>
        <v>154.72999999999999</v>
      </c>
      <c r="F27" s="250">
        <f t="shared" ca="1" si="8"/>
        <v>630.04999999999995</v>
      </c>
      <c r="G27" s="250">
        <f t="shared" ca="1" si="2"/>
        <v>20828.860000000008</v>
      </c>
      <c r="H27" s="250">
        <f t="shared" ca="1" si="3"/>
        <v>784.78</v>
      </c>
      <c r="I27" s="99"/>
      <c r="K27" s="231"/>
      <c r="L27" s="199" t="str">
        <f t="shared" si="9"/>
        <v>R</v>
      </c>
      <c r="M27" s="231">
        <f t="shared" ca="1" si="10"/>
        <v>46721</v>
      </c>
      <c r="N27" s="231">
        <f t="shared" ca="1" si="17"/>
        <v>46717</v>
      </c>
      <c r="O27" s="199">
        <f t="shared" ca="1" si="18"/>
        <v>6</v>
      </c>
      <c r="P27" s="199">
        <f t="shared" ca="1" si="11"/>
        <v>25</v>
      </c>
      <c r="Q27" s="199">
        <f t="shared" ca="1" si="0"/>
        <v>365</v>
      </c>
      <c r="R27" s="199">
        <f t="shared" ca="1" si="12"/>
        <v>1.643835616438356E-2</v>
      </c>
      <c r="S27" s="199">
        <f t="shared" ca="1" si="13"/>
        <v>6.8493150684931503E-2</v>
      </c>
      <c r="T27" s="199">
        <f t="shared" ca="1" si="4"/>
        <v>8.4931506849315067E-2</v>
      </c>
      <c r="U27" s="415">
        <f t="shared" ca="1" si="14"/>
        <v>1.0083997260273974</v>
      </c>
      <c r="V27" s="233">
        <f ca="1">IF(B27&lt;&gt;"",1/PRODUCT($U$11:U27),0)</f>
        <v>0.86954942808336388</v>
      </c>
      <c r="AA27" s="240">
        <f t="shared" ca="1" si="5"/>
        <v>784.78</v>
      </c>
      <c r="AB27" s="240">
        <f ca="1">IF(B27&lt;&gt;"",AA27/((1+$V$5)^(SUM($T$11:T27))),0)</f>
        <v>624.60298082894496</v>
      </c>
      <c r="AD27">
        <f t="shared" ca="1" si="15"/>
        <v>1.0083997260273974</v>
      </c>
      <c r="AE27">
        <f ca="1">IF(B27&lt;&gt;"",1/PRODUCT($AD$11:AD27),0)</f>
        <v>0.86954942808336388</v>
      </c>
    </row>
    <row r="28" spans="1:35" ht="13" x14ac:dyDescent="0.3">
      <c r="A28" s="194" t="s">
        <v>14</v>
      </c>
      <c r="B28" s="248">
        <f t="shared" si="1"/>
        <v>18</v>
      </c>
      <c r="C28" s="249">
        <f t="shared" ca="1" si="6"/>
        <v>46747</v>
      </c>
      <c r="D28" s="249">
        <f t="shared" ca="1" si="16"/>
        <v>46747</v>
      </c>
      <c r="E28" s="250">
        <f t="shared" ca="1" si="7"/>
        <v>145.35</v>
      </c>
      <c r="F28" s="250">
        <f t="shared" ca="1" si="8"/>
        <v>639.42999999999995</v>
      </c>
      <c r="G28" s="250">
        <f t="shared" ca="1" si="2"/>
        <v>20189.430000000008</v>
      </c>
      <c r="H28" s="250">
        <f t="shared" ca="1" si="3"/>
        <v>784.78</v>
      </c>
      <c r="I28" s="99"/>
      <c r="K28" s="231"/>
      <c r="L28" s="199" t="str">
        <f t="shared" si="9"/>
        <v>R</v>
      </c>
      <c r="M28" s="231">
        <f t="shared" ca="1" si="10"/>
        <v>46752</v>
      </c>
      <c r="N28" s="231">
        <f t="shared" ca="1" si="17"/>
        <v>46747</v>
      </c>
      <c r="O28" s="199">
        <f t="shared" ca="1" si="18"/>
        <v>5</v>
      </c>
      <c r="P28" s="199">
        <f t="shared" ca="1" si="11"/>
        <v>25</v>
      </c>
      <c r="Q28" s="199">
        <f t="shared" ca="1" si="0"/>
        <v>365</v>
      </c>
      <c r="R28" s="199">
        <f t="shared" ca="1" si="12"/>
        <v>1.3698630136986301E-2</v>
      </c>
      <c r="S28" s="199">
        <f t="shared" ca="1" si="13"/>
        <v>6.8493150684931503E-2</v>
      </c>
      <c r="T28" s="199">
        <f t="shared" ca="1" si="4"/>
        <v>8.2191780821917804E-2</v>
      </c>
      <c r="U28" s="415">
        <f t="shared" ca="1" si="14"/>
        <v>1.0081287671232877</v>
      </c>
      <c r="V28" s="233">
        <f ca="1">IF(B28&lt;&gt;"",1/PRODUCT($U$11:U28),0)</f>
        <v>0.8625380570823683</v>
      </c>
      <c r="AA28" s="240">
        <f t="shared" ca="1" si="5"/>
        <v>784.78</v>
      </c>
      <c r="AB28" s="240">
        <f ca="1">IF(B28&lt;&gt;"",AA28/((1+$V$5)^(SUM($T$11:T28))),0)</f>
        <v>616.39928928261975</v>
      </c>
      <c r="AD28">
        <f t="shared" ca="1" si="15"/>
        <v>1.0081287671232877</v>
      </c>
      <c r="AE28">
        <f ca="1">IF(B28&lt;&gt;"",1/PRODUCT($AD$11:AD28),0)</f>
        <v>0.8625380570823683</v>
      </c>
    </row>
    <row r="29" spans="1:35" ht="13.5" thickBot="1" x14ac:dyDescent="0.35">
      <c r="A29" s="222">
        <f>$H$8</f>
        <v>0.17451905146291249</v>
      </c>
      <c r="B29" s="248">
        <f t="shared" si="1"/>
        <v>19</v>
      </c>
      <c r="C29" s="249">
        <f t="shared" ca="1" si="6"/>
        <v>46778</v>
      </c>
      <c r="D29" s="249">
        <f t="shared" ca="1" si="16"/>
        <v>46778</v>
      </c>
      <c r="E29" s="250">
        <f t="shared" ca="1" si="7"/>
        <v>145.58000000000001</v>
      </c>
      <c r="F29" s="250">
        <f t="shared" ca="1" si="8"/>
        <v>639.20000000000005</v>
      </c>
      <c r="G29" s="250">
        <f t="shared" ca="1" si="2"/>
        <v>19550.230000000007</v>
      </c>
      <c r="H29" s="250">
        <f t="shared" ca="1" si="3"/>
        <v>784.78</v>
      </c>
      <c r="I29" s="99"/>
      <c r="K29" s="231"/>
      <c r="L29" s="199" t="str">
        <f t="shared" si="9"/>
        <v>R</v>
      </c>
      <c r="M29" s="231">
        <f t="shared" ca="1" si="10"/>
        <v>46783</v>
      </c>
      <c r="N29" s="231">
        <f t="shared" ca="1" si="17"/>
        <v>46778</v>
      </c>
      <c r="O29" s="199">
        <f t="shared" ca="1" si="18"/>
        <v>6</v>
      </c>
      <c r="P29" s="199">
        <f t="shared" ca="1" si="11"/>
        <v>25</v>
      </c>
      <c r="Q29" s="199">
        <f t="shared" ca="1" si="0"/>
        <v>366</v>
      </c>
      <c r="R29" s="199">
        <f t="shared" ca="1" si="12"/>
        <v>1.643835616438356E-2</v>
      </c>
      <c r="S29" s="199">
        <f t="shared" ca="1" si="13"/>
        <v>6.8306010928961755E-2</v>
      </c>
      <c r="T29" s="199">
        <f t="shared" ca="1" si="4"/>
        <v>8.4744367093345319E-2</v>
      </c>
      <c r="U29" s="415">
        <f t="shared" ca="1" si="14"/>
        <v>1.0083812179055318</v>
      </c>
      <c r="V29" s="233">
        <f ca="1">IF(B29&lt;&gt;"",1/PRODUCT($U$11:U29),0)</f>
        <v>0.85536902291170358</v>
      </c>
      <c r="AA29" s="240">
        <f t="shared" ca="1" si="5"/>
        <v>784.78</v>
      </c>
      <c r="AB29" s="240">
        <f ca="1">IF(B29&lt;&gt;"",AA29/((1+$V$5)^(SUM($T$11:T29))),0)</f>
        <v>608.05362544350407</v>
      </c>
      <c r="AD29">
        <f t="shared" ca="1" si="15"/>
        <v>1.0083997260273974</v>
      </c>
      <c r="AE29">
        <f ca="1">IF(B29&lt;&gt;"",1/PRODUCT($AD$11:AD29),0)</f>
        <v>0.85535332350827498</v>
      </c>
    </row>
    <row r="30" spans="1:35" ht="13" x14ac:dyDescent="0.3">
      <c r="A30" s="194" t="s">
        <v>159</v>
      </c>
      <c r="B30" s="248">
        <f t="shared" si="1"/>
        <v>20</v>
      </c>
      <c r="C30" s="249">
        <f t="shared" ca="1" si="6"/>
        <v>46809</v>
      </c>
      <c r="D30" s="249">
        <f t="shared" ca="1" si="16"/>
        <v>46809</v>
      </c>
      <c r="E30" s="250">
        <f t="shared" ca="1" si="7"/>
        <v>140.97</v>
      </c>
      <c r="F30" s="250">
        <f t="shared" ca="1" si="8"/>
        <v>643.80999999999995</v>
      </c>
      <c r="G30" s="250">
        <f t="shared" ca="1" si="2"/>
        <v>18906.420000000006</v>
      </c>
      <c r="H30" s="250">
        <f t="shared" ca="1" si="3"/>
        <v>784.78</v>
      </c>
      <c r="I30" s="99"/>
      <c r="K30" s="231"/>
      <c r="L30" s="199" t="str">
        <f t="shared" si="9"/>
        <v>R</v>
      </c>
      <c r="M30" s="231">
        <f ca="1">IF(B30&lt;&gt;"",DATE(YEAR((D30)),MONTH((D30))+1,1)-1,"")</f>
        <v>46812</v>
      </c>
      <c r="N30" s="231">
        <f t="shared" ca="1" si="17"/>
        <v>46809</v>
      </c>
      <c r="O30" s="199">
        <f t="shared" ca="1" si="18"/>
        <v>6</v>
      </c>
      <c r="P30" s="199">
        <f t="shared" ca="1" si="11"/>
        <v>25</v>
      </c>
      <c r="Q30" s="199">
        <f t="shared" ca="1" si="0"/>
        <v>366</v>
      </c>
      <c r="R30" s="199">
        <f t="shared" ca="1" si="12"/>
        <v>1.6393442622950821E-2</v>
      </c>
      <c r="S30" s="199">
        <f t="shared" ca="1" si="13"/>
        <v>6.8306010928961755E-2</v>
      </c>
      <c r="T30" s="199">
        <f t="shared" ca="1" si="4"/>
        <v>8.4699453551912579E-2</v>
      </c>
      <c r="U30" s="415">
        <f t="shared" ca="1" si="14"/>
        <v>1.0083767759562841</v>
      </c>
      <c r="V30" s="233">
        <f ca="1">IF(B30&lt;&gt;"",1/PRODUCT($U$11:U30),0)</f>
        <v>0.84826331120183018</v>
      </c>
      <c r="AA30" s="240">
        <f t="shared" ca="1" si="5"/>
        <v>784.78</v>
      </c>
      <c r="AB30" s="240">
        <f ca="1">IF(B30&lt;&gt;"",AA30/((1+$V$5)^(SUM($T$11:T30))),0)</f>
        <v>599.82529027712917</v>
      </c>
      <c r="AD30">
        <f t="shared" ca="1" si="15"/>
        <v>1.0083997260273974</v>
      </c>
      <c r="AE30">
        <f ca="1">IF(B30&lt;&gt;"",1/PRODUCT($AD$11:AD30),0)</f>
        <v>0.84822843702858741</v>
      </c>
    </row>
    <row r="31" spans="1:35" ht="13.5" thickBot="1" x14ac:dyDescent="0.35">
      <c r="A31" s="258">
        <f ca="1">A25+A19</f>
        <v>6669.4399999999951</v>
      </c>
      <c r="B31" s="248">
        <f t="shared" si="1"/>
        <v>21</v>
      </c>
      <c r="C31" s="249">
        <f t="shared" ca="1" si="6"/>
        <v>46838</v>
      </c>
      <c r="D31" s="249">
        <f t="shared" ca="1" si="16"/>
        <v>46838</v>
      </c>
      <c r="E31" s="250">
        <f t="shared" ca="1" si="7"/>
        <v>127.53</v>
      </c>
      <c r="F31" s="250">
        <f t="shared" ca="1" si="8"/>
        <v>657.25</v>
      </c>
      <c r="G31" s="250">
        <f t="shared" ca="1" si="2"/>
        <v>18249.170000000006</v>
      </c>
      <c r="H31" s="250">
        <f t="shared" ca="1" si="3"/>
        <v>784.78</v>
      </c>
      <c r="I31" s="99"/>
      <c r="K31" s="231"/>
      <c r="L31" s="199" t="str">
        <f t="shared" si="9"/>
        <v>R</v>
      </c>
      <c r="M31" s="231">
        <f t="shared" ca="1" si="10"/>
        <v>46843</v>
      </c>
      <c r="N31" s="231">
        <f t="shared" ca="1" si="17"/>
        <v>46838</v>
      </c>
      <c r="O31" s="199">
        <f t="shared" ca="1" si="18"/>
        <v>4</v>
      </c>
      <c r="P31" s="199">
        <f t="shared" ca="1" si="11"/>
        <v>25</v>
      </c>
      <c r="Q31" s="199">
        <f t="shared" ca="1" si="0"/>
        <v>366</v>
      </c>
      <c r="R31" s="199">
        <f t="shared" ca="1" si="12"/>
        <v>1.092896174863388E-2</v>
      </c>
      <c r="S31" s="199">
        <f t="shared" ca="1" si="13"/>
        <v>6.8306010928961755E-2</v>
      </c>
      <c r="T31" s="199">
        <f t="shared" ca="1" si="4"/>
        <v>7.9234972677595633E-2</v>
      </c>
      <c r="U31" s="415">
        <f t="shared" ca="1" si="14"/>
        <v>1.0078363387978142</v>
      </c>
      <c r="V31" s="233">
        <f ca="1">IF(B31&lt;&gt;"",1/PRODUCT($U$11:U31),0)</f>
        <v>0.84166771780988892</v>
      </c>
      <c r="AA31" s="240">
        <f t="shared" ca="1" si="5"/>
        <v>784.78</v>
      </c>
      <c r="AB31" s="240">
        <f ca="1">IF(B31&lt;&gt;"",AA31/((1+$V$5)^(SUM($T$11:T31))),0)</f>
        <v>592.22864892402856</v>
      </c>
      <c r="AD31">
        <f t="shared" ca="1" si="15"/>
        <v>1.007857808219178</v>
      </c>
      <c r="AE31">
        <f ca="1">IF(B31&lt;&gt;"",1/PRODUCT($AD$11:AD31),0)</f>
        <v>0.84161518630029186</v>
      </c>
    </row>
    <row r="32" spans="1:35" ht="13" x14ac:dyDescent="0.3">
      <c r="A32" s="194" t="s">
        <v>158</v>
      </c>
      <c r="B32" s="248">
        <f t="shared" si="1"/>
        <v>22</v>
      </c>
      <c r="C32" s="249">
        <f t="shared" ca="1" si="6"/>
        <v>46869</v>
      </c>
      <c r="D32" s="249">
        <f t="shared" ca="1" si="16"/>
        <v>46869</v>
      </c>
      <c r="E32" s="250">
        <f t="shared" ca="1" si="7"/>
        <v>131.59</v>
      </c>
      <c r="F32" s="250">
        <f t="shared" ca="1" si="8"/>
        <v>653.19000000000005</v>
      </c>
      <c r="G32" s="250">
        <f t="shared" ca="1" si="2"/>
        <v>17595.980000000007</v>
      </c>
      <c r="H32" s="250">
        <f t="shared" ca="1" si="3"/>
        <v>784.78</v>
      </c>
      <c r="I32" s="99"/>
      <c r="K32" s="231"/>
      <c r="L32" s="199" t="str">
        <f t="shared" si="9"/>
        <v>R</v>
      </c>
      <c r="M32" s="231">
        <f t="shared" ca="1" si="10"/>
        <v>46873</v>
      </c>
      <c r="N32" s="231">
        <f t="shared" ca="1" si="17"/>
        <v>46869</v>
      </c>
      <c r="O32" s="199">
        <f t="shared" ca="1" si="18"/>
        <v>6</v>
      </c>
      <c r="P32" s="199">
        <f t="shared" ca="1" si="11"/>
        <v>25</v>
      </c>
      <c r="Q32" s="199">
        <f t="shared" ca="1" si="0"/>
        <v>366</v>
      </c>
      <c r="R32" s="199">
        <f t="shared" ca="1" si="12"/>
        <v>1.6393442622950821E-2</v>
      </c>
      <c r="S32" s="199">
        <f t="shared" ca="1" si="13"/>
        <v>6.8306010928961755E-2</v>
      </c>
      <c r="T32" s="199">
        <f t="shared" ca="1" si="4"/>
        <v>8.4699453551912579E-2</v>
      </c>
      <c r="U32" s="415">
        <f t="shared" ca="1" si="14"/>
        <v>1.0083767759562841</v>
      </c>
      <c r="V32" s="233">
        <f ca="1">IF(B32&lt;&gt;"",1/PRODUCT($U$11:U32),0)</f>
        <v>0.83467582542418395</v>
      </c>
      <c r="AA32" s="240">
        <f t="shared" ca="1" si="5"/>
        <v>784.78</v>
      </c>
      <c r="AB32" s="240">
        <f ca="1">IF(B32&lt;&gt;"",AA32/((1+$V$5)^(SUM($T$11:T32))),0)</f>
        <v>584.21446133502764</v>
      </c>
      <c r="AD32">
        <f t="shared" ca="1" si="15"/>
        <v>1.0083997260273974</v>
      </c>
      <c r="AE32">
        <f ca="1">IF(B32&lt;&gt;"",1/PRODUCT($AD$11:AD32),0)</f>
        <v>0.83460473518358136</v>
      </c>
    </row>
    <row r="33" spans="1:31" ht="13.5" thickBot="1" x14ac:dyDescent="0.35">
      <c r="A33" s="258">
        <f ca="1">A31+A21</f>
        <v>6669.4399999999951</v>
      </c>
      <c r="B33" s="248">
        <f t="shared" si="1"/>
        <v>23</v>
      </c>
      <c r="C33" s="249">
        <f t="shared" ca="1" si="6"/>
        <v>46899</v>
      </c>
      <c r="D33" s="249">
        <f t="shared" ca="1" si="16"/>
        <v>46899</v>
      </c>
      <c r="E33" s="250">
        <f t="shared" ca="1" si="7"/>
        <v>122.79</v>
      </c>
      <c r="F33" s="250">
        <f t="shared" ca="1" si="8"/>
        <v>661.99</v>
      </c>
      <c r="G33" s="250">
        <f t="shared" ca="1" si="2"/>
        <v>16933.990000000005</v>
      </c>
      <c r="H33" s="250">
        <f t="shared" ca="1" si="3"/>
        <v>784.78</v>
      </c>
      <c r="I33" s="99"/>
      <c r="K33" s="231"/>
      <c r="L33" s="199" t="str">
        <f t="shared" si="9"/>
        <v>R</v>
      </c>
      <c r="M33" s="231">
        <f t="shared" ca="1" si="10"/>
        <v>46904</v>
      </c>
      <c r="N33" s="231">
        <f t="shared" ca="1" si="17"/>
        <v>46899</v>
      </c>
      <c r="O33" s="199">
        <f t="shared" ca="1" si="18"/>
        <v>5</v>
      </c>
      <c r="P33" s="199">
        <f t="shared" ca="1" si="11"/>
        <v>25</v>
      </c>
      <c r="Q33" s="199">
        <f t="shared" ca="1" si="0"/>
        <v>366</v>
      </c>
      <c r="R33" s="199">
        <f t="shared" ca="1" si="12"/>
        <v>1.3661202185792349E-2</v>
      </c>
      <c r="S33" s="199">
        <f t="shared" ca="1" si="13"/>
        <v>6.8306010928961755E-2</v>
      </c>
      <c r="T33" s="199">
        <f t="shared" ca="1" si="4"/>
        <v>8.1967213114754106E-2</v>
      </c>
      <c r="U33" s="415">
        <f t="shared" ca="1" si="14"/>
        <v>1.0081065573770491</v>
      </c>
      <c r="V33" s="233">
        <f ca="1">IF(B33&lt;&gt;"",1/PRODUCT($U$11:U33),0)</f>
        <v>0.82796388865468007</v>
      </c>
      <c r="AA33" s="240">
        <f t="shared" ca="1" si="5"/>
        <v>784.78</v>
      </c>
      <c r="AB33" s="240">
        <f ca="1">IF(B33&lt;&gt;"",AA33/((1+$V$5)^(SUM($T$11:T33))),0)</f>
        <v>576.56206985825156</v>
      </c>
      <c r="AD33">
        <f t="shared" ca="1" si="15"/>
        <v>1.0081287671232877</v>
      </c>
      <c r="AE33">
        <f ca="1">IF(B33&lt;&gt;"",1/PRODUCT($AD$11:AD33),0)</f>
        <v>0.82787513103622656</v>
      </c>
    </row>
    <row r="34" spans="1:31" ht="13" x14ac:dyDescent="0.3">
      <c r="A34" s="194" t="s">
        <v>161</v>
      </c>
      <c r="B34" s="248">
        <f t="shared" si="1"/>
        <v>24</v>
      </c>
      <c r="C34" s="249">
        <f t="shared" ca="1" si="6"/>
        <v>46930</v>
      </c>
      <c r="D34" s="249">
        <f t="shared" ca="1" si="16"/>
        <v>46930</v>
      </c>
      <c r="E34" s="250">
        <f t="shared" ca="1" si="7"/>
        <v>122.11</v>
      </c>
      <c r="F34" s="250">
        <f t="shared" ca="1" si="8"/>
        <v>662.67</v>
      </c>
      <c r="G34" s="250">
        <f t="shared" ca="1" si="2"/>
        <v>16271.320000000005</v>
      </c>
      <c r="H34" s="250">
        <f t="shared" ca="1" si="3"/>
        <v>784.78</v>
      </c>
      <c r="I34" s="99"/>
      <c r="K34" s="231"/>
      <c r="L34" s="199" t="str">
        <f t="shared" si="9"/>
        <v>R</v>
      </c>
      <c r="M34" s="231">
        <f t="shared" ca="1" si="10"/>
        <v>46934</v>
      </c>
      <c r="N34" s="231">
        <f t="shared" ca="1" si="17"/>
        <v>46930</v>
      </c>
      <c r="O34" s="199">
        <f t="shared" ca="1" si="18"/>
        <v>6</v>
      </c>
      <c r="P34" s="199">
        <f t="shared" ca="1" si="11"/>
        <v>25</v>
      </c>
      <c r="Q34" s="199">
        <f t="shared" ca="1" si="0"/>
        <v>366</v>
      </c>
      <c r="R34" s="199">
        <f t="shared" ca="1" si="12"/>
        <v>1.6393442622950821E-2</v>
      </c>
      <c r="S34" s="199">
        <f t="shared" ca="1" si="13"/>
        <v>6.8306010928961755E-2</v>
      </c>
      <c r="T34" s="199">
        <f t="shared" ca="1" si="4"/>
        <v>8.4699453551912579E-2</v>
      </c>
      <c r="U34" s="415">
        <f t="shared" ca="1" si="14"/>
        <v>1.0083767759562841</v>
      </c>
      <c r="V34" s="233">
        <f ca="1">IF(B34&lt;&gt;"",1/PRODUCT($U$11:U34),0)</f>
        <v>0.82108583656093115</v>
      </c>
      <c r="AA34" s="240">
        <f t="shared" ca="1" si="5"/>
        <v>784.78</v>
      </c>
      <c r="AB34" s="240">
        <f ca="1">IF(B34&lt;&gt;"",AA34/((1+$V$5)^(SUM($T$11:T34))),0)</f>
        <v>568.75988637229295</v>
      </c>
      <c r="AD34">
        <f t="shared" ca="1" si="15"/>
        <v>1.0083997260273974</v>
      </c>
      <c r="AE34">
        <f ca="1">IF(B34&lt;&gt;"",1/PRODUCT($AD$11:AD34),0)</f>
        <v>0.82097913125943667</v>
      </c>
    </row>
    <row r="35" spans="1:31" ht="13.5" thickBot="1" x14ac:dyDescent="0.35">
      <c r="A35" s="911">
        <f ca="1">A23+A25</f>
        <v>37669.439999999995</v>
      </c>
      <c r="B35" s="248">
        <f t="shared" si="1"/>
        <v>25</v>
      </c>
      <c r="C35" s="249">
        <f t="shared" ca="1" si="6"/>
        <v>46960</v>
      </c>
      <c r="D35" s="249">
        <f t="shared" ca="1" si="16"/>
        <v>46960</v>
      </c>
      <c r="E35" s="250">
        <f t="shared" ca="1" si="7"/>
        <v>113.54</v>
      </c>
      <c r="F35" s="250">
        <f t="shared" ca="1" si="8"/>
        <v>671.24</v>
      </c>
      <c r="G35" s="250">
        <f t="shared" ca="1" si="2"/>
        <v>15600.080000000005</v>
      </c>
      <c r="H35" s="250">
        <f t="shared" ca="1" si="3"/>
        <v>784.78</v>
      </c>
      <c r="I35" s="99"/>
      <c r="K35" s="231"/>
      <c r="L35" s="199" t="str">
        <f t="shared" si="9"/>
        <v>R</v>
      </c>
      <c r="M35" s="231">
        <f t="shared" ca="1" si="10"/>
        <v>46965</v>
      </c>
      <c r="N35" s="231">
        <f t="shared" ca="1" si="17"/>
        <v>46960</v>
      </c>
      <c r="O35" s="199">
        <f t="shared" ca="1" si="18"/>
        <v>5</v>
      </c>
      <c r="P35" s="199">
        <f t="shared" ca="1" si="11"/>
        <v>25</v>
      </c>
      <c r="Q35" s="199">
        <f t="shared" ca="1" si="0"/>
        <v>366</v>
      </c>
      <c r="R35" s="199">
        <f t="shared" ca="1" si="12"/>
        <v>1.3661202185792349E-2</v>
      </c>
      <c r="S35" s="199">
        <f t="shared" ca="1" si="13"/>
        <v>6.8306010928961755E-2</v>
      </c>
      <c r="T35" s="199">
        <f t="shared" ca="1" si="4"/>
        <v>8.1967213114754106E-2</v>
      </c>
      <c r="U35" s="415">
        <f t="shared" ca="1" si="14"/>
        <v>1.0081065573770491</v>
      </c>
      <c r="V35" s="233">
        <f ca="1">IF(B35&lt;&gt;"",1/PRODUCT($U$11:U35),0)</f>
        <v>0.81448318191410296</v>
      </c>
      <c r="AA35" s="240">
        <f t="shared" ca="1" si="5"/>
        <v>784.78</v>
      </c>
      <c r="AB35" s="240">
        <f ca="1">IF(B35&lt;&gt;"",AA35/((1+$V$5)^(SUM($T$11:T35))),0)</f>
        <v>561.30992818936545</v>
      </c>
      <c r="AD35">
        <f t="shared" ca="1" si="15"/>
        <v>1.0081287671232877</v>
      </c>
      <c r="AE35">
        <f ca="1">IF(B35&lt;&gt;"",1/PRODUCT($AD$11:AD35),0)</f>
        <v>0.81435939339585994</v>
      </c>
    </row>
    <row r="36" spans="1:31" ht="13" x14ac:dyDescent="0.3">
      <c r="A36" s="24" t="s">
        <v>160</v>
      </c>
      <c r="B36" s="248">
        <f t="shared" si="1"/>
        <v>26</v>
      </c>
      <c r="C36" s="249">
        <f t="shared" ca="1" si="6"/>
        <v>46991</v>
      </c>
      <c r="D36" s="249">
        <f t="shared" ca="1" si="16"/>
        <v>46991</v>
      </c>
      <c r="E36" s="250">
        <f t="shared" ca="1" si="7"/>
        <v>112.49</v>
      </c>
      <c r="F36" s="250">
        <f t="shared" ca="1" si="8"/>
        <v>672.29</v>
      </c>
      <c r="G36" s="250">
        <f t="shared" ca="1" si="2"/>
        <v>14927.790000000005</v>
      </c>
      <c r="H36" s="250">
        <f t="shared" ca="1" si="3"/>
        <v>784.78</v>
      </c>
      <c r="I36" s="99"/>
      <c r="K36" s="231"/>
      <c r="L36" s="199" t="str">
        <f t="shared" si="9"/>
        <v>R</v>
      </c>
      <c r="M36" s="231">
        <f t="shared" ca="1" si="10"/>
        <v>46996</v>
      </c>
      <c r="N36" s="231">
        <f t="shared" ca="1" si="17"/>
        <v>46991</v>
      </c>
      <c r="O36" s="199">
        <f t="shared" ca="1" si="18"/>
        <v>6</v>
      </c>
      <c r="P36" s="199">
        <f t="shared" ca="1" si="11"/>
        <v>25</v>
      </c>
      <c r="Q36" s="199">
        <f t="shared" ca="1" si="0"/>
        <v>366</v>
      </c>
      <c r="R36" s="199">
        <f t="shared" ca="1" si="12"/>
        <v>1.6393442622950821E-2</v>
      </c>
      <c r="S36" s="199">
        <f t="shared" ca="1" si="13"/>
        <v>6.8306010928961755E-2</v>
      </c>
      <c r="T36" s="199">
        <f t="shared" ca="1" si="4"/>
        <v>8.4699453551912579E-2</v>
      </c>
      <c r="U36" s="415">
        <f t="shared" ca="1" si="14"/>
        <v>1.0083767759562841</v>
      </c>
      <c r="V36" s="233">
        <f ca="1">IF(B36&lt;&gt;"",1/PRODUCT($U$11:U36),0)</f>
        <v>0.80771711659235301</v>
      </c>
      <c r="AA36" s="240">
        <f t="shared" ca="1" si="5"/>
        <v>784.78</v>
      </c>
      <c r="AB36" s="240">
        <f ca="1">IF(B36&lt;&gt;"",AA36/((1+$V$5)^(SUM($T$11:T36))),0)</f>
        <v>553.7141405349671</v>
      </c>
      <c r="AD36">
        <f t="shared" ca="1" si="15"/>
        <v>1.0083997260273974</v>
      </c>
      <c r="AE36">
        <f ca="1">IF(B36&lt;&gt;"",1/PRODUCT($AD$11:AD36),0)</f>
        <v>0.80757597644739387</v>
      </c>
    </row>
    <row r="37" spans="1:31" ht="13" x14ac:dyDescent="0.3">
      <c r="A37" s="24"/>
      <c r="B37" s="248">
        <f t="shared" si="1"/>
        <v>27</v>
      </c>
      <c r="C37" s="249">
        <f t="shared" ca="1" si="6"/>
        <v>47022</v>
      </c>
      <c r="D37" s="249">
        <f t="shared" ca="1" si="16"/>
        <v>47022</v>
      </c>
      <c r="E37" s="250">
        <f t="shared" ca="1" si="7"/>
        <v>107.64</v>
      </c>
      <c r="F37" s="250">
        <f t="shared" ca="1" si="8"/>
        <v>677.14</v>
      </c>
      <c r="G37" s="250">
        <f t="shared" ca="1" si="2"/>
        <v>14250.650000000005</v>
      </c>
      <c r="H37" s="250">
        <f t="shared" ca="1" si="3"/>
        <v>784.78</v>
      </c>
      <c r="I37" s="99"/>
      <c r="K37" s="231"/>
      <c r="L37" s="199" t="str">
        <f t="shared" si="9"/>
        <v>R</v>
      </c>
      <c r="M37" s="231">
        <f t="shared" ca="1" si="10"/>
        <v>47026</v>
      </c>
      <c r="N37" s="231">
        <f t="shared" ca="1" si="17"/>
        <v>47022</v>
      </c>
      <c r="O37" s="199">
        <f t="shared" ca="1" si="18"/>
        <v>6</v>
      </c>
      <c r="P37" s="199">
        <f t="shared" ca="1" si="11"/>
        <v>25</v>
      </c>
      <c r="Q37" s="199">
        <f t="shared" ca="1" si="0"/>
        <v>366</v>
      </c>
      <c r="R37" s="199">
        <f t="shared" ca="1" si="12"/>
        <v>1.6393442622950821E-2</v>
      </c>
      <c r="S37" s="199">
        <f t="shared" ca="1" si="13"/>
        <v>6.8306010928961755E-2</v>
      </c>
      <c r="T37" s="199">
        <f t="shared" ca="1" si="4"/>
        <v>8.4699453551912579E-2</v>
      </c>
      <c r="U37" s="415">
        <f t="shared" ca="1" si="14"/>
        <v>1.0083767759562841</v>
      </c>
      <c r="V37" s="233">
        <f ca="1">IF(B37&lt;&gt;"",1/PRODUCT($U$11:U37),0)</f>
        <v>0.80100725825063013</v>
      </c>
      <c r="AA37" s="240">
        <f t="shared" ca="1" si="5"/>
        <v>784.78</v>
      </c>
      <c r="AB37" s="240">
        <f ca="1">IF(B37&lt;&gt;"",AA37/((1+$V$5)^(SUM($T$11:T37))),0)</f>
        <v>546.22114099671126</v>
      </c>
      <c r="AD37">
        <f t="shared" ca="1" si="15"/>
        <v>1.0083997260273974</v>
      </c>
      <c r="AE37">
        <f ca="1">IF(B37&lt;&gt;"",1/PRODUCT($AD$11:AD37),0)</f>
        <v>0.80084906372282461</v>
      </c>
    </row>
    <row r="38" spans="1:31" ht="13" x14ac:dyDescent="0.3">
      <c r="A38" s="24"/>
      <c r="B38" s="248">
        <f t="shared" si="1"/>
        <v>28</v>
      </c>
      <c r="C38" s="249">
        <f t="shared" ca="1" si="6"/>
        <v>47052</v>
      </c>
      <c r="D38" s="249">
        <f t="shared" ca="1" si="16"/>
        <v>47052</v>
      </c>
      <c r="E38" s="250">
        <f t="shared" ca="1" si="7"/>
        <v>99.44</v>
      </c>
      <c r="F38" s="250">
        <f t="shared" ca="1" si="8"/>
        <v>685.34</v>
      </c>
      <c r="G38" s="250">
        <f t="shared" ca="1" si="2"/>
        <v>13565.310000000005</v>
      </c>
      <c r="H38" s="250">
        <f t="shared" ca="1" si="3"/>
        <v>784.78</v>
      </c>
      <c r="I38" s="99"/>
      <c r="K38" s="231"/>
      <c r="L38" s="199" t="str">
        <f t="shared" si="9"/>
        <v>R</v>
      </c>
      <c r="M38" s="231">
        <f t="shared" ca="1" si="10"/>
        <v>47057</v>
      </c>
      <c r="N38" s="231">
        <f t="shared" ca="1" si="17"/>
        <v>47052</v>
      </c>
      <c r="O38" s="199">
        <f t="shared" ca="1" si="18"/>
        <v>5</v>
      </c>
      <c r="P38" s="199">
        <f t="shared" ca="1" si="11"/>
        <v>25</v>
      </c>
      <c r="Q38" s="199">
        <f t="shared" ca="1" si="0"/>
        <v>366</v>
      </c>
      <c r="R38" s="199">
        <f t="shared" ca="1" si="12"/>
        <v>1.3661202185792349E-2</v>
      </c>
      <c r="S38" s="199">
        <f t="shared" ca="1" si="13"/>
        <v>6.8306010928961755E-2</v>
      </c>
      <c r="T38" s="199">
        <f t="shared" ca="1" si="4"/>
        <v>8.1967213114754106E-2</v>
      </c>
      <c r="U38" s="415">
        <f t="shared" ca="1" si="14"/>
        <v>1.0081065573770491</v>
      </c>
      <c r="V38" s="233">
        <f ca="1">IF(B38&lt;&gt;"",1/PRODUCT($U$11:U38),0)</f>
        <v>0.79456606287210141</v>
      </c>
      <c r="AA38" s="240">
        <f t="shared" ca="1" si="5"/>
        <v>784.78</v>
      </c>
      <c r="AB38" s="240">
        <f ca="1">IF(B38&lt;&gt;"",AA38/((1+$V$5)^(SUM($T$11:T38))),0)</f>
        <v>539.06640882139607</v>
      </c>
      <c r="AD38">
        <f t="shared" ca="1" si="15"/>
        <v>1.0081287671232877</v>
      </c>
      <c r="AE38">
        <f ca="1">IF(B38&lt;&gt;"",1/PRODUCT($AD$11:AD38),0)</f>
        <v>0.79439163908402366</v>
      </c>
    </row>
    <row r="39" spans="1:31" ht="13" x14ac:dyDescent="0.3">
      <c r="A39" s="24"/>
      <c r="B39" s="248">
        <f t="shared" si="1"/>
        <v>29</v>
      </c>
      <c r="C39" s="249">
        <f t="shared" ca="1" si="6"/>
        <v>47083</v>
      </c>
      <c r="D39" s="249">
        <f t="shared" ca="1" si="16"/>
        <v>47083</v>
      </c>
      <c r="E39" s="250">
        <f t="shared" ca="1" si="7"/>
        <v>97.82</v>
      </c>
      <c r="F39" s="250">
        <f t="shared" ca="1" si="8"/>
        <v>686.96</v>
      </c>
      <c r="G39" s="250">
        <f t="shared" ca="1" si="2"/>
        <v>12878.350000000006</v>
      </c>
      <c r="H39" s="250">
        <f t="shared" ca="1" si="3"/>
        <v>784.78</v>
      </c>
      <c r="I39" s="99"/>
      <c r="K39" s="231"/>
      <c r="L39" s="199" t="str">
        <f t="shared" si="9"/>
        <v>R</v>
      </c>
      <c r="M39" s="231">
        <f t="shared" ca="1" si="10"/>
        <v>47087</v>
      </c>
      <c r="N39" s="231">
        <f t="shared" ca="1" si="17"/>
        <v>47083</v>
      </c>
      <c r="O39" s="199">
        <f t="shared" ca="1" si="18"/>
        <v>6</v>
      </c>
      <c r="P39" s="199">
        <f t="shared" ca="1" si="11"/>
        <v>25</v>
      </c>
      <c r="Q39" s="199">
        <f t="shared" ca="1" si="0"/>
        <v>366</v>
      </c>
      <c r="R39" s="199">
        <f t="shared" ca="1" si="12"/>
        <v>1.6393442622950821E-2</v>
      </c>
      <c r="S39" s="199">
        <f t="shared" ca="1" si="13"/>
        <v>6.8306010928961755E-2</v>
      </c>
      <c r="T39" s="199">
        <f t="shared" ca="1" si="4"/>
        <v>8.4699453551912579E-2</v>
      </c>
      <c r="U39" s="415">
        <f t="shared" ca="1" si="14"/>
        <v>1.0083767759562841</v>
      </c>
      <c r="V39" s="233">
        <f ca="1">IF(B39&lt;&gt;"",1/PRODUCT($U$11:U39),0)</f>
        <v>0.78796545281259833</v>
      </c>
      <c r="AA39" s="240">
        <f t="shared" ca="1" si="5"/>
        <v>784.78</v>
      </c>
      <c r="AB39" s="240">
        <f ca="1">IF(B39&lt;&gt;"",AA39/((1+$V$5)^(SUM($T$11:T39))),0)</f>
        <v>531.77162608659819</v>
      </c>
      <c r="AD39">
        <f t="shared" ca="1" si="15"/>
        <v>1.0083997260273974</v>
      </c>
      <c r="AE39">
        <f ca="1">IF(B39&lt;&gt;"",1/PRODUCT($AD$11:AD39),0)</f>
        <v>0.78777454870355723</v>
      </c>
    </row>
    <row r="40" spans="1:31" ht="13" x14ac:dyDescent="0.3">
      <c r="A40" s="24"/>
      <c r="B40" s="248">
        <f t="shared" si="1"/>
        <v>30</v>
      </c>
      <c r="C40" s="249">
        <f t="shared" ca="1" si="6"/>
        <v>47113</v>
      </c>
      <c r="D40" s="249">
        <f t="shared" ca="1" si="16"/>
        <v>47113</v>
      </c>
      <c r="E40" s="250">
        <f t="shared" ca="1" si="7"/>
        <v>89.87</v>
      </c>
      <c r="F40" s="250">
        <f t="shared" ca="1" si="8"/>
        <v>694.91</v>
      </c>
      <c r="G40" s="250">
        <f t="shared" ca="1" si="2"/>
        <v>12183.440000000006</v>
      </c>
      <c r="H40" s="250">
        <f t="shared" ca="1" si="3"/>
        <v>784.78</v>
      </c>
      <c r="I40" s="99"/>
      <c r="K40" s="231"/>
      <c r="L40" s="199" t="str">
        <f t="shared" si="9"/>
        <v>R</v>
      </c>
      <c r="M40" s="231">
        <f t="shared" ca="1" si="10"/>
        <v>47118</v>
      </c>
      <c r="N40" s="231">
        <f t="shared" ca="1" si="17"/>
        <v>47113</v>
      </c>
      <c r="O40" s="199">
        <f t="shared" ca="1" si="18"/>
        <v>5</v>
      </c>
      <c r="P40" s="199">
        <f t="shared" ca="1" si="11"/>
        <v>25</v>
      </c>
      <c r="Q40" s="199">
        <f t="shared" ca="1" si="0"/>
        <v>366</v>
      </c>
      <c r="R40" s="199">
        <f t="shared" ca="1" si="12"/>
        <v>1.3661202185792349E-2</v>
      </c>
      <c r="S40" s="199">
        <f t="shared" ca="1" si="13"/>
        <v>6.8306010928961755E-2</v>
      </c>
      <c r="T40" s="199">
        <f t="shared" ca="1" si="4"/>
        <v>8.1967213114754106E-2</v>
      </c>
      <c r="U40" s="415">
        <f t="shared" ca="1" si="14"/>
        <v>1.0081065573770491</v>
      </c>
      <c r="V40" s="233">
        <f ca="1">IF(B40&lt;&gt;"",1/PRODUCT($U$11:U40),0)</f>
        <v>0.78162913141124013</v>
      </c>
      <c r="AA40" s="240">
        <f t="shared" ca="1" si="5"/>
        <v>784.78</v>
      </c>
      <c r="AB40" s="240">
        <f ca="1">IF(B40&lt;&gt;"",AA40/((1+$V$5)^(SUM($T$11:T40))),0)</f>
        <v>524.80616232564068</v>
      </c>
      <c r="AD40">
        <f t="shared" ca="1" si="15"/>
        <v>1.0081287671232877</v>
      </c>
      <c r="AE40">
        <f ca="1">IF(B40&lt;&gt;"",1/PRODUCT($AD$11:AD40),0)</f>
        <v>0.78142254679576817</v>
      </c>
    </row>
    <row r="41" spans="1:31" ht="13" x14ac:dyDescent="0.3">
      <c r="A41" s="24"/>
      <c r="B41" s="248">
        <f t="shared" si="1"/>
        <v>31</v>
      </c>
      <c r="C41" s="249">
        <f t="shared" ca="1" si="6"/>
        <v>47144</v>
      </c>
      <c r="D41" s="249">
        <f t="shared" ca="1" si="16"/>
        <v>47144</v>
      </c>
      <c r="E41" s="250">
        <f t="shared" ca="1" si="7"/>
        <v>87.85</v>
      </c>
      <c r="F41" s="250">
        <f t="shared" ca="1" si="8"/>
        <v>696.93</v>
      </c>
      <c r="G41" s="250">
        <f t="shared" ca="1" si="2"/>
        <v>11486.510000000006</v>
      </c>
      <c r="H41" s="250">
        <f t="shared" ca="1" si="3"/>
        <v>784.78</v>
      </c>
      <c r="I41" s="99"/>
      <c r="K41" s="231"/>
      <c r="L41" s="199" t="str">
        <f t="shared" si="9"/>
        <v>R</v>
      </c>
      <c r="M41" s="231">
        <f t="shared" ca="1" si="10"/>
        <v>47149</v>
      </c>
      <c r="N41" s="231">
        <f t="shared" ca="1" si="17"/>
        <v>47144</v>
      </c>
      <c r="O41" s="199">
        <f t="shared" ca="1" si="18"/>
        <v>6</v>
      </c>
      <c r="P41" s="199">
        <f t="shared" ca="1" si="11"/>
        <v>25</v>
      </c>
      <c r="Q41" s="199">
        <f t="shared" ca="1" si="0"/>
        <v>365</v>
      </c>
      <c r="R41" s="199">
        <f t="shared" ca="1" si="12"/>
        <v>1.6393442622950821E-2</v>
      </c>
      <c r="S41" s="199">
        <f t="shared" ca="1" si="13"/>
        <v>6.8493150684931503E-2</v>
      </c>
      <c r="T41" s="199">
        <f t="shared" ca="1" si="4"/>
        <v>8.4886593307882327E-2</v>
      </c>
      <c r="U41" s="415">
        <f t="shared" ca="1" si="14"/>
        <v>1.0083952840781496</v>
      </c>
      <c r="V41" s="233">
        <f ca="1">IF(B41&lt;&gt;"",1/PRODUCT($U$11:U41),0)</f>
        <v>0.77512176400724286</v>
      </c>
      <c r="AA41" s="240">
        <f t="shared" ca="1" si="5"/>
        <v>784.78</v>
      </c>
      <c r="AB41" s="240">
        <f ca="1">IF(B41&lt;&gt;"",AA41/((1+$V$5)^(SUM($T$11:T41))),0)</f>
        <v>517.68876859254146</v>
      </c>
      <c r="AD41">
        <f t="shared" ca="1" si="15"/>
        <v>1.0083997260273974</v>
      </c>
      <c r="AE41">
        <f ca="1">IF(B41&lt;&gt;"",1/PRODUCT($AD$11:AD41),0)</f>
        <v>0.77491348581994512</v>
      </c>
    </row>
    <row r="42" spans="1:31" ht="13" x14ac:dyDescent="0.3">
      <c r="A42" s="24"/>
      <c r="B42" s="248">
        <f t="shared" si="1"/>
        <v>32</v>
      </c>
      <c r="C42" s="249">
        <f t="shared" ca="1" si="6"/>
        <v>47175</v>
      </c>
      <c r="D42" s="249">
        <f t="shared" ca="1" si="16"/>
        <v>47175</v>
      </c>
      <c r="E42" s="250">
        <f t="shared" ca="1" si="7"/>
        <v>82.83</v>
      </c>
      <c r="F42" s="250">
        <f t="shared" ca="1" si="8"/>
        <v>701.95</v>
      </c>
      <c r="G42" s="250">
        <f t="shared" ca="1" si="2"/>
        <v>10784.560000000005</v>
      </c>
      <c r="H42" s="250">
        <f t="shared" ca="1" si="3"/>
        <v>784.78</v>
      </c>
      <c r="I42" s="99"/>
      <c r="K42" s="231"/>
      <c r="L42" s="199" t="str">
        <f t="shared" si="9"/>
        <v>R</v>
      </c>
      <c r="M42" s="231">
        <f t="shared" ca="1" si="10"/>
        <v>47177</v>
      </c>
      <c r="N42" s="231">
        <f t="shared" ca="1" si="17"/>
        <v>47175</v>
      </c>
      <c r="O42" s="199">
        <f t="shared" ca="1" si="18"/>
        <v>6</v>
      </c>
      <c r="P42" s="199">
        <f t="shared" ca="1" si="11"/>
        <v>25</v>
      </c>
      <c r="Q42" s="199">
        <f t="shared" ca="1" si="0"/>
        <v>365</v>
      </c>
      <c r="R42" s="199">
        <f t="shared" ca="1" si="12"/>
        <v>1.643835616438356E-2</v>
      </c>
      <c r="S42" s="199">
        <f t="shared" ca="1" si="13"/>
        <v>6.8493150684931503E-2</v>
      </c>
      <c r="T42" s="199">
        <f t="shared" ca="1" si="4"/>
        <v>8.4931506849315067E-2</v>
      </c>
      <c r="U42" s="415">
        <f t="shared" ca="1" si="14"/>
        <v>1.0083997260273974</v>
      </c>
      <c r="V42" s="233">
        <f ca="1">IF(B42&lt;&gt;"",1/PRODUCT($U$11:U42),0)</f>
        <v>0.76866518702939779</v>
      </c>
      <c r="AA42" s="240">
        <f t="shared" ca="1" si="5"/>
        <v>784.78</v>
      </c>
      <c r="AB42" s="240">
        <f ca="1">IF(B42&lt;&gt;"",AA42/((1+$V$5)^(SUM($T$11:T42))),0)</f>
        <v>510.66421115369423</v>
      </c>
      <c r="AD42">
        <f t="shared" ca="1" si="15"/>
        <v>1.0083997260273974</v>
      </c>
      <c r="AE42">
        <f ca="1">IF(B42&lt;&gt;"",1/PRODUCT($AD$11:AD42),0)</f>
        <v>0.76845864374906758</v>
      </c>
    </row>
    <row r="43" spans="1:31" ht="13" x14ac:dyDescent="0.3">
      <c r="A43" s="24"/>
      <c r="B43" s="248">
        <f t="shared" si="1"/>
        <v>33</v>
      </c>
      <c r="C43" s="249">
        <f t="shared" ca="1" si="6"/>
        <v>47203</v>
      </c>
      <c r="D43" s="249">
        <f t="shared" ca="1" si="16"/>
        <v>47203</v>
      </c>
      <c r="E43" s="250">
        <f t="shared" ca="1" si="7"/>
        <v>70.239999999999995</v>
      </c>
      <c r="F43" s="250">
        <f t="shared" ca="1" si="8"/>
        <v>714.54</v>
      </c>
      <c r="G43" s="250">
        <f t="shared" ca="1" si="2"/>
        <v>10070.020000000004</v>
      </c>
      <c r="H43" s="250">
        <f t="shared" ca="1" si="3"/>
        <v>784.78</v>
      </c>
      <c r="I43" s="99"/>
      <c r="K43" s="231"/>
      <c r="L43" s="199" t="str">
        <f t="shared" si="9"/>
        <v>R</v>
      </c>
      <c r="M43" s="231">
        <f t="shared" ca="1" si="10"/>
        <v>47208</v>
      </c>
      <c r="N43" s="231">
        <f t="shared" ca="1" si="17"/>
        <v>47203</v>
      </c>
      <c r="O43" s="199">
        <f t="shared" ca="1" si="18"/>
        <v>3</v>
      </c>
      <c r="P43" s="199">
        <f t="shared" ca="1" si="11"/>
        <v>25</v>
      </c>
      <c r="Q43" s="199">
        <f t="shared" ca="1" si="0"/>
        <v>365</v>
      </c>
      <c r="R43" s="199">
        <f t="shared" ca="1" si="12"/>
        <v>8.21917808219178E-3</v>
      </c>
      <c r="S43" s="199">
        <f t="shared" ca="1" si="13"/>
        <v>6.8493150684931503E-2</v>
      </c>
      <c r="T43" s="199">
        <f t="shared" ca="1" si="4"/>
        <v>7.6712328767123278E-2</v>
      </c>
      <c r="U43" s="415">
        <f t="shared" ca="1" si="14"/>
        <v>1.0075868493150686</v>
      </c>
      <c r="V43" s="233">
        <f ca="1">IF(B43&lt;&gt;"",1/PRODUCT($U$11:U43),0)</f>
        <v>0.76287735151755542</v>
      </c>
      <c r="AA43" s="240">
        <f t="shared" ca="1" si="5"/>
        <v>784.78</v>
      </c>
      <c r="AB43" s="240">
        <f ca="1">IF(B43&lt;&gt;"",AA43/((1+$V$5)^(SUM($T$11:T43))),0)</f>
        <v>504.40141236428599</v>
      </c>
      <c r="AD43">
        <f t="shared" ca="1" si="15"/>
        <v>1.0075868493150686</v>
      </c>
      <c r="AE43">
        <f ca="1">IF(B43&lt;&gt;"",1/PRODUCT($AD$11:AD43),0)</f>
        <v>0.76267236345079914</v>
      </c>
    </row>
    <row r="44" spans="1:31" ht="13" x14ac:dyDescent="0.3">
      <c r="A44" s="24"/>
      <c r="B44" s="248">
        <f t="shared" si="1"/>
        <v>34</v>
      </c>
      <c r="C44" s="249">
        <f t="shared" ca="1" si="6"/>
        <v>47234</v>
      </c>
      <c r="D44" s="249">
        <f t="shared" ca="1" si="16"/>
        <v>47234</v>
      </c>
      <c r="E44" s="250">
        <f t="shared" ca="1" si="7"/>
        <v>72.61</v>
      </c>
      <c r="F44" s="250">
        <f t="shared" ca="1" si="8"/>
        <v>712.17</v>
      </c>
      <c r="G44" s="250">
        <f t="shared" ca="1" si="2"/>
        <v>9357.850000000004</v>
      </c>
      <c r="H44" s="250">
        <f t="shared" ca="1" si="3"/>
        <v>784.78</v>
      </c>
      <c r="I44" s="99"/>
      <c r="K44" s="231"/>
      <c r="L44" s="199" t="str">
        <f t="shared" si="9"/>
        <v>R</v>
      </c>
      <c r="M44" s="231">
        <f t="shared" ca="1" si="10"/>
        <v>47238</v>
      </c>
      <c r="N44" s="231">
        <f t="shared" ca="1" si="17"/>
        <v>47234</v>
      </c>
      <c r="O44" s="199">
        <f t="shared" ca="1" si="18"/>
        <v>6</v>
      </c>
      <c r="P44" s="199">
        <f t="shared" ca="1" si="11"/>
        <v>25</v>
      </c>
      <c r="Q44" s="199">
        <f t="shared" ca="1" si="0"/>
        <v>365</v>
      </c>
      <c r="R44" s="199">
        <f t="shared" ca="1" si="12"/>
        <v>1.643835616438356E-2</v>
      </c>
      <c r="S44" s="199">
        <f t="shared" ca="1" si="13"/>
        <v>6.8493150684931503E-2</v>
      </c>
      <c r="T44" s="199">
        <f t="shared" ca="1" si="4"/>
        <v>8.4931506849315067E-2</v>
      </c>
      <c r="U44" s="415">
        <f t="shared" ca="1" si="14"/>
        <v>1.0083997260273974</v>
      </c>
      <c r="V44" s="233">
        <f ca="1">IF(B44&lt;&gt;"",1/PRODUCT($U$11:U44),0)</f>
        <v>0.75652276753675829</v>
      </c>
      <c r="AA44" s="240">
        <f t="shared" ca="1" si="5"/>
        <v>784.78</v>
      </c>
      <c r="AB44" s="240">
        <f ca="1">IF(B44&lt;&gt;"",AA44/((1+$V$5)^(SUM($T$11:T44))),0)</f>
        <v>497.55715205123801</v>
      </c>
      <c r="AD44">
        <f t="shared" ca="1" si="15"/>
        <v>1.0083997260273974</v>
      </c>
      <c r="AE44">
        <f ca="1">IF(B44&lt;&gt;"",1/PRODUCT($AD$11:AD44),0)</f>
        <v>0.75631948697106055</v>
      </c>
    </row>
    <row r="45" spans="1:31" ht="13" x14ac:dyDescent="0.3">
      <c r="A45" s="24"/>
      <c r="B45" s="248">
        <f t="shared" si="1"/>
        <v>35</v>
      </c>
      <c r="C45" s="249">
        <f t="shared" ca="1" si="6"/>
        <v>47264</v>
      </c>
      <c r="D45" s="249">
        <f t="shared" ca="1" si="16"/>
        <v>47264</v>
      </c>
      <c r="E45" s="250">
        <f t="shared" ca="1" si="7"/>
        <v>65.3</v>
      </c>
      <c r="F45" s="250">
        <f t="shared" ca="1" si="8"/>
        <v>719.48</v>
      </c>
      <c r="G45" s="250">
        <f t="shared" ca="1" si="2"/>
        <v>8638.3700000000044</v>
      </c>
      <c r="H45" s="250">
        <f t="shared" ca="1" si="3"/>
        <v>784.78</v>
      </c>
      <c r="I45" s="99"/>
      <c r="K45" s="231"/>
      <c r="L45" s="199" t="str">
        <f t="shared" si="9"/>
        <v>R</v>
      </c>
      <c r="M45" s="231">
        <f t="shared" ca="1" si="10"/>
        <v>47269</v>
      </c>
      <c r="N45" s="231">
        <f t="shared" ca="1" si="17"/>
        <v>47264</v>
      </c>
      <c r="O45" s="199">
        <f t="shared" ca="1" si="18"/>
        <v>5</v>
      </c>
      <c r="P45" s="199">
        <f t="shared" ca="1" si="11"/>
        <v>25</v>
      </c>
      <c r="Q45" s="199">
        <f t="shared" ca="1" si="0"/>
        <v>365</v>
      </c>
      <c r="R45" s="199">
        <f t="shared" ca="1" si="12"/>
        <v>1.3698630136986301E-2</v>
      </c>
      <c r="S45" s="199">
        <f t="shared" ca="1" si="13"/>
        <v>6.8493150684931503E-2</v>
      </c>
      <c r="T45" s="199">
        <f t="shared" ca="1" si="4"/>
        <v>8.2191780821917804E-2</v>
      </c>
      <c r="U45" s="415">
        <f t="shared" ca="1" si="14"/>
        <v>1.0081287671232877</v>
      </c>
      <c r="V45" s="233">
        <f ca="1">IF(B45&lt;&gt;"",1/PRODUCT($U$11:U45),0)</f>
        <v>0.75042275571156325</v>
      </c>
      <c r="AA45" s="240">
        <f t="shared" ca="1" si="5"/>
        <v>784.78</v>
      </c>
      <c r="AB45" s="240">
        <f ca="1">IF(B45&lt;&gt;"",AA45/((1+$V$5)^(SUM($T$11:T45))),0)</f>
        <v>491.02211215008481</v>
      </c>
      <c r="AD45">
        <f t="shared" ca="1" si="15"/>
        <v>1.0081287671232877</v>
      </c>
      <c r="AE45">
        <f ca="1">IF(B45&lt;&gt;"",1/PRODUCT($AD$11:AD45),0)</f>
        <v>0.75022111424241067</v>
      </c>
    </row>
    <row r="46" spans="1:31" ht="13" x14ac:dyDescent="0.3">
      <c r="A46" s="24"/>
      <c r="B46" s="248">
        <f t="shared" si="1"/>
        <v>36</v>
      </c>
      <c r="C46" s="249">
        <f t="shared" ca="1" si="6"/>
        <v>47295</v>
      </c>
      <c r="D46" s="249">
        <f t="shared" ca="1" si="16"/>
        <v>47295</v>
      </c>
      <c r="E46" s="250">
        <f t="shared" ca="1" si="7"/>
        <v>62.29</v>
      </c>
      <c r="F46" s="250">
        <f t="shared" ca="1" si="8"/>
        <v>722.49</v>
      </c>
      <c r="G46" s="250">
        <f t="shared" ca="1" si="2"/>
        <v>7915.8800000000047</v>
      </c>
      <c r="H46" s="250">
        <f t="shared" ca="1" si="3"/>
        <v>784.78</v>
      </c>
      <c r="I46" s="99"/>
      <c r="K46" s="231"/>
      <c r="L46" s="199" t="str">
        <f t="shared" si="9"/>
        <v>R</v>
      </c>
      <c r="M46" s="231">
        <f t="shared" ca="1" si="10"/>
        <v>47299</v>
      </c>
      <c r="N46" s="231">
        <f t="shared" ca="1" si="17"/>
        <v>47295</v>
      </c>
      <c r="O46" s="199">
        <f t="shared" ca="1" si="18"/>
        <v>6</v>
      </c>
      <c r="P46" s="199">
        <f t="shared" ca="1" si="11"/>
        <v>25</v>
      </c>
      <c r="Q46" s="199">
        <f t="shared" ca="1" si="0"/>
        <v>365</v>
      </c>
      <c r="R46" s="199">
        <f t="shared" ca="1" si="12"/>
        <v>1.643835616438356E-2</v>
      </c>
      <c r="S46" s="199">
        <f t="shared" ca="1" si="13"/>
        <v>6.8493150684931503E-2</v>
      </c>
      <c r="T46" s="199">
        <f t="shared" ca="1" si="4"/>
        <v>8.4931506849315067E-2</v>
      </c>
      <c r="U46" s="415">
        <f t="shared" ca="1" si="14"/>
        <v>1.0083997260273974</v>
      </c>
      <c r="V46" s="233">
        <f ca="1">IF(B46&lt;&gt;"",1/PRODUCT($U$11:U46),0)</f>
        <v>0.74417191550404571</v>
      </c>
      <c r="AA46" s="240">
        <f t="shared" ca="1" si="5"/>
        <v>784.78</v>
      </c>
      <c r="AB46" s="240">
        <f ca="1">IF(B46&lt;&gt;"",AA46/((1+$V$5)^(SUM($T$11:T46))),0)</f>
        <v>484.35939655762593</v>
      </c>
      <c r="AD46">
        <f t="shared" ca="1" si="15"/>
        <v>1.0083997260273974</v>
      </c>
      <c r="AE46">
        <f ca="1">IF(B46&lt;&gt;"",1/PRODUCT($AD$11:AD46),0)</f>
        <v>0.74397195365960245</v>
      </c>
    </row>
    <row r="47" spans="1:31" ht="13" x14ac:dyDescent="0.3">
      <c r="A47" s="24"/>
      <c r="B47" s="248">
        <f t="shared" si="1"/>
        <v>37</v>
      </c>
      <c r="C47" s="249">
        <f t="shared" ca="1" si="6"/>
        <v>47325</v>
      </c>
      <c r="D47" s="249">
        <f t="shared" ca="1" si="16"/>
        <v>47325</v>
      </c>
      <c r="E47" s="250">
        <f t="shared" ca="1" si="7"/>
        <v>55.24</v>
      </c>
      <c r="F47" s="250">
        <f t="shared" ca="1" si="8"/>
        <v>729.54</v>
      </c>
      <c r="G47" s="250">
        <f t="shared" ca="1" si="2"/>
        <v>7186.3400000000047</v>
      </c>
      <c r="H47" s="250">
        <f t="shared" ca="1" si="3"/>
        <v>784.78</v>
      </c>
      <c r="I47" s="99"/>
      <c r="K47" s="231"/>
      <c r="L47" s="199" t="str">
        <f t="shared" si="9"/>
        <v>R</v>
      </c>
      <c r="M47" s="231">
        <f t="shared" ca="1" si="10"/>
        <v>47330</v>
      </c>
      <c r="N47" s="231">
        <f t="shared" ca="1" si="17"/>
        <v>47325</v>
      </c>
      <c r="O47" s="199">
        <f t="shared" ca="1" si="18"/>
        <v>5</v>
      </c>
      <c r="P47" s="199">
        <f t="shared" ca="1" si="11"/>
        <v>25</v>
      </c>
      <c r="Q47" s="199">
        <f t="shared" ca="1" si="0"/>
        <v>365</v>
      </c>
      <c r="R47" s="199">
        <f t="shared" ca="1" si="12"/>
        <v>1.3698630136986301E-2</v>
      </c>
      <c r="S47" s="199">
        <f t="shared" ca="1" si="13"/>
        <v>6.8493150684931503E-2</v>
      </c>
      <c r="T47" s="199">
        <f t="shared" ca="1" si="4"/>
        <v>8.2191780821917804E-2</v>
      </c>
      <c r="U47" s="415">
        <f t="shared" ca="1" si="14"/>
        <v>1.0081287671232877</v>
      </c>
      <c r="V47" s="233">
        <f ca="1">IF(B47&lt;&gt;"",1/PRODUCT($U$11:U47),0)</f>
        <v>0.7381714913537808</v>
      </c>
      <c r="AA47" s="240">
        <f t="shared" ca="1" si="5"/>
        <v>784.78</v>
      </c>
      <c r="AB47" s="240">
        <f ca="1">IF(B47&lt;&gt;"",AA47/((1+$V$5)^(SUM($T$11:T47))),0)</f>
        <v>477.99769927329748</v>
      </c>
      <c r="AD47">
        <f t="shared" ca="1" si="15"/>
        <v>1.0081287671232877</v>
      </c>
      <c r="AE47">
        <f ca="1">IF(B47&lt;&gt;"",1/PRODUCT($AD$11:AD47),0)</f>
        <v>0.73797314184629292</v>
      </c>
    </row>
    <row r="48" spans="1:31" ht="13" x14ac:dyDescent="0.3">
      <c r="A48" s="24"/>
      <c r="B48" s="248">
        <f t="shared" si="1"/>
        <v>38</v>
      </c>
      <c r="C48" s="249">
        <f t="shared" ca="1" si="6"/>
        <v>47356</v>
      </c>
      <c r="D48" s="249">
        <f t="shared" ca="1" si="16"/>
        <v>47356</v>
      </c>
      <c r="E48" s="250">
        <f t="shared" ca="1" si="7"/>
        <v>51.82</v>
      </c>
      <c r="F48" s="250">
        <f t="shared" ca="1" si="8"/>
        <v>732.96</v>
      </c>
      <c r="G48" s="250">
        <f t="shared" ca="1" si="2"/>
        <v>6453.3800000000047</v>
      </c>
      <c r="H48" s="250">
        <f t="shared" ca="1" si="3"/>
        <v>784.78</v>
      </c>
      <c r="I48" s="99"/>
      <c r="K48" s="231"/>
      <c r="L48" s="199" t="str">
        <f t="shared" si="9"/>
        <v>R</v>
      </c>
      <c r="M48" s="231">
        <f t="shared" ca="1" si="10"/>
        <v>47361</v>
      </c>
      <c r="N48" s="231">
        <f t="shared" ca="1" si="17"/>
        <v>47356</v>
      </c>
      <c r="O48" s="199">
        <f t="shared" ca="1" si="18"/>
        <v>6</v>
      </c>
      <c r="P48" s="199">
        <f t="shared" ca="1" si="11"/>
        <v>25</v>
      </c>
      <c r="Q48" s="199">
        <f t="shared" ca="1" si="0"/>
        <v>365</v>
      </c>
      <c r="R48" s="199">
        <f t="shared" ca="1" si="12"/>
        <v>1.643835616438356E-2</v>
      </c>
      <c r="S48" s="199">
        <f t="shared" ca="1" si="13"/>
        <v>6.8493150684931503E-2</v>
      </c>
      <c r="T48" s="199">
        <f t="shared" ca="1" si="4"/>
        <v>8.4931506849315067E-2</v>
      </c>
      <c r="U48" s="415">
        <f t="shared" ca="1" si="14"/>
        <v>1.0083997260273974</v>
      </c>
      <c r="V48" s="233">
        <f ca="1">IF(B48&lt;&gt;"",1/PRODUCT($U$11:U48),0)</f>
        <v>0.73202270121771662</v>
      </c>
      <c r="AA48" s="240">
        <f t="shared" ca="1" si="5"/>
        <v>784.78</v>
      </c>
      <c r="AB48" s="240">
        <f ca="1">IF(B48&lt;&gt;"",AA48/((1+$V$5)^(SUM($T$11:T48))),0)</f>
        <v>471.51171290872776</v>
      </c>
      <c r="AD48">
        <f t="shared" ca="1" si="15"/>
        <v>1.0083997260273974</v>
      </c>
      <c r="AE48">
        <f ca="1">IF(B48&lt;&gt;"",1/PRODUCT($AD$11:AD48),0)</f>
        <v>0.7318260039136929</v>
      </c>
    </row>
    <row r="49" spans="1:31" ht="13" x14ac:dyDescent="0.3">
      <c r="A49" s="24"/>
      <c r="B49" s="248">
        <f t="shared" si="1"/>
        <v>39</v>
      </c>
      <c r="C49" s="249">
        <f t="shared" ca="1" si="6"/>
        <v>47387</v>
      </c>
      <c r="D49" s="249">
        <f t="shared" ca="1" si="16"/>
        <v>47387</v>
      </c>
      <c r="E49" s="250">
        <f t="shared" ca="1" si="7"/>
        <v>46.53</v>
      </c>
      <c r="F49" s="250">
        <f t="shared" ca="1" si="8"/>
        <v>738.25</v>
      </c>
      <c r="G49" s="250">
        <f t="shared" ca="1" si="2"/>
        <v>5715.1300000000047</v>
      </c>
      <c r="H49" s="250">
        <f t="shared" ca="1" si="3"/>
        <v>784.78</v>
      </c>
      <c r="I49" s="99"/>
      <c r="K49" s="231"/>
      <c r="L49" s="199" t="str">
        <f t="shared" si="9"/>
        <v>R</v>
      </c>
      <c r="M49" s="231">
        <f t="shared" ca="1" si="10"/>
        <v>47391</v>
      </c>
      <c r="N49" s="231">
        <f t="shared" ca="1" si="17"/>
        <v>47387</v>
      </c>
      <c r="O49" s="199">
        <f t="shared" ca="1" si="18"/>
        <v>6</v>
      </c>
      <c r="P49" s="199">
        <f t="shared" ca="1" si="11"/>
        <v>25</v>
      </c>
      <c r="Q49" s="199">
        <f t="shared" ca="1" si="0"/>
        <v>365</v>
      </c>
      <c r="R49" s="199">
        <f t="shared" ca="1" si="12"/>
        <v>1.643835616438356E-2</v>
      </c>
      <c r="S49" s="199">
        <f t="shared" ca="1" si="13"/>
        <v>6.8493150684931503E-2</v>
      </c>
      <c r="T49" s="199">
        <f t="shared" ca="1" si="4"/>
        <v>8.4931506849315067E-2</v>
      </c>
      <c r="U49" s="415">
        <f t="shared" ca="1" si="14"/>
        <v>1.0083997260273974</v>
      </c>
      <c r="V49" s="233">
        <f ca="1">IF(B49&lt;&gt;"",1/PRODUCT($U$11:U49),0)</f>
        <v>0.7259251290175659</v>
      </c>
      <c r="AA49" s="240">
        <f t="shared" ca="1" si="5"/>
        <v>784.78</v>
      </c>
      <c r="AB49" s="240">
        <f ca="1">IF(B49&lt;&gt;"",AA49/((1+$V$5)^(SUM($T$11:T49))),0)</f>
        <v>465.11373537596899</v>
      </c>
      <c r="AD49">
        <f t="shared" ca="1" si="15"/>
        <v>1.0083997260273974</v>
      </c>
      <c r="AE49">
        <f ca="1">IF(B49&lt;&gt;"",1/PRODUCT($AD$11:AD49),0)</f>
        <v>0.72573007015455082</v>
      </c>
    </row>
    <row r="50" spans="1:31" ht="13" x14ac:dyDescent="0.3">
      <c r="A50" s="24"/>
      <c r="B50" s="248">
        <f t="shared" si="1"/>
        <v>40</v>
      </c>
      <c r="C50" s="249">
        <f t="shared" ca="1" si="6"/>
        <v>47417</v>
      </c>
      <c r="D50" s="249">
        <f t="shared" ca="1" si="16"/>
        <v>47417</v>
      </c>
      <c r="E50" s="250">
        <f t="shared" ca="1" si="7"/>
        <v>39.880000000000003</v>
      </c>
      <c r="F50" s="250">
        <f t="shared" ca="1" si="8"/>
        <v>744.9</v>
      </c>
      <c r="G50" s="250">
        <f t="shared" ca="1" si="2"/>
        <v>4970.230000000005</v>
      </c>
      <c r="H50" s="250">
        <f t="shared" ca="1" si="3"/>
        <v>784.78</v>
      </c>
      <c r="I50" s="99"/>
      <c r="K50" s="231"/>
      <c r="L50" s="199" t="str">
        <f t="shared" si="9"/>
        <v>R</v>
      </c>
      <c r="M50" s="231">
        <f t="shared" ca="1" si="10"/>
        <v>47422</v>
      </c>
      <c r="N50" s="231">
        <f t="shared" ca="1" si="17"/>
        <v>47417</v>
      </c>
      <c r="O50" s="199">
        <f t="shared" ca="1" si="18"/>
        <v>5</v>
      </c>
      <c r="P50" s="199">
        <f t="shared" ca="1" si="11"/>
        <v>25</v>
      </c>
      <c r="Q50" s="199">
        <f t="shared" ca="1" si="0"/>
        <v>365</v>
      </c>
      <c r="R50" s="199">
        <f t="shared" ca="1" si="12"/>
        <v>1.3698630136986301E-2</v>
      </c>
      <c r="S50" s="199">
        <f t="shared" ca="1" si="13"/>
        <v>6.8493150684931503E-2</v>
      </c>
      <c r="T50" s="199">
        <f t="shared" ca="1" si="4"/>
        <v>8.2191780821917804E-2</v>
      </c>
      <c r="U50" s="415">
        <f t="shared" ca="1" si="14"/>
        <v>1.0081287671232877</v>
      </c>
      <c r="V50" s="233">
        <f ca="1">IF(B50&lt;&gt;"",1/PRODUCT($U$11:U50),0)</f>
        <v>0.72007183277688369</v>
      </c>
      <c r="AA50" s="240">
        <f t="shared" ca="1" si="5"/>
        <v>784.78</v>
      </c>
      <c r="AB50" s="240">
        <f ca="1">IF(B50&lt;&gt;"",AA50/((1+$V$5)^(SUM($T$11:T50))),0)</f>
        <v>459.00481541225122</v>
      </c>
      <c r="AD50">
        <f t="shared" ca="1" si="15"/>
        <v>1.0081287671232877</v>
      </c>
      <c r="AE50">
        <f ca="1">IF(B50&lt;&gt;"",1/PRODUCT($AD$11:AD50),0)</f>
        <v>0.71987834671699102</v>
      </c>
    </row>
    <row r="51" spans="1:31" ht="13" x14ac:dyDescent="0.3">
      <c r="A51" s="24"/>
      <c r="B51" s="248">
        <f t="shared" si="1"/>
        <v>41</v>
      </c>
      <c r="C51" s="249">
        <f t="shared" ca="1" si="6"/>
        <v>47448</v>
      </c>
      <c r="D51" s="249">
        <f t="shared" ca="1" si="16"/>
        <v>47448</v>
      </c>
      <c r="E51" s="250">
        <f t="shared" ca="1" si="7"/>
        <v>35.840000000000003</v>
      </c>
      <c r="F51" s="250">
        <f t="shared" ca="1" si="8"/>
        <v>748.94</v>
      </c>
      <c r="G51" s="250">
        <f t="shared" ca="1" si="2"/>
        <v>4221.2900000000045</v>
      </c>
      <c r="H51" s="250">
        <f t="shared" ca="1" si="3"/>
        <v>784.78</v>
      </c>
      <c r="I51" s="99"/>
      <c r="K51" s="231"/>
      <c r="L51" s="199" t="str">
        <f t="shared" si="9"/>
        <v>R</v>
      </c>
      <c r="M51" s="231">
        <f t="shared" ca="1" si="10"/>
        <v>47452</v>
      </c>
      <c r="N51" s="231">
        <f t="shared" ca="1" si="17"/>
        <v>47448</v>
      </c>
      <c r="O51" s="199">
        <f t="shared" ca="1" si="18"/>
        <v>6</v>
      </c>
      <c r="P51" s="199">
        <f t="shared" ca="1" si="11"/>
        <v>25</v>
      </c>
      <c r="Q51" s="199">
        <f t="shared" ca="1" si="0"/>
        <v>365</v>
      </c>
      <c r="R51" s="199">
        <f t="shared" ca="1" si="12"/>
        <v>1.643835616438356E-2</v>
      </c>
      <c r="S51" s="199">
        <f t="shared" ca="1" si="13"/>
        <v>6.8493150684931503E-2</v>
      </c>
      <c r="T51" s="199">
        <f t="shared" ca="1" si="4"/>
        <v>8.4931506849315067E-2</v>
      </c>
      <c r="U51" s="415">
        <f t="shared" ca="1" si="14"/>
        <v>1.0083997260273974</v>
      </c>
      <c r="V51" s="233">
        <f ca="1">IF(B51&lt;&gt;"",1/PRODUCT($U$11:U51),0)</f>
        <v>0.71407380842279211</v>
      </c>
      <c r="AA51" s="240">
        <f t="shared" ca="1" si="5"/>
        <v>784.78</v>
      </c>
      <c r="AB51" s="240">
        <f ca="1">IF(B51&lt;&gt;"",AA51/((1+$V$5)^(SUM($T$11:T51))),0)</f>
        <v>452.77654490266133</v>
      </c>
      <c r="AD51">
        <f t="shared" ca="1" si="15"/>
        <v>1.0083997260273974</v>
      </c>
      <c r="AE51">
        <f ca="1">IF(B51&lt;&gt;"",1/PRODUCT($AD$11:AD51),0)</f>
        <v>0.71388193405502032</v>
      </c>
    </row>
    <row r="52" spans="1:31" ht="13" x14ac:dyDescent="0.3">
      <c r="A52" s="24"/>
      <c r="B52" s="248">
        <f t="shared" si="1"/>
        <v>42</v>
      </c>
      <c r="C52" s="249">
        <f t="shared" ca="1" si="6"/>
        <v>47478</v>
      </c>
      <c r="D52" s="249">
        <f t="shared" ca="1" si="16"/>
        <v>47478</v>
      </c>
      <c r="E52" s="250">
        <f t="shared" ca="1" si="7"/>
        <v>29.46</v>
      </c>
      <c r="F52" s="250">
        <f t="shared" ca="1" si="8"/>
        <v>755.32</v>
      </c>
      <c r="G52" s="250">
        <f t="shared" ca="1" si="2"/>
        <v>3465.9700000000043</v>
      </c>
      <c r="H52" s="250">
        <f t="shared" ca="1" si="3"/>
        <v>784.78</v>
      </c>
      <c r="I52" s="99"/>
      <c r="K52" s="231"/>
      <c r="L52" s="199" t="str">
        <f t="shared" si="9"/>
        <v>R</v>
      </c>
      <c r="M52" s="231">
        <f t="shared" ca="1" si="10"/>
        <v>47483</v>
      </c>
      <c r="N52" s="231">
        <f t="shared" ca="1" si="17"/>
        <v>47478</v>
      </c>
      <c r="O52" s="199">
        <f t="shared" ca="1" si="18"/>
        <v>5</v>
      </c>
      <c r="P52" s="199">
        <f t="shared" ca="1" si="11"/>
        <v>25</v>
      </c>
      <c r="Q52" s="199">
        <f t="shared" ca="1" si="0"/>
        <v>365</v>
      </c>
      <c r="R52" s="199">
        <f t="shared" ca="1" si="12"/>
        <v>1.3698630136986301E-2</v>
      </c>
      <c r="S52" s="199">
        <f t="shared" ca="1" si="13"/>
        <v>6.8493150684931503E-2</v>
      </c>
      <c r="T52" s="199">
        <f t="shared" ca="1" si="4"/>
        <v>8.2191780821917804E-2</v>
      </c>
      <c r="U52" s="415">
        <f t="shared" ca="1" si="14"/>
        <v>1.0081287671232877</v>
      </c>
      <c r="V52" s="233">
        <f ca="1">IF(B52&lt;&gt;"",1/PRODUCT($U$11:U52),0)</f>
        <v>0.70831607202363012</v>
      </c>
      <c r="AA52" s="240">
        <f t="shared" ca="1" si="5"/>
        <v>784.78</v>
      </c>
      <c r="AB52" s="240">
        <f ca="1">IF(B52&lt;&gt;"",AA52/((1+$V$5)^(SUM($T$11:T52))),0)</f>
        <v>446.82966467986347</v>
      </c>
      <c r="AD52">
        <f t="shared" ca="1" si="15"/>
        <v>1.0081287671232877</v>
      </c>
      <c r="AE52">
        <f ca="1">IF(B52&lt;&gt;"",1/PRODUCT($AD$11:AD52),0)</f>
        <v>0.70812574478168533</v>
      </c>
    </row>
    <row r="53" spans="1:31" ht="13" x14ac:dyDescent="0.3">
      <c r="A53" s="24"/>
      <c r="B53" s="248">
        <f t="shared" si="1"/>
        <v>43</v>
      </c>
      <c r="C53" s="249">
        <f t="shared" ca="1" si="6"/>
        <v>47509</v>
      </c>
      <c r="D53" s="249">
        <f t="shared" ca="1" si="16"/>
        <v>47509</v>
      </c>
      <c r="E53" s="250">
        <f t="shared" ca="1" si="7"/>
        <v>24.99</v>
      </c>
      <c r="F53" s="250">
        <f t="shared" ca="1" si="8"/>
        <v>759.79</v>
      </c>
      <c r="G53" s="250">
        <f t="shared" ca="1" si="2"/>
        <v>2706.1800000000044</v>
      </c>
      <c r="H53" s="250">
        <f t="shared" ca="1" si="3"/>
        <v>784.78</v>
      </c>
      <c r="I53" s="99"/>
      <c r="K53" s="231"/>
      <c r="L53" s="199" t="str">
        <f t="shared" si="9"/>
        <v>R</v>
      </c>
      <c r="M53" s="231">
        <f t="shared" ca="1" si="10"/>
        <v>47514</v>
      </c>
      <c r="N53" s="231">
        <f t="shared" ca="1" si="17"/>
        <v>47509</v>
      </c>
      <c r="O53" s="199">
        <f t="shared" ca="1" si="18"/>
        <v>6</v>
      </c>
      <c r="P53" s="199">
        <f t="shared" ca="1" si="11"/>
        <v>25</v>
      </c>
      <c r="Q53" s="199">
        <f t="shared" ca="1" si="0"/>
        <v>365</v>
      </c>
      <c r="R53" s="199">
        <f t="shared" ca="1" si="12"/>
        <v>1.643835616438356E-2</v>
      </c>
      <c r="S53" s="199">
        <f t="shared" ca="1" si="13"/>
        <v>6.8493150684931503E-2</v>
      </c>
      <c r="T53" s="199">
        <f t="shared" ca="1" si="4"/>
        <v>8.4931506849315067E-2</v>
      </c>
      <c r="U53" s="415">
        <f t="shared" ca="1" si="14"/>
        <v>1.0083997260273974</v>
      </c>
      <c r="V53" s="233">
        <f ca="1">IF(B53&lt;&gt;"",1/PRODUCT($U$11:U53),0)</f>
        <v>0.70241597031570968</v>
      </c>
      <c r="AA53" s="240">
        <f t="shared" ca="1" si="5"/>
        <v>784.78</v>
      </c>
      <c r="AB53" s="240">
        <f ca="1">IF(B53&lt;&gt;"",AA53/((1+$V$5)^(SUM($T$11:T53))),0)</f>
        <v>440.76659969690451</v>
      </c>
      <c r="AD53">
        <f t="shared" ca="1" si="15"/>
        <v>1.0083997260273974</v>
      </c>
      <c r="AE53">
        <f ca="1">IF(B53&lt;&gt;"",1/PRODUCT($AD$11:AD53),0)</f>
        <v>0.70222722845369567</v>
      </c>
    </row>
    <row r="54" spans="1:31" ht="13" x14ac:dyDescent="0.3">
      <c r="A54" s="24"/>
      <c r="B54" s="248">
        <f t="shared" si="1"/>
        <v>44</v>
      </c>
      <c r="C54" s="249">
        <f t="shared" ca="1" si="6"/>
        <v>47540</v>
      </c>
      <c r="D54" s="249">
        <f t="shared" ca="1" si="16"/>
        <v>47540</v>
      </c>
      <c r="E54" s="250">
        <f t="shared" ca="1" si="7"/>
        <v>19.510000000000002</v>
      </c>
      <c r="F54" s="250">
        <f t="shared" ca="1" si="8"/>
        <v>765.27</v>
      </c>
      <c r="G54" s="250">
        <f t="shared" ca="1" si="2"/>
        <v>1940.9100000000044</v>
      </c>
      <c r="H54" s="250">
        <f t="shared" ca="1" si="3"/>
        <v>784.78</v>
      </c>
      <c r="I54" s="99"/>
      <c r="K54" s="231"/>
      <c r="L54" s="199" t="str">
        <f t="shared" si="9"/>
        <v>R</v>
      </c>
      <c r="M54" s="231">
        <f t="shared" ca="1" si="10"/>
        <v>47542</v>
      </c>
      <c r="N54" s="231">
        <f t="shared" ca="1" si="17"/>
        <v>47540</v>
      </c>
      <c r="O54" s="199">
        <f t="shared" ca="1" si="18"/>
        <v>6</v>
      </c>
      <c r="P54" s="199">
        <f t="shared" ca="1" si="11"/>
        <v>25</v>
      </c>
      <c r="Q54" s="199">
        <f t="shared" ca="1" si="0"/>
        <v>365</v>
      </c>
      <c r="R54" s="199">
        <f t="shared" ca="1" si="12"/>
        <v>1.643835616438356E-2</v>
      </c>
      <c r="S54" s="199">
        <f t="shared" ca="1" si="13"/>
        <v>6.8493150684931503E-2</v>
      </c>
      <c r="T54" s="199">
        <f t="shared" ca="1" si="4"/>
        <v>8.4931506849315067E-2</v>
      </c>
      <c r="U54" s="415">
        <f t="shared" ca="1" si="14"/>
        <v>1.0083997260273974</v>
      </c>
      <c r="V54" s="233">
        <f ca="1">IF(B54&lt;&gt;"",1/PRODUCT($U$11:U54),0)</f>
        <v>0.69656501502919443</v>
      </c>
      <c r="AA54" s="240">
        <f t="shared" ca="1" si="5"/>
        <v>784.78</v>
      </c>
      <c r="AB54" s="240">
        <f ca="1">IF(B54&lt;&gt;"",AA54/((1+$V$5)^(SUM($T$11:T54))),0)</f>
        <v>434.78580489404635</v>
      </c>
      <c r="AD54">
        <f t="shared" ca="1" si="15"/>
        <v>1.0083997260273974</v>
      </c>
      <c r="AE54">
        <f ca="1">IF(B54&lt;&gt;"",1/PRODUCT($AD$11:AD54),0)</f>
        <v>0.69637784534127967</v>
      </c>
    </row>
    <row r="55" spans="1:31" ht="13" x14ac:dyDescent="0.3">
      <c r="A55" s="24"/>
      <c r="B55" s="248">
        <f t="shared" si="1"/>
        <v>45</v>
      </c>
      <c r="C55" s="249">
        <f t="shared" ca="1" si="6"/>
        <v>47568</v>
      </c>
      <c r="D55" s="249">
        <f t="shared" ca="1" si="16"/>
        <v>47568</v>
      </c>
      <c r="E55" s="250">
        <f t="shared" ca="1" si="7"/>
        <v>12.64</v>
      </c>
      <c r="F55" s="250">
        <f t="shared" ca="1" si="8"/>
        <v>772.14</v>
      </c>
      <c r="G55" s="250">
        <f t="shared" ca="1" si="2"/>
        <v>1168.7700000000045</v>
      </c>
      <c r="H55" s="250">
        <f t="shared" ca="1" si="3"/>
        <v>784.78</v>
      </c>
      <c r="I55" s="99"/>
      <c r="K55" s="231"/>
      <c r="L55" s="199" t="str">
        <f t="shared" si="9"/>
        <v>R</v>
      </c>
      <c r="M55" s="231">
        <f t="shared" ca="1" si="10"/>
        <v>47573</v>
      </c>
      <c r="N55" s="231">
        <f t="shared" ca="1" si="17"/>
        <v>47568</v>
      </c>
      <c r="O55" s="199">
        <f t="shared" ca="1" si="18"/>
        <v>3</v>
      </c>
      <c r="P55" s="199">
        <f t="shared" ca="1" si="11"/>
        <v>25</v>
      </c>
      <c r="Q55" s="199">
        <f t="shared" ca="1" si="0"/>
        <v>365</v>
      </c>
      <c r="R55" s="199">
        <f t="shared" ca="1" si="12"/>
        <v>8.21917808219178E-3</v>
      </c>
      <c r="S55" s="199">
        <f t="shared" ca="1" si="13"/>
        <v>6.8493150684931503E-2</v>
      </c>
      <c r="T55" s="199">
        <f t="shared" ca="1" si="4"/>
        <v>7.6712328767123278E-2</v>
      </c>
      <c r="U55" s="415">
        <f t="shared" ca="1" si="14"/>
        <v>1.0075868493150686</v>
      </c>
      <c r="V55" s="233">
        <f ca="1">IF(B55&lt;&gt;"",1/PRODUCT($U$11:U55),0)</f>
        <v>0.69132007380078575</v>
      </c>
      <c r="AA55" s="240">
        <f t="shared" ca="1" si="5"/>
        <v>784.78</v>
      </c>
      <c r="AB55" s="240">
        <f ca="1">IF(B55&lt;&gt;"",AA55/((1+$V$5)^(SUM($T$11:T55))),0)</f>
        <v>429.45358079635491</v>
      </c>
      <c r="AD55">
        <f t="shared" ca="1" si="15"/>
        <v>1.0075868493150686</v>
      </c>
      <c r="AE55">
        <f ca="1">IF(B55&lt;&gt;"",1/PRODUCT($AD$11:AD55),0)</f>
        <v>0.69113431344867127</v>
      </c>
    </row>
    <row r="56" spans="1:31" ht="13" x14ac:dyDescent="0.3">
      <c r="A56" s="24"/>
      <c r="B56" s="248">
        <f t="shared" si="1"/>
        <v>46</v>
      </c>
      <c r="C56" s="249">
        <f t="shared" ca="1" si="6"/>
        <v>47599</v>
      </c>
      <c r="D56" s="249">
        <f t="shared" ca="1" si="16"/>
        <v>47599</v>
      </c>
      <c r="E56" s="250">
        <f t="shared" ca="1" si="7"/>
        <v>8.43</v>
      </c>
      <c r="F56" s="250">
        <f t="shared" ca="1" si="8"/>
        <v>776.35</v>
      </c>
      <c r="G56" s="250">
        <f t="shared" ca="1" si="2"/>
        <v>392.42000000000451</v>
      </c>
      <c r="H56" s="250">
        <f t="shared" ca="1" si="3"/>
        <v>784.78</v>
      </c>
      <c r="I56" s="99"/>
      <c r="K56" s="231"/>
      <c r="L56" s="199" t="str">
        <f t="shared" si="9"/>
        <v>R</v>
      </c>
      <c r="M56" s="231">
        <f t="shared" ca="1" si="10"/>
        <v>47603</v>
      </c>
      <c r="N56" s="231">
        <f t="shared" ca="1" si="17"/>
        <v>47599</v>
      </c>
      <c r="O56" s="199">
        <f t="shared" ca="1" si="18"/>
        <v>6</v>
      </c>
      <c r="P56" s="199">
        <f t="shared" ca="1" si="11"/>
        <v>25</v>
      </c>
      <c r="Q56" s="199">
        <f t="shared" ca="1" si="0"/>
        <v>365</v>
      </c>
      <c r="R56" s="199">
        <f t="shared" ca="1" si="12"/>
        <v>1.643835616438356E-2</v>
      </c>
      <c r="S56" s="199">
        <f t="shared" ca="1" si="13"/>
        <v>6.8493150684931503E-2</v>
      </c>
      <c r="T56" s="199">
        <f t="shared" ca="1" si="4"/>
        <v>8.4931506849315067E-2</v>
      </c>
      <c r="U56" s="415">
        <f t="shared" ca="1" si="14"/>
        <v>1.0083997260273974</v>
      </c>
      <c r="V56" s="233">
        <f ca="1">IF(B56&lt;&gt;"",1/PRODUCT($U$11:U56),0)</f>
        <v>0.68556154465079977</v>
      </c>
      <c r="AA56" s="240">
        <f t="shared" ca="1" si="5"/>
        <v>784.78</v>
      </c>
      <c r="AB56" s="240">
        <f ca="1">IF(B56&lt;&gt;"",AA56/((1+$V$5)^(SUM($T$11:T56))),0)</f>
        <v>423.62629318912269</v>
      </c>
      <c r="AD56">
        <f t="shared" ca="1" si="15"/>
        <v>1.0083997260273974</v>
      </c>
      <c r="AE56">
        <f ca="1">IF(B56&lt;&gt;"",1/PRODUCT($AD$11:AD56),0)</f>
        <v>0.68537733163752745</v>
      </c>
    </row>
    <row r="57" spans="1:31" ht="13" x14ac:dyDescent="0.3">
      <c r="A57" s="24"/>
      <c r="B57" s="248">
        <f t="shared" si="1"/>
        <v>47</v>
      </c>
      <c r="C57" s="249">
        <f t="shared" ca="1" si="6"/>
        <v>47629</v>
      </c>
      <c r="D57" s="249">
        <f t="shared" ca="1" si="16"/>
        <v>47629</v>
      </c>
      <c r="E57" s="250">
        <f t="shared" ca="1" si="7"/>
        <v>2.74</v>
      </c>
      <c r="F57" s="250">
        <f t="shared" ca="1" si="8"/>
        <v>782.04</v>
      </c>
      <c r="G57" s="250">
        <f t="shared" ca="1" si="2"/>
        <v>-389.61999999999546</v>
      </c>
      <c r="H57" s="250">
        <f t="shared" ca="1" si="3"/>
        <v>784.78</v>
      </c>
      <c r="I57" s="99"/>
      <c r="K57" s="231"/>
      <c r="L57" s="199" t="str">
        <f t="shared" si="9"/>
        <v>R</v>
      </c>
      <c r="M57" s="231">
        <f t="shared" ca="1" si="10"/>
        <v>47634</v>
      </c>
      <c r="N57" s="231">
        <f t="shared" ca="1" si="17"/>
        <v>47629</v>
      </c>
      <c r="O57" s="199">
        <f t="shared" ca="1" si="18"/>
        <v>5</v>
      </c>
      <c r="P57" s="199">
        <f t="shared" ca="1" si="11"/>
        <v>25</v>
      </c>
      <c r="Q57" s="199">
        <f t="shared" ca="1" si="0"/>
        <v>365</v>
      </c>
      <c r="R57" s="199">
        <f t="shared" ca="1" si="12"/>
        <v>1.3698630136986301E-2</v>
      </c>
      <c r="S57" s="199">
        <f t="shared" ca="1" si="13"/>
        <v>6.8493150684931503E-2</v>
      </c>
      <c r="T57" s="199">
        <f t="shared" ca="1" si="4"/>
        <v>8.2191780821917804E-2</v>
      </c>
      <c r="U57" s="415">
        <f t="shared" ca="1" si="14"/>
        <v>1.0081287671232877</v>
      </c>
      <c r="V57" s="233">
        <f ca="1">IF(B57&lt;&gt;"",1/PRODUCT($U$11:U57),0)</f>
        <v>0.68003370899439863</v>
      </c>
      <c r="AA57" s="240">
        <f t="shared" ca="1" si="5"/>
        <v>784.78</v>
      </c>
      <c r="AB57" s="240">
        <f ca="1">IF(B57&lt;&gt;"",AA57/((1+$V$5)^(SUM($T$11:T57))),0)</f>
        <v>418.06227965267681</v>
      </c>
      <c r="AD57">
        <f t="shared" ca="1" si="15"/>
        <v>1.0081287671232877</v>
      </c>
      <c r="AE57">
        <f ca="1">IF(B57&lt;&gt;"",1/PRODUCT($AD$11:AD57),0)</f>
        <v>0.67985098133174304</v>
      </c>
    </row>
    <row r="58" spans="1:31" ht="13" x14ac:dyDescent="0.3">
      <c r="A58" s="24"/>
      <c r="B58" s="248">
        <f t="shared" si="1"/>
        <v>48</v>
      </c>
      <c r="C58" s="249">
        <f t="shared" ca="1" si="6"/>
        <v>47660</v>
      </c>
      <c r="D58" s="249">
        <f t="shared" ca="1" si="16"/>
        <v>47660</v>
      </c>
      <c r="E58" s="250">
        <f t="shared" ca="1" si="7"/>
        <v>1174.3999999999955</v>
      </c>
      <c r="F58" s="250">
        <f t="shared" ca="1" si="8"/>
        <v>-389.61999999999546</v>
      </c>
      <c r="G58" s="250">
        <f t="shared" ca="1" si="2"/>
        <v>0</v>
      </c>
      <c r="H58" s="250">
        <f t="shared" ca="1" si="3"/>
        <v>784.78</v>
      </c>
      <c r="I58" s="99"/>
      <c r="K58" s="231"/>
      <c r="L58" s="199" t="str">
        <f t="shared" si="9"/>
        <v>R</v>
      </c>
      <c r="M58" s="231">
        <f t="shared" ca="1" si="10"/>
        <v>47664</v>
      </c>
      <c r="N58" s="231">
        <f t="shared" ca="1" si="17"/>
        <v>47660</v>
      </c>
      <c r="O58" s="199">
        <f t="shared" ca="1" si="18"/>
        <v>6</v>
      </c>
      <c r="P58" s="199">
        <f t="shared" ca="1" si="11"/>
        <v>25</v>
      </c>
      <c r="Q58" s="199">
        <f t="shared" ca="1" si="0"/>
        <v>365</v>
      </c>
      <c r="R58" s="199">
        <f t="shared" ca="1" si="12"/>
        <v>1.643835616438356E-2</v>
      </c>
      <c r="S58" s="199">
        <f t="shared" ca="1" si="13"/>
        <v>6.8493150684931503E-2</v>
      </c>
      <c r="T58" s="199">
        <f t="shared" ca="1" si="4"/>
        <v>8.4931506849315067E-2</v>
      </c>
      <c r="U58" s="415">
        <f t="shared" ca="1" si="14"/>
        <v>1.0083997260273974</v>
      </c>
      <c r="V58" s="233">
        <f ca="1">IF(B58&lt;&gt;"",1/PRODUCT($U$11:U58),0)</f>
        <v>0.67436919253578087</v>
      </c>
      <c r="AA58" s="240">
        <f t="shared" ca="1" si="5"/>
        <v>784.78</v>
      </c>
      <c r="AB58" s="240">
        <f ca="1">IF(B58&lt;&gt;"",AA58/((1+$V$5)^(SUM($T$11:T58))),0)</f>
        <v>412.38956145865507</v>
      </c>
      <c r="AD58">
        <f t="shared" ca="1" si="15"/>
        <v>1.0083997260273974</v>
      </c>
      <c r="AE58">
        <f ca="1">IF(B58&lt;&gt;"",1/PRODUCT($AD$11:AD58),0)</f>
        <v>0.67418798695039717</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106498"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Arkusz23">
    <tabColor indexed="18"/>
  </sheetPr>
  <dimension ref="A1:AI200"/>
  <sheetViews>
    <sheetView workbookViewId="0">
      <selection activeCell="D2" sqref="D2"/>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46229</v>
      </c>
      <c r="C1" s="85"/>
      <c r="D1" s="217">
        <f>IF(D3=D4,D4,D3-F_SKROCONY!$D$12+5%)</f>
        <v>9.7400000000000014E-2</v>
      </c>
      <c r="E1" s="218" t="str">
        <f ca="1">IF(I2&lt;&gt;"",I2,IF(I3&lt;&gt;"",I3,I4))</f>
        <v/>
      </c>
      <c r="F1" s="218">
        <f ca="1">IF(G2&lt;=MAX_,E2,IF(G3&lt;=MAX_,E3,E4))</f>
        <v>46229</v>
      </c>
      <c r="G1" s="214">
        <v>45</v>
      </c>
      <c r="H1" s="255">
        <f ca="1">IF(OR(H2=D4,D1=D4),1,0)</f>
        <v>0</v>
      </c>
      <c r="I1">
        <v>15</v>
      </c>
      <c r="K1" s="252"/>
      <c r="M1" s="252"/>
      <c r="N1" s="252"/>
      <c r="O1" s="252"/>
      <c r="P1" s="252"/>
      <c r="Q1" s="252"/>
      <c r="R1" s="252"/>
      <c r="S1" s="252"/>
      <c r="T1" s="252"/>
    </row>
    <row r="2" spans="1:33" ht="13" x14ac:dyDescent="0.3">
      <c r="A2" s="205"/>
      <c r="B2" s="350">
        <f ca="1">DATE(YEAR((E5)),MONTH((E5))+1,1)-1</f>
        <v>46203</v>
      </c>
      <c r="C2" s="351">
        <f ca="1">DAY(B2)</f>
        <v>30</v>
      </c>
      <c r="D2" s="4"/>
      <c r="E2" s="213">
        <f ca="1">IF(MOD(MONTH(F2)-MONTH(F3),12)&gt;1,DATE(YEAR(F2),MONTH(F2),DAY(F2)-DAY(F2)),F2)</f>
        <v>46260</v>
      </c>
      <c r="F2" s="213">
        <f ca="1">DATE(YEAR(E5),MONTH(E5)+2,$G$5)</f>
        <v>46260</v>
      </c>
      <c r="G2" s="215">
        <f ca="1">E2-$E$5</f>
        <v>61</v>
      </c>
      <c r="H2" s="221">
        <f ca="1">ROUND(AE4,2)</f>
        <v>782.55</v>
      </c>
      <c r="I2" s="264" t="str">
        <f ca="1">IF(AND(G2&lt;=MAX_,G2&gt;=MIN),E2,"")</f>
        <v/>
      </c>
    </row>
    <row r="3" spans="1:33" ht="13.5" thickBot="1" x14ac:dyDescent="0.35">
      <c r="A3" s="209" t="s">
        <v>59</v>
      </c>
      <c r="B3" s="254"/>
      <c r="C3" s="4"/>
      <c r="D3" s="212">
        <f>'DOD1'!H3</f>
        <v>8.4900000000000003E-2</v>
      </c>
      <c r="E3" s="213">
        <f ca="1">IF(MOD(MONTH(F3)-MONTH(F4),12)&gt;1,DATE(YEAR(F3),MONTH(F3),DAY(F3)-DAY(F3)),F3)</f>
        <v>46229</v>
      </c>
      <c r="F3" s="213">
        <f ca="1">DATE(YEAR(E5),MONTH(E5)+1,$G$5)</f>
        <v>46229</v>
      </c>
      <c r="G3" s="215">
        <f ca="1">E3-E5</f>
        <v>30</v>
      </c>
      <c r="I3" s="265"/>
      <c r="P3" s="411" t="s">
        <v>180</v>
      </c>
      <c r="Q3" s="412">
        <v>365</v>
      </c>
    </row>
    <row r="4" spans="1:33" ht="13.5" thickBot="1" x14ac:dyDescent="0.35">
      <c r="A4" s="211" t="s">
        <v>19</v>
      </c>
      <c r="B4" s="204"/>
      <c r="C4" s="204"/>
      <c r="D4" s="206" t="s">
        <v>15</v>
      </c>
      <c r="E4" s="213">
        <f ca="1">IF(MOD(MONTH(F4)-MONTH(F5),12)&gt;1,DATE(YEAR(F4),MONTH(F4),DAY(F4)-DAY(F4)),F4)</f>
        <v>46199</v>
      </c>
      <c r="F4" s="213">
        <f ca="1">DATE(YEAR(E5),MONTH(E5),$G$5)</f>
        <v>46199</v>
      </c>
      <c r="G4" s="215">
        <f ca="1">(E4-E5)</f>
        <v>0</v>
      </c>
      <c r="H4" s="262">
        <f ca="1">VLOOKUP(B6,B11:D130,3,FALSE)</f>
        <v>47660</v>
      </c>
      <c r="I4" s="265" t="str">
        <f ca="1">IF(AND(G4&lt;=MAX_,G4&gt;=MIN),E4,"")</f>
        <v/>
      </c>
      <c r="M4" s="916"/>
      <c r="U4" s="945" t="s">
        <v>121</v>
      </c>
      <c r="V4" s="946">
        <f ca="1">G10/V9</f>
        <v>782.45165238699656</v>
      </c>
      <c r="AD4" s="413" t="s">
        <v>121</v>
      </c>
      <c r="AE4" s="203">
        <f ca="1">G10/AE9</f>
        <v>782.54671863292469</v>
      </c>
      <c r="AF4" s="609" t="s">
        <v>1959</v>
      </c>
    </row>
    <row r="5" spans="1:33" ht="13.5" thickBot="1" x14ac:dyDescent="0.35">
      <c r="A5" s="210" t="s">
        <v>60</v>
      </c>
      <c r="B5" s="2"/>
      <c r="C5" s="615">
        <f>'DOD1'!E8</f>
        <v>48</v>
      </c>
      <c r="D5" s="2"/>
      <c r="E5" s="614">
        <f ca="1">WERSJA2!D18</f>
        <v>46199</v>
      </c>
      <c r="F5" s="618">
        <f ca="1">DATE(YEAR(E5),MONTH(E5)-1,$G$5)</f>
        <v>46168</v>
      </c>
      <c r="G5" s="615">
        <f ca="1">WERSJA2!D19</f>
        <v>26</v>
      </c>
      <c r="H5" s="262">
        <f ca="1">D11</f>
        <v>46229</v>
      </c>
      <c r="I5" s="263" t="s">
        <v>167</v>
      </c>
      <c r="M5" s="916"/>
      <c r="U5" s="228" t="s">
        <v>150</v>
      </c>
      <c r="V5" s="229">
        <v>0.17451905146291249</v>
      </c>
      <c r="AD5" s="609" t="s">
        <v>1817</v>
      </c>
    </row>
    <row r="6" spans="1:33" ht="13.5" thickBot="1" x14ac:dyDescent="0.35">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45</v>
      </c>
      <c r="AB7" s="226" t="s">
        <v>144</v>
      </c>
      <c r="AD7" s="178" t="s">
        <v>182</v>
      </c>
      <c r="AE7" s="178" t="s">
        <v>183</v>
      </c>
    </row>
    <row r="8" spans="1:33" ht="13.5" thickBot="1" x14ac:dyDescent="0.35">
      <c r="A8" s="192" t="str">
        <f>WERSJA2!C4</f>
        <v>RODZAJ POŻYCZKI</v>
      </c>
      <c r="B8" s="24"/>
      <c r="C8" s="24"/>
      <c r="E8" s="207" t="s">
        <v>5</v>
      </c>
      <c r="F8" s="241">
        <f>D1</f>
        <v>9.7400000000000014E-2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-3488.538597187915</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46203</v>
      </c>
      <c r="N9" s="232">
        <f ca="1">D10</f>
        <v>46199</v>
      </c>
      <c r="Q9" s="199">
        <f ca="1">IF(B9&lt;&gt;"",IF(MOD(YEAR(N9),4)=0,366,365),0)</f>
        <v>365</v>
      </c>
      <c r="U9" s="234"/>
      <c r="V9" s="235">
        <f ca="1">SUM(V11:V130)</f>
        <v>39.619061325296506</v>
      </c>
      <c r="Z9" s="236">
        <f ca="1">G10/((1+$V$5)^(0/Q9))</f>
        <v>31000</v>
      </c>
      <c r="AA9" s="237">
        <f>G10</f>
        <v>31000</v>
      </c>
      <c r="AB9" s="236">
        <f ca="1">SUM(AB10:AB130)</f>
        <v>27511.461402812085</v>
      </c>
      <c r="AE9" s="235">
        <f ca="1">SUM(AE11:AE130)</f>
        <v>39.614248276646869</v>
      </c>
      <c r="AF9">
        <v>11.930682479761785</v>
      </c>
      <c r="AG9" s="653"/>
    </row>
    <row r="10" spans="1:33" ht="13" x14ac:dyDescent="0.3">
      <c r="A10" s="194" t="str">
        <f>WERSJA2!C6</f>
        <v>SEGMENT KLIENTA</v>
      </c>
      <c r="B10" s="242">
        <v>0</v>
      </c>
      <c r="C10" s="243">
        <f ca="1">E5</f>
        <v>46199</v>
      </c>
      <c r="D10" s="243">
        <f ca="1">E5</f>
        <v>46199</v>
      </c>
      <c r="E10" s="24"/>
      <c r="F10" s="24"/>
      <c r="G10" s="244">
        <f>'DOD1'!K3</f>
        <v>31000</v>
      </c>
      <c r="H10" s="24"/>
      <c r="I10" s="99"/>
      <c r="K10" s="919">
        <v>0</v>
      </c>
      <c r="L10" s="199" t="s">
        <v>147</v>
      </c>
      <c r="M10" s="232">
        <f ca="1">DATE(YEAR((N11)),MONTH((N11)+1),1)-1</f>
        <v>46203</v>
      </c>
      <c r="N10" s="232">
        <f ca="1">DATE(YEAR(N11),MONTH(N11)-1,DAY(N11))</f>
        <v>46199</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46229</v>
      </c>
      <c r="D11" s="246">
        <f ca="1">B1</f>
        <v>46229</v>
      </c>
      <c r="E11" s="247">
        <f ca="1">IF($H$1&lt;&gt;1,IF(B11=$C$5,H11-F11,IF(B11&lt;&gt;"",ROUND(G10*($D$3)*((SUM(O10:P11)/365)),2),"")),"Brak Oferty")</f>
        <v>216.32</v>
      </c>
      <c r="F11" s="247">
        <f ca="1">IF($H$1&lt;&gt;1,IF(B11=$C$5,G10,IF(B11&lt;&gt;"",ROUND((H11-E11),2),"")),"Brak Oferty")</f>
        <v>566.23</v>
      </c>
      <c r="G11" s="247">
        <f ca="1">IF($H$1&lt;&gt;1,IF(B11&lt;&gt;"",G10-F11,""),"Brak Oferty")</f>
        <v>30433.77</v>
      </c>
      <c r="H11" s="247">
        <f ca="1">IF($H$1&lt;&gt;1,IF(B11&lt;&gt;"",$H$2,""),$D$4)</f>
        <v>782.55</v>
      </c>
      <c r="I11" s="99"/>
      <c r="K11" s="918">
        <v>1</v>
      </c>
      <c r="L11" s="202" t="s">
        <v>147</v>
      </c>
      <c r="M11" s="238">
        <f ca="1">IF(B11&lt;&gt;"",DATE(YEAR((D11)),MONTH((D11))+1,1)-1,"")</f>
        <v>46234</v>
      </c>
      <c r="N11" s="238">
        <f ca="1">D11</f>
        <v>46229</v>
      </c>
      <c r="O11" s="202">
        <f ca="1">IF(M6=1,0,IF(M6=2,M9-N9+1,M10-N10+1))</f>
        <v>5</v>
      </c>
      <c r="P11" s="202">
        <f ca="1">IF(M6=1,N11-N9,IF(M6=2,N11-M9-1,N11-M10-1))</f>
        <v>25</v>
      </c>
      <c r="Q11" s="202">
        <f t="shared" ref="Q11:Q74" ca="1" si="0">IF(B11&lt;&gt;"",IF(MOD(YEAR(N11),4)=0,366,365),0)</f>
        <v>365</v>
      </c>
      <c r="R11" s="202">
        <f ca="1">IF(1,O11/Q10,"")</f>
        <v>1.3698630136986301E-2</v>
      </c>
      <c r="S11" s="202">
        <f ca="1">IF(1,P11/Q11,"")</f>
        <v>6.8493150684931503E-2</v>
      </c>
      <c r="T11" s="202">
        <f ca="1">IF(B11&lt;&gt;"",R10+S10+R11+S11,"")</f>
        <v>8.2191780821917804E-2</v>
      </c>
      <c r="U11" s="415">
        <f ca="1">IF(B11&lt;&gt;"",1+$D$1*T11,0)</f>
        <v>1.0080054794520548</v>
      </c>
      <c r="V11" s="202">
        <f ca="1">IF(B11&lt;&gt;"",1/U11,0)</f>
        <v>0.99205809927104116</v>
      </c>
      <c r="W11" s="197"/>
      <c r="X11" s="197"/>
      <c r="Y11" s="197"/>
      <c r="Z11" s="197"/>
      <c r="AA11" s="239">
        <f ca="1">IF(B11&lt;&gt;"",$H$2,0)</f>
        <v>782.55</v>
      </c>
      <c r="AB11" s="239">
        <f ca="1">IF(B11&lt;&gt;"",AA11/((1+$V$5)^T11),0)</f>
        <v>772.2717928562289</v>
      </c>
      <c r="AC11" s="197"/>
      <c r="AD11" s="202">
        <f ca="1">IF(B11&lt;&gt;"",1+$D$1*((O10+P10+O11+P11)/365),0)</f>
        <v>1.0080054794520548</v>
      </c>
      <c r="AE11" s="202">
        <f ca="1">IF(B11&lt;&gt;"",1/AD11,0)</f>
        <v>0.99205809927104116</v>
      </c>
    </row>
    <row r="12" spans="1:33" ht="13" x14ac:dyDescent="0.3">
      <c r="A12" s="194" t="str">
        <f>WERSJA2!C8</f>
        <v>KONSOLIDACJA</v>
      </c>
      <c r="B12" s="248">
        <f t="shared" ref="B12:B75" si="1">IF(B11&lt;$C$5,IF(B11&lt;&gt;"",B11+1,1),"")</f>
        <v>2</v>
      </c>
      <c r="C12" s="249">
        <f ca="1">IF(B12&lt;&gt;"",DATE(YEAR(D11),MONTH(D11)+1,$G$5),"")</f>
        <v>46260</v>
      </c>
      <c r="D12" s="249">
        <f ca="1">IF(B12&lt;&gt;"",IF(MOD(MONTH(C12)-MONTH(C11),12)&gt;1,DATE(YEAR(C12),MONTH(C12),DAY(C12)-DAY(C12)),C12),"")</f>
        <v>46260</v>
      </c>
      <c r="E12" s="250">
        <f ca="1">IF($H$1&lt;&gt;1,IF(B12=$C$5,H12-F12,IF(B12&lt;&gt;"",ROUND(G11*($D$3)*((SUM(O12:P12)/365)),2),"")),"Brak Oferty")</f>
        <v>219.45</v>
      </c>
      <c r="F12" s="250">
        <f ca="1">IF($H$1&lt;&gt;1,IF(B12=$C$5,G11,IF(B12&lt;&gt;"",ROUND((H12-E12),2),"")),"Brak Oferty")</f>
        <v>563.1</v>
      </c>
      <c r="G12" s="250">
        <f t="shared" ref="G12:G75" ca="1" si="2">IF($H$1&lt;&gt;1,IF(B12&lt;&gt;"",G11-F12,""),"Brak Oferty")</f>
        <v>29870.670000000002</v>
      </c>
      <c r="H12" s="250">
        <f t="shared" ref="H12:H75" ca="1" si="3">IF($H$1&lt;&gt;1,IF(B12&lt;&gt;"",$H$2,""),$D$4)</f>
        <v>782.55</v>
      </c>
      <c r="I12" s="99"/>
      <c r="K12" s="240"/>
      <c r="L12" s="199" t="str">
        <f>IF(B12&lt;&gt;"",L11,"")</f>
        <v>R</v>
      </c>
      <c r="M12" s="231">
        <f ca="1">IF(B12&lt;&gt;"",DATE(YEAR((D12)),MONTH((D12))+1,1)-1,"")</f>
        <v>46265</v>
      </c>
      <c r="N12" s="231">
        <f ca="1">D12</f>
        <v>46260</v>
      </c>
      <c r="O12" s="253">
        <f ca="1">IF(B12&lt;&gt;"",M11-N11+1,0)</f>
        <v>6</v>
      </c>
      <c r="P12" s="199">
        <f ca="1">IF(B12&lt;&gt;"",N12-M11-1,0)</f>
        <v>25</v>
      </c>
      <c r="Q12" s="199">
        <f ca="1">IF(B12&lt;&gt;"",IF(MOD(YEAR(N12),4)=0,366,365),0)</f>
        <v>365</v>
      </c>
      <c r="R12" s="199">
        <f ca="1">IF(1,O12/Q11,"")</f>
        <v>1.643835616438356E-2</v>
      </c>
      <c r="S12" s="199">
        <f ca="1">IF(1,P12/Q12,"")</f>
        <v>6.8493150684931503E-2</v>
      </c>
      <c r="T12" s="199">
        <f t="shared" ref="T12:T75" ca="1" si="4">IF(B12&lt;&gt;"",R12+S12,"")</f>
        <v>8.4931506849315067E-2</v>
      </c>
      <c r="U12" s="415">
        <f ca="1">IF(B12&lt;&gt;"",1+$D$1*T12,0)</f>
        <v>1.0082723287671234</v>
      </c>
      <c r="V12" s="233">
        <f ca="1">IF(B12&lt;&gt;"",1/PRODUCT($U$11:U12),0)</f>
        <v>0.98391879948157623</v>
      </c>
      <c r="AA12" s="240">
        <f t="shared" ref="AA12:AA75" ca="1" si="5">IF(B12&lt;&gt;"",$H$2,0)</f>
        <v>782.55</v>
      </c>
      <c r="AB12" s="240">
        <f ca="1">IF(B12&lt;&gt;"",AA12/((1+$V$5)^(SUM($T$11:T12))),0)</f>
        <v>761.7927794094644</v>
      </c>
      <c r="AD12">
        <f ca="1">IF(B12&lt;&gt;"",1+$D$1*((O12+P12)/365),0)</f>
        <v>1.0082723287671234</v>
      </c>
      <c r="AE12">
        <f ca="1">IF(B12&lt;&gt;"",1/PRODUCT($AD$11:AD12),0)</f>
        <v>0.98391879948157623</v>
      </c>
      <c r="AF12" s="609" t="s">
        <v>1963</v>
      </c>
    </row>
    <row r="13" spans="1:33" ht="13.5" thickBot="1" x14ac:dyDescent="0.35">
      <c r="A13" s="193" t="str">
        <f>WERSJA2!D8</f>
        <v>NIE</v>
      </c>
      <c r="B13" s="248">
        <f t="shared" si="1"/>
        <v>3</v>
      </c>
      <c r="C13" s="249">
        <f t="shared" ref="C13:C76" ca="1" si="6">IF(B13&lt;&gt;"",DATE(YEAR(D12),MONTH(D12)+1,$G$5),"")</f>
        <v>46291</v>
      </c>
      <c r="D13" s="249">
        <f ca="1">IF(B13&lt;&gt;"",IF(MOD(MONTH(C13)-MONTH(C12),12)&gt;1,DATE(YEAR(C13),MONTH(C13),DAY(C13)-DAY(C13)),C13),"")</f>
        <v>46291</v>
      </c>
      <c r="E13" s="250">
        <f t="shared" ref="E13:E70" ca="1" si="7">IF($H$1&lt;&gt;1,IF(B13=$C$5,H13-F13,IF(B13&lt;&gt;"",ROUND(G12*($D$3)*((SUM(O13:P13)/365)),2),"")),"Brak Oferty")</f>
        <v>215.39</v>
      </c>
      <c r="F13" s="250">
        <f t="shared" ref="F13:F76" ca="1" si="8">IF($H$1&lt;&gt;1,IF(B13=$C$5,G12,IF(B13&lt;&gt;"",ROUND((H13-E13),2),"")),"Brak Oferty")</f>
        <v>567.16</v>
      </c>
      <c r="G13" s="250">
        <f t="shared" ca="1" si="2"/>
        <v>29303.510000000002</v>
      </c>
      <c r="H13" s="250">
        <f t="shared" ca="1" si="3"/>
        <v>782.55</v>
      </c>
      <c r="I13" s="99"/>
      <c r="K13" s="240"/>
      <c r="L13" s="199" t="str">
        <f t="shared" ref="L13:L76" si="9">IF(B13&lt;&gt;"",L12,"")</f>
        <v>R</v>
      </c>
      <c r="M13" s="231">
        <f t="shared" ref="M13:M76" ca="1" si="10">IF(B13&lt;&gt;"",DATE(YEAR((D13)),MONTH((D13))+1,1)-1,"")</f>
        <v>46295</v>
      </c>
      <c r="N13" s="231">
        <f ca="1">D13</f>
        <v>46291</v>
      </c>
      <c r="O13" s="199">
        <f ca="1">IF(B13&lt;&gt;"",M12-N12+1,0)</f>
        <v>6</v>
      </c>
      <c r="P13" s="199">
        <f t="shared" ref="P13:P76" ca="1" si="11">IF(B13&lt;&gt;"",N13-M12-1,0)</f>
        <v>25</v>
      </c>
      <c r="Q13" s="199">
        <f t="shared" ca="1" si="0"/>
        <v>365</v>
      </c>
      <c r="R13" s="199">
        <f t="shared" ref="R13:R76" ca="1" si="12">IF(1,O13/Q12,"")</f>
        <v>1.643835616438356E-2</v>
      </c>
      <c r="S13" s="199">
        <f t="shared" ref="S13:S76" ca="1" si="13">IF(1,P13/Q13,"")</f>
        <v>6.8493150684931503E-2</v>
      </c>
      <c r="T13" s="199">
        <f t="shared" ca="1" si="4"/>
        <v>8.4931506849315067E-2</v>
      </c>
      <c r="U13" s="415">
        <f t="shared" ref="U13:U76" ca="1" si="14">IF(B13&lt;&gt;"",1+$D$1*T13,0)</f>
        <v>1.0082723287671234</v>
      </c>
      <c r="V13" s="233">
        <f ca="1">IF(B13&lt;&gt;"",1/PRODUCT($U$11:U13),0)</f>
        <v>0.9758462782417866</v>
      </c>
      <c r="AA13" s="240">
        <f t="shared" ca="1" si="5"/>
        <v>782.55</v>
      </c>
      <c r="AB13" s="963">
        <f ca="1">IF(B13&lt;&gt;"",AA13/((1+$V$5)^(SUM($T$11:T13))),0)</f>
        <v>751.4559564762385</v>
      </c>
      <c r="AD13">
        <f t="shared" ref="AD13:AD76" ca="1" si="15">IF(B13&lt;&gt;"",1+$D$1*((O13+P13)/365),0)</f>
        <v>1.0082723287671234</v>
      </c>
      <c r="AE13">
        <f ca="1">IF(B13&lt;&gt;"",1/PRODUCT($AD$11:AD13),0)</f>
        <v>0.9758462782417866</v>
      </c>
    </row>
    <row r="14" spans="1:33" ht="13" x14ac:dyDescent="0.3">
      <c r="A14" s="194" t="str">
        <f>WERSJA2!C9</f>
        <v>MIEJSCE ZŁOŻENIA WNIOSKU</v>
      </c>
      <c r="B14" s="248">
        <f t="shared" si="1"/>
        <v>4</v>
      </c>
      <c r="C14" s="249">
        <f t="shared" ca="1" si="6"/>
        <v>46321</v>
      </c>
      <c r="D14" s="249">
        <f t="shared" ref="D14:D77" ca="1" si="16">IF(B14&lt;&gt;"",IF(MOD(MONTH(C14)-MONTH(C13),12)&gt;1,DATE(YEAR(C14),MONTH(C14),DAY(C14)-DAY(C14)),C14),"")</f>
        <v>46321</v>
      </c>
      <c r="E14" s="250">
        <f t="shared" ca="1" si="7"/>
        <v>204.48</v>
      </c>
      <c r="F14" s="250">
        <f t="shared" ca="1" si="8"/>
        <v>578.07000000000005</v>
      </c>
      <c r="G14" s="250">
        <f t="shared" ca="1" si="2"/>
        <v>28725.440000000002</v>
      </c>
      <c r="H14" s="250">
        <f t="shared" ca="1" si="3"/>
        <v>782.55</v>
      </c>
      <c r="I14" s="99"/>
      <c r="K14" s="240"/>
      <c r="L14" s="199" t="str">
        <f t="shared" si="9"/>
        <v>R</v>
      </c>
      <c r="M14" s="231">
        <f t="shared" ca="1" si="10"/>
        <v>46326</v>
      </c>
      <c r="N14" s="231">
        <f t="shared" ref="N14:N77" ca="1" si="17">D14</f>
        <v>46321</v>
      </c>
      <c r="O14" s="199">
        <f t="shared" ref="O14:O77" ca="1" si="18">IF(B14&lt;&gt;"",M13-N13+1,0)</f>
        <v>5</v>
      </c>
      <c r="P14" s="199">
        <f t="shared" ca="1" si="11"/>
        <v>25</v>
      </c>
      <c r="Q14" s="199">
        <f t="shared" ca="1" si="0"/>
        <v>365</v>
      </c>
      <c r="R14" s="199">
        <f t="shared" ca="1" si="12"/>
        <v>1.3698630136986301E-2</v>
      </c>
      <c r="S14" s="199">
        <f ca="1">IF(1,P14/Q14,"")</f>
        <v>6.8493150684931503E-2</v>
      </c>
      <c r="T14" s="199">
        <f t="shared" ca="1" si="4"/>
        <v>8.2191780821917804E-2</v>
      </c>
      <c r="U14" s="415">
        <f t="shared" ca="1" si="14"/>
        <v>1.0080054794520548</v>
      </c>
      <c r="V14" s="233">
        <f ca="1">IF(B14&lt;&gt;"",1/PRODUCT($U$11:U14),0)</f>
        <v>0.96809620397326634</v>
      </c>
      <c r="AA14" s="240">
        <f t="shared" ca="1" si="5"/>
        <v>782.55</v>
      </c>
      <c r="AB14" s="240">
        <f ca="1">IF(B14&lt;&gt;"",AA14/((1+$V$5)^(SUM($T$11:T14))),0)</f>
        <v>741.58614626592168</v>
      </c>
      <c r="AD14">
        <f t="shared" ca="1" si="15"/>
        <v>1.0080054794520548</v>
      </c>
      <c r="AE14">
        <f ca="1">IF(B14&lt;&gt;"",1/PRODUCT($AD$11:AD14),0)</f>
        <v>0.96809620397326634</v>
      </c>
    </row>
    <row r="15" spans="1:33" ht="13.5" thickBot="1" x14ac:dyDescent="0.35">
      <c r="A15" s="193" t="str">
        <f>WERSJA2!D9</f>
        <v>MOJE ING</v>
      </c>
      <c r="B15" s="248">
        <f t="shared" si="1"/>
        <v>5</v>
      </c>
      <c r="C15" s="249">
        <f t="shared" ca="1" si="6"/>
        <v>46352</v>
      </c>
      <c r="D15" s="249">
        <f ca="1">IF(B15&lt;&gt;"",IF(MOD(MONTH(C15)-MONTH(C14),12)&gt;1,DATE(YEAR(C15),MONTH(C15),DAY(C15)-DAY(C15)),C15),"")</f>
        <v>46352</v>
      </c>
      <c r="E15" s="250">
        <f t="shared" ca="1" si="7"/>
        <v>207.13</v>
      </c>
      <c r="F15" s="250">
        <f t="shared" ca="1" si="8"/>
        <v>575.41999999999996</v>
      </c>
      <c r="G15" s="250">
        <f t="shared" ca="1" si="2"/>
        <v>28150.020000000004</v>
      </c>
      <c r="H15" s="250">
        <f t="shared" ca="1" si="3"/>
        <v>782.55</v>
      </c>
      <c r="I15" s="99"/>
      <c r="K15" s="240"/>
      <c r="L15" s="199" t="str">
        <f t="shared" si="9"/>
        <v>R</v>
      </c>
      <c r="M15" s="231">
        <f t="shared" ca="1" si="10"/>
        <v>46356</v>
      </c>
      <c r="N15" s="231">
        <f t="shared" ca="1" si="17"/>
        <v>46352</v>
      </c>
      <c r="O15" s="199">
        <f t="shared" ca="1" si="18"/>
        <v>6</v>
      </c>
      <c r="P15" s="199">
        <f t="shared" ca="1" si="11"/>
        <v>25</v>
      </c>
      <c r="Q15" s="199">
        <f t="shared" ca="1" si="0"/>
        <v>365</v>
      </c>
      <c r="R15" s="199">
        <f t="shared" ca="1" si="12"/>
        <v>1.643835616438356E-2</v>
      </c>
      <c r="S15" s="199">
        <f t="shared" ca="1" si="13"/>
        <v>6.8493150684931503E-2</v>
      </c>
      <c r="T15" s="199">
        <f t="shared" ca="1" si="4"/>
        <v>8.4931506849315067E-2</v>
      </c>
      <c r="U15" s="415">
        <f t="shared" ca="1" si="14"/>
        <v>1.0082723287671234</v>
      </c>
      <c r="V15" s="233">
        <f ca="1">IF(B15&lt;&gt;"",1/PRODUCT($U$11:U15),0)</f>
        <v>0.96015349856622267</v>
      </c>
      <c r="AA15" s="240">
        <f t="shared" ca="1" si="5"/>
        <v>782.55</v>
      </c>
      <c r="AB15" s="240">
        <f ca="1">IF(B15&lt;&gt;"",AA15/((1+$V$5)^(SUM($T$11:T15))),0)</f>
        <v>731.52350864204379</v>
      </c>
      <c r="AD15">
        <f t="shared" ca="1" si="15"/>
        <v>1.0082723287671234</v>
      </c>
      <c r="AE15">
        <f ca="1">IF(B15&lt;&gt;"",1/PRODUCT($AD$11:AD15),0)</f>
        <v>0.96015349856622267</v>
      </c>
    </row>
    <row r="16" spans="1:33" ht="13" x14ac:dyDescent="0.3">
      <c r="A16" s="194" t="str">
        <f>WERSJA2!C13</f>
        <v>LICZBA RAT W MIESIĄCACH</v>
      </c>
      <c r="B16" s="248">
        <f t="shared" si="1"/>
        <v>6</v>
      </c>
      <c r="C16" s="249">
        <f t="shared" ca="1" si="6"/>
        <v>46382</v>
      </c>
      <c r="D16" s="249">
        <f t="shared" ca="1" si="16"/>
        <v>46382</v>
      </c>
      <c r="E16" s="250">
        <f ca="1">IF($H$1&lt;&gt;1,IF(B16=$C$5,H16-F16,IF(B16&lt;&gt;"",ROUND(G15*($D$3)*((SUM(O16:P16)/365)),2),"")),"Brak Oferty")</f>
        <v>196.43</v>
      </c>
      <c r="F16" s="250">
        <f t="shared" ca="1" si="8"/>
        <v>586.12</v>
      </c>
      <c r="G16" s="250">
        <f t="shared" ca="1" si="2"/>
        <v>27563.900000000005</v>
      </c>
      <c r="H16" s="250">
        <f t="shared" ca="1" si="3"/>
        <v>782.55</v>
      </c>
      <c r="I16" s="99"/>
      <c r="K16" s="240"/>
      <c r="L16" s="199" t="str">
        <f t="shared" si="9"/>
        <v>R</v>
      </c>
      <c r="M16" s="231">
        <f t="shared" ca="1" si="10"/>
        <v>46387</v>
      </c>
      <c r="N16" s="231">
        <f t="shared" ca="1" si="17"/>
        <v>46382</v>
      </c>
      <c r="O16" s="199">
        <f t="shared" ca="1" si="18"/>
        <v>5</v>
      </c>
      <c r="P16" s="199">
        <f t="shared" ca="1" si="11"/>
        <v>25</v>
      </c>
      <c r="Q16" s="199">
        <f t="shared" ca="1" si="0"/>
        <v>365</v>
      </c>
      <c r="R16" s="199">
        <f t="shared" ca="1" si="12"/>
        <v>1.3698630136986301E-2</v>
      </c>
      <c r="S16" s="199">
        <f t="shared" ca="1" si="13"/>
        <v>6.8493150684931503E-2</v>
      </c>
      <c r="T16" s="199">
        <f t="shared" ca="1" si="4"/>
        <v>8.2191780821917804E-2</v>
      </c>
      <c r="U16" s="415">
        <f t="shared" ca="1" si="14"/>
        <v>1.0080054794520548</v>
      </c>
      <c r="V16" s="233">
        <f ca="1">IF(B16&lt;&gt;"",1/PRODUCT($U$11:U16),0)</f>
        <v>0.9525280547960473</v>
      </c>
      <c r="AA16" s="240">
        <f t="shared" ca="1" si="5"/>
        <v>782.55</v>
      </c>
      <c r="AB16" s="240">
        <f ca="1">IF(B16&lt;&gt;"",AA16/((1+$V$5)^(SUM($T$11:T16))),0)</f>
        <v>721.91549617975875</v>
      </c>
      <c r="AD16">
        <f t="shared" ca="1" si="15"/>
        <v>1.0080054794520548</v>
      </c>
      <c r="AE16">
        <f ca="1">IF(B16&lt;&gt;"",1/PRODUCT($AD$11:AD16),0)</f>
        <v>0.9525280547960473</v>
      </c>
    </row>
    <row r="17" spans="1:35" ht="13.5" thickBot="1" x14ac:dyDescent="0.35">
      <c r="A17" s="195">
        <f>WERSJA2!D13</f>
        <v>48</v>
      </c>
      <c r="B17" s="248">
        <f t="shared" si="1"/>
        <v>7</v>
      </c>
      <c r="C17" s="249">
        <f t="shared" ca="1" si="6"/>
        <v>46413</v>
      </c>
      <c r="D17" s="249">
        <f t="shared" ca="1" si="16"/>
        <v>46413</v>
      </c>
      <c r="E17" s="250">
        <f t="shared" ca="1" si="7"/>
        <v>198.75</v>
      </c>
      <c r="F17" s="250">
        <f t="shared" ca="1" si="8"/>
        <v>583.79999999999995</v>
      </c>
      <c r="G17" s="250">
        <f t="shared" ca="1" si="2"/>
        <v>26980.100000000006</v>
      </c>
      <c r="H17" s="250">
        <f t="shared" ca="1" si="3"/>
        <v>782.55</v>
      </c>
      <c r="I17" s="99"/>
      <c r="K17" s="240"/>
      <c r="L17" s="199" t="str">
        <f t="shared" si="9"/>
        <v>R</v>
      </c>
      <c r="M17" s="231">
        <f t="shared" ca="1" si="10"/>
        <v>46418</v>
      </c>
      <c r="N17" s="231">
        <f t="shared" ca="1" si="17"/>
        <v>46413</v>
      </c>
      <c r="O17" s="199">
        <f t="shared" ca="1" si="18"/>
        <v>6</v>
      </c>
      <c r="P17" s="199">
        <f t="shared" ca="1" si="11"/>
        <v>25</v>
      </c>
      <c r="Q17" s="199">
        <f t="shared" ca="1" si="0"/>
        <v>365</v>
      </c>
      <c r="R17" s="199">
        <f t="shared" ca="1" si="12"/>
        <v>1.643835616438356E-2</v>
      </c>
      <c r="S17" s="199">
        <f t="shared" ca="1" si="13"/>
        <v>6.8493150684931503E-2</v>
      </c>
      <c r="T17" s="199">
        <f t="shared" ca="1" si="4"/>
        <v>8.4931506849315067E-2</v>
      </c>
      <c r="U17" s="415">
        <f t="shared" ca="1" si="14"/>
        <v>1.0082723287671234</v>
      </c>
      <c r="V17" s="233">
        <f ca="1">IF(B17&lt;&gt;"",1/PRODUCT($U$11:U17),0)</f>
        <v>0.94471307762731327</v>
      </c>
      <c r="AA17" s="240">
        <f t="shared" ca="1" si="5"/>
        <v>782.55</v>
      </c>
      <c r="AB17" s="240">
        <f ca="1">IF(B17&lt;&gt;"",AA17/((1+$V$5)^(SUM($T$11:T17))),0)</f>
        <v>712.11977107122357</v>
      </c>
      <c r="AD17">
        <f t="shared" ca="1" si="15"/>
        <v>1.0082723287671234</v>
      </c>
      <c r="AE17">
        <f ca="1">IF(B17&lt;&gt;"",1/PRODUCT($AD$11:AD17),0)</f>
        <v>0.94471307762731327</v>
      </c>
    </row>
    <row r="18" spans="1:35" ht="13" x14ac:dyDescent="0.3">
      <c r="A18" s="194" t="str">
        <f>WERSJA2!I5</f>
        <v>PROWIZJA (KWOTA)</v>
      </c>
      <c r="B18" s="248">
        <f t="shared" si="1"/>
        <v>8</v>
      </c>
      <c r="C18" s="249">
        <f t="shared" ca="1" si="6"/>
        <v>46444</v>
      </c>
      <c r="D18" s="249">
        <f t="shared" ca="1" si="16"/>
        <v>46444</v>
      </c>
      <c r="E18" s="250">
        <f t="shared" ca="1" si="7"/>
        <v>194.55</v>
      </c>
      <c r="F18" s="250">
        <f t="shared" ca="1" si="8"/>
        <v>588</v>
      </c>
      <c r="G18" s="250">
        <f t="shared" ca="1" si="2"/>
        <v>26392.100000000006</v>
      </c>
      <c r="H18" s="250">
        <f t="shared" ca="1" si="3"/>
        <v>782.55</v>
      </c>
      <c r="I18" s="99"/>
      <c r="K18" s="240"/>
      <c r="L18" s="199" t="str">
        <f t="shared" si="9"/>
        <v>R</v>
      </c>
      <c r="M18" s="231">
        <f t="shared" ca="1" si="10"/>
        <v>46446</v>
      </c>
      <c r="N18" s="231">
        <f t="shared" ca="1" si="17"/>
        <v>46444</v>
      </c>
      <c r="O18" s="199">
        <f t="shared" ca="1" si="18"/>
        <v>6</v>
      </c>
      <c r="P18" s="199">
        <f t="shared" ca="1" si="11"/>
        <v>25</v>
      </c>
      <c r="Q18" s="199">
        <f t="shared" ca="1" si="0"/>
        <v>365</v>
      </c>
      <c r="R18" s="199">
        <f t="shared" ca="1" si="12"/>
        <v>1.643835616438356E-2</v>
      </c>
      <c r="S18" s="199">
        <f t="shared" ca="1" si="13"/>
        <v>6.8493150684931503E-2</v>
      </c>
      <c r="T18" s="199">
        <f t="shared" ca="1" si="4"/>
        <v>8.4931506849315067E-2</v>
      </c>
      <c r="U18" s="415">
        <f t="shared" ca="1" si="14"/>
        <v>1.0082723287671234</v>
      </c>
      <c r="V18" s="233">
        <f ca="1">IF(B18&lt;&gt;"",1/PRODUCT($U$11:U18),0)</f>
        <v>0.93696221811667901</v>
      </c>
      <c r="AA18" s="240">
        <f t="shared" ca="1" si="5"/>
        <v>782.55</v>
      </c>
      <c r="AB18" s="240">
        <f ca="1">IF(B18&lt;&gt;"",AA18/((1+$V$5)^(SUM($T$11:T18))),0)</f>
        <v>702.45696488589999</v>
      </c>
      <c r="AD18">
        <f t="shared" ca="1" si="15"/>
        <v>1.0082723287671234</v>
      </c>
      <c r="AE18">
        <f ca="1">IF(B18&lt;&gt;"",1/PRODUCT($AD$11:AD18),0)</f>
        <v>0.93696221811667901</v>
      </c>
    </row>
    <row r="19" spans="1:35" ht="13.5" thickBot="1" x14ac:dyDescent="0.35">
      <c r="A19" s="196">
        <f>WERSJA2!J5</f>
        <v>0</v>
      </c>
      <c r="B19" s="248">
        <f t="shared" si="1"/>
        <v>9</v>
      </c>
      <c r="C19" s="249">
        <f t="shared" ca="1" si="6"/>
        <v>46472</v>
      </c>
      <c r="D19" s="249">
        <f t="shared" ca="1" si="16"/>
        <v>46472</v>
      </c>
      <c r="E19" s="250">
        <f t="shared" ca="1" si="7"/>
        <v>171.89</v>
      </c>
      <c r="F19" s="250">
        <f t="shared" ca="1" si="8"/>
        <v>610.66</v>
      </c>
      <c r="G19" s="250">
        <f t="shared" ca="1" si="2"/>
        <v>25781.440000000006</v>
      </c>
      <c r="H19" s="250">
        <f t="shared" ca="1" si="3"/>
        <v>782.55</v>
      </c>
      <c r="I19" s="99"/>
      <c r="K19" s="240"/>
      <c r="L19" s="199" t="str">
        <f t="shared" si="9"/>
        <v>R</v>
      </c>
      <c r="M19" s="231">
        <f t="shared" ca="1" si="10"/>
        <v>46477</v>
      </c>
      <c r="N19" s="231">
        <f t="shared" ca="1" si="17"/>
        <v>46472</v>
      </c>
      <c r="O19" s="199">
        <f t="shared" ca="1" si="18"/>
        <v>3</v>
      </c>
      <c r="P19" s="199">
        <f t="shared" ca="1" si="11"/>
        <v>25</v>
      </c>
      <c r="Q19" s="199">
        <f t="shared" ca="1" si="0"/>
        <v>365</v>
      </c>
      <c r="R19" s="199">
        <f t="shared" ca="1" si="12"/>
        <v>8.21917808219178E-3</v>
      </c>
      <c r="S19" s="199">
        <f t="shared" ca="1" si="13"/>
        <v>6.8493150684931503E-2</v>
      </c>
      <c r="T19" s="199">
        <f t="shared" ca="1" si="4"/>
        <v>7.6712328767123278E-2</v>
      </c>
      <c r="U19" s="415">
        <f t="shared" ca="1" si="14"/>
        <v>1.0074717808219178</v>
      </c>
      <c r="V19" s="233">
        <f ca="1">IF(B19&lt;&gt;"",1/PRODUCT($U$11:U19),0)</f>
        <v>0.93001336211351204</v>
      </c>
      <c r="AA19" s="240">
        <f t="shared" ca="1" si="5"/>
        <v>782.55</v>
      </c>
      <c r="AB19" s="240">
        <f ca="1">IF(B19&lt;&gt;"",AA19/((1+$V$5)^(SUM($T$11:T19))),0)</f>
        <v>693.842014918367</v>
      </c>
      <c r="AD19">
        <f t="shared" ca="1" si="15"/>
        <v>1.0074717808219178</v>
      </c>
      <c r="AE19">
        <f ca="1">IF(B19&lt;&gt;"",1/PRODUCT($AD$11:AD19),0)</f>
        <v>0.93001336211351204</v>
      </c>
    </row>
    <row r="20" spans="1:35" ht="13" x14ac:dyDescent="0.3">
      <c r="A20" s="194" t="str">
        <f>WERSJA2!I6</f>
        <v>KWOTA UBEZPIECZENIA jednorazowego</v>
      </c>
      <c r="B20" s="248">
        <f t="shared" si="1"/>
        <v>10</v>
      </c>
      <c r="C20" s="249">
        <f t="shared" ca="1" si="6"/>
        <v>46503</v>
      </c>
      <c r="D20" s="249">
        <f t="shared" ca="1" si="16"/>
        <v>46503</v>
      </c>
      <c r="E20" s="250">
        <f t="shared" ca="1" si="7"/>
        <v>185.9</v>
      </c>
      <c r="F20" s="250">
        <f t="shared" ca="1" si="8"/>
        <v>596.65</v>
      </c>
      <c r="G20" s="250">
        <f t="shared" ca="1" si="2"/>
        <v>25184.790000000005</v>
      </c>
      <c r="H20" s="250">
        <f t="shared" ca="1" si="3"/>
        <v>782.55</v>
      </c>
      <c r="I20" s="99"/>
      <c r="K20" s="240"/>
      <c r="L20" s="199" t="str">
        <f t="shared" si="9"/>
        <v>R</v>
      </c>
      <c r="M20" s="231">
        <f t="shared" ca="1" si="10"/>
        <v>46507</v>
      </c>
      <c r="N20" s="231">
        <f t="shared" ca="1" si="17"/>
        <v>46503</v>
      </c>
      <c r="O20" s="199">
        <f t="shared" ca="1" si="18"/>
        <v>6</v>
      </c>
      <c r="P20" s="199">
        <f t="shared" ca="1" si="11"/>
        <v>25</v>
      </c>
      <c r="Q20" s="199">
        <f t="shared" ca="1" si="0"/>
        <v>365</v>
      </c>
      <c r="R20" s="928">
        <f ca="1">IF(B20&lt;&gt;"",O20/Q19,"")</f>
        <v>1.643835616438356E-2</v>
      </c>
      <c r="S20" s="199">
        <f t="shared" ca="1" si="13"/>
        <v>6.8493150684931503E-2</v>
      </c>
      <c r="T20" s="199">
        <f t="shared" ca="1" si="4"/>
        <v>8.4931506849315067E-2</v>
      </c>
      <c r="U20" s="415">
        <f t="shared" ca="1" si="14"/>
        <v>1.0082723287671234</v>
      </c>
      <c r="V20" s="233">
        <f ca="1">IF(B20&lt;&gt;"",1/PRODUCT($U$11:U20),0)</f>
        <v>0.92238310581298677</v>
      </c>
      <c r="AA20" s="240">
        <f t="shared" ca="1" si="5"/>
        <v>782.55</v>
      </c>
      <c r="AB20" s="240">
        <f ca="1">IF(B20&lt;&gt;"",AA20/((1+$V$5)^(SUM($T$11:T20))),0)</f>
        <v>684.42722096691523</v>
      </c>
      <c r="AD20">
        <f t="shared" ca="1" si="15"/>
        <v>1.0082723287671234</v>
      </c>
      <c r="AE20">
        <f ca="1">IF(B20&lt;&gt;"",1/PRODUCT($AD$11:AD20),0)</f>
        <v>0.92238310581298677</v>
      </c>
    </row>
    <row r="21" spans="1:35" ht="13.5" thickBot="1" x14ac:dyDescent="0.35">
      <c r="A21" s="196">
        <f>WERSJA2!J6</f>
        <v>0</v>
      </c>
      <c r="B21" s="248">
        <f t="shared" si="1"/>
        <v>11</v>
      </c>
      <c r="C21" s="249">
        <f t="shared" ca="1" si="6"/>
        <v>46533</v>
      </c>
      <c r="D21" s="249">
        <f t="shared" ca="1" si="16"/>
        <v>46533</v>
      </c>
      <c r="E21" s="250">
        <f t="shared" ca="1" si="7"/>
        <v>175.74</v>
      </c>
      <c r="F21" s="250">
        <f t="shared" ca="1" si="8"/>
        <v>606.80999999999995</v>
      </c>
      <c r="G21" s="250">
        <f t="shared" ca="1" si="2"/>
        <v>24577.980000000003</v>
      </c>
      <c r="H21" s="250">
        <f t="shared" ca="1" si="3"/>
        <v>782.55</v>
      </c>
      <c r="I21" s="99"/>
      <c r="K21" s="240"/>
      <c r="L21" s="199" t="str">
        <f t="shared" si="9"/>
        <v>R</v>
      </c>
      <c r="M21" s="231">
        <f t="shared" ca="1" si="10"/>
        <v>46538</v>
      </c>
      <c r="N21" s="231">
        <f t="shared" ca="1" si="17"/>
        <v>46533</v>
      </c>
      <c r="O21" s="199">
        <f t="shared" ca="1" si="18"/>
        <v>5</v>
      </c>
      <c r="P21" s="199">
        <f t="shared" ca="1" si="11"/>
        <v>25</v>
      </c>
      <c r="Q21" s="199">
        <f t="shared" ca="1" si="0"/>
        <v>365</v>
      </c>
      <c r="R21" s="199">
        <f t="shared" ca="1" si="12"/>
        <v>1.3698630136986301E-2</v>
      </c>
      <c r="S21" s="199">
        <f t="shared" ca="1" si="13"/>
        <v>6.8493150684931503E-2</v>
      </c>
      <c r="T21" s="199">
        <f t="shared" ca="1" si="4"/>
        <v>8.2191780821917804E-2</v>
      </c>
      <c r="U21" s="415">
        <f t="shared" ca="1" si="14"/>
        <v>1.0080054794520548</v>
      </c>
      <c r="V21" s="233">
        <f ca="1">IF(B21&lt;&gt;"",1/PRODUCT($U$11:U21),0)</f>
        <v>0.91505763075255131</v>
      </c>
      <c r="AA21" s="240">
        <f t="shared" ca="1" si="5"/>
        <v>782.55</v>
      </c>
      <c r="AB21" s="240">
        <f ca="1">IF(B21&lt;&gt;"",AA21/((1+$V$5)^(SUM($T$11:T21))),0)</f>
        <v>675.43778290936791</v>
      </c>
      <c r="AD21">
        <f t="shared" ca="1" si="15"/>
        <v>1.0080054794520548</v>
      </c>
      <c r="AE21">
        <f ca="1">IF(B21&lt;&gt;"",1/PRODUCT($AD$11:AD21),0)</f>
        <v>0.91505763075255131</v>
      </c>
    </row>
    <row r="22" spans="1:35" ht="13" x14ac:dyDescent="0.3">
      <c r="A22" s="194" t="s">
        <v>40</v>
      </c>
      <c r="B22" s="248">
        <f t="shared" si="1"/>
        <v>12</v>
      </c>
      <c r="C22" s="249">
        <f t="shared" ca="1" si="6"/>
        <v>46564</v>
      </c>
      <c r="D22" s="249">
        <f t="shared" ca="1" si="16"/>
        <v>46564</v>
      </c>
      <c r="E22" s="250">
        <f t="shared" ca="1" si="7"/>
        <v>177.22</v>
      </c>
      <c r="F22" s="250">
        <f t="shared" ca="1" si="8"/>
        <v>605.33000000000004</v>
      </c>
      <c r="G22" s="250">
        <f t="shared" ca="1" si="2"/>
        <v>23972.65</v>
      </c>
      <c r="H22" s="250">
        <f t="shared" ca="1" si="3"/>
        <v>782.55</v>
      </c>
      <c r="I22" s="99"/>
      <c r="K22" s="240"/>
      <c r="L22" s="199" t="str">
        <f t="shared" si="9"/>
        <v>R</v>
      </c>
      <c r="M22" s="231">
        <f t="shared" ca="1" si="10"/>
        <v>46568</v>
      </c>
      <c r="N22" s="231">
        <f t="shared" ca="1" si="17"/>
        <v>46564</v>
      </c>
      <c r="O22" s="199">
        <f t="shared" ca="1" si="18"/>
        <v>6</v>
      </c>
      <c r="P22" s="199">
        <f t="shared" ca="1" si="11"/>
        <v>25</v>
      </c>
      <c r="Q22" s="199">
        <f t="shared" ca="1" si="0"/>
        <v>365</v>
      </c>
      <c r="R22" s="199">
        <f t="shared" ca="1" si="12"/>
        <v>1.643835616438356E-2</v>
      </c>
      <c r="S22" s="199">
        <f t="shared" ca="1" si="13"/>
        <v>6.8493150684931503E-2</v>
      </c>
      <c r="T22" s="199">
        <f t="shared" ca="1" si="4"/>
        <v>8.4931506849315067E-2</v>
      </c>
      <c r="U22" s="415">
        <f t="shared" ca="1" si="14"/>
        <v>1.0082723287671234</v>
      </c>
      <c r="V22" s="233">
        <f ca="1">IF(B22&lt;&gt;"",1/PRODUCT($U$11:U22),0)</f>
        <v>0.90755007813360178</v>
      </c>
      <c r="AA22" s="240">
        <f t="shared" ca="1" si="5"/>
        <v>782.55</v>
      </c>
      <c r="AB22" s="240">
        <f ca="1">IF(B22&lt;&gt;"",AA22/((1+$V$5)^(SUM($T$11:T22))),0)</f>
        <v>666.27271735209513</v>
      </c>
      <c r="AD22">
        <f t="shared" ca="1" si="15"/>
        <v>1.0082723287671234</v>
      </c>
      <c r="AE22">
        <f ca="1">IF(B22&lt;&gt;"",1/PRODUCT($AD$11:AD22),0)</f>
        <v>0.90755007813360178</v>
      </c>
    </row>
    <row r="23" spans="1:35" ht="13.5" thickBot="1" x14ac:dyDescent="0.35">
      <c r="A23" s="196">
        <f>G10</f>
        <v>31000</v>
      </c>
      <c r="B23" s="248">
        <f t="shared" si="1"/>
        <v>13</v>
      </c>
      <c r="C23" s="249">
        <f t="shared" ca="1" si="6"/>
        <v>46594</v>
      </c>
      <c r="D23" s="249">
        <f t="shared" ca="1" si="16"/>
        <v>46594</v>
      </c>
      <c r="E23" s="250">
        <f t="shared" ca="1" si="7"/>
        <v>167.28</v>
      </c>
      <c r="F23" s="250">
        <f t="shared" ca="1" si="8"/>
        <v>615.27</v>
      </c>
      <c r="G23" s="250">
        <f t="shared" ca="1" si="2"/>
        <v>23357.38</v>
      </c>
      <c r="H23" s="250">
        <f t="shared" ca="1" si="3"/>
        <v>782.55</v>
      </c>
      <c r="I23" s="99"/>
      <c r="K23" s="240"/>
      <c r="L23" s="199" t="str">
        <f t="shared" si="9"/>
        <v>R</v>
      </c>
      <c r="M23" s="231">
        <f t="shared" ca="1" si="10"/>
        <v>46599</v>
      </c>
      <c r="N23" s="231">
        <f t="shared" ca="1" si="17"/>
        <v>46594</v>
      </c>
      <c r="O23" s="199">
        <f t="shared" ca="1" si="18"/>
        <v>5</v>
      </c>
      <c r="P23" s="199">
        <f t="shared" ca="1" si="11"/>
        <v>25</v>
      </c>
      <c r="Q23" s="199">
        <f t="shared" ca="1" si="0"/>
        <v>365</v>
      </c>
      <c r="R23" s="199">
        <f t="shared" ca="1" si="12"/>
        <v>1.3698630136986301E-2</v>
      </c>
      <c r="S23" s="199">
        <f t="shared" ca="1" si="13"/>
        <v>6.8493150684931503E-2</v>
      </c>
      <c r="T23" s="199">
        <f t="shared" ca="1" si="4"/>
        <v>8.2191780821917804E-2</v>
      </c>
      <c r="U23" s="415">
        <f t="shared" ca="1" si="14"/>
        <v>1.0080054794520548</v>
      </c>
      <c r="V23" s="233">
        <f ca="1">IF(B23&lt;&gt;"",1/PRODUCT($U$11:U23),0)</f>
        <v>0.90034240550650579</v>
      </c>
      <c r="AA23" s="240">
        <f t="shared" ca="1" si="5"/>
        <v>782.55</v>
      </c>
      <c r="AB23" s="240">
        <f ca="1">IF(B23&lt;&gt;"",AA23/((1+$V$5)^(SUM($T$11:T23))),0)</f>
        <v>657.52172507915657</v>
      </c>
      <c r="AD23">
        <f t="shared" ca="1" si="15"/>
        <v>1.0080054794520548</v>
      </c>
      <c r="AE23">
        <f ca="1">IF(B23&lt;&gt;"",1/PRODUCT($AD$11:AD23),0)</f>
        <v>0.90034240550650579</v>
      </c>
    </row>
    <row r="24" spans="1:35" ht="13" x14ac:dyDescent="0.3">
      <c r="A24" s="194" t="s">
        <v>162</v>
      </c>
      <c r="B24" s="248">
        <f t="shared" si="1"/>
        <v>14</v>
      </c>
      <c r="C24" s="249">
        <f t="shared" ca="1" si="6"/>
        <v>46625</v>
      </c>
      <c r="D24" s="249">
        <f t="shared" ca="1" si="16"/>
        <v>46625</v>
      </c>
      <c r="E24" s="250">
        <f ca="1">IF($H$1&lt;&gt;1,IF(B24=$C$5,H24-F24,IF(B24&lt;&gt;"",ROUND(G23*($D$3)*((SUM(O24:P24)/365)),2),"")),"Brak Oferty")</f>
        <v>168.42</v>
      </c>
      <c r="F24" s="250">
        <f t="shared" ca="1" si="8"/>
        <v>614.13</v>
      </c>
      <c r="G24" s="250">
        <f t="shared" ca="1" si="2"/>
        <v>22743.25</v>
      </c>
      <c r="H24" s="250">
        <f t="shared" ca="1" si="3"/>
        <v>782.55</v>
      </c>
      <c r="I24" s="99"/>
      <c r="K24" s="240"/>
      <c r="L24" s="199" t="str">
        <f t="shared" si="9"/>
        <v>R</v>
      </c>
      <c r="M24" s="231">
        <f t="shared" ca="1" si="10"/>
        <v>46630</v>
      </c>
      <c r="N24" s="231">
        <f t="shared" ca="1" si="17"/>
        <v>46625</v>
      </c>
      <c r="O24" s="199">
        <f ca="1">IF(B24&lt;&gt;"",M23-N23+1,0)</f>
        <v>6</v>
      </c>
      <c r="P24" s="199">
        <f t="shared" ca="1" si="11"/>
        <v>25</v>
      </c>
      <c r="Q24" s="199">
        <f t="shared" ca="1" si="0"/>
        <v>365</v>
      </c>
      <c r="R24" s="928">
        <f ca="1">IF(B24&lt;&gt;"",O24/Q23,0)</f>
        <v>1.643835616438356E-2</v>
      </c>
      <c r="S24" s="199">
        <f t="shared" ca="1" si="13"/>
        <v>6.8493150684931503E-2</v>
      </c>
      <c r="T24" s="199">
        <f t="shared" ca="1" si="4"/>
        <v>8.4931506849315067E-2</v>
      </c>
      <c r="U24" s="415">
        <f t="shared" ca="1" si="14"/>
        <v>1.0082723287671234</v>
      </c>
      <c r="V24" s="233">
        <f ca="1">IF(B24&lt;&gt;"",1/PRODUCT($U$11:U24),0)</f>
        <v>0.89295558334662417</v>
      </c>
      <c r="AA24" s="240">
        <f t="shared" ca="1" si="5"/>
        <v>782.55</v>
      </c>
      <c r="AB24" s="240">
        <f ca="1">IF(B24&lt;&gt;"",AA24/((1+$V$5)^(SUM($T$11:T24))),0)</f>
        <v>648.59976384429001</v>
      </c>
      <c r="AD24">
        <f t="shared" ca="1" si="15"/>
        <v>1.0082723287671234</v>
      </c>
      <c r="AE24">
        <f ca="1">IF(B24&lt;&gt;"",1/PRODUCT($AD$11:AD24),0)</f>
        <v>0.89295558334662417</v>
      </c>
    </row>
    <row r="25" spans="1:35" ht="13.5" thickBot="1" x14ac:dyDescent="0.35">
      <c r="A25" s="196">
        <f ca="1">SUM(E11:E130)</f>
        <v>6562.3999999999978</v>
      </c>
      <c r="B25" s="248">
        <f t="shared" si="1"/>
        <v>15</v>
      </c>
      <c r="C25" s="249">
        <f t="shared" ca="1" si="6"/>
        <v>46656</v>
      </c>
      <c r="D25" s="249">
        <f t="shared" ca="1" si="16"/>
        <v>46656</v>
      </c>
      <c r="E25" s="250">
        <f t="shared" ca="1" si="7"/>
        <v>163.99</v>
      </c>
      <c r="F25" s="250">
        <f t="shared" ca="1" si="8"/>
        <v>618.55999999999995</v>
      </c>
      <c r="G25" s="250">
        <f t="shared" ca="1" si="2"/>
        <v>22124.69</v>
      </c>
      <c r="H25" s="250">
        <f t="shared" ca="1" si="3"/>
        <v>782.55</v>
      </c>
      <c r="I25" s="99"/>
      <c r="K25" s="231"/>
      <c r="L25" s="199" t="str">
        <f t="shared" si="9"/>
        <v>R</v>
      </c>
      <c r="M25" s="231">
        <f t="shared" ca="1" si="10"/>
        <v>46660</v>
      </c>
      <c r="N25" s="231">
        <f t="shared" ca="1" si="17"/>
        <v>46656</v>
      </c>
      <c r="O25" s="199">
        <f t="shared" ca="1" si="18"/>
        <v>6</v>
      </c>
      <c r="P25" s="199">
        <f t="shared" ca="1" si="11"/>
        <v>25</v>
      </c>
      <c r="Q25" s="199">
        <f t="shared" ca="1" si="0"/>
        <v>365</v>
      </c>
      <c r="R25" s="928">
        <f t="shared" ref="R25:R26" ca="1" si="19">IF(B25&lt;&gt;"",O25/Q24,0)</f>
        <v>1.643835616438356E-2</v>
      </c>
      <c r="S25" s="199">
        <f t="shared" ca="1" si="13"/>
        <v>6.8493150684931503E-2</v>
      </c>
      <c r="T25" s="199">
        <f t="shared" ca="1" si="4"/>
        <v>8.4931506849315067E-2</v>
      </c>
      <c r="U25" s="415">
        <f t="shared" ca="1" si="14"/>
        <v>1.0082723287671234</v>
      </c>
      <c r="V25" s="233">
        <f ca="1">IF(B25&lt;&gt;"",1/PRODUCT($U$11:U25),0)</f>
        <v>0.88562936606471776</v>
      </c>
      <c r="AA25" s="240">
        <f t="shared" ca="1" si="5"/>
        <v>782.55</v>
      </c>
      <c r="AB25" s="240">
        <f ca="1">IF(B25&lt;&gt;"",AA25/((1+$V$5)^(SUM($T$11:T25))),0)</f>
        <v>639.79886536558843</v>
      </c>
      <c r="AD25">
        <f t="shared" ca="1" si="15"/>
        <v>1.0082723287671234</v>
      </c>
      <c r="AE25">
        <f ca="1">IF(B25&lt;&gt;"",1/PRODUCT($AD$11:AD25),0)</f>
        <v>0.88562936606471776</v>
      </c>
      <c r="AI25">
        <v>-3.7778706683311344E+16</v>
      </c>
    </row>
    <row r="26" spans="1:35" ht="13" x14ac:dyDescent="0.3">
      <c r="A26" s="194" t="s">
        <v>138</v>
      </c>
      <c r="B26" s="248">
        <f t="shared" si="1"/>
        <v>16</v>
      </c>
      <c r="C26" s="249">
        <f t="shared" ca="1" si="6"/>
        <v>46686</v>
      </c>
      <c r="D26" s="249">
        <f t="shared" ca="1" si="16"/>
        <v>46686</v>
      </c>
      <c r="E26" s="250">
        <f t="shared" ca="1" si="7"/>
        <v>154.38999999999999</v>
      </c>
      <c r="F26" s="250">
        <f t="shared" ca="1" si="8"/>
        <v>628.16</v>
      </c>
      <c r="G26" s="250">
        <f t="shared" ca="1" si="2"/>
        <v>21496.53</v>
      </c>
      <c r="H26" s="250">
        <f t="shared" ca="1" si="3"/>
        <v>782.55</v>
      </c>
      <c r="I26" s="99"/>
      <c r="K26" s="231"/>
      <c r="L26" s="199" t="str">
        <f t="shared" si="9"/>
        <v>R</v>
      </c>
      <c r="M26" s="231">
        <f t="shared" ca="1" si="10"/>
        <v>46691</v>
      </c>
      <c r="N26" s="231">
        <f t="shared" ca="1" si="17"/>
        <v>46686</v>
      </c>
      <c r="O26" s="199">
        <f t="shared" ca="1" si="18"/>
        <v>5</v>
      </c>
      <c r="P26" s="199">
        <f t="shared" ca="1" si="11"/>
        <v>25</v>
      </c>
      <c r="Q26" s="199">
        <f t="shared" ca="1" si="0"/>
        <v>365</v>
      </c>
      <c r="R26" s="928">
        <f t="shared" ca="1" si="19"/>
        <v>1.3698630136986301E-2</v>
      </c>
      <c r="S26" s="199">
        <f t="shared" ca="1" si="13"/>
        <v>6.8493150684931503E-2</v>
      </c>
      <c r="T26" s="199">
        <f t="shared" ca="1" si="4"/>
        <v>8.2191780821917804E-2</v>
      </c>
      <c r="U26" s="415">
        <f t="shared" ca="1" si="14"/>
        <v>1.0080054794520548</v>
      </c>
      <c r="V26" s="233">
        <f ca="1">IF(B26&lt;&gt;"",1/PRODUCT($U$11:U26),0)</f>
        <v>0.87859578555678097</v>
      </c>
      <c r="AA26" s="240">
        <f t="shared" ca="1" si="5"/>
        <v>782.55</v>
      </c>
      <c r="AB26" s="240">
        <f ca="1">IF(B26&lt;&gt;"",AA26/((1+$V$5)^(SUM($T$11:T26))),0)</f>
        <v>631.3955872765498</v>
      </c>
      <c r="AD26">
        <f t="shared" ca="1" si="15"/>
        <v>1.0080054794520548</v>
      </c>
      <c r="AE26">
        <f ca="1">IF(B26&lt;&gt;"",1/PRODUCT($AD$11:AD26),0)</f>
        <v>0.87859578555678097</v>
      </c>
    </row>
    <row r="27" spans="1:35" ht="13.5" thickBot="1" x14ac:dyDescent="0.35">
      <c r="A27" s="223">
        <f ca="1">H2</f>
        <v>782.55</v>
      </c>
      <c r="B27" s="248">
        <f t="shared" si="1"/>
        <v>17</v>
      </c>
      <c r="C27" s="249">
        <f t="shared" ca="1" si="6"/>
        <v>46717</v>
      </c>
      <c r="D27" s="249">
        <f t="shared" ca="1" si="16"/>
        <v>46717</v>
      </c>
      <c r="E27" s="250">
        <f t="shared" ca="1" si="7"/>
        <v>155</v>
      </c>
      <c r="F27" s="250">
        <f t="shared" ca="1" si="8"/>
        <v>627.54999999999995</v>
      </c>
      <c r="G27" s="250">
        <f t="shared" ca="1" si="2"/>
        <v>20868.98</v>
      </c>
      <c r="H27" s="250">
        <f t="shared" ca="1" si="3"/>
        <v>782.55</v>
      </c>
      <c r="I27" s="99"/>
      <c r="K27" s="231"/>
      <c r="L27" s="199" t="str">
        <f t="shared" si="9"/>
        <v>R</v>
      </c>
      <c r="M27" s="231">
        <f t="shared" ca="1" si="10"/>
        <v>46721</v>
      </c>
      <c r="N27" s="231">
        <f t="shared" ca="1" si="17"/>
        <v>46717</v>
      </c>
      <c r="O27" s="199">
        <f t="shared" ca="1" si="18"/>
        <v>6</v>
      </c>
      <c r="P27" s="199">
        <f t="shared" ca="1" si="11"/>
        <v>25</v>
      </c>
      <c r="Q27" s="199">
        <f t="shared" ca="1" si="0"/>
        <v>365</v>
      </c>
      <c r="R27" s="199">
        <f t="shared" ca="1" si="12"/>
        <v>1.643835616438356E-2</v>
      </c>
      <c r="S27" s="199">
        <f t="shared" ca="1" si="13"/>
        <v>6.8493150684931503E-2</v>
      </c>
      <c r="T27" s="199">
        <f t="shared" ca="1" si="4"/>
        <v>8.4931506849315067E-2</v>
      </c>
      <c r="U27" s="415">
        <f t="shared" ca="1" si="14"/>
        <v>1.0082723287671234</v>
      </c>
      <c r="V27" s="233">
        <f ca="1">IF(B27&lt;&gt;"",1/PRODUCT($U$11:U27),0)</f>
        <v>0.87138738264402638</v>
      </c>
      <c r="AA27" s="240">
        <f t="shared" ca="1" si="5"/>
        <v>782.55</v>
      </c>
      <c r="AB27" s="240">
        <f ca="1">IF(B27&lt;&gt;"",AA27/((1+$V$5)^(SUM($T$11:T27))),0)</f>
        <v>622.82813355041014</v>
      </c>
      <c r="AD27">
        <f t="shared" ca="1" si="15"/>
        <v>1.0082723287671234</v>
      </c>
      <c r="AE27">
        <f ca="1">IF(B27&lt;&gt;"",1/PRODUCT($AD$11:AD27),0)</f>
        <v>0.87138738264402638</v>
      </c>
    </row>
    <row r="28" spans="1:35" ht="13" x14ac:dyDescent="0.3">
      <c r="A28" s="194" t="s">
        <v>14</v>
      </c>
      <c r="B28" s="248">
        <f t="shared" si="1"/>
        <v>18</v>
      </c>
      <c r="C28" s="249">
        <f t="shared" ca="1" si="6"/>
        <v>46747</v>
      </c>
      <c r="D28" s="249">
        <f t="shared" ca="1" si="16"/>
        <v>46747</v>
      </c>
      <c r="E28" s="250">
        <f t="shared" ca="1" si="7"/>
        <v>145.63</v>
      </c>
      <c r="F28" s="250">
        <f t="shared" ca="1" si="8"/>
        <v>636.91999999999996</v>
      </c>
      <c r="G28" s="250">
        <f t="shared" ca="1" si="2"/>
        <v>20232.060000000001</v>
      </c>
      <c r="H28" s="250">
        <f t="shared" ca="1" si="3"/>
        <v>782.55</v>
      </c>
      <c r="I28" s="99"/>
      <c r="K28" s="231"/>
      <c r="L28" s="199" t="str">
        <f t="shared" si="9"/>
        <v>R</v>
      </c>
      <c r="M28" s="231">
        <f t="shared" ca="1" si="10"/>
        <v>46752</v>
      </c>
      <c r="N28" s="231">
        <f t="shared" ca="1" si="17"/>
        <v>46747</v>
      </c>
      <c r="O28" s="199">
        <f t="shared" ca="1" si="18"/>
        <v>5</v>
      </c>
      <c r="P28" s="199">
        <f t="shared" ca="1" si="11"/>
        <v>25</v>
      </c>
      <c r="Q28" s="199">
        <f t="shared" ca="1" si="0"/>
        <v>365</v>
      </c>
      <c r="R28" s="199">
        <f t="shared" ca="1" si="12"/>
        <v>1.3698630136986301E-2</v>
      </c>
      <c r="S28" s="199">
        <f t="shared" ca="1" si="13"/>
        <v>6.8493150684931503E-2</v>
      </c>
      <c r="T28" s="199">
        <f t="shared" ca="1" si="4"/>
        <v>8.2191780821917804E-2</v>
      </c>
      <c r="U28" s="415">
        <f t="shared" ca="1" si="14"/>
        <v>1.0080054794520548</v>
      </c>
      <c r="V28" s="233">
        <f ca="1">IF(B28&lt;&gt;"",1/PRODUCT($U$11:U28),0)</f>
        <v>0.86446691055460023</v>
      </c>
      <c r="AA28" s="240">
        <f t="shared" ca="1" si="5"/>
        <v>782.55</v>
      </c>
      <c r="AB28" s="240">
        <f ca="1">IF(B28&lt;&gt;"",AA28/((1+$V$5)^(SUM($T$11:T28))),0)</f>
        <v>614.6477532915136</v>
      </c>
      <c r="AD28">
        <f t="shared" ca="1" si="15"/>
        <v>1.0080054794520548</v>
      </c>
      <c r="AE28">
        <f ca="1">IF(B28&lt;&gt;"",1/PRODUCT($AD$11:AD28),0)</f>
        <v>0.86446691055460023</v>
      </c>
    </row>
    <row r="29" spans="1:35" ht="13.5" thickBot="1" x14ac:dyDescent="0.35">
      <c r="A29" s="222">
        <f>$H$8</f>
        <v>0.17451905146291249</v>
      </c>
      <c r="B29" s="248">
        <f t="shared" si="1"/>
        <v>19</v>
      </c>
      <c r="C29" s="249">
        <f t="shared" ca="1" si="6"/>
        <v>46778</v>
      </c>
      <c r="D29" s="249">
        <f t="shared" ca="1" si="16"/>
        <v>46778</v>
      </c>
      <c r="E29" s="250">
        <f t="shared" ca="1" si="7"/>
        <v>145.88999999999999</v>
      </c>
      <c r="F29" s="250">
        <f t="shared" ca="1" si="8"/>
        <v>636.66</v>
      </c>
      <c r="G29" s="250">
        <f t="shared" ca="1" si="2"/>
        <v>19595.400000000001</v>
      </c>
      <c r="H29" s="250">
        <f t="shared" ca="1" si="3"/>
        <v>782.55</v>
      </c>
      <c r="I29" s="99"/>
      <c r="K29" s="231"/>
      <c r="L29" s="199" t="str">
        <f t="shared" si="9"/>
        <v>R</v>
      </c>
      <c r="M29" s="231">
        <f t="shared" ca="1" si="10"/>
        <v>46783</v>
      </c>
      <c r="N29" s="231">
        <f t="shared" ca="1" si="17"/>
        <v>46778</v>
      </c>
      <c r="O29" s="199">
        <f t="shared" ca="1" si="18"/>
        <v>6</v>
      </c>
      <c r="P29" s="199">
        <f t="shared" ca="1" si="11"/>
        <v>25</v>
      </c>
      <c r="Q29" s="199">
        <f t="shared" ca="1" si="0"/>
        <v>366</v>
      </c>
      <c r="R29" s="199">
        <f t="shared" ca="1" si="12"/>
        <v>1.643835616438356E-2</v>
      </c>
      <c r="S29" s="199">
        <f t="shared" ca="1" si="13"/>
        <v>6.8306010928961755E-2</v>
      </c>
      <c r="T29" s="199">
        <f t="shared" ca="1" si="4"/>
        <v>8.4744367093345319E-2</v>
      </c>
      <c r="U29" s="415">
        <f t="shared" ca="1" si="14"/>
        <v>1.0082541013548918</v>
      </c>
      <c r="V29" s="233">
        <f ca="1">IF(B29&lt;&gt;"",1/PRODUCT($U$11:U29),0)</f>
        <v>0.8573899271948705</v>
      </c>
      <c r="AA29" s="240">
        <f t="shared" ca="1" si="5"/>
        <v>782.55</v>
      </c>
      <c r="AB29" s="240">
        <f ca="1">IF(B29&lt;&gt;"",AA29/((1+$V$5)^(SUM($T$11:T29))),0)</f>
        <v>606.32580416271321</v>
      </c>
      <c r="AD29">
        <f t="shared" ca="1" si="15"/>
        <v>1.0082723287671234</v>
      </c>
      <c r="AE29">
        <f ca="1">IF(B29&lt;&gt;"",1/PRODUCT($AD$11:AD29),0)</f>
        <v>0.85737442741450332</v>
      </c>
    </row>
    <row r="30" spans="1:35" ht="13" x14ac:dyDescent="0.3">
      <c r="A30" s="194" t="s">
        <v>159</v>
      </c>
      <c r="B30" s="248">
        <f t="shared" si="1"/>
        <v>20</v>
      </c>
      <c r="C30" s="249">
        <f t="shared" ca="1" si="6"/>
        <v>46809</v>
      </c>
      <c r="D30" s="249">
        <f t="shared" ca="1" si="16"/>
        <v>46809</v>
      </c>
      <c r="E30" s="250">
        <f t="shared" ca="1" si="7"/>
        <v>141.30000000000001</v>
      </c>
      <c r="F30" s="250">
        <f t="shared" ca="1" si="8"/>
        <v>641.25</v>
      </c>
      <c r="G30" s="250">
        <f t="shared" ca="1" si="2"/>
        <v>18954.150000000001</v>
      </c>
      <c r="H30" s="250">
        <f t="shared" ca="1" si="3"/>
        <v>782.55</v>
      </c>
      <c r="I30" s="99"/>
      <c r="K30" s="231"/>
      <c r="L30" s="199" t="str">
        <f t="shared" si="9"/>
        <v>R</v>
      </c>
      <c r="M30" s="231">
        <f ca="1">IF(B30&lt;&gt;"",DATE(YEAR((D30)),MONTH((D30))+1,1)-1,"")</f>
        <v>46812</v>
      </c>
      <c r="N30" s="231">
        <f t="shared" ca="1" si="17"/>
        <v>46809</v>
      </c>
      <c r="O30" s="199">
        <f t="shared" ca="1" si="18"/>
        <v>6</v>
      </c>
      <c r="P30" s="199">
        <f t="shared" ca="1" si="11"/>
        <v>25</v>
      </c>
      <c r="Q30" s="199">
        <f t="shared" ca="1" si="0"/>
        <v>366</v>
      </c>
      <c r="R30" s="199">
        <f t="shared" ca="1" si="12"/>
        <v>1.6393442622950821E-2</v>
      </c>
      <c r="S30" s="199">
        <f t="shared" ca="1" si="13"/>
        <v>6.8306010928961755E-2</v>
      </c>
      <c r="T30" s="199">
        <f t="shared" ca="1" si="4"/>
        <v>8.4699453551912579E-2</v>
      </c>
      <c r="U30" s="415">
        <f t="shared" ca="1" si="14"/>
        <v>1.0082497267759563</v>
      </c>
      <c r="V30" s="233">
        <f ca="1">IF(B30&lt;&gt;"",1/PRODUCT($U$11:U30),0)</f>
        <v>0.8503745693405893</v>
      </c>
      <c r="AA30" s="240">
        <f t="shared" ca="1" si="5"/>
        <v>782.55</v>
      </c>
      <c r="AB30" s="240">
        <f ca="1">IF(B30&lt;&gt;"",AA30/((1+$V$5)^(SUM($T$11:T30))),0)</f>
        <v>598.12085031010906</v>
      </c>
      <c r="AD30">
        <f t="shared" ca="1" si="15"/>
        <v>1.0082723287671234</v>
      </c>
      <c r="AE30">
        <f ca="1">IF(B30&lt;&gt;"",1/PRODUCT($AD$11:AD30),0)</f>
        <v>0.85034013426002442</v>
      </c>
    </row>
    <row r="31" spans="1:35" ht="13.5" thickBot="1" x14ac:dyDescent="0.35">
      <c r="A31" s="258">
        <f ca="1">A25+A19</f>
        <v>6562.3999999999978</v>
      </c>
      <c r="B31" s="248">
        <f t="shared" si="1"/>
        <v>21</v>
      </c>
      <c r="C31" s="249">
        <f t="shared" ca="1" si="6"/>
        <v>46838</v>
      </c>
      <c r="D31" s="249">
        <f t="shared" ca="1" si="16"/>
        <v>46838</v>
      </c>
      <c r="E31" s="250">
        <f t="shared" ca="1" si="7"/>
        <v>127.85</v>
      </c>
      <c r="F31" s="250">
        <f t="shared" ca="1" si="8"/>
        <v>654.70000000000005</v>
      </c>
      <c r="G31" s="250">
        <f t="shared" ca="1" si="2"/>
        <v>18299.45</v>
      </c>
      <c r="H31" s="250">
        <f t="shared" ca="1" si="3"/>
        <v>782.55</v>
      </c>
      <c r="I31" s="99"/>
      <c r="K31" s="231"/>
      <c r="L31" s="199" t="str">
        <f t="shared" si="9"/>
        <v>R</v>
      </c>
      <c r="M31" s="231">
        <f t="shared" ca="1" si="10"/>
        <v>46843</v>
      </c>
      <c r="N31" s="231">
        <f t="shared" ca="1" si="17"/>
        <v>46838</v>
      </c>
      <c r="O31" s="199">
        <f t="shared" ca="1" si="18"/>
        <v>4</v>
      </c>
      <c r="P31" s="199">
        <f t="shared" ca="1" si="11"/>
        <v>25</v>
      </c>
      <c r="Q31" s="199">
        <f t="shared" ca="1" si="0"/>
        <v>366</v>
      </c>
      <c r="R31" s="199">
        <f t="shared" ca="1" si="12"/>
        <v>1.092896174863388E-2</v>
      </c>
      <c r="S31" s="199">
        <f t="shared" ca="1" si="13"/>
        <v>6.8306010928961755E-2</v>
      </c>
      <c r="T31" s="199">
        <f t="shared" ca="1" si="4"/>
        <v>7.9234972677595633E-2</v>
      </c>
      <c r="U31" s="415">
        <f t="shared" ca="1" si="14"/>
        <v>1.0077174863387979</v>
      </c>
      <c r="V31" s="233">
        <f ca="1">IF(B31&lt;&gt;"",1/PRODUCT($U$11:U31),0)</f>
        <v>0.84386207530261181</v>
      </c>
      <c r="AA31" s="240">
        <f t="shared" ca="1" si="5"/>
        <v>782.55</v>
      </c>
      <c r="AB31" s="240">
        <f ca="1">IF(B31&lt;&gt;"",AA31/((1+$V$5)^(SUM($T$11:T31))),0)</f>
        <v>590.54579527446992</v>
      </c>
      <c r="AD31">
        <f t="shared" ca="1" si="15"/>
        <v>1.0077386301369864</v>
      </c>
      <c r="AE31">
        <f ca="1">IF(B31&lt;&gt;"",1/PRODUCT($AD$11:AD31),0)</f>
        <v>0.84381019922242539</v>
      </c>
    </row>
    <row r="32" spans="1:35" ht="13" x14ac:dyDescent="0.3">
      <c r="A32" s="194" t="s">
        <v>158</v>
      </c>
      <c r="B32" s="248">
        <f t="shared" si="1"/>
        <v>22</v>
      </c>
      <c r="C32" s="249">
        <f t="shared" ca="1" si="6"/>
        <v>46869</v>
      </c>
      <c r="D32" s="249">
        <f t="shared" ca="1" si="16"/>
        <v>46869</v>
      </c>
      <c r="E32" s="250">
        <f t="shared" ca="1" si="7"/>
        <v>131.94999999999999</v>
      </c>
      <c r="F32" s="250">
        <f t="shared" ca="1" si="8"/>
        <v>650.6</v>
      </c>
      <c r="G32" s="250">
        <f t="shared" ca="1" si="2"/>
        <v>17648.850000000002</v>
      </c>
      <c r="H32" s="250">
        <f t="shared" ca="1" si="3"/>
        <v>782.55</v>
      </c>
      <c r="I32" s="99"/>
      <c r="K32" s="231"/>
      <c r="L32" s="199" t="str">
        <f t="shared" si="9"/>
        <v>R</v>
      </c>
      <c r="M32" s="231">
        <f t="shared" ca="1" si="10"/>
        <v>46873</v>
      </c>
      <c r="N32" s="231">
        <f t="shared" ca="1" si="17"/>
        <v>46869</v>
      </c>
      <c r="O32" s="199">
        <f t="shared" ca="1" si="18"/>
        <v>6</v>
      </c>
      <c r="P32" s="199">
        <f t="shared" ca="1" si="11"/>
        <v>25</v>
      </c>
      <c r="Q32" s="199">
        <f t="shared" ca="1" si="0"/>
        <v>366</v>
      </c>
      <c r="R32" s="199">
        <f t="shared" ca="1" si="12"/>
        <v>1.6393442622950821E-2</v>
      </c>
      <c r="S32" s="199">
        <f t="shared" ca="1" si="13"/>
        <v>6.8306010928961755E-2</v>
      </c>
      <c r="T32" s="199">
        <f t="shared" ca="1" si="4"/>
        <v>8.4699453551912579E-2</v>
      </c>
      <c r="U32" s="415">
        <f t="shared" ca="1" si="14"/>
        <v>1.0082497267759563</v>
      </c>
      <c r="V32" s="233">
        <f ca="1">IF(B32&lt;&gt;"",1/PRODUCT($U$11:U32),0)</f>
        <v>0.83695740538507168</v>
      </c>
      <c r="AA32" s="240">
        <f t="shared" ca="1" si="5"/>
        <v>782.55</v>
      </c>
      <c r="AB32" s="240">
        <f ca="1">IF(B32&lt;&gt;"",AA32/((1+$V$5)^(SUM($T$11:T32))),0)</f>
        <v>582.55438048590167</v>
      </c>
      <c r="AD32">
        <f t="shared" ca="1" si="15"/>
        <v>1.0082723287671234</v>
      </c>
      <c r="AE32">
        <f ca="1">IF(B32&lt;&gt;"",1/PRODUCT($AD$11:AD32),0)</f>
        <v>0.83688719321912175</v>
      </c>
    </row>
    <row r="33" spans="1:31" ht="13.5" thickBot="1" x14ac:dyDescent="0.35">
      <c r="A33" s="258">
        <f ca="1">A31+A21</f>
        <v>6562.3999999999978</v>
      </c>
      <c r="B33" s="248">
        <f t="shared" si="1"/>
        <v>23</v>
      </c>
      <c r="C33" s="249">
        <f t="shared" ca="1" si="6"/>
        <v>46899</v>
      </c>
      <c r="D33" s="249">
        <f t="shared" ca="1" si="16"/>
        <v>46899</v>
      </c>
      <c r="E33" s="250">
        <f t="shared" ca="1" si="7"/>
        <v>123.16</v>
      </c>
      <c r="F33" s="250">
        <f t="shared" ca="1" si="8"/>
        <v>659.39</v>
      </c>
      <c r="G33" s="250">
        <f t="shared" ca="1" si="2"/>
        <v>16989.460000000003</v>
      </c>
      <c r="H33" s="250">
        <f t="shared" ca="1" si="3"/>
        <v>782.55</v>
      </c>
      <c r="I33" s="99"/>
      <c r="K33" s="231"/>
      <c r="L33" s="199" t="str">
        <f t="shared" si="9"/>
        <v>R</v>
      </c>
      <c r="M33" s="231">
        <f t="shared" ca="1" si="10"/>
        <v>46904</v>
      </c>
      <c r="N33" s="231">
        <f t="shared" ca="1" si="17"/>
        <v>46899</v>
      </c>
      <c r="O33" s="199">
        <f t="shared" ca="1" si="18"/>
        <v>5</v>
      </c>
      <c r="P33" s="199">
        <f t="shared" ca="1" si="11"/>
        <v>25</v>
      </c>
      <c r="Q33" s="199">
        <f t="shared" ca="1" si="0"/>
        <v>366</v>
      </c>
      <c r="R33" s="199">
        <f t="shared" ca="1" si="12"/>
        <v>1.3661202185792349E-2</v>
      </c>
      <c r="S33" s="199">
        <f t="shared" ca="1" si="13"/>
        <v>6.8306010928961755E-2</v>
      </c>
      <c r="T33" s="199">
        <f t="shared" ca="1" si="4"/>
        <v>8.1967213114754106E-2</v>
      </c>
      <c r="U33" s="415">
        <f t="shared" ca="1" si="14"/>
        <v>1.0079836065573771</v>
      </c>
      <c r="V33" s="233">
        <f ca="1">IF(B33&lt;&gt;"",1/PRODUCT($U$11:U33),0)</f>
        <v>0.83032839020426052</v>
      </c>
      <c r="AA33" s="240">
        <f t="shared" ca="1" si="5"/>
        <v>782.55</v>
      </c>
      <c r="AB33" s="240">
        <f ca="1">IF(B33&lt;&gt;"",AA33/((1+$V$5)^(SUM($T$11:T33))),0)</f>
        <v>574.92373374394708</v>
      </c>
      <c r="AD33">
        <f t="shared" ca="1" si="15"/>
        <v>1.0080054794520548</v>
      </c>
      <c r="AE33">
        <f ca="1">IF(B33&lt;&gt;"",1/PRODUCT($AD$11:AD33),0)</f>
        <v>0.83024071820923862</v>
      </c>
    </row>
    <row r="34" spans="1:31" ht="13" x14ac:dyDescent="0.3">
      <c r="A34" s="194" t="s">
        <v>161</v>
      </c>
      <c r="B34" s="248">
        <f t="shared" si="1"/>
        <v>24</v>
      </c>
      <c r="C34" s="249">
        <f t="shared" ca="1" si="6"/>
        <v>46930</v>
      </c>
      <c r="D34" s="249">
        <f t="shared" ca="1" si="16"/>
        <v>46930</v>
      </c>
      <c r="E34" s="250">
        <f t="shared" ca="1" si="7"/>
        <v>122.51</v>
      </c>
      <c r="F34" s="250">
        <f t="shared" ca="1" si="8"/>
        <v>660.04</v>
      </c>
      <c r="G34" s="250">
        <f t="shared" ca="1" si="2"/>
        <v>16329.420000000002</v>
      </c>
      <c r="H34" s="250">
        <f t="shared" ca="1" si="3"/>
        <v>782.55</v>
      </c>
      <c r="I34" s="99"/>
      <c r="K34" s="231"/>
      <c r="L34" s="199" t="str">
        <f t="shared" si="9"/>
        <v>R</v>
      </c>
      <c r="M34" s="231">
        <f t="shared" ca="1" si="10"/>
        <v>46934</v>
      </c>
      <c r="N34" s="231">
        <f t="shared" ca="1" si="17"/>
        <v>46930</v>
      </c>
      <c r="O34" s="199">
        <f t="shared" ca="1" si="18"/>
        <v>6</v>
      </c>
      <c r="P34" s="199">
        <f t="shared" ca="1" si="11"/>
        <v>25</v>
      </c>
      <c r="Q34" s="199">
        <f t="shared" ca="1" si="0"/>
        <v>366</v>
      </c>
      <c r="R34" s="199">
        <f t="shared" ca="1" si="12"/>
        <v>1.6393442622950821E-2</v>
      </c>
      <c r="S34" s="199">
        <f t="shared" ca="1" si="13"/>
        <v>6.8306010928961755E-2</v>
      </c>
      <c r="T34" s="199">
        <f t="shared" ca="1" si="4"/>
        <v>8.4699453551912579E-2</v>
      </c>
      <c r="U34" s="415">
        <f t="shared" ca="1" si="14"/>
        <v>1.0082497267759563</v>
      </c>
      <c r="V34" s="233">
        <f ca="1">IF(B34&lt;&gt;"",1/PRODUCT($U$11:U34),0)</f>
        <v>0.8235344559520702</v>
      </c>
      <c r="AA34" s="240">
        <f t="shared" ca="1" si="5"/>
        <v>782.55</v>
      </c>
      <c r="AB34" s="240">
        <f ca="1">IF(B34&lt;&gt;"",AA34/((1+$V$5)^(SUM($T$11:T34))),0)</f>
        <v>567.14372063589519</v>
      </c>
      <c r="AD34">
        <f t="shared" ca="1" si="15"/>
        <v>1.0082723287671234</v>
      </c>
      <c r="AE34">
        <f ca="1">IF(B34&lt;&gt;"",1/PRODUCT($AD$11:AD34),0)</f>
        <v>0.82342904245366422</v>
      </c>
    </row>
    <row r="35" spans="1:31" ht="13.5" thickBot="1" x14ac:dyDescent="0.35">
      <c r="A35" s="911">
        <f ca="1">A23+A25</f>
        <v>37562.399999999994</v>
      </c>
      <c r="B35" s="248">
        <f t="shared" si="1"/>
        <v>25</v>
      </c>
      <c r="C35" s="249">
        <f t="shared" ca="1" si="6"/>
        <v>46960</v>
      </c>
      <c r="D35" s="249">
        <f t="shared" ca="1" si="16"/>
        <v>46960</v>
      </c>
      <c r="E35" s="250">
        <f t="shared" ca="1" si="7"/>
        <v>113.95</v>
      </c>
      <c r="F35" s="250">
        <f t="shared" ca="1" si="8"/>
        <v>668.6</v>
      </c>
      <c r="G35" s="250">
        <f t="shared" ca="1" si="2"/>
        <v>15660.820000000002</v>
      </c>
      <c r="H35" s="250">
        <f t="shared" ca="1" si="3"/>
        <v>782.55</v>
      </c>
      <c r="I35" s="99"/>
      <c r="K35" s="231"/>
      <c r="L35" s="199" t="str">
        <f t="shared" si="9"/>
        <v>R</v>
      </c>
      <c r="M35" s="231">
        <f t="shared" ca="1" si="10"/>
        <v>46965</v>
      </c>
      <c r="N35" s="231">
        <f t="shared" ca="1" si="17"/>
        <v>46960</v>
      </c>
      <c r="O35" s="199">
        <f t="shared" ca="1" si="18"/>
        <v>5</v>
      </c>
      <c r="P35" s="199">
        <f t="shared" ca="1" si="11"/>
        <v>25</v>
      </c>
      <c r="Q35" s="199">
        <f t="shared" ca="1" si="0"/>
        <v>366</v>
      </c>
      <c r="R35" s="199">
        <f t="shared" ca="1" si="12"/>
        <v>1.3661202185792349E-2</v>
      </c>
      <c r="S35" s="199">
        <f t="shared" ca="1" si="13"/>
        <v>6.8306010928961755E-2</v>
      </c>
      <c r="T35" s="199">
        <f t="shared" ca="1" si="4"/>
        <v>8.1967213114754106E-2</v>
      </c>
      <c r="U35" s="415">
        <f t="shared" ca="1" si="14"/>
        <v>1.0079836065573771</v>
      </c>
      <c r="V35" s="233">
        <f ca="1">IF(B35&lt;&gt;"",1/PRODUCT($U$11:U35),0)</f>
        <v>0.81701175554306249</v>
      </c>
      <c r="AA35" s="240">
        <f t="shared" ca="1" si="5"/>
        <v>782.55</v>
      </c>
      <c r="AB35" s="240">
        <f ca="1">IF(B35&lt;&gt;"",AA35/((1+$V$5)^(SUM($T$11:T35))),0)</f>
        <v>559.71493196129859</v>
      </c>
      <c r="AD35">
        <f t="shared" ca="1" si="15"/>
        <v>1.0080054794520548</v>
      </c>
      <c r="AE35">
        <f ca="1">IF(B35&lt;&gt;"",1/PRODUCT($AD$11:AD35),0)</f>
        <v>0.8168894507411556</v>
      </c>
    </row>
    <row r="36" spans="1:31" ht="13" x14ac:dyDescent="0.3">
      <c r="A36" s="24" t="s">
        <v>160</v>
      </c>
      <c r="B36" s="248">
        <f t="shared" si="1"/>
        <v>26</v>
      </c>
      <c r="C36" s="249">
        <f t="shared" ca="1" si="6"/>
        <v>46991</v>
      </c>
      <c r="D36" s="249">
        <f t="shared" ca="1" si="16"/>
        <v>46991</v>
      </c>
      <c r="E36" s="250">
        <f t="shared" ca="1" si="7"/>
        <v>112.93</v>
      </c>
      <c r="F36" s="250">
        <f t="shared" ca="1" si="8"/>
        <v>669.62</v>
      </c>
      <c r="G36" s="250">
        <f t="shared" ca="1" si="2"/>
        <v>14991.2</v>
      </c>
      <c r="H36" s="250">
        <f t="shared" ca="1" si="3"/>
        <v>782.55</v>
      </c>
      <c r="I36" s="99"/>
      <c r="K36" s="231"/>
      <c r="L36" s="199" t="str">
        <f t="shared" si="9"/>
        <v>R</v>
      </c>
      <c r="M36" s="231">
        <f t="shared" ca="1" si="10"/>
        <v>46996</v>
      </c>
      <c r="N36" s="231">
        <f t="shared" ca="1" si="17"/>
        <v>46991</v>
      </c>
      <c r="O36" s="199">
        <f t="shared" ca="1" si="18"/>
        <v>6</v>
      </c>
      <c r="P36" s="199">
        <f t="shared" ca="1" si="11"/>
        <v>25</v>
      </c>
      <c r="Q36" s="199">
        <f t="shared" ca="1" si="0"/>
        <v>366</v>
      </c>
      <c r="R36" s="199">
        <f t="shared" ca="1" si="12"/>
        <v>1.6393442622950821E-2</v>
      </c>
      <c r="S36" s="199">
        <f t="shared" ca="1" si="13"/>
        <v>6.8306010928961755E-2</v>
      </c>
      <c r="T36" s="199">
        <f t="shared" ca="1" si="4"/>
        <v>8.4699453551912579E-2</v>
      </c>
      <c r="U36" s="415">
        <f t="shared" ca="1" si="14"/>
        <v>1.0082497267759563</v>
      </c>
      <c r="V36" s="233">
        <f ca="1">IF(B36&lt;&gt;"",1/PRODUCT($U$11:U36),0)</f>
        <v>0.81032678100056765</v>
      </c>
      <c r="AA36" s="240">
        <f t="shared" ca="1" si="5"/>
        <v>782.55</v>
      </c>
      <c r="AB36" s="240">
        <f ca="1">IF(B36&lt;&gt;"",AA36/((1+$V$5)^(SUM($T$11:T36))),0)</f>
        <v>552.14072819852504</v>
      </c>
      <c r="AD36">
        <f t="shared" ca="1" si="15"/>
        <v>1.0082723287671234</v>
      </c>
      <c r="AE36">
        <f ca="1">IF(B36&lt;&gt;"",1/PRODUCT($AD$11:AD36),0)</f>
        <v>0.8101873149092732</v>
      </c>
    </row>
    <row r="37" spans="1:31" ht="13" x14ac:dyDescent="0.3">
      <c r="A37" s="24"/>
      <c r="B37" s="248">
        <f t="shared" si="1"/>
        <v>27</v>
      </c>
      <c r="C37" s="249">
        <f t="shared" ca="1" si="6"/>
        <v>47022</v>
      </c>
      <c r="D37" s="249">
        <f t="shared" ca="1" si="16"/>
        <v>47022</v>
      </c>
      <c r="E37" s="250">
        <f t="shared" ca="1" si="7"/>
        <v>108.1</v>
      </c>
      <c r="F37" s="250">
        <f t="shared" ca="1" si="8"/>
        <v>674.45</v>
      </c>
      <c r="G37" s="250">
        <f t="shared" ca="1" si="2"/>
        <v>14316.75</v>
      </c>
      <c r="H37" s="250">
        <f t="shared" ca="1" si="3"/>
        <v>782.55</v>
      </c>
      <c r="I37" s="99"/>
      <c r="K37" s="231"/>
      <c r="L37" s="199" t="str">
        <f t="shared" si="9"/>
        <v>R</v>
      </c>
      <c r="M37" s="231">
        <f t="shared" ca="1" si="10"/>
        <v>47026</v>
      </c>
      <c r="N37" s="231">
        <f t="shared" ca="1" si="17"/>
        <v>47022</v>
      </c>
      <c r="O37" s="199">
        <f t="shared" ca="1" si="18"/>
        <v>6</v>
      </c>
      <c r="P37" s="199">
        <f t="shared" ca="1" si="11"/>
        <v>25</v>
      </c>
      <c r="Q37" s="199">
        <f t="shared" ca="1" si="0"/>
        <v>366</v>
      </c>
      <c r="R37" s="199">
        <f t="shared" ca="1" si="12"/>
        <v>1.6393442622950821E-2</v>
      </c>
      <c r="S37" s="199">
        <f t="shared" ca="1" si="13"/>
        <v>6.8306010928961755E-2</v>
      </c>
      <c r="T37" s="199">
        <f t="shared" ca="1" si="4"/>
        <v>8.4699453551912579E-2</v>
      </c>
      <c r="U37" s="415">
        <f t="shared" ca="1" si="14"/>
        <v>1.0082497267759563</v>
      </c>
      <c r="V37" s="233">
        <f ca="1">IF(B37&lt;&gt;"",1/PRODUCT($U$11:U37),0)</f>
        <v>0.80369650442824347</v>
      </c>
      <c r="AA37" s="240">
        <f t="shared" ca="1" si="5"/>
        <v>782.55</v>
      </c>
      <c r="AB37" s="240">
        <f ca="1">IF(B37&lt;&gt;"",AA37/((1+$V$5)^(SUM($T$11:T37))),0)</f>
        <v>544.66902047322355</v>
      </c>
      <c r="AD37">
        <f t="shared" ca="1" si="15"/>
        <v>1.0082723287671234</v>
      </c>
      <c r="AE37">
        <f ca="1">IF(B37&lt;&gt;"",1/PRODUCT($AD$11:AD37),0)</f>
        <v>0.80354016647460624</v>
      </c>
    </row>
    <row r="38" spans="1:31" ht="13" x14ac:dyDescent="0.3">
      <c r="A38" s="24"/>
      <c r="B38" s="248">
        <f t="shared" si="1"/>
        <v>28</v>
      </c>
      <c r="C38" s="249">
        <f t="shared" ca="1" si="6"/>
        <v>47052</v>
      </c>
      <c r="D38" s="249">
        <f t="shared" ca="1" si="16"/>
        <v>47052</v>
      </c>
      <c r="E38" s="250">
        <f t="shared" ca="1" si="7"/>
        <v>99.9</v>
      </c>
      <c r="F38" s="250">
        <f t="shared" ca="1" si="8"/>
        <v>682.65</v>
      </c>
      <c r="G38" s="250">
        <f t="shared" ca="1" si="2"/>
        <v>13634.1</v>
      </c>
      <c r="H38" s="250">
        <f t="shared" ca="1" si="3"/>
        <v>782.55</v>
      </c>
      <c r="I38" s="99"/>
      <c r="K38" s="231"/>
      <c r="L38" s="199" t="str">
        <f t="shared" si="9"/>
        <v>R</v>
      </c>
      <c r="M38" s="231">
        <f t="shared" ca="1" si="10"/>
        <v>47057</v>
      </c>
      <c r="N38" s="231">
        <f t="shared" ca="1" si="17"/>
        <v>47052</v>
      </c>
      <c r="O38" s="199">
        <f t="shared" ca="1" si="18"/>
        <v>5</v>
      </c>
      <c r="P38" s="199">
        <f t="shared" ca="1" si="11"/>
        <v>25</v>
      </c>
      <c r="Q38" s="199">
        <f t="shared" ca="1" si="0"/>
        <v>366</v>
      </c>
      <c r="R38" s="199">
        <f t="shared" ca="1" si="12"/>
        <v>1.3661202185792349E-2</v>
      </c>
      <c r="S38" s="199">
        <f t="shared" ca="1" si="13"/>
        <v>6.8306010928961755E-2</v>
      </c>
      <c r="T38" s="199">
        <f t="shared" ca="1" si="4"/>
        <v>8.1967213114754106E-2</v>
      </c>
      <c r="U38" s="415">
        <f t="shared" ca="1" si="14"/>
        <v>1.0079836065573771</v>
      </c>
      <c r="V38" s="233">
        <f ca="1">IF(B38&lt;&gt;"",1/PRODUCT($U$11:U38),0)</f>
        <v>0.79733092800303884</v>
      </c>
      <c r="AA38" s="240">
        <f t="shared" ca="1" si="5"/>
        <v>782.55</v>
      </c>
      <c r="AB38" s="240">
        <f ca="1">IF(B38&lt;&gt;"",AA38/((1+$V$5)^(SUM($T$11:T38))),0)</f>
        <v>537.53461890362075</v>
      </c>
      <c r="AD38">
        <f t="shared" ca="1" si="15"/>
        <v>1.0080054794520548</v>
      </c>
      <c r="AE38">
        <f ca="1">IF(B38&lt;&gt;"",1/PRODUCT($AD$11:AD38),0)</f>
        <v>0.79715853024073391</v>
      </c>
    </row>
    <row r="39" spans="1:31" ht="13" x14ac:dyDescent="0.3">
      <c r="A39" s="24"/>
      <c r="B39" s="248">
        <f t="shared" si="1"/>
        <v>29</v>
      </c>
      <c r="C39" s="249">
        <f t="shared" ca="1" si="6"/>
        <v>47083</v>
      </c>
      <c r="D39" s="249">
        <f t="shared" ca="1" si="16"/>
        <v>47083</v>
      </c>
      <c r="E39" s="250">
        <f t="shared" ca="1" si="7"/>
        <v>98.31</v>
      </c>
      <c r="F39" s="250">
        <f t="shared" ca="1" si="8"/>
        <v>684.24</v>
      </c>
      <c r="G39" s="250">
        <f t="shared" ca="1" si="2"/>
        <v>12949.86</v>
      </c>
      <c r="H39" s="250">
        <f t="shared" ca="1" si="3"/>
        <v>782.55</v>
      </c>
      <c r="I39" s="99"/>
      <c r="K39" s="231"/>
      <c r="L39" s="199" t="str">
        <f t="shared" si="9"/>
        <v>R</v>
      </c>
      <c r="M39" s="231">
        <f t="shared" ca="1" si="10"/>
        <v>47087</v>
      </c>
      <c r="N39" s="231">
        <f t="shared" ca="1" si="17"/>
        <v>47083</v>
      </c>
      <c r="O39" s="199">
        <f t="shared" ca="1" si="18"/>
        <v>6</v>
      </c>
      <c r="P39" s="199">
        <f t="shared" ca="1" si="11"/>
        <v>25</v>
      </c>
      <c r="Q39" s="199">
        <f t="shared" ca="1" si="0"/>
        <v>366</v>
      </c>
      <c r="R39" s="199">
        <f t="shared" ca="1" si="12"/>
        <v>1.6393442622950821E-2</v>
      </c>
      <c r="S39" s="199">
        <f t="shared" ca="1" si="13"/>
        <v>6.8306010928961755E-2</v>
      </c>
      <c r="T39" s="199">
        <f t="shared" ca="1" si="4"/>
        <v>8.4699453551912579E-2</v>
      </c>
      <c r="U39" s="415">
        <f t="shared" ca="1" si="14"/>
        <v>1.0082497267759563</v>
      </c>
      <c r="V39" s="233">
        <f ca="1">IF(B39&lt;&gt;"",1/PRODUCT($U$11:U39),0)</f>
        <v>0.79080698643245373</v>
      </c>
      <c r="AA39" s="240">
        <f t="shared" ca="1" si="5"/>
        <v>782.55</v>
      </c>
      <c r="AB39" s="240">
        <f ca="1">IF(B39&lt;&gt;"",AA39/((1+$V$5)^(SUM($T$11:T39))),0)</f>
        <v>530.26056473669996</v>
      </c>
      <c r="AD39">
        <f t="shared" ca="1" si="15"/>
        <v>1.0082723287671234</v>
      </c>
      <c r="AE39">
        <f ca="1">IF(B39&lt;&gt;"",1/PRODUCT($AD$11:AD39),0)</f>
        <v>0.79061827593292056</v>
      </c>
    </row>
    <row r="40" spans="1:31" ht="13" x14ac:dyDescent="0.3">
      <c r="A40" s="24"/>
      <c r="B40" s="248">
        <f t="shared" si="1"/>
        <v>30</v>
      </c>
      <c r="C40" s="249">
        <f t="shared" ca="1" si="6"/>
        <v>47113</v>
      </c>
      <c r="D40" s="249">
        <f t="shared" ca="1" si="16"/>
        <v>47113</v>
      </c>
      <c r="E40" s="250">
        <f t="shared" ca="1" si="7"/>
        <v>90.37</v>
      </c>
      <c r="F40" s="250">
        <f t="shared" ca="1" si="8"/>
        <v>692.18</v>
      </c>
      <c r="G40" s="250">
        <f t="shared" ca="1" si="2"/>
        <v>12257.68</v>
      </c>
      <c r="H40" s="250">
        <f t="shared" ca="1" si="3"/>
        <v>782.55</v>
      </c>
      <c r="I40" s="99"/>
      <c r="K40" s="231"/>
      <c r="L40" s="199" t="str">
        <f t="shared" si="9"/>
        <v>R</v>
      </c>
      <c r="M40" s="231">
        <f t="shared" ca="1" si="10"/>
        <v>47118</v>
      </c>
      <c r="N40" s="231">
        <f t="shared" ca="1" si="17"/>
        <v>47113</v>
      </c>
      <c r="O40" s="199">
        <f t="shared" ca="1" si="18"/>
        <v>5</v>
      </c>
      <c r="P40" s="199">
        <f t="shared" ca="1" si="11"/>
        <v>25</v>
      </c>
      <c r="Q40" s="199">
        <f t="shared" ca="1" si="0"/>
        <v>366</v>
      </c>
      <c r="R40" s="199">
        <f t="shared" ca="1" si="12"/>
        <v>1.3661202185792349E-2</v>
      </c>
      <c r="S40" s="199">
        <f t="shared" ca="1" si="13"/>
        <v>6.8306010928961755E-2</v>
      </c>
      <c r="T40" s="199">
        <f t="shared" ca="1" si="4"/>
        <v>8.1967213114754106E-2</v>
      </c>
      <c r="U40" s="415">
        <f t="shared" ca="1" si="14"/>
        <v>1.0079836065573771</v>
      </c>
      <c r="V40" s="233">
        <f ca="1">IF(B40&lt;&gt;"",1/PRODUCT($U$11:U40),0)</f>
        <v>0.78454349980287985</v>
      </c>
      <c r="AA40" s="240">
        <f t="shared" ca="1" si="5"/>
        <v>782.55</v>
      </c>
      <c r="AB40" s="240">
        <f ca="1">IF(B40&lt;&gt;"",AA40/((1+$V$5)^(SUM($T$11:T40))),0)</f>
        <v>523.3148937637684</v>
      </c>
      <c r="AD40">
        <f t="shared" ca="1" si="15"/>
        <v>1.0080054794520548</v>
      </c>
      <c r="AE40">
        <f ca="1">IF(B40&lt;&gt;"",1/PRODUCT($AD$11:AD40),0)</f>
        <v>0.78433926407096077</v>
      </c>
    </row>
    <row r="41" spans="1:31" ht="13" x14ac:dyDescent="0.3">
      <c r="A41" s="24"/>
      <c r="B41" s="248">
        <f t="shared" si="1"/>
        <v>31</v>
      </c>
      <c r="C41" s="249">
        <f t="shared" ca="1" si="6"/>
        <v>47144</v>
      </c>
      <c r="D41" s="249">
        <f t="shared" ca="1" si="16"/>
        <v>47144</v>
      </c>
      <c r="E41" s="250">
        <f t="shared" ca="1" si="7"/>
        <v>88.39</v>
      </c>
      <c r="F41" s="250">
        <f t="shared" ca="1" si="8"/>
        <v>694.16</v>
      </c>
      <c r="G41" s="250">
        <f t="shared" ca="1" si="2"/>
        <v>11563.52</v>
      </c>
      <c r="H41" s="250">
        <f t="shared" ca="1" si="3"/>
        <v>782.55</v>
      </c>
      <c r="I41" s="99"/>
      <c r="K41" s="231"/>
      <c r="L41" s="199" t="str">
        <f t="shared" si="9"/>
        <v>R</v>
      </c>
      <c r="M41" s="231">
        <f t="shared" ca="1" si="10"/>
        <v>47149</v>
      </c>
      <c r="N41" s="231">
        <f t="shared" ca="1" si="17"/>
        <v>47144</v>
      </c>
      <c r="O41" s="199">
        <f t="shared" ca="1" si="18"/>
        <v>6</v>
      </c>
      <c r="P41" s="199">
        <f t="shared" ca="1" si="11"/>
        <v>25</v>
      </c>
      <c r="Q41" s="199">
        <f t="shared" ca="1" si="0"/>
        <v>365</v>
      </c>
      <c r="R41" s="199">
        <f t="shared" ca="1" si="12"/>
        <v>1.6393442622950821E-2</v>
      </c>
      <c r="S41" s="199">
        <f t="shared" ca="1" si="13"/>
        <v>6.8493150684931503E-2</v>
      </c>
      <c r="T41" s="199">
        <f t="shared" ca="1" si="4"/>
        <v>8.4886593307882327E-2</v>
      </c>
      <c r="U41" s="415">
        <f t="shared" ca="1" si="14"/>
        <v>1.0082679541881878</v>
      </c>
      <c r="V41" s="233">
        <f ca="1">IF(B41&lt;&gt;"",1/PRODUCT($U$11:U41),0)</f>
        <v>0.77811012096934007</v>
      </c>
      <c r="AA41" s="240">
        <f t="shared" ca="1" si="5"/>
        <v>782.55</v>
      </c>
      <c r="AB41" s="240">
        <f ca="1">IF(B41&lt;&gt;"",AA41/((1+$V$5)^(SUM($T$11:T41))),0)</f>
        <v>516.21772453693177</v>
      </c>
      <c r="AD41">
        <f t="shared" ca="1" si="15"/>
        <v>1.0082723287671234</v>
      </c>
      <c r="AE41">
        <f ca="1">IF(B41&lt;&gt;"",1/PRODUCT($AD$11:AD41),0)</f>
        <v>0.77790418490411273</v>
      </c>
    </row>
    <row r="42" spans="1:31" ht="13" x14ac:dyDescent="0.3">
      <c r="A42" s="24"/>
      <c r="B42" s="248">
        <f t="shared" si="1"/>
        <v>32</v>
      </c>
      <c r="C42" s="249">
        <f t="shared" ca="1" si="6"/>
        <v>47175</v>
      </c>
      <c r="D42" s="249">
        <f t="shared" ca="1" si="16"/>
        <v>47175</v>
      </c>
      <c r="E42" s="250">
        <f t="shared" ca="1" si="7"/>
        <v>83.38</v>
      </c>
      <c r="F42" s="250">
        <f t="shared" ca="1" si="8"/>
        <v>699.17</v>
      </c>
      <c r="G42" s="250">
        <f t="shared" ca="1" si="2"/>
        <v>10864.35</v>
      </c>
      <c r="H42" s="250">
        <f t="shared" ca="1" si="3"/>
        <v>782.55</v>
      </c>
      <c r="I42" s="99"/>
      <c r="K42" s="231"/>
      <c r="L42" s="199" t="str">
        <f t="shared" si="9"/>
        <v>R</v>
      </c>
      <c r="M42" s="231">
        <f t="shared" ca="1" si="10"/>
        <v>47177</v>
      </c>
      <c r="N42" s="231">
        <f t="shared" ca="1" si="17"/>
        <v>47175</v>
      </c>
      <c r="O42" s="199">
        <f t="shared" ca="1" si="18"/>
        <v>6</v>
      </c>
      <c r="P42" s="199">
        <f t="shared" ca="1" si="11"/>
        <v>25</v>
      </c>
      <c r="Q42" s="199">
        <f t="shared" ca="1" si="0"/>
        <v>365</v>
      </c>
      <c r="R42" s="199">
        <f t="shared" ca="1" si="12"/>
        <v>1.643835616438356E-2</v>
      </c>
      <c r="S42" s="199">
        <f t="shared" ca="1" si="13"/>
        <v>6.8493150684931503E-2</v>
      </c>
      <c r="T42" s="199">
        <f t="shared" ca="1" si="4"/>
        <v>8.4931506849315067E-2</v>
      </c>
      <c r="U42" s="415">
        <f t="shared" ca="1" si="14"/>
        <v>1.0082723287671234</v>
      </c>
      <c r="V42" s="233">
        <f ca="1">IF(B42&lt;&gt;"",1/PRODUCT($U$11:U42),0)</f>
        <v>0.77172614855034571</v>
      </c>
      <c r="AA42" s="240">
        <f t="shared" ca="1" si="5"/>
        <v>782.55</v>
      </c>
      <c r="AB42" s="240">
        <f ca="1">IF(B42&lt;&gt;"",AA42/((1+$V$5)^(SUM($T$11:T42))),0)</f>
        <v>509.21312780438262</v>
      </c>
      <c r="AD42">
        <f t="shared" ca="1" si="15"/>
        <v>1.0082723287671234</v>
      </c>
      <c r="AE42">
        <f ca="1">IF(B42&lt;&gt;"",1/PRODUCT($AD$11:AD42),0)</f>
        <v>0.77152190207907823</v>
      </c>
    </row>
    <row r="43" spans="1:31" ht="13" x14ac:dyDescent="0.3">
      <c r="A43" s="24"/>
      <c r="B43" s="248">
        <f t="shared" si="1"/>
        <v>33</v>
      </c>
      <c r="C43" s="249">
        <f t="shared" ca="1" si="6"/>
        <v>47203</v>
      </c>
      <c r="D43" s="249">
        <f t="shared" ca="1" si="16"/>
        <v>47203</v>
      </c>
      <c r="E43" s="250">
        <f t="shared" ca="1" si="7"/>
        <v>70.760000000000005</v>
      </c>
      <c r="F43" s="250">
        <f t="shared" ca="1" si="8"/>
        <v>711.79</v>
      </c>
      <c r="G43" s="250">
        <f t="shared" ca="1" si="2"/>
        <v>10152.560000000001</v>
      </c>
      <c r="H43" s="250">
        <f t="shared" ca="1" si="3"/>
        <v>782.55</v>
      </c>
      <c r="I43" s="99"/>
      <c r="K43" s="231"/>
      <c r="L43" s="199" t="str">
        <f t="shared" si="9"/>
        <v>R</v>
      </c>
      <c r="M43" s="231">
        <f t="shared" ca="1" si="10"/>
        <v>47208</v>
      </c>
      <c r="N43" s="231">
        <f t="shared" ca="1" si="17"/>
        <v>47203</v>
      </c>
      <c r="O43" s="199">
        <f t="shared" ca="1" si="18"/>
        <v>3</v>
      </c>
      <c r="P43" s="199">
        <f t="shared" ca="1" si="11"/>
        <v>25</v>
      </c>
      <c r="Q43" s="199">
        <f t="shared" ca="1" si="0"/>
        <v>365</v>
      </c>
      <c r="R43" s="199">
        <f t="shared" ca="1" si="12"/>
        <v>8.21917808219178E-3</v>
      </c>
      <c r="S43" s="199">
        <f t="shared" ca="1" si="13"/>
        <v>6.8493150684931503E-2</v>
      </c>
      <c r="T43" s="199">
        <f t="shared" ca="1" si="4"/>
        <v>7.6712328767123278E-2</v>
      </c>
      <c r="U43" s="415">
        <f t="shared" ca="1" si="14"/>
        <v>1.0074717808219178</v>
      </c>
      <c r="V43" s="233">
        <f ca="1">IF(B43&lt;&gt;"",1/PRODUCT($U$11:U43),0)</f>
        <v>0.76600274393864853</v>
      </c>
      <c r="AA43" s="240">
        <f t="shared" ca="1" si="5"/>
        <v>782.55</v>
      </c>
      <c r="AB43" s="240">
        <f ca="1">IF(B43&lt;&gt;"",AA43/((1+$V$5)^(SUM($T$11:T43))),0)</f>
        <v>502.96812513783732</v>
      </c>
      <c r="AD43">
        <f t="shared" ca="1" si="15"/>
        <v>1.0074717808219178</v>
      </c>
      <c r="AE43">
        <f ca="1">IF(B43&lt;&gt;"",1/PRODUCT($AD$11:AD43),0)</f>
        <v>0.7658000122342421</v>
      </c>
    </row>
    <row r="44" spans="1:31" ht="13" x14ac:dyDescent="0.3">
      <c r="A44" s="24"/>
      <c r="B44" s="248">
        <f t="shared" si="1"/>
        <v>34</v>
      </c>
      <c r="C44" s="249">
        <f t="shared" ca="1" si="6"/>
        <v>47234</v>
      </c>
      <c r="D44" s="249">
        <f t="shared" ca="1" si="16"/>
        <v>47234</v>
      </c>
      <c r="E44" s="250">
        <f t="shared" ca="1" si="7"/>
        <v>73.209999999999994</v>
      </c>
      <c r="F44" s="250">
        <f t="shared" ca="1" si="8"/>
        <v>709.34</v>
      </c>
      <c r="G44" s="250">
        <f t="shared" ca="1" si="2"/>
        <v>9443.2200000000012</v>
      </c>
      <c r="H44" s="250">
        <f t="shared" ca="1" si="3"/>
        <v>782.55</v>
      </c>
      <c r="I44" s="99"/>
      <c r="K44" s="231"/>
      <c r="L44" s="199" t="str">
        <f t="shared" si="9"/>
        <v>R</v>
      </c>
      <c r="M44" s="231">
        <f t="shared" ca="1" si="10"/>
        <v>47238</v>
      </c>
      <c r="N44" s="231">
        <f t="shared" ca="1" si="17"/>
        <v>47234</v>
      </c>
      <c r="O44" s="199">
        <f t="shared" ca="1" si="18"/>
        <v>6</v>
      </c>
      <c r="P44" s="199">
        <f t="shared" ca="1" si="11"/>
        <v>25</v>
      </c>
      <c r="Q44" s="199">
        <f t="shared" ca="1" si="0"/>
        <v>365</v>
      </c>
      <c r="R44" s="199">
        <f t="shared" ca="1" si="12"/>
        <v>1.643835616438356E-2</v>
      </c>
      <c r="S44" s="199">
        <f t="shared" ca="1" si="13"/>
        <v>6.8493150684931503E-2</v>
      </c>
      <c r="T44" s="199">
        <f t="shared" ca="1" si="4"/>
        <v>8.4931506849315067E-2</v>
      </c>
      <c r="U44" s="415">
        <f t="shared" ca="1" si="14"/>
        <v>1.0082723287671234</v>
      </c>
      <c r="V44" s="233">
        <f ca="1">IF(B44&lt;&gt;"",1/PRODUCT($U$11:U44),0)</f>
        <v>0.75971810599551726</v>
      </c>
      <c r="AA44" s="240">
        <f t="shared" ca="1" si="5"/>
        <v>782.55</v>
      </c>
      <c r="AB44" s="240">
        <f ca="1">IF(B44&lt;&gt;"",AA44/((1+$V$5)^(SUM($T$11:T44))),0)</f>
        <v>496.14331320586189</v>
      </c>
      <c r="AD44">
        <f t="shared" ca="1" si="15"/>
        <v>1.0082723287671234</v>
      </c>
      <c r="AE44">
        <f ca="1">IF(B44&lt;&gt;"",1/PRODUCT($AD$11:AD44),0)</f>
        <v>0.75951703759502442</v>
      </c>
    </row>
    <row r="45" spans="1:31" ht="13" x14ac:dyDescent="0.3">
      <c r="A45" s="24"/>
      <c r="B45" s="248">
        <f t="shared" si="1"/>
        <v>35</v>
      </c>
      <c r="C45" s="249">
        <f t="shared" ca="1" si="6"/>
        <v>47264</v>
      </c>
      <c r="D45" s="249">
        <f t="shared" ca="1" si="16"/>
        <v>47264</v>
      </c>
      <c r="E45" s="250">
        <f t="shared" ca="1" si="7"/>
        <v>65.900000000000006</v>
      </c>
      <c r="F45" s="250">
        <f t="shared" ca="1" si="8"/>
        <v>716.65</v>
      </c>
      <c r="G45" s="250">
        <f t="shared" ca="1" si="2"/>
        <v>8726.5700000000015</v>
      </c>
      <c r="H45" s="250">
        <f t="shared" ca="1" si="3"/>
        <v>782.55</v>
      </c>
      <c r="I45" s="99"/>
      <c r="K45" s="231"/>
      <c r="L45" s="199" t="str">
        <f t="shared" si="9"/>
        <v>R</v>
      </c>
      <c r="M45" s="231">
        <f t="shared" ca="1" si="10"/>
        <v>47269</v>
      </c>
      <c r="N45" s="231">
        <f t="shared" ca="1" si="17"/>
        <v>47264</v>
      </c>
      <c r="O45" s="199">
        <f t="shared" ca="1" si="18"/>
        <v>5</v>
      </c>
      <c r="P45" s="199">
        <f t="shared" ca="1" si="11"/>
        <v>25</v>
      </c>
      <c r="Q45" s="199">
        <f t="shared" ca="1" si="0"/>
        <v>365</v>
      </c>
      <c r="R45" s="199">
        <f t="shared" ca="1" si="12"/>
        <v>1.3698630136986301E-2</v>
      </c>
      <c r="S45" s="199">
        <f t="shared" ca="1" si="13"/>
        <v>6.8493150684931503E-2</v>
      </c>
      <c r="T45" s="199">
        <f t="shared" ca="1" si="4"/>
        <v>8.2191780821917804E-2</v>
      </c>
      <c r="U45" s="415">
        <f t="shared" ca="1" si="14"/>
        <v>1.0080054794520548</v>
      </c>
      <c r="V45" s="233">
        <f ca="1">IF(B45&lt;&gt;"",1/PRODUCT($U$11:U45),0)</f>
        <v>0.75368450021570821</v>
      </c>
      <c r="AA45" s="240">
        <f t="shared" ca="1" si="5"/>
        <v>782.55</v>
      </c>
      <c r="AB45" s="240">
        <f ca="1">IF(B45&lt;&gt;"",AA45/((1+$V$5)^(SUM($T$11:T45))),0)</f>
        <v>489.62684301721356</v>
      </c>
      <c r="AD45">
        <f t="shared" ca="1" si="15"/>
        <v>1.0080054794520548</v>
      </c>
      <c r="AE45">
        <f ca="1">IF(B45&lt;&gt;"",1/PRODUCT($AD$11:AD45),0)</f>
        <v>0.75348502868049183</v>
      </c>
    </row>
    <row r="46" spans="1:31" ht="13" x14ac:dyDescent="0.3">
      <c r="A46" s="24"/>
      <c r="B46" s="248">
        <f t="shared" si="1"/>
        <v>36</v>
      </c>
      <c r="C46" s="249">
        <f t="shared" ca="1" si="6"/>
        <v>47295</v>
      </c>
      <c r="D46" s="249">
        <f t="shared" ca="1" si="16"/>
        <v>47295</v>
      </c>
      <c r="E46" s="250">
        <f t="shared" ca="1" si="7"/>
        <v>62.92</v>
      </c>
      <c r="F46" s="250">
        <f t="shared" ca="1" si="8"/>
        <v>719.63</v>
      </c>
      <c r="G46" s="250">
        <f t="shared" ca="1" si="2"/>
        <v>8006.9400000000014</v>
      </c>
      <c r="H46" s="250">
        <f t="shared" ca="1" si="3"/>
        <v>782.55</v>
      </c>
      <c r="I46" s="99"/>
      <c r="K46" s="231"/>
      <c r="L46" s="199" t="str">
        <f t="shared" si="9"/>
        <v>R</v>
      </c>
      <c r="M46" s="231">
        <f t="shared" ca="1" si="10"/>
        <v>47299</v>
      </c>
      <c r="N46" s="231">
        <f t="shared" ca="1" si="17"/>
        <v>47295</v>
      </c>
      <c r="O46" s="199">
        <f t="shared" ca="1" si="18"/>
        <v>6</v>
      </c>
      <c r="P46" s="199">
        <f t="shared" ca="1" si="11"/>
        <v>25</v>
      </c>
      <c r="Q46" s="199">
        <f t="shared" ca="1" si="0"/>
        <v>365</v>
      </c>
      <c r="R46" s="199">
        <f t="shared" ca="1" si="12"/>
        <v>1.643835616438356E-2</v>
      </c>
      <c r="S46" s="199">
        <f t="shared" ca="1" si="13"/>
        <v>6.8493150684931503E-2</v>
      </c>
      <c r="T46" s="199">
        <f t="shared" ca="1" si="4"/>
        <v>8.4931506849315067E-2</v>
      </c>
      <c r="U46" s="415">
        <f t="shared" ca="1" si="14"/>
        <v>1.0082723287671234</v>
      </c>
      <c r="V46" s="233">
        <f ca="1">IF(B46&lt;&gt;"",1/PRODUCT($U$11:U46),0)</f>
        <v>0.74750092679552627</v>
      </c>
      <c r="AA46" s="240">
        <f t="shared" ca="1" si="5"/>
        <v>782.55</v>
      </c>
      <c r="AB46" s="240">
        <f ca="1">IF(B46&lt;&gt;"",AA46/((1+$V$5)^(SUM($T$11:T46))),0)</f>
        <v>482.9830599354853</v>
      </c>
      <c r="AD46">
        <f t="shared" ca="1" si="15"/>
        <v>1.0082723287671234</v>
      </c>
      <c r="AE46">
        <f ca="1">IF(B46&lt;&gt;"",1/PRODUCT($AD$11:AD46),0)</f>
        <v>0.74730309181629961</v>
      </c>
    </row>
    <row r="47" spans="1:31" ht="13" x14ac:dyDescent="0.3">
      <c r="A47" s="24"/>
      <c r="B47" s="248">
        <f t="shared" si="1"/>
        <v>37</v>
      </c>
      <c r="C47" s="249">
        <f t="shared" ca="1" si="6"/>
        <v>47325</v>
      </c>
      <c r="D47" s="249">
        <f t="shared" ca="1" si="16"/>
        <v>47325</v>
      </c>
      <c r="E47" s="250">
        <f t="shared" ca="1" si="7"/>
        <v>55.87</v>
      </c>
      <c r="F47" s="250">
        <f t="shared" ca="1" si="8"/>
        <v>726.68</v>
      </c>
      <c r="G47" s="250">
        <f t="shared" ca="1" si="2"/>
        <v>7280.2600000000011</v>
      </c>
      <c r="H47" s="250">
        <f t="shared" ca="1" si="3"/>
        <v>782.55</v>
      </c>
      <c r="I47" s="99"/>
      <c r="K47" s="231"/>
      <c r="L47" s="199" t="str">
        <f t="shared" si="9"/>
        <v>R</v>
      </c>
      <c r="M47" s="231">
        <f t="shared" ca="1" si="10"/>
        <v>47330</v>
      </c>
      <c r="N47" s="231">
        <f t="shared" ca="1" si="17"/>
        <v>47325</v>
      </c>
      <c r="O47" s="199">
        <f t="shared" ca="1" si="18"/>
        <v>5</v>
      </c>
      <c r="P47" s="199">
        <f t="shared" ca="1" si="11"/>
        <v>25</v>
      </c>
      <c r="Q47" s="199">
        <f t="shared" ca="1" si="0"/>
        <v>365</v>
      </c>
      <c r="R47" s="199">
        <f t="shared" ca="1" si="12"/>
        <v>1.3698630136986301E-2</v>
      </c>
      <c r="S47" s="199">
        <f t="shared" ca="1" si="13"/>
        <v>6.8493150684931503E-2</v>
      </c>
      <c r="T47" s="199">
        <f t="shared" ca="1" si="4"/>
        <v>8.2191780821917804E-2</v>
      </c>
      <c r="U47" s="415">
        <f t="shared" ca="1" si="14"/>
        <v>1.0080054794520548</v>
      </c>
      <c r="V47" s="233">
        <f ca="1">IF(B47&lt;&gt;"",1/PRODUCT($U$11:U47),0)</f>
        <v>0.74156434864011145</v>
      </c>
      <c r="AA47" s="240">
        <f t="shared" ca="1" si="5"/>
        <v>782.55</v>
      </c>
      <c r="AB47" s="240">
        <f ca="1">IF(B47&lt;&gt;"",AA47/((1+$V$5)^(SUM($T$11:T47))),0)</f>
        <v>476.63943980009549</v>
      </c>
      <c r="AD47">
        <f t="shared" ca="1" si="15"/>
        <v>1.0080054794520548</v>
      </c>
      <c r="AE47">
        <f ca="1">IF(B47&lt;&gt;"",1/PRODUCT($AD$11:AD47),0)</f>
        <v>0.74136808484665051</v>
      </c>
    </row>
    <row r="48" spans="1:31" ht="13" x14ac:dyDescent="0.3">
      <c r="A48" s="24"/>
      <c r="B48" s="248">
        <f t="shared" si="1"/>
        <v>38</v>
      </c>
      <c r="C48" s="249">
        <f t="shared" ca="1" si="6"/>
        <v>47356</v>
      </c>
      <c r="D48" s="249">
        <f t="shared" ca="1" si="16"/>
        <v>47356</v>
      </c>
      <c r="E48" s="250">
        <f t="shared" ca="1" si="7"/>
        <v>52.5</v>
      </c>
      <c r="F48" s="250">
        <f t="shared" ca="1" si="8"/>
        <v>730.05</v>
      </c>
      <c r="G48" s="250">
        <f t="shared" ca="1" si="2"/>
        <v>6550.2100000000009</v>
      </c>
      <c r="H48" s="250">
        <f t="shared" ca="1" si="3"/>
        <v>782.55</v>
      </c>
      <c r="I48" s="99"/>
      <c r="K48" s="231"/>
      <c r="L48" s="199" t="str">
        <f t="shared" si="9"/>
        <v>R</v>
      </c>
      <c r="M48" s="231">
        <f t="shared" ca="1" si="10"/>
        <v>47361</v>
      </c>
      <c r="N48" s="231">
        <f t="shared" ca="1" si="17"/>
        <v>47356</v>
      </c>
      <c r="O48" s="199">
        <f t="shared" ca="1" si="18"/>
        <v>6</v>
      </c>
      <c r="P48" s="199">
        <f t="shared" ca="1" si="11"/>
        <v>25</v>
      </c>
      <c r="Q48" s="199">
        <f t="shared" ca="1" si="0"/>
        <v>365</v>
      </c>
      <c r="R48" s="199">
        <f t="shared" ca="1" si="12"/>
        <v>1.643835616438356E-2</v>
      </c>
      <c r="S48" s="199">
        <f t="shared" ca="1" si="13"/>
        <v>6.8493150684931503E-2</v>
      </c>
      <c r="T48" s="199">
        <f t="shared" ca="1" si="4"/>
        <v>8.4931506849315067E-2</v>
      </c>
      <c r="U48" s="415">
        <f t="shared" ca="1" si="14"/>
        <v>1.0082723287671234</v>
      </c>
      <c r="V48" s="233">
        <f ca="1">IF(B48&lt;&gt;"",1/PRODUCT($U$11:U48),0)</f>
        <v>0.73548021450401979</v>
      </c>
      <c r="AA48" s="240">
        <f t="shared" ca="1" si="5"/>
        <v>782.55</v>
      </c>
      <c r="AB48" s="240">
        <f ca="1">IF(B48&lt;&gt;"",AA48/((1+$V$5)^(SUM($T$11:T48))),0)</f>
        <v>470.17188375942925</v>
      </c>
      <c r="AD48">
        <f t="shared" ca="1" si="15"/>
        <v>1.0082723287671234</v>
      </c>
      <c r="AE48">
        <f ca="1">IF(B48&lt;&gt;"",1/PRODUCT($AD$11:AD48),0)</f>
        <v>0.73528556094876363</v>
      </c>
    </row>
    <row r="49" spans="1:31" ht="13" x14ac:dyDescent="0.3">
      <c r="A49" s="24"/>
      <c r="B49" s="248">
        <f t="shared" si="1"/>
        <v>39</v>
      </c>
      <c r="C49" s="249">
        <f t="shared" ca="1" si="6"/>
        <v>47387</v>
      </c>
      <c r="D49" s="249">
        <f t="shared" ca="1" si="16"/>
        <v>47387</v>
      </c>
      <c r="E49" s="250">
        <f t="shared" ca="1" si="7"/>
        <v>47.23</v>
      </c>
      <c r="F49" s="250">
        <f t="shared" ca="1" si="8"/>
        <v>735.32</v>
      </c>
      <c r="G49" s="250">
        <f t="shared" ca="1" si="2"/>
        <v>5814.8900000000012</v>
      </c>
      <c r="H49" s="250">
        <f t="shared" ca="1" si="3"/>
        <v>782.55</v>
      </c>
      <c r="I49" s="99"/>
      <c r="K49" s="231"/>
      <c r="L49" s="199" t="str">
        <f t="shared" si="9"/>
        <v>R</v>
      </c>
      <c r="M49" s="231">
        <f t="shared" ca="1" si="10"/>
        <v>47391</v>
      </c>
      <c r="N49" s="231">
        <f t="shared" ca="1" si="17"/>
        <v>47387</v>
      </c>
      <c r="O49" s="199">
        <f t="shared" ca="1" si="18"/>
        <v>6</v>
      </c>
      <c r="P49" s="199">
        <f t="shared" ca="1" si="11"/>
        <v>25</v>
      </c>
      <c r="Q49" s="199">
        <f t="shared" ca="1" si="0"/>
        <v>365</v>
      </c>
      <c r="R49" s="199">
        <f t="shared" ca="1" si="12"/>
        <v>1.643835616438356E-2</v>
      </c>
      <c r="S49" s="199">
        <f t="shared" ca="1" si="13"/>
        <v>6.8493150684931503E-2</v>
      </c>
      <c r="T49" s="199">
        <f t="shared" ca="1" si="4"/>
        <v>8.4931506849315067E-2</v>
      </c>
      <c r="U49" s="415">
        <f t="shared" ca="1" si="14"/>
        <v>1.0082723287671234</v>
      </c>
      <c r="V49" s="233">
        <f ca="1">IF(B49&lt;&gt;"",1/PRODUCT($U$11:U49),0)</f>
        <v>0.72944599739570037</v>
      </c>
      <c r="AA49" s="240">
        <f t="shared" ca="1" si="5"/>
        <v>782.55</v>
      </c>
      <c r="AB49" s="240">
        <f ca="1">IF(B49&lt;&gt;"",AA49/((1+$V$5)^(SUM($T$11:T49))),0)</f>
        <v>463.79208646813697</v>
      </c>
      <c r="AD49">
        <f t="shared" ca="1" si="15"/>
        <v>1.0082723287671234</v>
      </c>
      <c r="AE49">
        <f ca="1">IF(B49&lt;&gt;"",1/PRODUCT($AD$11:AD49),0)</f>
        <v>0.72925294086751591</v>
      </c>
    </row>
    <row r="50" spans="1:31" ht="13" x14ac:dyDescent="0.3">
      <c r="A50" s="24"/>
      <c r="B50" s="248">
        <f t="shared" si="1"/>
        <v>40</v>
      </c>
      <c r="C50" s="249">
        <f t="shared" ca="1" si="6"/>
        <v>47417</v>
      </c>
      <c r="D50" s="249">
        <f t="shared" ca="1" si="16"/>
        <v>47417</v>
      </c>
      <c r="E50" s="250">
        <f t="shared" ca="1" si="7"/>
        <v>40.58</v>
      </c>
      <c r="F50" s="250">
        <f t="shared" ca="1" si="8"/>
        <v>741.97</v>
      </c>
      <c r="G50" s="250">
        <f t="shared" ca="1" si="2"/>
        <v>5072.920000000001</v>
      </c>
      <c r="H50" s="250">
        <f t="shared" ca="1" si="3"/>
        <v>782.55</v>
      </c>
      <c r="I50" s="99"/>
      <c r="K50" s="231"/>
      <c r="L50" s="199" t="str">
        <f t="shared" si="9"/>
        <v>R</v>
      </c>
      <c r="M50" s="231">
        <f t="shared" ca="1" si="10"/>
        <v>47422</v>
      </c>
      <c r="N50" s="231">
        <f t="shared" ca="1" si="17"/>
        <v>47417</v>
      </c>
      <c r="O50" s="199">
        <f t="shared" ca="1" si="18"/>
        <v>5</v>
      </c>
      <c r="P50" s="199">
        <f t="shared" ca="1" si="11"/>
        <v>25</v>
      </c>
      <c r="Q50" s="199">
        <f t="shared" ca="1" si="0"/>
        <v>365</v>
      </c>
      <c r="R50" s="199">
        <f t="shared" ca="1" si="12"/>
        <v>1.3698630136986301E-2</v>
      </c>
      <c r="S50" s="199">
        <f t="shared" ca="1" si="13"/>
        <v>6.8493150684931503E-2</v>
      </c>
      <c r="T50" s="199">
        <f t="shared" ca="1" si="4"/>
        <v>8.2191780821917804E-2</v>
      </c>
      <c r="U50" s="415">
        <f t="shared" ca="1" si="14"/>
        <v>1.0080054794520548</v>
      </c>
      <c r="V50" s="233">
        <f ca="1">IF(B50&lt;&gt;"",1/PRODUCT($U$11:U50),0)</f>
        <v>0.72365280969724743</v>
      </c>
      <c r="AA50" s="240">
        <f t="shared" ca="1" si="5"/>
        <v>782.55</v>
      </c>
      <c r="AB50" s="240">
        <f ca="1">IF(B50&lt;&gt;"",AA50/((1+$V$5)^(SUM($T$11:T50))),0)</f>
        <v>457.70052537125969</v>
      </c>
      <c r="AD50">
        <f t="shared" ca="1" si="15"/>
        <v>1.0080054794520548</v>
      </c>
      <c r="AE50">
        <f ca="1">IF(B50&lt;&gt;"",1/PRODUCT($AD$11:AD50),0)</f>
        <v>0.72346128640484486</v>
      </c>
    </row>
    <row r="51" spans="1:31" ht="13" x14ac:dyDescent="0.3">
      <c r="A51" s="24"/>
      <c r="B51" s="248">
        <f t="shared" si="1"/>
        <v>41</v>
      </c>
      <c r="C51" s="249">
        <f t="shared" ca="1" si="6"/>
        <v>47448</v>
      </c>
      <c r="D51" s="249">
        <f t="shared" ca="1" si="16"/>
        <v>47448</v>
      </c>
      <c r="E51" s="250">
        <f t="shared" ca="1" si="7"/>
        <v>36.58</v>
      </c>
      <c r="F51" s="250">
        <f t="shared" ca="1" si="8"/>
        <v>745.97</v>
      </c>
      <c r="G51" s="250">
        <f t="shared" ca="1" si="2"/>
        <v>4326.9500000000007</v>
      </c>
      <c r="H51" s="250">
        <f t="shared" ca="1" si="3"/>
        <v>782.55</v>
      </c>
      <c r="I51" s="99"/>
      <c r="K51" s="231"/>
      <c r="L51" s="199" t="str">
        <f t="shared" si="9"/>
        <v>R</v>
      </c>
      <c r="M51" s="231">
        <f t="shared" ca="1" si="10"/>
        <v>47452</v>
      </c>
      <c r="N51" s="231">
        <f t="shared" ca="1" si="17"/>
        <v>47448</v>
      </c>
      <c r="O51" s="199">
        <f t="shared" ca="1" si="18"/>
        <v>6</v>
      </c>
      <c r="P51" s="199">
        <f t="shared" ca="1" si="11"/>
        <v>25</v>
      </c>
      <c r="Q51" s="199">
        <f t="shared" ca="1" si="0"/>
        <v>365</v>
      </c>
      <c r="R51" s="199">
        <f t="shared" ca="1" si="12"/>
        <v>1.643835616438356E-2</v>
      </c>
      <c r="S51" s="199">
        <f t="shared" ca="1" si="13"/>
        <v>6.8493150684931503E-2</v>
      </c>
      <c r="T51" s="199">
        <f t="shared" ca="1" si="4"/>
        <v>8.4931506849315067E-2</v>
      </c>
      <c r="U51" s="415">
        <f t="shared" ca="1" si="14"/>
        <v>1.0082723287671234</v>
      </c>
      <c r="V51" s="233">
        <f ca="1">IF(B51&lt;&gt;"",1/PRODUCT($U$11:U51),0)</f>
        <v>0.71771563004421857</v>
      </c>
      <c r="AA51" s="240">
        <f t="shared" ca="1" si="5"/>
        <v>782.55</v>
      </c>
      <c r="AB51" s="240">
        <f ca="1">IF(B51&lt;&gt;"",AA51/((1+$V$5)^(SUM($T$11:T51))),0)</f>
        <v>451.48995287033006</v>
      </c>
      <c r="AD51">
        <f t="shared" ca="1" si="15"/>
        <v>1.0082723287671234</v>
      </c>
      <c r="AE51">
        <f ca="1">IF(B51&lt;&gt;"",1/PRODUCT($AD$11:AD51),0)</f>
        <v>0.71752567809677525</v>
      </c>
    </row>
    <row r="52" spans="1:31" ht="13" x14ac:dyDescent="0.3">
      <c r="A52" s="24"/>
      <c r="B52" s="248">
        <f t="shared" si="1"/>
        <v>42</v>
      </c>
      <c r="C52" s="249">
        <f t="shared" ca="1" si="6"/>
        <v>47478</v>
      </c>
      <c r="D52" s="249">
        <f t="shared" ca="1" si="16"/>
        <v>47478</v>
      </c>
      <c r="E52" s="250">
        <f t="shared" ca="1" si="7"/>
        <v>30.19</v>
      </c>
      <c r="F52" s="250">
        <f t="shared" ca="1" si="8"/>
        <v>752.36</v>
      </c>
      <c r="G52" s="250">
        <f t="shared" ca="1" si="2"/>
        <v>3574.5900000000006</v>
      </c>
      <c r="H52" s="250">
        <f t="shared" ca="1" si="3"/>
        <v>782.55</v>
      </c>
      <c r="I52" s="99"/>
      <c r="K52" s="231"/>
      <c r="L52" s="199" t="str">
        <f t="shared" si="9"/>
        <v>R</v>
      </c>
      <c r="M52" s="231">
        <f t="shared" ca="1" si="10"/>
        <v>47483</v>
      </c>
      <c r="N52" s="231">
        <f t="shared" ca="1" si="17"/>
        <v>47478</v>
      </c>
      <c r="O52" s="199">
        <f t="shared" ca="1" si="18"/>
        <v>5</v>
      </c>
      <c r="P52" s="199">
        <f t="shared" ca="1" si="11"/>
        <v>25</v>
      </c>
      <c r="Q52" s="199">
        <f t="shared" ca="1" si="0"/>
        <v>365</v>
      </c>
      <c r="R52" s="199">
        <f t="shared" ca="1" si="12"/>
        <v>1.3698630136986301E-2</v>
      </c>
      <c r="S52" s="199">
        <f t="shared" ca="1" si="13"/>
        <v>6.8493150684931503E-2</v>
      </c>
      <c r="T52" s="199">
        <f t="shared" ca="1" si="4"/>
        <v>8.2191780821917804E-2</v>
      </c>
      <c r="U52" s="415">
        <f t="shared" ca="1" si="14"/>
        <v>1.0080054794520548</v>
      </c>
      <c r="V52" s="233">
        <f ca="1">IF(B52&lt;&gt;"",1/PRODUCT($U$11:U52),0)</f>
        <v>0.71201560375878536</v>
      </c>
      <c r="AA52" s="240">
        <f t="shared" ca="1" si="5"/>
        <v>782.55</v>
      </c>
      <c r="AB52" s="240">
        <f ca="1">IF(B52&lt;&gt;"",AA52/((1+$V$5)^(SUM($T$11:T52))),0)</f>
        <v>445.55997106861429</v>
      </c>
      <c r="AD52">
        <f t="shared" ca="1" si="15"/>
        <v>1.0080054794520548</v>
      </c>
      <c r="AE52">
        <f ca="1">IF(B52&lt;&gt;"",1/PRODUCT($AD$11:AD52),0)</f>
        <v>0.71182716039085181</v>
      </c>
    </row>
    <row r="53" spans="1:31" ht="13" x14ac:dyDescent="0.3">
      <c r="A53" s="24"/>
      <c r="B53" s="248">
        <f t="shared" si="1"/>
        <v>43</v>
      </c>
      <c r="C53" s="249">
        <f t="shared" ca="1" si="6"/>
        <v>47509</v>
      </c>
      <c r="D53" s="249">
        <f t="shared" ca="1" si="16"/>
        <v>47509</v>
      </c>
      <c r="E53" s="250">
        <f t="shared" ca="1" si="7"/>
        <v>25.78</v>
      </c>
      <c r="F53" s="250">
        <f t="shared" ca="1" si="8"/>
        <v>756.77</v>
      </c>
      <c r="G53" s="250">
        <f t="shared" ca="1" si="2"/>
        <v>2817.8200000000006</v>
      </c>
      <c r="H53" s="250">
        <f t="shared" ca="1" si="3"/>
        <v>782.55</v>
      </c>
      <c r="I53" s="99"/>
      <c r="K53" s="231"/>
      <c r="L53" s="199" t="str">
        <f t="shared" si="9"/>
        <v>R</v>
      </c>
      <c r="M53" s="231">
        <f t="shared" ca="1" si="10"/>
        <v>47514</v>
      </c>
      <c r="N53" s="231">
        <f t="shared" ca="1" si="17"/>
        <v>47509</v>
      </c>
      <c r="O53" s="199">
        <f t="shared" ca="1" si="18"/>
        <v>6</v>
      </c>
      <c r="P53" s="199">
        <f t="shared" ca="1" si="11"/>
        <v>25</v>
      </c>
      <c r="Q53" s="199">
        <f t="shared" ca="1" si="0"/>
        <v>365</v>
      </c>
      <c r="R53" s="199">
        <f t="shared" ca="1" si="12"/>
        <v>1.643835616438356E-2</v>
      </c>
      <c r="S53" s="199">
        <f t="shared" ca="1" si="13"/>
        <v>6.8493150684931503E-2</v>
      </c>
      <c r="T53" s="199">
        <f t="shared" ca="1" si="4"/>
        <v>8.4931506849315067E-2</v>
      </c>
      <c r="U53" s="415">
        <f t="shared" ca="1" si="14"/>
        <v>1.0082723287671234</v>
      </c>
      <c r="V53" s="233">
        <f ca="1">IF(B53&lt;&gt;"",1/PRODUCT($U$11:U53),0)</f>
        <v>0.70617390108227074</v>
      </c>
      <c r="AA53" s="240">
        <f t="shared" ca="1" si="5"/>
        <v>782.55</v>
      </c>
      <c r="AB53" s="240">
        <f ca="1">IF(B53&lt;&gt;"",AA53/((1+$V$5)^(SUM($T$11:T53))),0)</f>
        <v>439.514134652785</v>
      </c>
      <c r="AD53">
        <f t="shared" ca="1" si="15"/>
        <v>1.0082723287671234</v>
      </c>
      <c r="AE53">
        <f ca="1">IF(B53&lt;&gt;"",1/PRODUCT($AD$11:AD53),0)</f>
        <v>0.70598700379018309</v>
      </c>
    </row>
    <row r="54" spans="1:31" ht="13" x14ac:dyDescent="0.3">
      <c r="A54" s="24"/>
      <c r="B54" s="248">
        <f t="shared" si="1"/>
        <v>44</v>
      </c>
      <c r="C54" s="249">
        <f t="shared" ca="1" si="6"/>
        <v>47540</v>
      </c>
      <c r="D54" s="249">
        <f t="shared" ca="1" si="16"/>
        <v>47540</v>
      </c>
      <c r="E54" s="250">
        <f t="shared" ca="1" si="7"/>
        <v>20.32</v>
      </c>
      <c r="F54" s="250">
        <f t="shared" ca="1" si="8"/>
        <v>762.23</v>
      </c>
      <c r="G54" s="250">
        <f t="shared" ca="1" si="2"/>
        <v>2055.5900000000006</v>
      </c>
      <c r="H54" s="250">
        <f t="shared" ca="1" si="3"/>
        <v>782.55</v>
      </c>
      <c r="I54" s="99"/>
      <c r="K54" s="231"/>
      <c r="L54" s="199" t="str">
        <f t="shared" si="9"/>
        <v>R</v>
      </c>
      <c r="M54" s="231">
        <f t="shared" ca="1" si="10"/>
        <v>47542</v>
      </c>
      <c r="N54" s="231">
        <f t="shared" ca="1" si="17"/>
        <v>47540</v>
      </c>
      <c r="O54" s="199">
        <f t="shared" ca="1" si="18"/>
        <v>6</v>
      </c>
      <c r="P54" s="199">
        <f t="shared" ca="1" si="11"/>
        <v>25</v>
      </c>
      <c r="Q54" s="199">
        <f t="shared" ca="1" si="0"/>
        <v>365</v>
      </c>
      <c r="R54" s="199">
        <f t="shared" ca="1" si="12"/>
        <v>1.643835616438356E-2</v>
      </c>
      <c r="S54" s="199">
        <f t="shared" ca="1" si="13"/>
        <v>6.8493150684931503E-2</v>
      </c>
      <c r="T54" s="199">
        <f t="shared" ca="1" si="4"/>
        <v>8.4931506849315067E-2</v>
      </c>
      <c r="U54" s="415">
        <f t="shared" ca="1" si="14"/>
        <v>1.0082723287671234</v>
      </c>
      <c r="V54" s="233">
        <f ca="1">IF(B54&lt;&gt;"",1/PRODUCT($U$11:U54),0)</f>
        <v>0.70038012641460967</v>
      </c>
      <c r="AA54" s="240">
        <f t="shared" ca="1" si="5"/>
        <v>782.55</v>
      </c>
      <c r="AB54" s="240">
        <f ca="1">IF(B54&lt;&gt;"",AA54/((1+$V$5)^(SUM($T$11:T54))),0)</f>
        <v>433.55033464134658</v>
      </c>
      <c r="AD54">
        <f t="shared" ca="1" si="15"/>
        <v>1.0082723287671234</v>
      </c>
      <c r="AE54">
        <f ca="1">IF(B54&lt;&gt;"",1/PRODUCT($AD$11:AD54),0)</f>
        <v>0.70019476251365231</v>
      </c>
    </row>
    <row r="55" spans="1:31" ht="13" x14ac:dyDescent="0.3">
      <c r="A55" s="24"/>
      <c r="B55" s="248">
        <f t="shared" si="1"/>
        <v>45</v>
      </c>
      <c r="C55" s="249">
        <f t="shared" ca="1" si="6"/>
        <v>47568</v>
      </c>
      <c r="D55" s="249">
        <f t="shared" ca="1" si="16"/>
        <v>47568</v>
      </c>
      <c r="E55" s="250">
        <f t="shared" ca="1" si="7"/>
        <v>13.39</v>
      </c>
      <c r="F55" s="250">
        <f t="shared" ca="1" si="8"/>
        <v>769.16</v>
      </c>
      <c r="G55" s="250">
        <f t="shared" ca="1" si="2"/>
        <v>1286.4300000000007</v>
      </c>
      <c r="H55" s="250">
        <f t="shared" ca="1" si="3"/>
        <v>782.55</v>
      </c>
      <c r="I55" s="99"/>
      <c r="K55" s="231"/>
      <c r="L55" s="199" t="str">
        <f t="shared" si="9"/>
        <v>R</v>
      </c>
      <c r="M55" s="231">
        <f t="shared" ca="1" si="10"/>
        <v>47573</v>
      </c>
      <c r="N55" s="231">
        <f t="shared" ca="1" si="17"/>
        <v>47568</v>
      </c>
      <c r="O55" s="199">
        <f t="shared" ca="1" si="18"/>
        <v>3</v>
      </c>
      <c r="P55" s="199">
        <f t="shared" ca="1" si="11"/>
        <v>25</v>
      </c>
      <c r="Q55" s="199">
        <f t="shared" ca="1" si="0"/>
        <v>365</v>
      </c>
      <c r="R55" s="199">
        <f t="shared" ca="1" si="12"/>
        <v>8.21917808219178E-3</v>
      </c>
      <c r="S55" s="199">
        <f t="shared" ca="1" si="13"/>
        <v>6.8493150684931503E-2</v>
      </c>
      <c r="T55" s="199">
        <f t="shared" ca="1" si="4"/>
        <v>7.6712328767123278E-2</v>
      </c>
      <c r="U55" s="415">
        <f t="shared" ca="1" si="14"/>
        <v>1.0074717808219178</v>
      </c>
      <c r="V55" s="233">
        <f ca="1">IF(B55&lt;&gt;"",1/PRODUCT($U$11:U55),0)</f>
        <v>0.69518585011207368</v>
      </c>
      <c r="AA55" s="240">
        <f t="shared" ca="1" si="5"/>
        <v>782.55</v>
      </c>
      <c r="AB55" s="240">
        <f ca="1">IF(B55&lt;&gt;"",AA55/((1+$V$5)^(SUM($T$11:T55))),0)</f>
        <v>428.23326238205294</v>
      </c>
      <c r="AD55">
        <f t="shared" ca="1" si="15"/>
        <v>1.0074717808219178</v>
      </c>
      <c r="AE55">
        <f ca="1">IF(B55&lt;&gt;"",1/PRODUCT($AD$11:AD55),0)</f>
        <v>0.69500186093789929</v>
      </c>
    </row>
    <row r="56" spans="1:31" ht="13" x14ac:dyDescent="0.3">
      <c r="A56" s="24"/>
      <c r="B56" s="248">
        <f t="shared" si="1"/>
        <v>46</v>
      </c>
      <c r="C56" s="249">
        <f t="shared" ca="1" si="6"/>
        <v>47599</v>
      </c>
      <c r="D56" s="249">
        <f t="shared" ca="1" si="16"/>
        <v>47599</v>
      </c>
      <c r="E56" s="250">
        <f t="shared" ca="1" si="7"/>
        <v>9.2799999999999994</v>
      </c>
      <c r="F56" s="250">
        <f t="shared" ca="1" si="8"/>
        <v>773.27</v>
      </c>
      <c r="G56" s="250">
        <f t="shared" ca="1" si="2"/>
        <v>513.16000000000076</v>
      </c>
      <c r="H56" s="250">
        <f t="shared" ca="1" si="3"/>
        <v>782.55</v>
      </c>
      <c r="I56" s="99"/>
      <c r="K56" s="231"/>
      <c r="L56" s="199" t="str">
        <f t="shared" si="9"/>
        <v>R</v>
      </c>
      <c r="M56" s="231">
        <f t="shared" ca="1" si="10"/>
        <v>47603</v>
      </c>
      <c r="N56" s="231">
        <f t="shared" ca="1" si="17"/>
        <v>47599</v>
      </c>
      <c r="O56" s="199">
        <f t="shared" ca="1" si="18"/>
        <v>6</v>
      </c>
      <c r="P56" s="199">
        <f t="shared" ca="1" si="11"/>
        <v>25</v>
      </c>
      <c r="Q56" s="199">
        <f t="shared" ca="1" si="0"/>
        <v>365</v>
      </c>
      <c r="R56" s="199">
        <f t="shared" ca="1" si="12"/>
        <v>1.643835616438356E-2</v>
      </c>
      <c r="S56" s="199">
        <f t="shared" ca="1" si="13"/>
        <v>6.8493150684931503E-2</v>
      </c>
      <c r="T56" s="199">
        <f t="shared" ca="1" si="4"/>
        <v>8.4931506849315067E-2</v>
      </c>
      <c r="U56" s="415">
        <f t="shared" ca="1" si="14"/>
        <v>1.0082723287671234</v>
      </c>
      <c r="V56" s="233">
        <f ca="1">IF(B56&lt;&gt;"",1/PRODUCT($U$11:U56),0)</f>
        <v>0.68948222645574353</v>
      </c>
      <c r="AA56" s="240">
        <f t="shared" ca="1" si="5"/>
        <v>782.55</v>
      </c>
      <c r="AB56" s="240">
        <f ca="1">IF(B56&lt;&gt;"",AA56/((1+$V$5)^(SUM($T$11:T56))),0)</f>
        <v>422.42253336622747</v>
      </c>
      <c r="AD56">
        <f t="shared" ca="1" si="15"/>
        <v>1.0082723287671234</v>
      </c>
      <c r="AE56">
        <f ca="1">IF(B56&lt;&gt;"",1/PRODUCT($AD$11:AD56),0)</f>
        <v>0.68929974681316586</v>
      </c>
    </row>
    <row r="57" spans="1:31" ht="13" x14ac:dyDescent="0.3">
      <c r="A57" s="24"/>
      <c r="B57" s="248">
        <f t="shared" si="1"/>
        <v>47</v>
      </c>
      <c r="C57" s="249">
        <f t="shared" ca="1" si="6"/>
        <v>47629</v>
      </c>
      <c r="D57" s="249">
        <f t="shared" ca="1" si="16"/>
        <v>47629</v>
      </c>
      <c r="E57" s="250">
        <f t="shared" ca="1" si="7"/>
        <v>3.58</v>
      </c>
      <c r="F57" s="250">
        <f t="shared" ca="1" si="8"/>
        <v>778.97</v>
      </c>
      <c r="G57" s="250">
        <f t="shared" ca="1" si="2"/>
        <v>-265.80999999999926</v>
      </c>
      <c r="H57" s="250">
        <f t="shared" ca="1" si="3"/>
        <v>782.55</v>
      </c>
      <c r="I57" s="99"/>
      <c r="K57" s="231"/>
      <c r="L57" s="199" t="str">
        <f t="shared" si="9"/>
        <v>R</v>
      </c>
      <c r="M57" s="231">
        <f t="shared" ca="1" si="10"/>
        <v>47634</v>
      </c>
      <c r="N57" s="231">
        <f t="shared" ca="1" si="17"/>
        <v>47629</v>
      </c>
      <c r="O57" s="199">
        <f t="shared" ca="1" si="18"/>
        <v>5</v>
      </c>
      <c r="P57" s="199">
        <f t="shared" ca="1" si="11"/>
        <v>25</v>
      </c>
      <c r="Q57" s="199">
        <f t="shared" ca="1" si="0"/>
        <v>365</v>
      </c>
      <c r="R57" s="199">
        <f t="shared" ca="1" si="12"/>
        <v>1.3698630136986301E-2</v>
      </c>
      <c r="S57" s="199">
        <f t="shared" ca="1" si="13"/>
        <v>6.8493150684931503E-2</v>
      </c>
      <c r="T57" s="199">
        <f t="shared" ca="1" si="4"/>
        <v>8.2191780821917804E-2</v>
      </c>
      <c r="U57" s="415">
        <f t="shared" ca="1" si="14"/>
        <v>1.0080054794520548</v>
      </c>
      <c r="V57" s="233">
        <f ca="1">IF(B57&lt;&gt;"",1/PRODUCT($U$11:U57),0)</f>
        <v>0.68400642705885051</v>
      </c>
      <c r="AA57" s="240">
        <f t="shared" ca="1" si="5"/>
        <v>782.55</v>
      </c>
      <c r="AB57" s="240">
        <f ca="1">IF(B57&lt;&gt;"",AA57/((1+$V$5)^(SUM($T$11:T57))),0)</f>
        <v>416.8743303119374</v>
      </c>
      <c r="AD57">
        <f t="shared" ca="1" si="15"/>
        <v>1.0080054794520548</v>
      </c>
      <c r="AE57">
        <f ca="1">IF(B57&lt;&gt;"",1/PRODUCT($AD$11:AD57),0)</f>
        <v>0.68382539665147934</v>
      </c>
    </row>
    <row r="58" spans="1:31" ht="13" x14ac:dyDescent="0.3">
      <c r="A58" s="24"/>
      <c r="B58" s="248">
        <f t="shared" si="1"/>
        <v>48</v>
      </c>
      <c r="C58" s="249">
        <f t="shared" ca="1" si="6"/>
        <v>47660</v>
      </c>
      <c r="D58" s="249">
        <f t="shared" ca="1" si="16"/>
        <v>47660</v>
      </c>
      <c r="E58" s="250">
        <f t="shared" ca="1" si="7"/>
        <v>1048.3599999999992</v>
      </c>
      <c r="F58" s="250">
        <f t="shared" ca="1" si="8"/>
        <v>-265.80999999999926</v>
      </c>
      <c r="G58" s="250">
        <f t="shared" ca="1" si="2"/>
        <v>0</v>
      </c>
      <c r="H58" s="250">
        <f t="shared" ca="1" si="3"/>
        <v>782.55</v>
      </c>
      <c r="I58" s="99"/>
      <c r="K58" s="231"/>
      <c r="L58" s="199" t="str">
        <f t="shared" si="9"/>
        <v>R</v>
      </c>
      <c r="M58" s="231">
        <f t="shared" ca="1" si="10"/>
        <v>47664</v>
      </c>
      <c r="N58" s="231">
        <f t="shared" ca="1" si="17"/>
        <v>47660</v>
      </c>
      <c r="O58" s="199">
        <f t="shared" ca="1" si="18"/>
        <v>6</v>
      </c>
      <c r="P58" s="199">
        <f t="shared" ca="1" si="11"/>
        <v>25</v>
      </c>
      <c r="Q58" s="199">
        <f t="shared" ca="1" si="0"/>
        <v>365</v>
      </c>
      <c r="R58" s="199">
        <f t="shared" ca="1" si="12"/>
        <v>1.643835616438356E-2</v>
      </c>
      <c r="S58" s="199">
        <f t="shared" ca="1" si="13"/>
        <v>6.8493150684931503E-2</v>
      </c>
      <c r="T58" s="199">
        <f t="shared" ca="1" si="4"/>
        <v>8.4931506849315067E-2</v>
      </c>
      <c r="U58" s="415">
        <f t="shared" ca="1" si="14"/>
        <v>1.0082723287671234</v>
      </c>
      <c r="V58" s="233">
        <f ca="1">IF(B58&lt;&gt;"",1/PRODUCT($U$11:U58),0)</f>
        <v>0.67839452451821947</v>
      </c>
      <c r="AA58" s="240">
        <f t="shared" ca="1" si="5"/>
        <v>782.55</v>
      </c>
      <c r="AB58" s="240">
        <f ca="1">IF(B58&lt;&gt;"",AA58/((1+$V$5)^(SUM($T$11:T58))),0)</f>
        <v>411.21773149095355</v>
      </c>
      <c r="AD58">
        <f t="shared" ca="1" si="15"/>
        <v>1.0082723287671234</v>
      </c>
      <c r="AE58">
        <f ca="1">IF(B58&lt;&gt;"",1/PRODUCT($AD$11:AD58),0)</f>
        <v>0.67821497936736475</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81"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1682"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Arkusz24">
    <tabColor indexed="18"/>
  </sheetPr>
  <dimension ref="A1:AI200"/>
  <sheetViews>
    <sheetView workbookViewId="0">
      <selection activeCell="H11" sqref="H11"/>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46229</v>
      </c>
      <c r="C1" s="85"/>
      <c r="D1" s="217">
        <f>IF(D3=D4,D4,D3-F_SKROCONY!$D$12+10%)</f>
        <v>0.1474</v>
      </c>
      <c r="E1" s="218" t="str">
        <f ca="1">IF(I2&lt;&gt;"",I2,IF(I3&lt;&gt;"",I3,I4))</f>
        <v/>
      </c>
      <c r="F1" s="218">
        <f ca="1">IF(G2&lt;=MAX_,E2,IF(G3&lt;=MAX_,E3,E4))</f>
        <v>46229</v>
      </c>
      <c r="G1" s="214">
        <v>45</v>
      </c>
      <c r="H1" s="255">
        <f ca="1">IF(OR(H2=D4,D1=D4),1,0)</f>
        <v>0</v>
      </c>
      <c r="I1">
        <v>15</v>
      </c>
      <c r="K1" s="252"/>
      <c r="M1" s="252"/>
      <c r="N1" s="252"/>
      <c r="O1" s="252"/>
      <c r="P1" s="252"/>
      <c r="Q1" s="252"/>
      <c r="R1" s="252"/>
      <c r="S1" s="252"/>
      <c r="T1" s="252"/>
    </row>
    <row r="2" spans="1:33" ht="13" x14ac:dyDescent="0.3">
      <c r="A2" s="205"/>
      <c r="B2" s="350">
        <f ca="1">DATE(YEAR((E5)),MONTH((E5))+1,1)-1</f>
        <v>46203</v>
      </c>
      <c r="C2" s="351">
        <f ca="1">DAY(B2)</f>
        <v>30</v>
      </c>
      <c r="D2" s="4"/>
      <c r="E2" s="213">
        <f ca="1">IF(MOD(MONTH(F2)-MONTH(F3),12)&gt;1,DATE(YEAR(F2),MONTH(F2),DAY(F2)-DAY(F2)),F2)</f>
        <v>46260</v>
      </c>
      <c r="F2" s="213">
        <f ca="1">DATE(YEAR(E5),MONTH(E5)+2,$G$5)</f>
        <v>46260</v>
      </c>
      <c r="G2" s="215">
        <f ca="1">E2-$E$5</f>
        <v>61</v>
      </c>
      <c r="H2" s="221">
        <f ca="1">ROUND(AE4,2)</f>
        <v>858.95</v>
      </c>
      <c r="I2" s="264" t="str">
        <f ca="1">IF(AND(G2&lt;=MAX_,G2&gt;=MIN),E2,"")</f>
        <v/>
      </c>
    </row>
    <row r="3" spans="1:33" ht="13.5" thickBot="1" x14ac:dyDescent="0.35">
      <c r="A3" s="209" t="s">
        <v>59</v>
      </c>
      <c r="B3" s="254"/>
      <c r="C3" s="4"/>
      <c r="D3" s="212">
        <f>'DOD1'!H3</f>
        <v>8.4900000000000003E-2</v>
      </c>
      <c r="E3" s="213">
        <f ca="1">IF(MOD(MONTH(F3)-MONTH(F4),12)&gt;1,DATE(YEAR(F3),MONTH(F3),DAY(F3)-DAY(F3)),F3)</f>
        <v>46229</v>
      </c>
      <c r="F3" s="213">
        <f ca="1">DATE(YEAR(E5),MONTH(E5)+1,$G$5)</f>
        <v>46229</v>
      </c>
      <c r="G3" s="215">
        <f ca="1">E3-E5</f>
        <v>30</v>
      </c>
      <c r="I3" s="265"/>
      <c r="P3" s="411" t="s">
        <v>180</v>
      </c>
      <c r="Q3" s="412">
        <v>365</v>
      </c>
    </row>
    <row r="4" spans="1:33" ht="13.5" thickBot="1" x14ac:dyDescent="0.35">
      <c r="A4" s="211" t="s">
        <v>19</v>
      </c>
      <c r="B4" s="204"/>
      <c r="C4" s="204"/>
      <c r="D4" s="206" t="s">
        <v>15</v>
      </c>
      <c r="E4" s="213">
        <f ca="1">IF(MOD(MONTH(F4)-MONTH(F5),12)&gt;1,DATE(YEAR(F4),MONTH(F4),DAY(F4)-DAY(F4)),F4)</f>
        <v>46199</v>
      </c>
      <c r="F4" s="213">
        <f ca="1">DATE(YEAR(E5),MONTH(E5),$G$5)</f>
        <v>46199</v>
      </c>
      <c r="G4" s="215">
        <f ca="1">(E4-E5)</f>
        <v>0</v>
      </c>
      <c r="H4" s="262">
        <f ca="1">VLOOKUP(B6,B11:D130,3,FALSE)</f>
        <v>47660</v>
      </c>
      <c r="I4" s="265" t="str">
        <f ca="1">IF(AND(G4&lt;=MAX_,G4&gt;=MIN),E4,"")</f>
        <v/>
      </c>
      <c r="M4" s="916"/>
      <c r="U4" s="945" t="s">
        <v>121</v>
      </c>
      <c r="V4" s="946">
        <f ca="1">G10/V9</f>
        <v>858.80002211500585</v>
      </c>
      <c r="AD4" s="413" t="s">
        <v>121</v>
      </c>
      <c r="AE4" s="203">
        <f ca="1">G10/AE9</f>
        <v>858.9490815990282</v>
      </c>
      <c r="AF4" s="609" t="s">
        <v>1959</v>
      </c>
    </row>
    <row r="5" spans="1:33" ht="13.5" thickBot="1" x14ac:dyDescent="0.35">
      <c r="A5" s="210" t="s">
        <v>60</v>
      </c>
      <c r="B5" s="2"/>
      <c r="C5" s="615">
        <f>'DOD1'!E8</f>
        <v>48</v>
      </c>
      <c r="D5" s="2"/>
      <c r="E5" s="614">
        <f ca="1">WERSJA2!D18</f>
        <v>46199</v>
      </c>
      <c r="F5" s="618">
        <f ca="1">DATE(YEAR(E5),MONTH(E5)-1,$G$5)</f>
        <v>46168</v>
      </c>
      <c r="G5" s="615">
        <f ca="1">WERSJA2!D19</f>
        <v>26</v>
      </c>
      <c r="H5" s="262">
        <f ca="1">D11</f>
        <v>46229</v>
      </c>
      <c r="I5" s="263" t="s">
        <v>167</v>
      </c>
      <c r="M5" s="916"/>
      <c r="U5" s="228" t="s">
        <v>150</v>
      </c>
      <c r="V5" s="229">
        <v>0.17451905146291249</v>
      </c>
      <c r="AD5" s="609" t="s">
        <v>1817</v>
      </c>
    </row>
    <row r="6" spans="1:33" ht="13.5" thickBot="1" x14ac:dyDescent="0.35">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45</v>
      </c>
      <c r="AB7" s="226" t="s">
        <v>144</v>
      </c>
      <c r="AD7" s="178" t="s">
        <v>182</v>
      </c>
      <c r="AE7" s="178" t="s">
        <v>183</v>
      </c>
    </row>
    <row r="8" spans="1:33" ht="13.5" thickBot="1" x14ac:dyDescent="0.35">
      <c r="A8" s="192" t="str">
        <f>WERSJA2!C4</f>
        <v>RODZAJ POŻYCZKI</v>
      </c>
      <c r="B8" s="24"/>
      <c r="C8" s="24"/>
      <c r="E8" s="207" t="s">
        <v>5</v>
      </c>
      <c r="F8" s="241">
        <f>D1</f>
        <v>0.1474</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-802.60715360622999</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46203</v>
      </c>
      <c r="N9" s="232">
        <f ca="1">D10</f>
        <v>46199</v>
      </c>
      <c r="Q9" s="199">
        <f ca="1">IF(B9&lt;&gt;"",IF(MOD(YEAR(N9),4)=0,366,365),0)</f>
        <v>365</v>
      </c>
      <c r="U9" s="234"/>
      <c r="V9" s="235">
        <f ca="1">SUM(V11:V130)</f>
        <v>36.096878437025296</v>
      </c>
      <c r="Z9" s="236">
        <f ca="1">G10/((1+$V$5)^(0/Q9))</f>
        <v>31000</v>
      </c>
      <c r="AA9" s="237">
        <f>G10</f>
        <v>31000</v>
      </c>
      <c r="AB9" s="236">
        <f ca="1">SUM(AB10:AB130)</f>
        <v>30197.39284639377</v>
      </c>
      <c r="AE9" s="235">
        <f ca="1">SUM(AE11:AE130)</f>
        <v>36.090614291466601</v>
      </c>
      <c r="AF9">
        <v>11.930682479761785</v>
      </c>
      <c r="AG9" s="653"/>
    </row>
    <row r="10" spans="1:33" ht="13" x14ac:dyDescent="0.3">
      <c r="A10" s="194" t="str">
        <f>WERSJA2!C6</f>
        <v>SEGMENT KLIENTA</v>
      </c>
      <c r="B10" s="242">
        <v>0</v>
      </c>
      <c r="C10" s="243">
        <f ca="1">E5</f>
        <v>46199</v>
      </c>
      <c r="D10" s="243">
        <f ca="1">E5</f>
        <v>46199</v>
      </c>
      <c r="E10" s="24"/>
      <c r="F10" s="24"/>
      <c r="G10" s="244">
        <f>'DOD1'!K3</f>
        <v>31000</v>
      </c>
      <c r="H10" s="24"/>
      <c r="I10" s="99"/>
      <c r="K10" s="919">
        <v>0</v>
      </c>
      <c r="L10" s="199" t="s">
        <v>147</v>
      </c>
      <c r="M10" s="232">
        <f ca="1">DATE(YEAR((N11)),MONTH((N11)+1),1)-1</f>
        <v>46203</v>
      </c>
      <c r="N10" s="232">
        <f ca="1">DATE(YEAR(N11),MONTH(N11)-1,DAY(N11))</f>
        <v>46199</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46229</v>
      </c>
      <c r="D11" s="246">
        <f ca="1">B1</f>
        <v>46229</v>
      </c>
      <c r="E11" s="247">
        <f ca="1">IF($H$1&lt;&gt;1,IF(B11=$C$5,H11-F11,IF(B11&lt;&gt;"",ROUND(G10*($D$3)*((SUM(O10:P11)/365)),2),"")),"Brak Oferty")</f>
        <v>216.32</v>
      </c>
      <c r="F11" s="247">
        <f ca="1">IF($H$1&lt;&gt;1,IF(B11=$C$5,G10,IF(B11&lt;&gt;"",ROUND((H11-E11),2),"")),"Brak Oferty")</f>
        <v>642.63</v>
      </c>
      <c r="G11" s="247">
        <f ca="1">IF($H$1&lt;&gt;1,IF(B11&lt;&gt;"",G10-F11,""),"Brak Oferty")</f>
        <v>30357.37</v>
      </c>
      <c r="H11" s="247">
        <f ca="1">IF($H$1&lt;&gt;1,IF(B11&lt;&gt;"",$H$2,""),$D$4)</f>
        <v>858.95</v>
      </c>
      <c r="I11" s="99"/>
      <c r="K11" s="918">
        <v>1</v>
      </c>
      <c r="L11" s="202" t="s">
        <v>147</v>
      </c>
      <c r="M11" s="238">
        <f ca="1">IF(B11&lt;&gt;"",DATE(YEAR((D11)),MONTH((D11))+1,1)-1,"")</f>
        <v>46234</v>
      </c>
      <c r="N11" s="238">
        <f ca="1">D11</f>
        <v>46229</v>
      </c>
      <c r="O11" s="202">
        <f ca="1">IF(M6=1,0,IF(M6=2,M9-N9+1,M10-N10+1))</f>
        <v>5</v>
      </c>
      <c r="P11" s="202">
        <f ca="1">IF(M6=1,N11-N9,IF(M6=2,N11-M9-1,N11-M10-1))</f>
        <v>25</v>
      </c>
      <c r="Q11" s="202">
        <f t="shared" ref="Q11:Q74" ca="1" si="0">IF(B11&lt;&gt;"",IF(MOD(YEAR(N11),4)=0,366,365),0)</f>
        <v>365</v>
      </c>
      <c r="R11" s="202">
        <f ca="1">IF(1,O11/Q10,"")</f>
        <v>1.3698630136986301E-2</v>
      </c>
      <c r="S11" s="202">
        <f ca="1">IF(1,P11/Q11,"")</f>
        <v>6.8493150684931503E-2</v>
      </c>
      <c r="T11" s="202">
        <f ca="1">IF(B11&lt;&gt;"",R10+S10+R11+S11,"")</f>
        <v>8.2191780821917804E-2</v>
      </c>
      <c r="U11" s="415">
        <f ca="1">IF(B11&lt;&gt;"",1+$D$1*T11,0)</f>
        <v>1.0121150684931506</v>
      </c>
      <c r="V11" s="202">
        <f ca="1">IF(B11&lt;&gt;"",1/U11,0)</f>
        <v>0.98802994948866074</v>
      </c>
      <c r="W11" s="197"/>
      <c r="X11" s="197"/>
      <c r="Y11" s="197"/>
      <c r="Z11" s="197"/>
      <c r="AA11" s="239">
        <f ca="1">IF(B11&lt;&gt;"",$H$2,0)</f>
        <v>858.95</v>
      </c>
      <c r="AB11" s="239">
        <f ca="1">IF(B11&lt;&gt;"",AA11/((1+$V$5)^T11),0)</f>
        <v>847.6683361751426</v>
      </c>
      <c r="AC11" s="197"/>
      <c r="AD11" s="202">
        <f ca="1">IF(B11&lt;&gt;"",1+$D$1*((O10+P10+O11+P11)/365),0)</f>
        <v>1.0121150684931506</v>
      </c>
      <c r="AE11" s="202">
        <f ca="1">IF(B11&lt;&gt;"",1/AD11,0)</f>
        <v>0.98802994948866074</v>
      </c>
    </row>
    <row r="12" spans="1:33" ht="13" x14ac:dyDescent="0.3">
      <c r="A12" s="194" t="str">
        <f>WERSJA2!C8</f>
        <v>KONSOLIDACJA</v>
      </c>
      <c r="B12" s="248">
        <f t="shared" ref="B12:B75" si="1">IF(B11&lt;$C$5,IF(B11&lt;&gt;"",B11+1,1),"")</f>
        <v>2</v>
      </c>
      <c r="C12" s="249">
        <f ca="1">IF(B12&lt;&gt;"",DATE(YEAR(D11),MONTH(D11)+1,$G$5),"")</f>
        <v>46260</v>
      </c>
      <c r="D12" s="249">
        <f ca="1">IF(B12&lt;&gt;"",IF(MOD(MONTH(C12)-MONTH(C11),12)&gt;1,DATE(YEAR(C12),MONTH(C12),DAY(C12)-DAY(C12)),C12),"")</f>
        <v>46260</v>
      </c>
      <c r="E12" s="250">
        <f ca="1">IF($H$1&lt;&gt;1,IF(B12=$C$5,H12-F12,IF(B12&lt;&gt;"",ROUND(G11*($D$3)*((SUM(O12:P12)/365)),2),"")),"Brak Oferty")</f>
        <v>218.9</v>
      </c>
      <c r="F12" s="250">
        <f ca="1">IF($H$1&lt;&gt;1,IF(B12=$C$5,G11,IF(B12&lt;&gt;"",ROUND((H12-E12),2),"")),"Brak Oferty")</f>
        <v>640.04999999999995</v>
      </c>
      <c r="G12" s="250">
        <f t="shared" ref="G12:G75" ca="1" si="2">IF($H$1&lt;&gt;1,IF(B12&lt;&gt;"",G11-F12,""),"Brak Oferty")</f>
        <v>29717.32</v>
      </c>
      <c r="H12" s="250">
        <f t="shared" ref="H12:H75" ca="1" si="3">IF($H$1&lt;&gt;1,IF(B12&lt;&gt;"",$H$2,""),$D$4)</f>
        <v>858.95</v>
      </c>
      <c r="I12" s="99"/>
      <c r="K12" s="240"/>
      <c r="L12" s="199" t="str">
        <f>IF(B12&lt;&gt;"",L11,"")</f>
        <v>R</v>
      </c>
      <c r="M12" s="231">
        <f ca="1">IF(B12&lt;&gt;"",DATE(YEAR((D12)),MONTH((D12))+1,1)-1,"")</f>
        <v>46265</v>
      </c>
      <c r="N12" s="231">
        <f ca="1">D12</f>
        <v>46260</v>
      </c>
      <c r="O12" s="253">
        <f ca="1">IF(B12&lt;&gt;"",M11-N11+1,0)</f>
        <v>6</v>
      </c>
      <c r="P12" s="199">
        <f ca="1">IF(B12&lt;&gt;"",N12-M11-1,0)</f>
        <v>25</v>
      </c>
      <c r="Q12" s="199">
        <f ca="1">IF(B12&lt;&gt;"",IF(MOD(YEAR(N12),4)=0,366,365),0)</f>
        <v>365</v>
      </c>
      <c r="R12" s="199">
        <f ca="1">IF(1,O12/Q11,"")</f>
        <v>1.643835616438356E-2</v>
      </c>
      <c r="S12" s="199">
        <f ca="1">IF(1,P12/Q12,"")</f>
        <v>6.8493150684931503E-2</v>
      </c>
      <c r="T12" s="199">
        <f t="shared" ref="T12:T75" ca="1" si="4">IF(B12&lt;&gt;"",R12+S12,"")</f>
        <v>8.4931506849315067E-2</v>
      </c>
      <c r="U12" s="415">
        <f ca="1">IF(B12&lt;&gt;"",1+$D$1*T12,0)</f>
        <v>1.012518904109589</v>
      </c>
      <c r="V12" s="233">
        <f ca="1">IF(B12&lt;&gt;"",1/PRODUCT($U$11:U12),0)</f>
        <v>0.97581382972551622</v>
      </c>
      <c r="AA12" s="240">
        <f t="shared" ref="AA12:AA75" ca="1" si="5">IF(B12&lt;&gt;"",$H$2,0)</f>
        <v>858.95</v>
      </c>
      <c r="AB12" s="240">
        <f ca="1">IF(B12&lt;&gt;"",AA12/((1+$V$5)^(SUM($T$11:T12))),0)</f>
        <v>836.16626141941026</v>
      </c>
      <c r="AD12">
        <f ca="1">IF(B12&lt;&gt;"",1+$D$1*((O12+P12)/365),0)</f>
        <v>1.012518904109589</v>
      </c>
      <c r="AE12">
        <f ca="1">IF(B12&lt;&gt;"",1/PRODUCT($AD$11:AD12),0)</f>
        <v>0.97581382972551622</v>
      </c>
      <c r="AF12" s="609" t="s">
        <v>1963</v>
      </c>
    </row>
    <row r="13" spans="1:33" ht="13.5" thickBot="1" x14ac:dyDescent="0.35">
      <c r="A13" s="193" t="str">
        <f>WERSJA2!D8</f>
        <v>NIE</v>
      </c>
      <c r="B13" s="248">
        <f t="shared" si="1"/>
        <v>3</v>
      </c>
      <c r="C13" s="249">
        <f t="shared" ref="C13:C76" ca="1" si="6">IF(B13&lt;&gt;"",DATE(YEAR(D12),MONTH(D12)+1,$G$5),"")</f>
        <v>46291</v>
      </c>
      <c r="D13" s="249">
        <f ca="1">IF(B13&lt;&gt;"",IF(MOD(MONTH(C13)-MONTH(C12),12)&gt;1,DATE(YEAR(C13),MONTH(C13),DAY(C13)-DAY(C13)),C13),"")</f>
        <v>46291</v>
      </c>
      <c r="E13" s="250">
        <f t="shared" ref="E13:E70" ca="1" si="7">IF($H$1&lt;&gt;1,IF(B13=$C$5,H13-F13,IF(B13&lt;&gt;"",ROUND(G12*($D$3)*((SUM(O13:P13)/365)),2),"")),"Brak Oferty")</f>
        <v>214.28</v>
      </c>
      <c r="F13" s="250">
        <f t="shared" ref="F13:F76" ca="1" si="8">IF($H$1&lt;&gt;1,IF(B13=$C$5,G12,IF(B13&lt;&gt;"",ROUND((H13-E13),2),"")),"Brak Oferty")</f>
        <v>644.66999999999996</v>
      </c>
      <c r="G13" s="250">
        <f t="shared" ca="1" si="2"/>
        <v>29072.65</v>
      </c>
      <c r="H13" s="250">
        <f t="shared" ca="1" si="3"/>
        <v>858.95</v>
      </c>
      <c r="I13" s="99"/>
      <c r="K13" s="240"/>
      <c r="L13" s="199" t="str">
        <f t="shared" ref="L13:L76" si="9">IF(B13&lt;&gt;"",L12,"")</f>
        <v>R</v>
      </c>
      <c r="M13" s="231">
        <f t="shared" ref="M13:M76" ca="1" si="10">IF(B13&lt;&gt;"",DATE(YEAR((D13)),MONTH((D13))+1,1)-1,"")</f>
        <v>46295</v>
      </c>
      <c r="N13" s="231">
        <f ca="1">D13</f>
        <v>46291</v>
      </c>
      <c r="O13" s="199">
        <f ca="1">IF(B13&lt;&gt;"",M12-N12+1,0)</f>
        <v>6</v>
      </c>
      <c r="P13" s="199">
        <f t="shared" ref="P13:P76" ca="1" si="11">IF(B13&lt;&gt;"",N13-M12-1,0)</f>
        <v>25</v>
      </c>
      <c r="Q13" s="199">
        <f t="shared" ca="1" si="0"/>
        <v>365</v>
      </c>
      <c r="R13" s="199">
        <f t="shared" ref="R13:R76" ca="1" si="12">IF(1,O13/Q12,"")</f>
        <v>1.643835616438356E-2</v>
      </c>
      <c r="S13" s="199">
        <f t="shared" ref="S13:S76" ca="1" si="13">IF(1,P13/Q13,"")</f>
        <v>6.8493150684931503E-2</v>
      </c>
      <c r="T13" s="199">
        <f t="shared" ca="1" si="4"/>
        <v>8.4931506849315067E-2</v>
      </c>
      <c r="U13" s="415">
        <f t="shared" ref="U13:U76" ca="1" si="14">IF(B13&lt;&gt;"",1+$D$1*T13,0)</f>
        <v>1.012518904109589</v>
      </c>
      <c r="V13" s="233">
        <f ca="1">IF(B13&lt;&gt;"",1/PRODUCT($U$11:U13),0)</f>
        <v>0.96374875151950745</v>
      </c>
      <c r="AA13" s="240">
        <f t="shared" ca="1" si="5"/>
        <v>858.95</v>
      </c>
      <c r="AB13" s="963">
        <f ca="1">IF(B13&lt;&gt;"",AA13/((1+$V$5)^(SUM($T$11:T13))),0)</f>
        <v>824.82025917227668</v>
      </c>
      <c r="AD13">
        <f t="shared" ref="AD13:AD76" ca="1" si="15">IF(B13&lt;&gt;"",1+$D$1*((O13+P13)/365),0)</f>
        <v>1.012518904109589</v>
      </c>
      <c r="AE13">
        <f ca="1">IF(B13&lt;&gt;"",1/PRODUCT($AD$11:AD13),0)</f>
        <v>0.96374875151950745</v>
      </c>
    </row>
    <row r="14" spans="1:33" ht="13" x14ac:dyDescent="0.3">
      <c r="A14" s="194" t="str">
        <f>WERSJA2!C9</f>
        <v>MIEJSCE ZŁOŻENIA WNIOSKU</v>
      </c>
      <c r="B14" s="248">
        <f t="shared" si="1"/>
        <v>4</v>
      </c>
      <c r="C14" s="249">
        <f t="shared" ca="1" si="6"/>
        <v>46321</v>
      </c>
      <c r="D14" s="249">
        <f t="shared" ref="D14:D77" ca="1" si="16">IF(B14&lt;&gt;"",IF(MOD(MONTH(C14)-MONTH(C13),12)&gt;1,DATE(YEAR(C14),MONTH(C14),DAY(C14)-DAY(C14)),C14),"")</f>
        <v>46321</v>
      </c>
      <c r="E14" s="250">
        <f t="shared" ca="1" si="7"/>
        <v>202.87</v>
      </c>
      <c r="F14" s="250">
        <f t="shared" ca="1" si="8"/>
        <v>656.08</v>
      </c>
      <c r="G14" s="250">
        <f t="shared" ca="1" si="2"/>
        <v>28416.57</v>
      </c>
      <c r="H14" s="250">
        <f t="shared" ca="1" si="3"/>
        <v>858.95</v>
      </c>
      <c r="I14" s="99"/>
      <c r="K14" s="240"/>
      <c r="L14" s="199" t="str">
        <f t="shared" si="9"/>
        <v>R</v>
      </c>
      <c r="M14" s="231">
        <f t="shared" ca="1" si="10"/>
        <v>46326</v>
      </c>
      <c r="N14" s="231">
        <f t="shared" ref="N14:N77" ca="1" si="17">D14</f>
        <v>46321</v>
      </c>
      <c r="O14" s="199">
        <f t="shared" ref="O14:O77" ca="1" si="18">IF(B14&lt;&gt;"",M13-N13+1,0)</f>
        <v>5</v>
      </c>
      <c r="P14" s="199">
        <f t="shared" ca="1" si="11"/>
        <v>25</v>
      </c>
      <c r="Q14" s="199">
        <f t="shared" ca="1" si="0"/>
        <v>365</v>
      </c>
      <c r="R14" s="199">
        <f t="shared" ca="1" si="12"/>
        <v>1.3698630136986301E-2</v>
      </c>
      <c r="S14" s="199">
        <f ca="1">IF(1,P14/Q14,"")</f>
        <v>6.8493150684931503E-2</v>
      </c>
      <c r="T14" s="199">
        <f t="shared" ca="1" si="4"/>
        <v>8.2191780821917804E-2</v>
      </c>
      <c r="U14" s="415">
        <f t="shared" ca="1" si="14"/>
        <v>1.0121150684931506</v>
      </c>
      <c r="V14" s="233">
        <f ca="1">IF(B14&lt;&gt;"",1/PRODUCT($U$11:U14),0)</f>
        <v>0.95221263028357883</v>
      </c>
      <c r="AA14" s="240">
        <f t="shared" ca="1" si="5"/>
        <v>858.95</v>
      </c>
      <c r="AB14" s="240">
        <f ca="1">IF(B14&lt;&gt;"",AA14/((1+$V$5)^(SUM($T$11:T14))),0)</f>
        <v>813.98686388743658</v>
      </c>
      <c r="AD14">
        <f t="shared" ca="1" si="15"/>
        <v>1.0121150684931506</v>
      </c>
      <c r="AE14">
        <f ca="1">IF(B14&lt;&gt;"",1/PRODUCT($AD$11:AD14),0)</f>
        <v>0.95221263028357883</v>
      </c>
    </row>
    <row r="15" spans="1:33" ht="13.5" thickBot="1" x14ac:dyDescent="0.35">
      <c r="A15" s="193" t="str">
        <f>WERSJA2!D9</f>
        <v>MOJE ING</v>
      </c>
      <c r="B15" s="248">
        <f t="shared" si="1"/>
        <v>5</v>
      </c>
      <c r="C15" s="249">
        <f t="shared" ca="1" si="6"/>
        <v>46352</v>
      </c>
      <c r="D15" s="249">
        <f ca="1">IF(B15&lt;&gt;"",IF(MOD(MONTH(C15)-MONTH(C14),12)&gt;1,DATE(YEAR(C15),MONTH(C15),DAY(C15)-DAY(C15)),C15),"")</f>
        <v>46352</v>
      </c>
      <c r="E15" s="250">
        <f t="shared" ca="1" si="7"/>
        <v>204.9</v>
      </c>
      <c r="F15" s="250">
        <f t="shared" ca="1" si="8"/>
        <v>654.04999999999995</v>
      </c>
      <c r="G15" s="250">
        <f t="shared" ca="1" si="2"/>
        <v>27762.52</v>
      </c>
      <c r="H15" s="250">
        <f t="shared" ca="1" si="3"/>
        <v>858.95</v>
      </c>
      <c r="I15" s="99"/>
      <c r="K15" s="240"/>
      <c r="L15" s="199" t="str">
        <f t="shared" si="9"/>
        <v>R</v>
      </c>
      <c r="M15" s="231">
        <f t="shared" ca="1" si="10"/>
        <v>46356</v>
      </c>
      <c r="N15" s="231">
        <f t="shared" ca="1" si="17"/>
        <v>46352</v>
      </c>
      <c r="O15" s="199">
        <f t="shared" ca="1" si="18"/>
        <v>6</v>
      </c>
      <c r="P15" s="199">
        <f t="shared" ca="1" si="11"/>
        <v>25</v>
      </c>
      <c r="Q15" s="199">
        <f t="shared" ca="1" si="0"/>
        <v>365</v>
      </c>
      <c r="R15" s="199">
        <f t="shared" ca="1" si="12"/>
        <v>1.643835616438356E-2</v>
      </c>
      <c r="S15" s="199">
        <f t="shared" ca="1" si="13"/>
        <v>6.8493150684931503E-2</v>
      </c>
      <c r="T15" s="199">
        <f t="shared" ca="1" si="4"/>
        <v>8.4931506849315067E-2</v>
      </c>
      <c r="U15" s="415">
        <f t="shared" ca="1" si="14"/>
        <v>1.012518904109589</v>
      </c>
      <c r="V15" s="233">
        <f ca="1">IF(B15&lt;&gt;"",1/PRODUCT($U$11:U15),0)</f>
        <v>0.94043936011343543</v>
      </c>
      <c r="AA15" s="240">
        <f t="shared" ca="1" si="5"/>
        <v>858.95</v>
      </c>
      <c r="AB15" s="240">
        <f ca="1">IF(B15&lt;&gt;"",AA15/((1+$V$5)^(SUM($T$11:T15))),0)</f>
        <v>802.94181553649435</v>
      </c>
      <c r="AD15">
        <f t="shared" ca="1" si="15"/>
        <v>1.012518904109589</v>
      </c>
      <c r="AE15">
        <f ca="1">IF(B15&lt;&gt;"",1/PRODUCT($AD$11:AD15),0)</f>
        <v>0.94043936011343543</v>
      </c>
    </row>
    <row r="16" spans="1:33" ht="13" x14ac:dyDescent="0.3">
      <c r="A16" s="194" t="str">
        <f>WERSJA2!C13</f>
        <v>LICZBA RAT W MIESIĄCACH</v>
      </c>
      <c r="B16" s="248">
        <f t="shared" si="1"/>
        <v>6</v>
      </c>
      <c r="C16" s="249">
        <f t="shared" ca="1" si="6"/>
        <v>46382</v>
      </c>
      <c r="D16" s="249">
        <f t="shared" ca="1" si="16"/>
        <v>46382</v>
      </c>
      <c r="E16" s="250">
        <f ca="1">IF($H$1&lt;&gt;1,IF(B16=$C$5,H16-F16,IF(B16&lt;&gt;"",ROUND(G15*($D$3)*((SUM(O16:P16)/365)),2),"")),"Brak Oferty")</f>
        <v>193.73</v>
      </c>
      <c r="F16" s="250">
        <f t="shared" ca="1" si="8"/>
        <v>665.22</v>
      </c>
      <c r="G16" s="250">
        <f t="shared" ca="1" si="2"/>
        <v>27097.3</v>
      </c>
      <c r="H16" s="250">
        <f t="shared" ca="1" si="3"/>
        <v>858.95</v>
      </c>
      <c r="I16" s="99"/>
      <c r="K16" s="240"/>
      <c r="L16" s="199" t="str">
        <f t="shared" si="9"/>
        <v>R</v>
      </c>
      <c r="M16" s="231">
        <f t="shared" ca="1" si="10"/>
        <v>46387</v>
      </c>
      <c r="N16" s="231">
        <f t="shared" ca="1" si="17"/>
        <v>46382</v>
      </c>
      <c r="O16" s="199">
        <f t="shared" ca="1" si="18"/>
        <v>5</v>
      </c>
      <c r="P16" s="199">
        <f t="shared" ca="1" si="11"/>
        <v>25</v>
      </c>
      <c r="Q16" s="199">
        <f t="shared" ca="1" si="0"/>
        <v>365</v>
      </c>
      <c r="R16" s="199">
        <f t="shared" ca="1" si="12"/>
        <v>1.3698630136986301E-2</v>
      </c>
      <c r="S16" s="199">
        <f t="shared" ca="1" si="13"/>
        <v>6.8493150684931503E-2</v>
      </c>
      <c r="T16" s="199">
        <f t="shared" ca="1" si="4"/>
        <v>8.2191780821917804E-2</v>
      </c>
      <c r="U16" s="415">
        <f t="shared" ca="1" si="14"/>
        <v>1.0121150684931506</v>
      </c>
      <c r="V16" s="233">
        <f ca="1">IF(B16&lt;&gt;"",1/PRODUCT($U$11:U16),0)</f>
        <v>0.92918225347002592</v>
      </c>
      <c r="AA16" s="240">
        <f t="shared" ca="1" si="5"/>
        <v>858.95</v>
      </c>
      <c r="AB16" s="240">
        <f ca="1">IF(B16&lt;&gt;"",AA16/((1+$V$5)^(SUM($T$11:T16))),0)</f>
        <v>792.39577719456122</v>
      </c>
      <c r="AD16">
        <f t="shared" ca="1" si="15"/>
        <v>1.0121150684931506</v>
      </c>
      <c r="AE16">
        <f ca="1">IF(B16&lt;&gt;"",1/PRODUCT($AD$11:AD16),0)</f>
        <v>0.92918225347002592</v>
      </c>
    </row>
    <row r="17" spans="1:35" ht="13.5" thickBot="1" x14ac:dyDescent="0.35">
      <c r="A17" s="195">
        <f>WERSJA2!D13</f>
        <v>48</v>
      </c>
      <c r="B17" s="248">
        <f t="shared" si="1"/>
        <v>7</v>
      </c>
      <c r="C17" s="249">
        <f t="shared" ca="1" si="6"/>
        <v>46413</v>
      </c>
      <c r="D17" s="249">
        <f t="shared" ca="1" si="16"/>
        <v>46413</v>
      </c>
      <c r="E17" s="250">
        <f t="shared" ca="1" si="7"/>
        <v>195.39</v>
      </c>
      <c r="F17" s="250">
        <f t="shared" ca="1" si="8"/>
        <v>663.56</v>
      </c>
      <c r="G17" s="250">
        <f t="shared" ca="1" si="2"/>
        <v>26433.739999999998</v>
      </c>
      <c r="H17" s="250">
        <f t="shared" ca="1" si="3"/>
        <v>858.95</v>
      </c>
      <c r="I17" s="99"/>
      <c r="K17" s="240"/>
      <c r="L17" s="199" t="str">
        <f t="shared" si="9"/>
        <v>R</v>
      </c>
      <c r="M17" s="231">
        <f t="shared" ca="1" si="10"/>
        <v>46418</v>
      </c>
      <c r="N17" s="231">
        <f t="shared" ca="1" si="17"/>
        <v>46413</v>
      </c>
      <c r="O17" s="199">
        <f t="shared" ca="1" si="18"/>
        <v>6</v>
      </c>
      <c r="P17" s="199">
        <f t="shared" ca="1" si="11"/>
        <v>25</v>
      </c>
      <c r="Q17" s="199">
        <f t="shared" ca="1" si="0"/>
        <v>365</v>
      </c>
      <c r="R17" s="199">
        <f t="shared" ca="1" si="12"/>
        <v>1.643835616438356E-2</v>
      </c>
      <c r="S17" s="199">
        <f t="shared" ca="1" si="13"/>
        <v>6.8493150684931503E-2</v>
      </c>
      <c r="T17" s="199">
        <f t="shared" ca="1" si="4"/>
        <v>8.4931506849315067E-2</v>
      </c>
      <c r="U17" s="415">
        <f t="shared" ca="1" si="14"/>
        <v>1.012518904109589</v>
      </c>
      <c r="V17" s="233">
        <f ca="1">IF(B17&lt;&gt;"",1/PRODUCT($U$11:U17),0)</f>
        <v>0.91769373361690532</v>
      </c>
      <c r="AA17" s="240">
        <f t="shared" ca="1" si="5"/>
        <v>858.95</v>
      </c>
      <c r="AB17" s="240">
        <f ca="1">IF(B17&lt;&gt;"",AA17/((1+$V$5)^(SUM($T$11:T17))),0)</f>
        <v>781.64369990623925</v>
      </c>
      <c r="AD17">
        <f t="shared" ca="1" si="15"/>
        <v>1.012518904109589</v>
      </c>
      <c r="AE17">
        <f ca="1">IF(B17&lt;&gt;"",1/PRODUCT($AD$11:AD17),0)</f>
        <v>0.91769373361690532</v>
      </c>
    </row>
    <row r="18" spans="1:35" ht="13" x14ac:dyDescent="0.3">
      <c r="A18" s="194" t="str">
        <f>WERSJA2!I5</f>
        <v>PROWIZJA (KWOTA)</v>
      </c>
      <c r="B18" s="248">
        <f t="shared" si="1"/>
        <v>8</v>
      </c>
      <c r="C18" s="249">
        <f t="shared" ca="1" si="6"/>
        <v>46444</v>
      </c>
      <c r="D18" s="249">
        <f t="shared" ca="1" si="16"/>
        <v>46444</v>
      </c>
      <c r="E18" s="250">
        <f t="shared" ca="1" si="7"/>
        <v>190.61</v>
      </c>
      <c r="F18" s="250">
        <f t="shared" ca="1" si="8"/>
        <v>668.34</v>
      </c>
      <c r="G18" s="250">
        <f t="shared" ca="1" si="2"/>
        <v>25765.399999999998</v>
      </c>
      <c r="H18" s="250">
        <f t="shared" ca="1" si="3"/>
        <v>858.95</v>
      </c>
      <c r="I18" s="99"/>
      <c r="K18" s="240"/>
      <c r="L18" s="199" t="str">
        <f t="shared" si="9"/>
        <v>R</v>
      </c>
      <c r="M18" s="231">
        <f t="shared" ca="1" si="10"/>
        <v>46446</v>
      </c>
      <c r="N18" s="231">
        <f t="shared" ca="1" si="17"/>
        <v>46444</v>
      </c>
      <c r="O18" s="199">
        <f t="shared" ca="1" si="18"/>
        <v>6</v>
      </c>
      <c r="P18" s="199">
        <f t="shared" ca="1" si="11"/>
        <v>25</v>
      </c>
      <c r="Q18" s="199">
        <f t="shared" ca="1" si="0"/>
        <v>365</v>
      </c>
      <c r="R18" s="199">
        <f t="shared" ca="1" si="12"/>
        <v>1.643835616438356E-2</v>
      </c>
      <c r="S18" s="199">
        <f t="shared" ca="1" si="13"/>
        <v>6.8493150684931503E-2</v>
      </c>
      <c r="T18" s="199">
        <f t="shared" ca="1" si="4"/>
        <v>8.4931506849315067E-2</v>
      </c>
      <c r="U18" s="415">
        <f t="shared" ca="1" si="14"/>
        <v>1.012518904109589</v>
      </c>
      <c r="V18" s="233">
        <f ca="1">IF(B18&lt;&gt;"",1/PRODUCT($U$11:U18),0)</f>
        <v>0.90634725918912784</v>
      </c>
      <c r="AA18" s="240">
        <f t="shared" ca="1" si="5"/>
        <v>858.95</v>
      </c>
      <c r="AB18" s="240">
        <f ca="1">IF(B18&lt;&gt;"",AA18/((1+$V$5)^(SUM($T$11:T18))),0)</f>
        <v>771.03751835504943</v>
      </c>
      <c r="AD18">
        <f t="shared" ca="1" si="15"/>
        <v>1.012518904109589</v>
      </c>
      <c r="AE18">
        <f ca="1">IF(B18&lt;&gt;"",1/PRODUCT($AD$11:AD18),0)</f>
        <v>0.90634725918912784</v>
      </c>
    </row>
    <row r="19" spans="1:35" ht="13.5" thickBot="1" x14ac:dyDescent="0.35">
      <c r="A19" s="196">
        <f>WERSJA2!J5</f>
        <v>0</v>
      </c>
      <c r="B19" s="248">
        <f t="shared" si="1"/>
        <v>9</v>
      </c>
      <c r="C19" s="249">
        <f t="shared" ca="1" si="6"/>
        <v>46472</v>
      </c>
      <c r="D19" s="249">
        <f t="shared" ca="1" si="16"/>
        <v>46472</v>
      </c>
      <c r="E19" s="250">
        <f t="shared" ca="1" si="7"/>
        <v>167.81</v>
      </c>
      <c r="F19" s="250">
        <f t="shared" ca="1" si="8"/>
        <v>691.14</v>
      </c>
      <c r="G19" s="250">
        <f t="shared" ca="1" si="2"/>
        <v>25074.26</v>
      </c>
      <c r="H19" s="250">
        <f t="shared" ca="1" si="3"/>
        <v>858.95</v>
      </c>
      <c r="I19" s="99"/>
      <c r="K19" s="240"/>
      <c r="L19" s="199" t="str">
        <f t="shared" si="9"/>
        <v>R</v>
      </c>
      <c r="M19" s="231">
        <f t="shared" ca="1" si="10"/>
        <v>46477</v>
      </c>
      <c r="N19" s="231">
        <f t="shared" ca="1" si="17"/>
        <v>46472</v>
      </c>
      <c r="O19" s="199">
        <f t="shared" ca="1" si="18"/>
        <v>3</v>
      </c>
      <c r="P19" s="199">
        <f t="shared" ca="1" si="11"/>
        <v>25</v>
      </c>
      <c r="Q19" s="199">
        <f t="shared" ca="1" si="0"/>
        <v>365</v>
      </c>
      <c r="R19" s="199">
        <f t="shared" ca="1" si="12"/>
        <v>8.21917808219178E-3</v>
      </c>
      <c r="S19" s="199">
        <f t="shared" ca="1" si="13"/>
        <v>6.8493150684931503E-2</v>
      </c>
      <c r="T19" s="199">
        <f t="shared" ca="1" si="4"/>
        <v>7.6712328767123278E-2</v>
      </c>
      <c r="U19" s="415">
        <f t="shared" ca="1" si="14"/>
        <v>1.011307397260274</v>
      </c>
      <c r="V19" s="233">
        <f ca="1">IF(B19&lt;&gt;"",1/PRODUCT($U$11:U19),0)</f>
        <v>0.89621341804134647</v>
      </c>
      <c r="AA19" s="240">
        <f t="shared" ca="1" si="5"/>
        <v>858.95</v>
      </c>
      <c r="AB19" s="240">
        <f ca="1">IF(B19&lt;&gt;"",AA19/((1+$V$5)^(SUM($T$11:T19))),0)</f>
        <v>761.58149474682943</v>
      </c>
      <c r="AD19">
        <f t="shared" ca="1" si="15"/>
        <v>1.011307397260274</v>
      </c>
      <c r="AE19">
        <f ca="1">IF(B19&lt;&gt;"",1/PRODUCT($AD$11:AD19),0)</f>
        <v>0.89621341804134647</v>
      </c>
    </row>
    <row r="20" spans="1:35" ht="13" x14ac:dyDescent="0.3">
      <c r="A20" s="194" t="str">
        <f>WERSJA2!I6</f>
        <v>KWOTA UBEZPIECZENIA jednorazowego</v>
      </c>
      <c r="B20" s="248">
        <f t="shared" si="1"/>
        <v>10</v>
      </c>
      <c r="C20" s="249">
        <f t="shared" ca="1" si="6"/>
        <v>46503</v>
      </c>
      <c r="D20" s="249">
        <f t="shared" ca="1" si="16"/>
        <v>46503</v>
      </c>
      <c r="E20" s="250">
        <f t="shared" ca="1" si="7"/>
        <v>180.8</v>
      </c>
      <c r="F20" s="250">
        <f t="shared" ca="1" si="8"/>
        <v>678.15</v>
      </c>
      <c r="G20" s="250">
        <f t="shared" ca="1" si="2"/>
        <v>24396.109999999997</v>
      </c>
      <c r="H20" s="250">
        <f t="shared" ca="1" si="3"/>
        <v>858.95</v>
      </c>
      <c r="I20" s="99"/>
      <c r="K20" s="240"/>
      <c r="L20" s="199" t="str">
        <f t="shared" si="9"/>
        <v>R</v>
      </c>
      <c r="M20" s="231">
        <f t="shared" ca="1" si="10"/>
        <v>46507</v>
      </c>
      <c r="N20" s="231">
        <f t="shared" ca="1" si="17"/>
        <v>46503</v>
      </c>
      <c r="O20" s="199">
        <f t="shared" ca="1" si="18"/>
        <v>6</v>
      </c>
      <c r="P20" s="199">
        <f t="shared" ca="1" si="11"/>
        <v>25</v>
      </c>
      <c r="Q20" s="199">
        <f t="shared" ca="1" si="0"/>
        <v>365</v>
      </c>
      <c r="R20" s="928">
        <f ca="1">IF(B20&lt;&gt;"",O20/Q19,"")</f>
        <v>1.643835616438356E-2</v>
      </c>
      <c r="S20" s="199">
        <f t="shared" ca="1" si="13"/>
        <v>6.8493150684931503E-2</v>
      </c>
      <c r="T20" s="199">
        <f t="shared" ca="1" si="4"/>
        <v>8.4931506849315067E-2</v>
      </c>
      <c r="U20" s="415">
        <f t="shared" ca="1" si="14"/>
        <v>1.012518904109589</v>
      </c>
      <c r="V20" s="233">
        <f ca="1">IF(B20&lt;&gt;"",1/PRODUCT($U$11:U20),0)</f>
        <v>0.88513252878915694</v>
      </c>
      <c r="AA20" s="240">
        <f t="shared" ca="1" si="5"/>
        <v>858.95</v>
      </c>
      <c r="AB20" s="240">
        <f ca="1">IF(B20&lt;&gt;"",AA20/((1+$V$5)^(SUM($T$11:T20))),0)</f>
        <v>751.24753875091926</v>
      </c>
      <c r="AD20">
        <f t="shared" ca="1" si="15"/>
        <v>1.012518904109589</v>
      </c>
      <c r="AE20">
        <f ca="1">IF(B20&lt;&gt;"",1/PRODUCT($AD$11:AD20),0)</f>
        <v>0.88513252878915694</v>
      </c>
    </row>
    <row r="21" spans="1:35" ht="13.5" thickBot="1" x14ac:dyDescent="0.35">
      <c r="A21" s="196">
        <f>WERSJA2!J6</f>
        <v>0</v>
      </c>
      <c r="B21" s="248">
        <f t="shared" si="1"/>
        <v>11</v>
      </c>
      <c r="C21" s="249">
        <f t="shared" ca="1" si="6"/>
        <v>46533</v>
      </c>
      <c r="D21" s="249">
        <f t="shared" ca="1" si="16"/>
        <v>46533</v>
      </c>
      <c r="E21" s="250">
        <f t="shared" ca="1" si="7"/>
        <v>170.24</v>
      </c>
      <c r="F21" s="250">
        <f t="shared" ca="1" si="8"/>
        <v>688.71</v>
      </c>
      <c r="G21" s="250">
        <f t="shared" ca="1" si="2"/>
        <v>23707.399999999998</v>
      </c>
      <c r="H21" s="250">
        <f t="shared" ca="1" si="3"/>
        <v>858.95</v>
      </c>
      <c r="I21" s="99"/>
      <c r="K21" s="240"/>
      <c r="L21" s="199" t="str">
        <f t="shared" si="9"/>
        <v>R</v>
      </c>
      <c r="M21" s="231">
        <f t="shared" ca="1" si="10"/>
        <v>46538</v>
      </c>
      <c r="N21" s="231">
        <f t="shared" ca="1" si="17"/>
        <v>46533</v>
      </c>
      <c r="O21" s="199">
        <f t="shared" ca="1" si="18"/>
        <v>5</v>
      </c>
      <c r="P21" s="199">
        <f t="shared" ca="1" si="11"/>
        <v>25</v>
      </c>
      <c r="Q21" s="199">
        <f t="shared" ca="1" si="0"/>
        <v>365</v>
      </c>
      <c r="R21" s="199">
        <f t="shared" ca="1" si="12"/>
        <v>1.3698630136986301E-2</v>
      </c>
      <c r="S21" s="199">
        <f t="shared" ca="1" si="13"/>
        <v>6.8493150684931503E-2</v>
      </c>
      <c r="T21" s="199">
        <f t="shared" ca="1" si="4"/>
        <v>8.2191780821917804E-2</v>
      </c>
      <c r="U21" s="415">
        <f t="shared" ca="1" si="14"/>
        <v>1.0121150684931506</v>
      </c>
      <c r="V21" s="233">
        <f ca="1">IF(B21&lt;&gt;"",1/PRODUCT($U$11:U21),0)</f>
        <v>0.87453744771032127</v>
      </c>
      <c r="AA21" s="240">
        <f t="shared" ca="1" si="5"/>
        <v>858.95</v>
      </c>
      <c r="AB21" s="240">
        <f ca="1">IF(B21&lt;&gt;"",AA21/((1+$V$5)^(SUM($T$11:T21))),0)</f>
        <v>741.38046595105959</v>
      </c>
      <c r="AD21">
        <f t="shared" ca="1" si="15"/>
        <v>1.0121150684931506</v>
      </c>
      <c r="AE21">
        <f ca="1">IF(B21&lt;&gt;"",1/PRODUCT($AD$11:AD21),0)</f>
        <v>0.87453744771032127</v>
      </c>
    </row>
    <row r="22" spans="1:35" ht="13" x14ac:dyDescent="0.3">
      <c r="A22" s="194" t="s">
        <v>40</v>
      </c>
      <c r="B22" s="248">
        <f t="shared" si="1"/>
        <v>12</v>
      </c>
      <c r="C22" s="249">
        <f t="shared" ca="1" si="6"/>
        <v>46564</v>
      </c>
      <c r="D22" s="249">
        <f t="shared" ca="1" si="16"/>
        <v>46564</v>
      </c>
      <c r="E22" s="250">
        <f t="shared" ca="1" si="7"/>
        <v>170.95</v>
      </c>
      <c r="F22" s="250">
        <f t="shared" ca="1" si="8"/>
        <v>688</v>
      </c>
      <c r="G22" s="250">
        <f t="shared" ca="1" si="2"/>
        <v>23019.399999999998</v>
      </c>
      <c r="H22" s="250">
        <f t="shared" ca="1" si="3"/>
        <v>858.95</v>
      </c>
      <c r="I22" s="99"/>
      <c r="K22" s="240"/>
      <c r="L22" s="199" t="str">
        <f t="shared" si="9"/>
        <v>R</v>
      </c>
      <c r="M22" s="231">
        <f t="shared" ca="1" si="10"/>
        <v>46568</v>
      </c>
      <c r="N22" s="231">
        <f t="shared" ca="1" si="17"/>
        <v>46564</v>
      </c>
      <c r="O22" s="199">
        <f t="shared" ca="1" si="18"/>
        <v>6</v>
      </c>
      <c r="P22" s="199">
        <f t="shared" ca="1" si="11"/>
        <v>25</v>
      </c>
      <c r="Q22" s="199">
        <f t="shared" ca="1" si="0"/>
        <v>365</v>
      </c>
      <c r="R22" s="199">
        <f t="shared" ca="1" si="12"/>
        <v>1.643835616438356E-2</v>
      </c>
      <c r="S22" s="199">
        <f t="shared" ca="1" si="13"/>
        <v>6.8493150684931503E-2</v>
      </c>
      <c r="T22" s="199">
        <f t="shared" ca="1" si="4"/>
        <v>8.4931506849315067E-2</v>
      </c>
      <c r="U22" s="415">
        <f t="shared" ca="1" si="14"/>
        <v>1.012518904109589</v>
      </c>
      <c r="V22" s="233">
        <f ca="1">IF(B22&lt;&gt;"",1/PRODUCT($U$11:U22),0)</f>
        <v>0.86372456273237797</v>
      </c>
      <c r="AA22" s="240">
        <f t="shared" ca="1" si="5"/>
        <v>858.95</v>
      </c>
      <c r="AB22" s="240">
        <f ca="1">IF(B22&lt;&gt;"",AA22/((1+$V$5)^(SUM($T$11:T22))),0)</f>
        <v>731.32061921868535</v>
      </c>
      <c r="AD22">
        <f t="shared" ca="1" si="15"/>
        <v>1.012518904109589</v>
      </c>
      <c r="AE22">
        <f ca="1">IF(B22&lt;&gt;"",1/PRODUCT($AD$11:AD22),0)</f>
        <v>0.86372456273237797</v>
      </c>
    </row>
    <row r="23" spans="1:35" ht="13.5" thickBot="1" x14ac:dyDescent="0.35">
      <c r="A23" s="196">
        <f>G10</f>
        <v>31000</v>
      </c>
      <c r="B23" s="248">
        <f t="shared" si="1"/>
        <v>13</v>
      </c>
      <c r="C23" s="249">
        <f t="shared" ca="1" si="6"/>
        <v>46594</v>
      </c>
      <c r="D23" s="249">
        <f t="shared" ca="1" si="16"/>
        <v>46594</v>
      </c>
      <c r="E23" s="250">
        <f t="shared" ca="1" si="7"/>
        <v>160.63</v>
      </c>
      <c r="F23" s="250">
        <f t="shared" ca="1" si="8"/>
        <v>698.32</v>
      </c>
      <c r="G23" s="250">
        <f t="shared" ca="1" si="2"/>
        <v>22321.079999999998</v>
      </c>
      <c r="H23" s="250">
        <f t="shared" ca="1" si="3"/>
        <v>858.95</v>
      </c>
      <c r="I23" s="99"/>
      <c r="K23" s="240"/>
      <c r="L23" s="199" t="str">
        <f t="shared" si="9"/>
        <v>R</v>
      </c>
      <c r="M23" s="231">
        <f t="shared" ca="1" si="10"/>
        <v>46599</v>
      </c>
      <c r="N23" s="231">
        <f t="shared" ca="1" si="17"/>
        <v>46594</v>
      </c>
      <c r="O23" s="199">
        <f t="shared" ca="1" si="18"/>
        <v>5</v>
      </c>
      <c r="P23" s="199">
        <f t="shared" ca="1" si="11"/>
        <v>25</v>
      </c>
      <c r="Q23" s="199">
        <f t="shared" ca="1" si="0"/>
        <v>365</v>
      </c>
      <c r="R23" s="199">
        <f t="shared" ca="1" si="12"/>
        <v>1.3698630136986301E-2</v>
      </c>
      <c r="S23" s="199">
        <f t="shared" ca="1" si="13"/>
        <v>6.8493150684931503E-2</v>
      </c>
      <c r="T23" s="199">
        <f t="shared" ca="1" si="4"/>
        <v>8.2191780821917804E-2</v>
      </c>
      <c r="U23" s="415">
        <f t="shared" ca="1" si="14"/>
        <v>1.0121150684931506</v>
      </c>
      <c r="V23" s="233">
        <f ca="1">IF(B23&lt;&gt;"",1/PRODUCT($U$11:U23),0)</f>
        <v>0.85338573608858692</v>
      </c>
      <c r="AA23" s="240">
        <f t="shared" ca="1" si="5"/>
        <v>858.95</v>
      </c>
      <c r="AB23" s="240">
        <f ca="1">IF(B23&lt;&gt;"",AA23/((1+$V$5)^(SUM($T$11:T23))),0)</f>
        <v>721.71527155675881</v>
      </c>
      <c r="AD23">
        <f t="shared" ca="1" si="15"/>
        <v>1.0121150684931506</v>
      </c>
      <c r="AE23">
        <f ca="1">IF(B23&lt;&gt;"",1/PRODUCT($AD$11:AD23),0)</f>
        <v>0.85338573608858692</v>
      </c>
    </row>
    <row r="24" spans="1:35" ht="13" x14ac:dyDescent="0.3">
      <c r="A24" s="194" t="s">
        <v>162</v>
      </c>
      <c r="B24" s="248">
        <f t="shared" si="1"/>
        <v>14</v>
      </c>
      <c r="C24" s="249">
        <f t="shared" ca="1" si="6"/>
        <v>46625</v>
      </c>
      <c r="D24" s="249">
        <f t="shared" ca="1" si="16"/>
        <v>46625</v>
      </c>
      <c r="E24" s="250">
        <f ca="1">IF($H$1&lt;&gt;1,IF(B24=$C$5,H24-F24,IF(B24&lt;&gt;"",ROUND(G23*($D$3)*((SUM(O24:P24)/365)),2),"")),"Brak Oferty")</f>
        <v>160.94999999999999</v>
      </c>
      <c r="F24" s="250">
        <f t="shared" ca="1" si="8"/>
        <v>698</v>
      </c>
      <c r="G24" s="250">
        <f t="shared" ca="1" si="2"/>
        <v>21623.079999999998</v>
      </c>
      <c r="H24" s="250">
        <f t="shared" ca="1" si="3"/>
        <v>858.95</v>
      </c>
      <c r="I24" s="99"/>
      <c r="K24" s="240"/>
      <c r="L24" s="199" t="str">
        <f t="shared" si="9"/>
        <v>R</v>
      </c>
      <c r="M24" s="231">
        <f t="shared" ca="1" si="10"/>
        <v>46630</v>
      </c>
      <c r="N24" s="231">
        <f t="shared" ca="1" si="17"/>
        <v>46625</v>
      </c>
      <c r="O24" s="199">
        <f ca="1">IF(B24&lt;&gt;"",M23-N23+1,0)</f>
        <v>6</v>
      </c>
      <c r="P24" s="199">
        <f t="shared" ca="1" si="11"/>
        <v>25</v>
      </c>
      <c r="Q24" s="199">
        <f t="shared" ca="1" si="0"/>
        <v>365</v>
      </c>
      <c r="R24" s="928">
        <f ca="1">IF(B24&lt;&gt;"",O24/Q23,0)</f>
        <v>1.643835616438356E-2</v>
      </c>
      <c r="S24" s="199">
        <f t="shared" ca="1" si="13"/>
        <v>6.8493150684931503E-2</v>
      </c>
      <c r="T24" s="199">
        <f t="shared" ca="1" si="4"/>
        <v>8.4931506849315067E-2</v>
      </c>
      <c r="U24" s="415">
        <f t="shared" ca="1" si="14"/>
        <v>1.012518904109589</v>
      </c>
      <c r="V24" s="233">
        <f ca="1">IF(B24&lt;&gt;"",1/PRODUCT($U$11:U24),0)</f>
        <v>0.84283437338787859</v>
      </c>
      <c r="AA24" s="240">
        <f t="shared" ca="1" si="5"/>
        <v>858.95</v>
      </c>
      <c r="AB24" s="240">
        <f ca="1">IF(B24&lt;&gt;"",AA24/((1+$V$5)^(SUM($T$11:T24))),0)</f>
        <v>711.92226331103825</v>
      </c>
      <c r="AD24">
        <f t="shared" ca="1" si="15"/>
        <v>1.012518904109589</v>
      </c>
      <c r="AE24">
        <f ca="1">IF(B24&lt;&gt;"",1/PRODUCT($AD$11:AD24),0)</f>
        <v>0.84283437338787859</v>
      </c>
    </row>
    <row r="25" spans="1:35" ht="13.5" thickBot="1" x14ac:dyDescent="0.35">
      <c r="A25" s="196">
        <f ca="1">SUM(E11:E130)</f>
        <v>10229.600000000006</v>
      </c>
      <c r="B25" s="248">
        <f t="shared" si="1"/>
        <v>15</v>
      </c>
      <c r="C25" s="249">
        <f t="shared" ca="1" si="6"/>
        <v>46656</v>
      </c>
      <c r="D25" s="249">
        <f t="shared" ca="1" si="16"/>
        <v>46656</v>
      </c>
      <c r="E25" s="250">
        <f t="shared" ca="1" si="7"/>
        <v>155.91999999999999</v>
      </c>
      <c r="F25" s="250">
        <f t="shared" ca="1" si="8"/>
        <v>703.03</v>
      </c>
      <c r="G25" s="250">
        <f t="shared" ca="1" si="2"/>
        <v>20920.05</v>
      </c>
      <c r="H25" s="250">
        <f t="shared" ca="1" si="3"/>
        <v>858.95</v>
      </c>
      <c r="I25" s="99"/>
      <c r="K25" s="231"/>
      <c r="L25" s="199" t="str">
        <f t="shared" si="9"/>
        <v>R</v>
      </c>
      <c r="M25" s="231">
        <f t="shared" ca="1" si="10"/>
        <v>46660</v>
      </c>
      <c r="N25" s="231">
        <f t="shared" ca="1" si="17"/>
        <v>46656</v>
      </c>
      <c r="O25" s="199">
        <f t="shared" ca="1" si="18"/>
        <v>6</v>
      </c>
      <c r="P25" s="199">
        <f t="shared" ca="1" si="11"/>
        <v>25</v>
      </c>
      <c r="Q25" s="199">
        <f t="shared" ca="1" si="0"/>
        <v>365</v>
      </c>
      <c r="R25" s="928">
        <f t="shared" ref="R25:R26" ca="1" si="19">IF(B25&lt;&gt;"",O25/Q24,0)</f>
        <v>1.643835616438356E-2</v>
      </c>
      <c r="S25" s="199">
        <f t="shared" ca="1" si="13"/>
        <v>6.8493150684931503E-2</v>
      </c>
      <c r="T25" s="199">
        <f t="shared" ca="1" si="4"/>
        <v>8.4931506849315067E-2</v>
      </c>
      <c r="U25" s="415">
        <f t="shared" ca="1" si="14"/>
        <v>1.012518904109589</v>
      </c>
      <c r="V25" s="233">
        <f ca="1">IF(B25&lt;&gt;"",1/PRODUCT($U$11:U25),0)</f>
        <v>0.83241346899006163</v>
      </c>
      <c r="AA25" s="240">
        <f t="shared" ca="1" si="5"/>
        <v>858.95</v>
      </c>
      <c r="AB25" s="240">
        <f ca="1">IF(B25&lt;&gt;"",AA25/((1+$V$5)^(SUM($T$11:T25))),0)</f>
        <v>702.26213712321544</v>
      </c>
      <c r="AD25">
        <f t="shared" ca="1" si="15"/>
        <v>1.012518904109589</v>
      </c>
      <c r="AE25">
        <f ca="1">IF(B25&lt;&gt;"",1/PRODUCT($AD$11:AD25),0)</f>
        <v>0.83241346899006163</v>
      </c>
      <c r="AI25">
        <v>-3.7778706683311344E+16</v>
      </c>
    </row>
    <row r="26" spans="1:35" ht="13" x14ac:dyDescent="0.3">
      <c r="A26" s="194" t="s">
        <v>138</v>
      </c>
      <c r="B26" s="248">
        <f t="shared" si="1"/>
        <v>16</v>
      </c>
      <c r="C26" s="249">
        <f t="shared" ca="1" si="6"/>
        <v>46686</v>
      </c>
      <c r="D26" s="249">
        <f t="shared" ca="1" si="16"/>
        <v>46686</v>
      </c>
      <c r="E26" s="250">
        <f t="shared" ca="1" si="7"/>
        <v>145.97999999999999</v>
      </c>
      <c r="F26" s="250">
        <f t="shared" ca="1" si="8"/>
        <v>712.97</v>
      </c>
      <c r="G26" s="250">
        <f t="shared" ca="1" si="2"/>
        <v>20207.079999999998</v>
      </c>
      <c r="H26" s="250">
        <f t="shared" ca="1" si="3"/>
        <v>858.95</v>
      </c>
      <c r="I26" s="99"/>
      <c r="K26" s="231"/>
      <c r="L26" s="199" t="str">
        <f t="shared" si="9"/>
        <v>R</v>
      </c>
      <c r="M26" s="231">
        <f t="shared" ca="1" si="10"/>
        <v>46691</v>
      </c>
      <c r="N26" s="231">
        <f t="shared" ca="1" si="17"/>
        <v>46686</v>
      </c>
      <c r="O26" s="199">
        <f t="shared" ca="1" si="18"/>
        <v>5</v>
      </c>
      <c r="P26" s="199">
        <f t="shared" ca="1" si="11"/>
        <v>25</v>
      </c>
      <c r="Q26" s="199">
        <f t="shared" ca="1" si="0"/>
        <v>365</v>
      </c>
      <c r="R26" s="928">
        <f t="shared" ca="1" si="19"/>
        <v>1.3698630136986301E-2</v>
      </c>
      <c r="S26" s="199">
        <f t="shared" ca="1" si="13"/>
        <v>6.8493150684931503E-2</v>
      </c>
      <c r="T26" s="199">
        <f t="shared" ca="1" si="4"/>
        <v>8.2191780821917804E-2</v>
      </c>
      <c r="U26" s="415">
        <f t="shared" ca="1" si="14"/>
        <v>1.0121150684931506</v>
      </c>
      <c r="V26" s="233">
        <f ca="1">IF(B26&lt;&gt;"",1/PRODUCT($U$11:U26),0)</f>
        <v>0.82244943771993162</v>
      </c>
      <c r="AA26" s="240">
        <f t="shared" ca="1" si="5"/>
        <v>858.95</v>
      </c>
      <c r="AB26" s="240">
        <f ca="1">IF(B26&lt;&gt;"",AA26/((1+$V$5)^(SUM($T$11:T26))),0)</f>
        <v>693.03845082255771</v>
      </c>
      <c r="AD26">
        <f t="shared" ca="1" si="15"/>
        <v>1.0121150684931506</v>
      </c>
      <c r="AE26">
        <f ca="1">IF(B26&lt;&gt;"",1/PRODUCT($AD$11:AD26),0)</f>
        <v>0.82244943771993162</v>
      </c>
    </row>
    <row r="27" spans="1:35" ht="13.5" thickBot="1" x14ac:dyDescent="0.35">
      <c r="A27" s="223">
        <f ca="1">H2</f>
        <v>858.95</v>
      </c>
      <c r="B27" s="248">
        <f t="shared" si="1"/>
        <v>17</v>
      </c>
      <c r="C27" s="249">
        <f t="shared" ca="1" si="6"/>
        <v>46717</v>
      </c>
      <c r="D27" s="249">
        <f t="shared" ca="1" si="16"/>
        <v>46717</v>
      </c>
      <c r="E27" s="250">
        <f t="shared" ca="1" si="7"/>
        <v>145.71</v>
      </c>
      <c r="F27" s="250">
        <f t="shared" ca="1" si="8"/>
        <v>713.24</v>
      </c>
      <c r="G27" s="250">
        <f t="shared" ca="1" si="2"/>
        <v>19493.839999999997</v>
      </c>
      <c r="H27" s="250">
        <f t="shared" ca="1" si="3"/>
        <v>858.95</v>
      </c>
      <c r="I27" s="99"/>
      <c r="K27" s="231"/>
      <c r="L27" s="199" t="str">
        <f t="shared" si="9"/>
        <v>R</v>
      </c>
      <c r="M27" s="231">
        <f t="shared" ca="1" si="10"/>
        <v>46721</v>
      </c>
      <c r="N27" s="231">
        <f t="shared" ca="1" si="17"/>
        <v>46717</v>
      </c>
      <c r="O27" s="199">
        <f t="shared" ca="1" si="18"/>
        <v>6</v>
      </c>
      <c r="P27" s="199">
        <f t="shared" ca="1" si="11"/>
        <v>25</v>
      </c>
      <c r="Q27" s="199">
        <f t="shared" ca="1" si="0"/>
        <v>365</v>
      </c>
      <c r="R27" s="199">
        <f t="shared" ca="1" si="12"/>
        <v>1.643835616438356E-2</v>
      </c>
      <c r="S27" s="199">
        <f t="shared" ca="1" si="13"/>
        <v>6.8493150684931503E-2</v>
      </c>
      <c r="T27" s="199">
        <f t="shared" ca="1" si="4"/>
        <v>8.4931506849315067E-2</v>
      </c>
      <c r="U27" s="415">
        <f t="shared" ca="1" si="14"/>
        <v>1.012518904109589</v>
      </c>
      <c r="V27" s="233">
        <f ca="1">IF(B27&lt;&gt;"",1/PRODUCT($U$11:U27),0)</f>
        <v>0.81228057509029439</v>
      </c>
      <c r="AA27" s="240">
        <f t="shared" ca="1" si="5"/>
        <v>858.95</v>
      </c>
      <c r="AB27" s="240">
        <f ca="1">IF(B27&lt;&gt;"",AA27/((1+$V$5)^(SUM($T$11:T27))),0)</f>
        <v>683.63456049214096</v>
      </c>
      <c r="AD27">
        <f t="shared" ca="1" si="15"/>
        <v>1.012518904109589</v>
      </c>
      <c r="AE27">
        <f ca="1">IF(B27&lt;&gt;"",1/PRODUCT($AD$11:AD27),0)</f>
        <v>0.81228057509029439</v>
      </c>
    </row>
    <row r="28" spans="1:35" ht="13" x14ac:dyDescent="0.3">
      <c r="A28" s="194" t="s">
        <v>14</v>
      </c>
      <c r="B28" s="248">
        <f t="shared" si="1"/>
        <v>18</v>
      </c>
      <c r="C28" s="249">
        <f t="shared" ca="1" si="6"/>
        <v>46747</v>
      </c>
      <c r="D28" s="249">
        <f t="shared" ca="1" si="16"/>
        <v>46747</v>
      </c>
      <c r="E28" s="250">
        <f t="shared" ca="1" si="7"/>
        <v>136.03</v>
      </c>
      <c r="F28" s="250">
        <f t="shared" ca="1" si="8"/>
        <v>722.92</v>
      </c>
      <c r="G28" s="250">
        <f t="shared" ca="1" si="2"/>
        <v>18770.919999999998</v>
      </c>
      <c r="H28" s="250">
        <f t="shared" ca="1" si="3"/>
        <v>858.95</v>
      </c>
      <c r="I28" s="99"/>
      <c r="K28" s="231"/>
      <c r="L28" s="199" t="str">
        <f t="shared" si="9"/>
        <v>R</v>
      </c>
      <c r="M28" s="231">
        <f t="shared" ca="1" si="10"/>
        <v>46752</v>
      </c>
      <c r="N28" s="231">
        <f t="shared" ca="1" si="17"/>
        <v>46747</v>
      </c>
      <c r="O28" s="199">
        <f t="shared" ca="1" si="18"/>
        <v>5</v>
      </c>
      <c r="P28" s="199">
        <f t="shared" ca="1" si="11"/>
        <v>25</v>
      </c>
      <c r="Q28" s="199">
        <f t="shared" ca="1" si="0"/>
        <v>365</v>
      </c>
      <c r="R28" s="199">
        <f t="shared" ca="1" si="12"/>
        <v>1.3698630136986301E-2</v>
      </c>
      <c r="S28" s="199">
        <f t="shared" ca="1" si="13"/>
        <v>6.8493150684931503E-2</v>
      </c>
      <c r="T28" s="199">
        <f t="shared" ca="1" si="4"/>
        <v>8.2191780821917804E-2</v>
      </c>
      <c r="U28" s="415">
        <f t="shared" ca="1" si="14"/>
        <v>1.0121150684931506</v>
      </c>
      <c r="V28" s="233">
        <f ca="1">IF(B28&lt;&gt;"",1/PRODUCT($U$11:U28),0)</f>
        <v>0.80255753557708387</v>
      </c>
      <c r="AA28" s="240">
        <f t="shared" ca="1" si="5"/>
        <v>858.95</v>
      </c>
      <c r="AB28" s="240">
        <f ca="1">IF(B28&lt;&gt;"",AA28/((1+$V$5)^(SUM($T$11:T28))),0)</f>
        <v>674.65553343523823</v>
      </c>
      <c r="AD28">
        <f t="shared" ca="1" si="15"/>
        <v>1.0121150684931506</v>
      </c>
      <c r="AE28">
        <f ca="1">IF(B28&lt;&gt;"",1/PRODUCT($AD$11:AD28),0)</f>
        <v>0.80255753557708387</v>
      </c>
    </row>
    <row r="29" spans="1:35" ht="13.5" thickBot="1" x14ac:dyDescent="0.35">
      <c r="A29" s="222">
        <f>$H$8</f>
        <v>0.17451905146291249</v>
      </c>
      <c r="B29" s="248">
        <f t="shared" si="1"/>
        <v>19</v>
      </c>
      <c r="C29" s="249">
        <f t="shared" ca="1" si="6"/>
        <v>46778</v>
      </c>
      <c r="D29" s="249">
        <f t="shared" ca="1" si="16"/>
        <v>46778</v>
      </c>
      <c r="E29" s="250">
        <f t="shared" ca="1" si="7"/>
        <v>135.35</v>
      </c>
      <c r="F29" s="250">
        <f t="shared" ca="1" si="8"/>
        <v>723.6</v>
      </c>
      <c r="G29" s="250">
        <f t="shared" ca="1" si="2"/>
        <v>18047.32</v>
      </c>
      <c r="H29" s="250">
        <f t="shared" ca="1" si="3"/>
        <v>858.95</v>
      </c>
      <c r="I29" s="99"/>
      <c r="K29" s="231"/>
      <c r="L29" s="199" t="str">
        <f t="shared" si="9"/>
        <v>R</v>
      </c>
      <c r="M29" s="231">
        <f t="shared" ca="1" si="10"/>
        <v>46783</v>
      </c>
      <c r="N29" s="231">
        <f t="shared" ca="1" si="17"/>
        <v>46778</v>
      </c>
      <c r="O29" s="199">
        <f t="shared" ca="1" si="18"/>
        <v>6</v>
      </c>
      <c r="P29" s="199">
        <f t="shared" ca="1" si="11"/>
        <v>25</v>
      </c>
      <c r="Q29" s="199">
        <f t="shared" ca="1" si="0"/>
        <v>366</v>
      </c>
      <c r="R29" s="199">
        <f t="shared" ca="1" si="12"/>
        <v>1.643835616438356E-2</v>
      </c>
      <c r="S29" s="199">
        <f t="shared" ca="1" si="13"/>
        <v>6.8306010928961755E-2</v>
      </c>
      <c r="T29" s="199">
        <f t="shared" ca="1" si="4"/>
        <v>8.4744367093345319E-2</v>
      </c>
      <c r="U29" s="415">
        <f t="shared" ca="1" si="14"/>
        <v>1.0124913197095591</v>
      </c>
      <c r="V29" s="233">
        <f ca="1">IF(B29&lt;&gt;"",1/PRODUCT($U$11:U29),0)</f>
        <v>0.79265621339578851</v>
      </c>
      <c r="AA29" s="240">
        <f t="shared" ca="1" si="5"/>
        <v>858.95</v>
      </c>
      <c r="AB29" s="240">
        <f ca="1">IF(B29&lt;&gt;"",AA29/((1+$V$5)^(SUM($T$11:T29))),0)</f>
        <v>665.52111620415644</v>
      </c>
      <c r="AD29">
        <f t="shared" ca="1" si="15"/>
        <v>1.012518904109589</v>
      </c>
      <c r="AE29">
        <f ca="1">IF(B29&lt;&gt;"",1/PRODUCT($AD$11:AD29),0)</f>
        <v>0.7926346187905049</v>
      </c>
    </row>
    <row r="30" spans="1:35" ht="13" x14ac:dyDescent="0.3">
      <c r="A30" s="194" t="s">
        <v>159</v>
      </c>
      <c r="B30" s="248">
        <f t="shared" si="1"/>
        <v>20</v>
      </c>
      <c r="C30" s="249">
        <f t="shared" ca="1" si="6"/>
        <v>46809</v>
      </c>
      <c r="D30" s="249">
        <f t="shared" ca="1" si="16"/>
        <v>46809</v>
      </c>
      <c r="E30" s="250">
        <f t="shared" ca="1" si="7"/>
        <v>130.13</v>
      </c>
      <c r="F30" s="250">
        <f t="shared" ca="1" si="8"/>
        <v>728.82</v>
      </c>
      <c r="G30" s="250">
        <f t="shared" ca="1" si="2"/>
        <v>17318.5</v>
      </c>
      <c r="H30" s="250">
        <f t="shared" ca="1" si="3"/>
        <v>858.95</v>
      </c>
      <c r="I30" s="99"/>
      <c r="K30" s="231"/>
      <c r="L30" s="199" t="str">
        <f t="shared" si="9"/>
        <v>R</v>
      </c>
      <c r="M30" s="231">
        <f ca="1">IF(B30&lt;&gt;"",DATE(YEAR((D30)),MONTH((D30))+1,1)-1,"")</f>
        <v>46812</v>
      </c>
      <c r="N30" s="231">
        <f t="shared" ca="1" si="17"/>
        <v>46809</v>
      </c>
      <c r="O30" s="199">
        <f t="shared" ca="1" si="18"/>
        <v>6</v>
      </c>
      <c r="P30" s="199">
        <f t="shared" ca="1" si="11"/>
        <v>25</v>
      </c>
      <c r="Q30" s="199">
        <f t="shared" ca="1" si="0"/>
        <v>366</v>
      </c>
      <c r="R30" s="199">
        <f t="shared" ca="1" si="12"/>
        <v>1.6393442622950821E-2</v>
      </c>
      <c r="S30" s="199">
        <f t="shared" ca="1" si="13"/>
        <v>6.8306010928961755E-2</v>
      </c>
      <c r="T30" s="199">
        <f t="shared" ca="1" si="4"/>
        <v>8.4699453551912579E-2</v>
      </c>
      <c r="U30" s="415">
        <f t="shared" ca="1" si="14"/>
        <v>1.0124846994535519</v>
      </c>
      <c r="V30" s="233">
        <f ca="1">IF(B30&lt;&gt;"",1/PRODUCT($U$11:U30),0)</f>
        <v>0.78288216485996576</v>
      </c>
      <c r="AA30" s="240">
        <f t="shared" ca="1" si="5"/>
        <v>858.95</v>
      </c>
      <c r="AB30" s="240">
        <f ca="1">IF(B30&lt;&gt;"",AA30/((1+$V$5)^(SUM($T$11:T30))),0)</f>
        <v>656.51511644478728</v>
      </c>
      <c r="AD30">
        <f t="shared" ca="1" si="15"/>
        <v>1.012518904109589</v>
      </c>
      <c r="AE30">
        <f ca="1">IF(B30&lt;&gt;"",1/PRODUCT($AD$11:AD30),0)</f>
        <v>0.78283439012681866</v>
      </c>
    </row>
    <row r="31" spans="1:35" ht="13.5" thickBot="1" x14ac:dyDescent="0.35">
      <c r="A31" s="258">
        <f ca="1">A25+A19</f>
        <v>10229.600000000006</v>
      </c>
      <c r="B31" s="248">
        <f t="shared" si="1"/>
        <v>21</v>
      </c>
      <c r="C31" s="249">
        <f t="shared" ca="1" si="6"/>
        <v>46838</v>
      </c>
      <c r="D31" s="249">
        <f t="shared" ca="1" si="16"/>
        <v>46838</v>
      </c>
      <c r="E31" s="250">
        <f t="shared" ca="1" si="7"/>
        <v>116.82</v>
      </c>
      <c r="F31" s="250">
        <f t="shared" ca="1" si="8"/>
        <v>742.13</v>
      </c>
      <c r="G31" s="250">
        <f t="shared" ca="1" si="2"/>
        <v>16576.37</v>
      </c>
      <c r="H31" s="250">
        <f t="shared" ca="1" si="3"/>
        <v>858.95</v>
      </c>
      <c r="I31" s="99"/>
      <c r="K31" s="231"/>
      <c r="L31" s="199" t="str">
        <f t="shared" si="9"/>
        <v>R</v>
      </c>
      <c r="M31" s="231">
        <f t="shared" ca="1" si="10"/>
        <v>46843</v>
      </c>
      <c r="N31" s="231">
        <f t="shared" ca="1" si="17"/>
        <v>46838</v>
      </c>
      <c r="O31" s="199">
        <f t="shared" ca="1" si="18"/>
        <v>4</v>
      </c>
      <c r="P31" s="199">
        <f t="shared" ca="1" si="11"/>
        <v>25</v>
      </c>
      <c r="Q31" s="199">
        <f t="shared" ca="1" si="0"/>
        <v>366</v>
      </c>
      <c r="R31" s="199">
        <f t="shared" ca="1" si="12"/>
        <v>1.092896174863388E-2</v>
      </c>
      <c r="S31" s="199">
        <f t="shared" ca="1" si="13"/>
        <v>6.8306010928961755E-2</v>
      </c>
      <c r="T31" s="199">
        <f t="shared" ca="1" si="4"/>
        <v>7.9234972677595633E-2</v>
      </c>
      <c r="U31" s="415">
        <f t="shared" ca="1" si="14"/>
        <v>1.0116792349726775</v>
      </c>
      <c r="V31" s="233">
        <f ca="1">IF(B31&lt;&gt;"",1/PRODUCT($U$11:U31),0)</f>
        <v>0.77384425596232487</v>
      </c>
      <c r="AA31" s="240">
        <f t="shared" ca="1" si="5"/>
        <v>858.95</v>
      </c>
      <c r="AB31" s="240">
        <f ca="1">IF(B31&lt;&gt;"",AA31/((1+$V$5)^(SUM($T$11:T31))),0)</f>
        <v>648.20051223692542</v>
      </c>
      <c r="AD31">
        <f t="shared" ca="1" si="15"/>
        <v>1.0117112328767124</v>
      </c>
      <c r="AE31">
        <f ca="1">IF(B31&lt;&gt;"",1/PRODUCT($AD$11:AD31),0)</f>
        <v>0.77377255948903279</v>
      </c>
    </row>
    <row r="32" spans="1:35" ht="13" x14ac:dyDescent="0.3">
      <c r="A32" s="194" t="s">
        <v>158</v>
      </c>
      <c r="B32" s="248">
        <f t="shared" si="1"/>
        <v>22</v>
      </c>
      <c r="C32" s="249">
        <f t="shared" ca="1" si="6"/>
        <v>46869</v>
      </c>
      <c r="D32" s="249">
        <f t="shared" ca="1" si="16"/>
        <v>46869</v>
      </c>
      <c r="E32" s="250">
        <f t="shared" ca="1" si="7"/>
        <v>119.53</v>
      </c>
      <c r="F32" s="250">
        <f t="shared" ca="1" si="8"/>
        <v>739.42</v>
      </c>
      <c r="G32" s="250">
        <f t="shared" ca="1" si="2"/>
        <v>15836.949999999999</v>
      </c>
      <c r="H32" s="250">
        <f t="shared" ca="1" si="3"/>
        <v>858.95</v>
      </c>
      <c r="I32" s="99"/>
      <c r="K32" s="231"/>
      <c r="L32" s="199" t="str">
        <f t="shared" si="9"/>
        <v>R</v>
      </c>
      <c r="M32" s="231">
        <f t="shared" ca="1" si="10"/>
        <v>46873</v>
      </c>
      <c r="N32" s="231">
        <f t="shared" ca="1" si="17"/>
        <v>46869</v>
      </c>
      <c r="O32" s="199">
        <f t="shared" ca="1" si="18"/>
        <v>6</v>
      </c>
      <c r="P32" s="199">
        <f t="shared" ca="1" si="11"/>
        <v>25</v>
      </c>
      <c r="Q32" s="199">
        <f t="shared" ca="1" si="0"/>
        <v>366</v>
      </c>
      <c r="R32" s="199">
        <f t="shared" ca="1" si="12"/>
        <v>1.6393442622950821E-2</v>
      </c>
      <c r="S32" s="199">
        <f t="shared" ca="1" si="13"/>
        <v>6.8306010928961755E-2</v>
      </c>
      <c r="T32" s="199">
        <f t="shared" ca="1" si="4"/>
        <v>8.4699453551912579E-2</v>
      </c>
      <c r="U32" s="415">
        <f t="shared" ca="1" si="14"/>
        <v>1.0124846994535519</v>
      </c>
      <c r="V32" s="233">
        <f ca="1">IF(B32&lt;&gt;"",1/PRODUCT($U$11:U32),0)</f>
        <v>0.76430217304022119</v>
      </c>
      <c r="AA32" s="240">
        <f t="shared" ca="1" si="5"/>
        <v>858.95</v>
      </c>
      <c r="AB32" s="240">
        <f ca="1">IF(B32&lt;&gt;"",AA32/((1+$V$5)^(SUM($T$11:T32))),0)</f>
        <v>639.42889926313376</v>
      </c>
      <c r="AD32">
        <f t="shared" ca="1" si="15"/>
        <v>1.012518904109589</v>
      </c>
      <c r="AE32">
        <f ca="1">IF(B32&lt;&gt;"",1/PRODUCT($AD$11:AD32),0)</f>
        <v>0.76420554356907522</v>
      </c>
    </row>
    <row r="33" spans="1:31" ht="13.5" thickBot="1" x14ac:dyDescent="0.35">
      <c r="A33" s="258">
        <f ca="1">A31+A21</f>
        <v>10229.600000000006</v>
      </c>
      <c r="B33" s="248">
        <f t="shared" si="1"/>
        <v>23</v>
      </c>
      <c r="C33" s="249">
        <f t="shared" ca="1" si="6"/>
        <v>46899</v>
      </c>
      <c r="D33" s="249">
        <f t="shared" ca="1" si="16"/>
        <v>46899</v>
      </c>
      <c r="E33" s="250">
        <f t="shared" ca="1" si="7"/>
        <v>110.51</v>
      </c>
      <c r="F33" s="250">
        <f t="shared" ca="1" si="8"/>
        <v>748.44</v>
      </c>
      <c r="G33" s="250">
        <f t="shared" ca="1" si="2"/>
        <v>15088.509999999998</v>
      </c>
      <c r="H33" s="250">
        <f t="shared" ca="1" si="3"/>
        <v>858.95</v>
      </c>
      <c r="I33" s="99"/>
      <c r="K33" s="231"/>
      <c r="L33" s="199" t="str">
        <f t="shared" si="9"/>
        <v>R</v>
      </c>
      <c r="M33" s="231">
        <f t="shared" ca="1" si="10"/>
        <v>46904</v>
      </c>
      <c r="N33" s="231">
        <f t="shared" ca="1" si="17"/>
        <v>46899</v>
      </c>
      <c r="O33" s="199">
        <f t="shared" ca="1" si="18"/>
        <v>5</v>
      </c>
      <c r="P33" s="199">
        <f t="shared" ca="1" si="11"/>
        <v>25</v>
      </c>
      <c r="Q33" s="199">
        <f t="shared" ca="1" si="0"/>
        <v>366</v>
      </c>
      <c r="R33" s="199">
        <f t="shared" ca="1" si="12"/>
        <v>1.3661202185792349E-2</v>
      </c>
      <c r="S33" s="199">
        <f t="shared" ca="1" si="13"/>
        <v>6.8306010928961755E-2</v>
      </c>
      <c r="T33" s="199">
        <f t="shared" ca="1" si="4"/>
        <v>8.1967213114754106E-2</v>
      </c>
      <c r="U33" s="415">
        <f t="shared" ca="1" si="14"/>
        <v>1.0120819672131147</v>
      </c>
      <c r="V33" s="233">
        <f ca="1">IF(B33&lt;&gt;"",1/PRODUCT($U$11:U33),0)</f>
        <v>0.75517813556624869</v>
      </c>
      <c r="AA33" s="240">
        <f t="shared" ca="1" si="5"/>
        <v>858.95</v>
      </c>
      <c r="AB33" s="240">
        <f ca="1">IF(B33&lt;&gt;"",AA33/((1+$V$5)^(SUM($T$11:T33))),0)</f>
        <v>631.05327595599431</v>
      </c>
      <c r="AD33">
        <f t="shared" ca="1" si="15"/>
        <v>1.0121150684931506</v>
      </c>
      <c r="AE33">
        <f ca="1">IF(B33&lt;&gt;"",1/PRODUCT($AD$11:AD33),0)</f>
        <v>0.75505796461150787</v>
      </c>
    </row>
    <row r="34" spans="1:31" ht="13" x14ac:dyDescent="0.3">
      <c r="A34" s="194" t="s">
        <v>161</v>
      </c>
      <c r="B34" s="248">
        <f t="shared" si="1"/>
        <v>24</v>
      </c>
      <c r="C34" s="249">
        <f t="shared" ca="1" si="6"/>
        <v>46930</v>
      </c>
      <c r="D34" s="249">
        <f t="shared" ca="1" si="16"/>
        <v>46930</v>
      </c>
      <c r="E34" s="250">
        <f t="shared" ca="1" si="7"/>
        <v>108.8</v>
      </c>
      <c r="F34" s="250">
        <f t="shared" ca="1" si="8"/>
        <v>750.15</v>
      </c>
      <c r="G34" s="250">
        <f t="shared" ca="1" si="2"/>
        <v>14338.359999999999</v>
      </c>
      <c r="H34" s="250">
        <f t="shared" ca="1" si="3"/>
        <v>858.95</v>
      </c>
      <c r="I34" s="99"/>
      <c r="K34" s="231"/>
      <c r="L34" s="199" t="str">
        <f t="shared" si="9"/>
        <v>R</v>
      </c>
      <c r="M34" s="231">
        <f t="shared" ca="1" si="10"/>
        <v>46934</v>
      </c>
      <c r="N34" s="231">
        <f t="shared" ca="1" si="17"/>
        <v>46930</v>
      </c>
      <c r="O34" s="199">
        <f t="shared" ca="1" si="18"/>
        <v>6</v>
      </c>
      <c r="P34" s="199">
        <f t="shared" ca="1" si="11"/>
        <v>25</v>
      </c>
      <c r="Q34" s="199">
        <f t="shared" ca="1" si="0"/>
        <v>366</v>
      </c>
      <c r="R34" s="199">
        <f t="shared" ca="1" si="12"/>
        <v>1.6393442622950821E-2</v>
      </c>
      <c r="S34" s="199">
        <f t="shared" ca="1" si="13"/>
        <v>6.8306010928961755E-2</v>
      </c>
      <c r="T34" s="199">
        <f t="shared" ca="1" si="4"/>
        <v>8.4699453551912579E-2</v>
      </c>
      <c r="U34" s="415">
        <f t="shared" ca="1" si="14"/>
        <v>1.0124846994535519</v>
      </c>
      <c r="V34" s="233">
        <f ca="1">IF(B34&lt;&gt;"",1/PRODUCT($U$11:U34),0)</f>
        <v>0.74586621997727554</v>
      </c>
      <c r="AA34" s="240">
        <f t="shared" ca="1" si="5"/>
        <v>858.95</v>
      </c>
      <c r="AB34" s="240">
        <f ca="1">IF(B34&lt;&gt;"",AA34/((1+$V$5)^(SUM($T$11:T34))),0)</f>
        <v>622.51370371248129</v>
      </c>
      <c r="AD34">
        <f t="shared" ca="1" si="15"/>
        <v>1.012518904109589</v>
      </c>
      <c r="AE34">
        <f ca="1">IF(B34&lt;&gt;"",1/PRODUCT($AD$11:AD34),0)</f>
        <v>0.74572233816760913</v>
      </c>
    </row>
    <row r="35" spans="1:31" ht="13.5" thickBot="1" x14ac:dyDescent="0.35">
      <c r="A35" s="911">
        <f ca="1">A23+A25</f>
        <v>41229.600000000006</v>
      </c>
      <c r="B35" s="248">
        <f t="shared" si="1"/>
        <v>25</v>
      </c>
      <c r="C35" s="249">
        <f t="shared" ca="1" si="6"/>
        <v>46960</v>
      </c>
      <c r="D35" s="249">
        <f t="shared" ca="1" si="16"/>
        <v>46960</v>
      </c>
      <c r="E35" s="250">
        <f t="shared" ca="1" si="7"/>
        <v>100.05</v>
      </c>
      <c r="F35" s="250">
        <f t="shared" ca="1" si="8"/>
        <v>758.9</v>
      </c>
      <c r="G35" s="250">
        <f t="shared" ca="1" si="2"/>
        <v>13579.46</v>
      </c>
      <c r="H35" s="250">
        <f t="shared" ca="1" si="3"/>
        <v>858.95</v>
      </c>
      <c r="I35" s="99"/>
      <c r="K35" s="231"/>
      <c r="L35" s="199" t="str">
        <f t="shared" si="9"/>
        <v>R</v>
      </c>
      <c r="M35" s="231">
        <f t="shared" ca="1" si="10"/>
        <v>46965</v>
      </c>
      <c r="N35" s="231">
        <f t="shared" ca="1" si="17"/>
        <v>46960</v>
      </c>
      <c r="O35" s="199">
        <f t="shared" ca="1" si="18"/>
        <v>5</v>
      </c>
      <c r="P35" s="199">
        <f t="shared" ca="1" si="11"/>
        <v>25</v>
      </c>
      <c r="Q35" s="199">
        <f t="shared" ca="1" si="0"/>
        <v>366</v>
      </c>
      <c r="R35" s="199">
        <f t="shared" ca="1" si="12"/>
        <v>1.3661202185792349E-2</v>
      </c>
      <c r="S35" s="199">
        <f t="shared" ca="1" si="13"/>
        <v>6.8306010928961755E-2</v>
      </c>
      <c r="T35" s="199">
        <f t="shared" ca="1" si="4"/>
        <v>8.1967213114754106E-2</v>
      </c>
      <c r="U35" s="415">
        <f t="shared" ca="1" si="14"/>
        <v>1.0120819672131147</v>
      </c>
      <c r="V35" s="233">
        <f ca="1">IF(B35&lt;&gt;"",1/PRODUCT($U$11:U35),0)</f>
        <v>0.73696226604165749</v>
      </c>
      <c r="AA35" s="240">
        <f t="shared" ca="1" si="5"/>
        <v>858.95</v>
      </c>
      <c r="AB35" s="240">
        <f ca="1">IF(B35&lt;&gt;"",AA35/((1+$V$5)^(SUM($T$11:T35))),0)</f>
        <v>614.35964578385722</v>
      </c>
      <c r="AD35">
        <f t="shared" ca="1" si="15"/>
        <v>1.0121150684931506</v>
      </c>
      <c r="AE35">
        <f ca="1">IF(B35&lt;&gt;"",1/PRODUCT($AD$11:AD35),0)</f>
        <v>0.73679600411230883</v>
      </c>
    </row>
    <row r="36" spans="1:31" ht="13" x14ac:dyDescent="0.3">
      <c r="A36" s="24" t="s">
        <v>160</v>
      </c>
      <c r="B36" s="248">
        <f t="shared" si="1"/>
        <v>26</v>
      </c>
      <c r="C36" s="249">
        <f t="shared" ca="1" si="6"/>
        <v>46991</v>
      </c>
      <c r="D36" s="249">
        <f t="shared" ca="1" si="16"/>
        <v>46991</v>
      </c>
      <c r="E36" s="250">
        <f t="shared" ca="1" si="7"/>
        <v>97.92</v>
      </c>
      <c r="F36" s="250">
        <f t="shared" ca="1" si="8"/>
        <v>761.03</v>
      </c>
      <c r="G36" s="250">
        <f t="shared" ca="1" si="2"/>
        <v>12818.429999999998</v>
      </c>
      <c r="H36" s="250">
        <f t="shared" ca="1" si="3"/>
        <v>858.95</v>
      </c>
      <c r="I36" s="99"/>
      <c r="K36" s="231"/>
      <c r="L36" s="199" t="str">
        <f t="shared" si="9"/>
        <v>R</v>
      </c>
      <c r="M36" s="231">
        <f t="shared" ca="1" si="10"/>
        <v>46996</v>
      </c>
      <c r="N36" s="231">
        <f t="shared" ca="1" si="17"/>
        <v>46991</v>
      </c>
      <c r="O36" s="199">
        <f t="shared" ca="1" si="18"/>
        <v>6</v>
      </c>
      <c r="P36" s="199">
        <f t="shared" ca="1" si="11"/>
        <v>25</v>
      </c>
      <c r="Q36" s="199">
        <f t="shared" ca="1" si="0"/>
        <v>366</v>
      </c>
      <c r="R36" s="199">
        <f t="shared" ca="1" si="12"/>
        <v>1.6393442622950821E-2</v>
      </c>
      <c r="S36" s="199">
        <f t="shared" ca="1" si="13"/>
        <v>6.8306010928961755E-2</v>
      </c>
      <c r="T36" s="199">
        <f t="shared" ca="1" si="4"/>
        <v>8.4699453551912579E-2</v>
      </c>
      <c r="U36" s="415">
        <f t="shared" ca="1" si="14"/>
        <v>1.0124846994535519</v>
      </c>
      <c r="V36" s="233">
        <f ca="1">IF(B36&lt;&gt;"",1/PRODUCT($U$11:U36),0)</f>
        <v>0.72787496585321576</v>
      </c>
      <c r="AA36" s="240">
        <f t="shared" ca="1" si="5"/>
        <v>858.95</v>
      </c>
      <c r="AB36" s="240">
        <f ca="1">IF(B36&lt;&gt;"",AA36/((1+$V$5)^(SUM($T$11:T36))),0)</f>
        <v>606.04597595824316</v>
      </c>
      <c r="AD36">
        <f t="shared" ca="1" si="15"/>
        <v>1.012518904109589</v>
      </c>
      <c r="AE36">
        <f ca="1">IF(B36&lt;&gt;"",1/PRODUCT($AD$11:AD36),0)</f>
        <v>0.72768617071920116</v>
      </c>
    </row>
    <row r="37" spans="1:31" ht="13" x14ac:dyDescent="0.3">
      <c r="A37" s="24"/>
      <c r="B37" s="248">
        <f t="shared" si="1"/>
        <v>27</v>
      </c>
      <c r="C37" s="249">
        <f t="shared" ca="1" si="6"/>
        <v>47022</v>
      </c>
      <c r="D37" s="249">
        <f t="shared" ca="1" si="16"/>
        <v>47022</v>
      </c>
      <c r="E37" s="250">
        <f t="shared" ca="1" si="7"/>
        <v>92.43</v>
      </c>
      <c r="F37" s="250">
        <f t="shared" ca="1" si="8"/>
        <v>766.52</v>
      </c>
      <c r="G37" s="250">
        <f t="shared" ca="1" si="2"/>
        <v>12051.909999999998</v>
      </c>
      <c r="H37" s="250">
        <f t="shared" ca="1" si="3"/>
        <v>858.95</v>
      </c>
      <c r="I37" s="99"/>
      <c r="K37" s="231"/>
      <c r="L37" s="199" t="str">
        <f t="shared" si="9"/>
        <v>R</v>
      </c>
      <c r="M37" s="231">
        <f t="shared" ca="1" si="10"/>
        <v>47026</v>
      </c>
      <c r="N37" s="231">
        <f t="shared" ca="1" si="17"/>
        <v>47022</v>
      </c>
      <c r="O37" s="199">
        <f t="shared" ca="1" si="18"/>
        <v>6</v>
      </c>
      <c r="P37" s="199">
        <f t="shared" ca="1" si="11"/>
        <v>25</v>
      </c>
      <c r="Q37" s="199">
        <f t="shared" ca="1" si="0"/>
        <v>366</v>
      </c>
      <c r="R37" s="199">
        <f t="shared" ca="1" si="12"/>
        <v>1.6393442622950821E-2</v>
      </c>
      <c r="S37" s="199">
        <f t="shared" ca="1" si="13"/>
        <v>6.8306010928961755E-2</v>
      </c>
      <c r="T37" s="199">
        <f t="shared" ca="1" si="4"/>
        <v>8.4699453551912579E-2</v>
      </c>
      <c r="U37" s="415">
        <f t="shared" ca="1" si="14"/>
        <v>1.0124846994535519</v>
      </c>
      <c r="V37" s="233">
        <f ca="1">IF(B37&lt;&gt;"",1/PRODUCT($U$11:U37),0)</f>
        <v>0.71889971892519178</v>
      </c>
      <c r="AA37" s="240">
        <f t="shared" ca="1" si="5"/>
        <v>858.95</v>
      </c>
      <c r="AB37" s="240">
        <f ca="1">IF(B37&lt;&gt;"",AA37/((1+$V$5)^(SUM($T$11:T37))),0)</f>
        <v>597.84480881154616</v>
      </c>
      <c r="AD37">
        <f t="shared" ca="1" si="15"/>
        <v>1.012518904109589</v>
      </c>
      <c r="AE37">
        <f ca="1">IF(B37&lt;&gt;"",1/PRODUCT($AD$11:AD37),0)</f>
        <v>0.71868897238924123</v>
      </c>
    </row>
    <row r="38" spans="1:31" ht="13" x14ac:dyDescent="0.3">
      <c r="A38" s="24"/>
      <c r="B38" s="248">
        <f t="shared" si="1"/>
        <v>28</v>
      </c>
      <c r="C38" s="249">
        <f t="shared" ca="1" si="6"/>
        <v>47052</v>
      </c>
      <c r="D38" s="249">
        <f t="shared" ca="1" si="16"/>
        <v>47052</v>
      </c>
      <c r="E38" s="250">
        <f t="shared" ca="1" si="7"/>
        <v>84.1</v>
      </c>
      <c r="F38" s="250">
        <f t="shared" ca="1" si="8"/>
        <v>774.85</v>
      </c>
      <c r="G38" s="250">
        <f t="shared" ca="1" si="2"/>
        <v>11277.059999999998</v>
      </c>
      <c r="H38" s="250">
        <f t="shared" ca="1" si="3"/>
        <v>858.95</v>
      </c>
      <c r="I38" s="99"/>
      <c r="K38" s="231"/>
      <c r="L38" s="199" t="str">
        <f t="shared" si="9"/>
        <v>R</v>
      </c>
      <c r="M38" s="231">
        <f t="shared" ca="1" si="10"/>
        <v>47057</v>
      </c>
      <c r="N38" s="231">
        <f t="shared" ca="1" si="17"/>
        <v>47052</v>
      </c>
      <c r="O38" s="199">
        <f t="shared" ca="1" si="18"/>
        <v>5</v>
      </c>
      <c r="P38" s="199">
        <f t="shared" ca="1" si="11"/>
        <v>25</v>
      </c>
      <c r="Q38" s="199">
        <f t="shared" ca="1" si="0"/>
        <v>366</v>
      </c>
      <c r="R38" s="199">
        <f t="shared" ca="1" si="12"/>
        <v>1.3661202185792349E-2</v>
      </c>
      <c r="S38" s="199">
        <f t="shared" ca="1" si="13"/>
        <v>6.8306010928961755E-2</v>
      </c>
      <c r="T38" s="199">
        <f t="shared" ca="1" si="4"/>
        <v>8.1967213114754106E-2</v>
      </c>
      <c r="U38" s="415">
        <f t="shared" ca="1" si="14"/>
        <v>1.0120819672131147</v>
      </c>
      <c r="V38" s="233">
        <f ca="1">IF(B38&lt;&gt;"",1/PRODUCT($U$11:U38),0)</f>
        <v>0.71031768395673101</v>
      </c>
      <c r="AA38" s="240">
        <f t="shared" ca="1" si="5"/>
        <v>858.95</v>
      </c>
      <c r="AB38" s="240">
        <f ca="1">IF(B38&lt;&gt;"",AA38/((1+$V$5)^(SUM($T$11:T38))),0)</f>
        <v>590.01387886686484</v>
      </c>
      <c r="AD38">
        <f t="shared" ca="1" si="15"/>
        <v>1.0121150684931506</v>
      </c>
      <c r="AE38">
        <f ca="1">IF(B38&lt;&gt;"",1/PRODUCT($AD$11:AD38),0)</f>
        <v>0.7100862290877995</v>
      </c>
    </row>
    <row r="39" spans="1:31" ht="13" x14ac:dyDescent="0.3">
      <c r="A39" s="24"/>
      <c r="B39" s="248">
        <f t="shared" si="1"/>
        <v>29</v>
      </c>
      <c r="C39" s="249">
        <f t="shared" ca="1" si="6"/>
        <v>47083</v>
      </c>
      <c r="D39" s="249">
        <f t="shared" ca="1" si="16"/>
        <v>47083</v>
      </c>
      <c r="E39" s="250">
        <f t="shared" ca="1" si="7"/>
        <v>81.319999999999993</v>
      </c>
      <c r="F39" s="250">
        <f t="shared" ca="1" si="8"/>
        <v>777.63</v>
      </c>
      <c r="G39" s="250">
        <f t="shared" ca="1" si="2"/>
        <v>10499.429999999998</v>
      </c>
      <c r="H39" s="250">
        <f t="shared" ca="1" si="3"/>
        <v>858.95</v>
      </c>
      <c r="I39" s="99"/>
      <c r="K39" s="231"/>
      <c r="L39" s="199" t="str">
        <f t="shared" si="9"/>
        <v>R</v>
      </c>
      <c r="M39" s="231">
        <f t="shared" ca="1" si="10"/>
        <v>47087</v>
      </c>
      <c r="N39" s="231">
        <f t="shared" ca="1" si="17"/>
        <v>47083</v>
      </c>
      <c r="O39" s="199">
        <f t="shared" ca="1" si="18"/>
        <v>6</v>
      </c>
      <c r="P39" s="199">
        <f t="shared" ca="1" si="11"/>
        <v>25</v>
      </c>
      <c r="Q39" s="199">
        <f t="shared" ca="1" si="0"/>
        <v>366</v>
      </c>
      <c r="R39" s="199">
        <f t="shared" ca="1" si="12"/>
        <v>1.6393442622950821E-2</v>
      </c>
      <c r="S39" s="199">
        <f t="shared" ca="1" si="13"/>
        <v>6.8306010928961755E-2</v>
      </c>
      <c r="T39" s="199">
        <f t="shared" ca="1" si="4"/>
        <v>8.4699453551912579E-2</v>
      </c>
      <c r="U39" s="415">
        <f t="shared" ca="1" si="14"/>
        <v>1.0124846994535519</v>
      </c>
      <c r="V39" s="233">
        <f ca="1">IF(B39&lt;&gt;"",1/PRODUCT($U$11:U39),0)</f>
        <v>0.70155893154740667</v>
      </c>
      <c r="AA39" s="240">
        <f t="shared" ca="1" si="5"/>
        <v>858.95</v>
      </c>
      <c r="AB39" s="240">
        <f ca="1">IF(B39&lt;&gt;"",AA39/((1+$V$5)^(SUM($T$11:T39))),0)</f>
        <v>582.0296621054099</v>
      </c>
      <c r="AD39">
        <f t="shared" ca="1" si="15"/>
        <v>1.012518904109589</v>
      </c>
      <c r="AE39">
        <f ca="1">IF(B39&lt;&gt;"",1/PRODUCT($AD$11:AD39),0)</f>
        <v>0.70130663852864128</v>
      </c>
    </row>
    <row r="40" spans="1:31" ht="13" x14ac:dyDescent="0.3">
      <c r="A40" s="24"/>
      <c r="B40" s="248">
        <f t="shared" si="1"/>
        <v>30</v>
      </c>
      <c r="C40" s="249">
        <f t="shared" ca="1" si="6"/>
        <v>47113</v>
      </c>
      <c r="D40" s="249">
        <f t="shared" ca="1" si="16"/>
        <v>47113</v>
      </c>
      <c r="E40" s="250">
        <f t="shared" ca="1" si="7"/>
        <v>73.27</v>
      </c>
      <c r="F40" s="250">
        <f t="shared" ca="1" si="8"/>
        <v>785.68</v>
      </c>
      <c r="G40" s="250">
        <f t="shared" ca="1" si="2"/>
        <v>9713.7499999999982</v>
      </c>
      <c r="H40" s="250">
        <f t="shared" ca="1" si="3"/>
        <v>858.95</v>
      </c>
      <c r="I40" s="99"/>
      <c r="K40" s="231"/>
      <c r="L40" s="199" t="str">
        <f t="shared" si="9"/>
        <v>R</v>
      </c>
      <c r="M40" s="231">
        <f t="shared" ca="1" si="10"/>
        <v>47118</v>
      </c>
      <c r="N40" s="231">
        <f t="shared" ca="1" si="17"/>
        <v>47113</v>
      </c>
      <c r="O40" s="199">
        <f t="shared" ca="1" si="18"/>
        <v>5</v>
      </c>
      <c r="P40" s="199">
        <f t="shared" ca="1" si="11"/>
        <v>25</v>
      </c>
      <c r="Q40" s="199">
        <f t="shared" ca="1" si="0"/>
        <v>366</v>
      </c>
      <c r="R40" s="199">
        <f t="shared" ca="1" si="12"/>
        <v>1.3661202185792349E-2</v>
      </c>
      <c r="S40" s="199">
        <f t="shared" ca="1" si="13"/>
        <v>6.8306010928961755E-2</v>
      </c>
      <c r="T40" s="199">
        <f t="shared" ca="1" si="4"/>
        <v>8.1967213114754106E-2</v>
      </c>
      <c r="U40" s="415">
        <f t="shared" ca="1" si="14"/>
        <v>1.0120819672131147</v>
      </c>
      <c r="V40" s="233">
        <f ca="1">IF(B40&lt;&gt;"",1/PRODUCT($U$11:U40),0)</f>
        <v>0.69318390631860649</v>
      </c>
      <c r="AA40" s="240">
        <f t="shared" ca="1" si="5"/>
        <v>858.95</v>
      </c>
      <c r="AB40" s="240">
        <f ca="1">IF(B40&lt;&gt;"",AA40/((1+$V$5)^(SUM($T$11:T40))),0)</f>
        <v>574.40588843957437</v>
      </c>
      <c r="AD40">
        <f t="shared" ca="1" si="15"/>
        <v>1.0121150684931506</v>
      </c>
      <c r="AE40">
        <f ca="1">IF(B40&lt;&gt;"",1/PRODUCT($AD$11:AD40),0)</f>
        <v>0.69291196264151589</v>
      </c>
    </row>
    <row r="41" spans="1:31" ht="13" x14ac:dyDescent="0.3">
      <c r="A41" s="24"/>
      <c r="B41" s="248">
        <f t="shared" si="1"/>
        <v>31</v>
      </c>
      <c r="C41" s="249">
        <f t="shared" ca="1" si="6"/>
        <v>47144</v>
      </c>
      <c r="D41" s="249">
        <f t="shared" ca="1" si="16"/>
        <v>47144</v>
      </c>
      <c r="E41" s="250">
        <f t="shared" ca="1" si="7"/>
        <v>70.040000000000006</v>
      </c>
      <c r="F41" s="250">
        <f t="shared" ca="1" si="8"/>
        <v>788.91</v>
      </c>
      <c r="G41" s="250">
        <f t="shared" ca="1" si="2"/>
        <v>8924.8399999999983</v>
      </c>
      <c r="H41" s="250">
        <f t="shared" ca="1" si="3"/>
        <v>858.95</v>
      </c>
      <c r="I41" s="99"/>
      <c r="K41" s="231"/>
      <c r="L41" s="199" t="str">
        <f t="shared" si="9"/>
        <v>R</v>
      </c>
      <c r="M41" s="231">
        <f t="shared" ca="1" si="10"/>
        <v>47149</v>
      </c>
      <c r="N41" s="231">
        <f t="shared" ca="1" si="17"/>
        <v>47144</v>
      </c>
      <c r="O41" s="199">
        <f t="shared" ca="1" si="18"/>
        <v>6</v>
      </c>
      <c r="P41" s="199">
        <f t="shared" ca="1" si="11"/>
        <v>25</v>
      </c>
      <c r="Q41" s="199">
        <f t="shared" ca="1" si="0"/>
        <v>365</v>
      </c>
      <c r="R41" s="199">
        <f t="shared" ca="1" si="12"/>
        <v>1.6393442622950821E-2</v>
      </c>
      <c r="S41" s="199">
        <f t="shared" ca="1" si="13"/>
        <v>6.8493150684931503E-2</v>
      </c>
      <c r="T41" s="199">
        <f t="shared" ca="1" si="4"/>
        <v>8.4886593307882327E-2</v>
      </c>
      <c r="U41" s="415">
        <f t="shared" ca="1" si="14"/>
        <v>1.0125122838535818</v>
      </c>
      <c r="V41" s="233">
        <f ca="1">IF(B41&lt;&gt;"",1/PRODUCT($U$11:U41),0)</f>
        <v>0.68461777439417915</v>
      </c>
      <c r="AA41" s="240">
        <f t="shared" ca="1" si="5"/>
        <v>858.95</v>
      </c>
      <c r="AB41" s="240">
        <f ca="1">IF(B41&lt;&gt;"",AA41/((1+$V$5)^(SUM($T$11:T41))),0)</f>
        <v>566.61582581432197</v>
      </c>
      <c r="AD41">
        <f t="shared" ca="1" si="15"/>
        <v>1.012518904109589</v>
      </c>
      <c r="AE41">
        <f ca="1">IF(B41&lt;&gt;"",1/PRODUCT($AD$11:AD41),0)</f>
        <v>0.68434471675456177</v>
      </c>
    </row>
    <row r="42" spans="1:31" ht="13" x14ac:dyDescent="0.3">
      <c r="A42" s="24"/>
      <c r="B42" s="248">
        <f t="shared" si="1"/>
        <v>32</v>
      </c>
      <c r="C42" s="249">
        <f t="shared" ca="1" si="6"/>
        <v>47175</v>
      </c>
      <c r="D42" s="249">
        <f t="shared" ca="1" si="16"/>
        <v>47175</v>
      </c>
      <c r="E42" s="250">
        <f t="shared" ca="1" si="7"/>
        <v>64.349999999999994</v>
      </c>
      <c r="F42" s="250">
        <f t="shared" ca="1" si="8"/>
        <v>794.6</v>
      </c>
      <c r="G42" s="250">
        <f t="shared" ca="1" si="2"/>
        <v>8130.239999999998</v>
      </c>
      <c r="H42" s="250">
        <f t="shared" ca="1" si="3"/>
        <v>858.95</v>
      </c>
      <c r="I42" s="99"/>
      <c r="K42" s="231"/>
      <c r="L42" s="199" t="str">
        <f t="shared" si="9"/>
        <v>R</v>
      </c>
      <c r="M42" s="231">
        <f t="shared" ca="1" si="10"/>
        <v>47177</v>
      </c>
      <c r="N42" s="231">
        <f t="shared" ca="1" si="17"/>
        <v>47175</v>
      </c>
      <c r="O42" s="199">
        <f t="shared" ca="1" si="18"/>
        <v>6</v>
      </c>
      <c r="P42" s="199">
        <f t="shared" ca="1" si="11"/>
        <v>25</v>
      </c>
      <c r="Q42" s="199">
        <f t="shared" ca="1" si="0"/>
        <v>365</v>
      </c>
      <c r="R42" s="199">
        <f t="shared" ca="1" si="12"/>
        <v>1.643835616438356E-2</v>
      </c>
      <c r="S42" s="199">
        <f t="shared" ca="1" si="13"/>
        <v>6.8493150684931503E-2</v>
      </c>
      <c r="T42" s="199">
        <f t="shared" ca="1" si="4"/>
        <v>8.4931506849315067E-2</v>
      </c>
      <c r="U42" s="415">
        <f t="shared" ca="1" si="14"/>
        <v>1.012518904109589</v>
      </c>
      <c r="V42" s="233">
        <f ca="1">IF(B42&lt;&gt;"",1/PRODUCT($U$11:U42),0)</f>
        <v>0.67615307883681763</v>
      </c>
      <c r="AA42" s="240">
        <f t="shared" ca="1" si="5"/>
        <v>858.95</v>
      </c>
      <c r="AB42" s="240">
        <f ca="1">IF(B42&lt;&gt;"",AA42/((1+$V$5)^(SUM($T$11:T42))),0)</f>
        <v>558.92737349380172</v>
      </c>
      <c r="AD42">
        <f t="shared" ca="1" si="15"/>
        <v>1.012518904109589</v>
      </c>
      <c r="AE42">
        <f ca="1">IF(B42&lt;&gt;"",1/PRODUCT($AD$11:AD42),0)</f>
        <v>0.67588339731432057</v>
      </c>
    </row>
    <row r="43" spans="1:31" ht="13" x14ac:dyDescent="0.3">
      <c r="A43" s="24"/>
      <c r="B43" s="248">
        <f t="shared" si="1"/>
        <v>33</v>
      </c>
      <c r="C43" s="249">
        <f t="shared" ca="1" si="6"/>
        <v>47203</v>
      </c>
      <c r="D43" s="249">
        <f t="shared" ca="1" si="16"/>
        <v>47203</v>
      </c>
      <c r="E43" s="250">
        <f t="shared" ca="1" si="7"/>
        <v>52.95</v>
      </c>
      <c r="F43" s="250">
        <f t="shared" ca="1" si="8"/>
        <v>806</v>
      </c>
      <c r="G43" s="250">
        <f t="shared" ca="1" si="2"/>
        <v>7324.239999999998</v>
      </c>
      <c r="H43" s="250">
        <f t="shared" ca="1" si="3"/>
        <v>858.95</v>
      </c>
      <c r="I43" s="99"/>
      <c r="K43" s="231"/>
      <c r="L43" s="199" t="str">
        <f t="shared" si="9"/>
        <v>R</v>
      </c>
      <c r="M43" s="231">
        <f t="shared" ca="1" si="10"/>
        <v>47208</v>
      </c>
      <c r="N43" s="231">
        <f t="shared" ca="1" si="17"/>
        <v>47203</v>
      </c>
      <c r="O43" s="199">
        <f t="shared" ca="1" si="18"/>
        <v>3</v>
      </c>
      <c r="P43" s="199">
        <f t="shared" ca="1" si="11"/>
        <v>25</v>
      </c>
      <c r="Q43" s="199">
        <f t="shared" ca="1" si="0"/>
        <v>365</v>
      </c>
      <c r="R43" s="199">
        <f t="shared" ca="1" si="12"/>
        <v>8.21917808219178E-3</v>
      </c>
      <c r="S43" s="199">
        <f t="shared" ca="1" si="13"/>
        <v>6.8493150684931503E-2</v>
      </c>
      <c r="T43" s="199">
        <f t="shared" ca="1" si="4"/>
        <v>7.6712328767123278E-2</v>
      </c>
      <c r="U43" s="415">
        <f t="shared" ca="1" si="14"/>
        <v>1.011307397260274</v>
      </c>
      <c r="V43" s="233">
        <f ca="1">IF(B43&lt;&gt;"",1/PRODUCT($U$11:U43),0)</f>
        <v>0.66859303182057139</v>
      </c>
      <c r="AA43" s="240">
        <f t="shared" ca="1" si="5"/>
        <v>858.95</v>
      </c>
      <c r="AB43" s="240">
        <f ca="1">IF(B43&lt;&gt;"",AA43/((1+$V$5)^(SUM($T$11:T43))),0)</f>
        <v>552.07267406190715</v>
      </c>
      <c r="AD43">
        <f t="shared" ca="1" si="15"/>
        <v>1.011307397260274</v>
      </c>
      <c r="AE43">
        <f ca="1">IF(B43&lt;&gt;"",1/PRODUCT($AD$11:AD43),0)</f>
        <v>0.66832636559897785</v>
      </c>
    </row>
    <row r="44" spans="1:31" ht="13" x14ac:dyDescent="0.3">
      <c r="A44" s="24"/>
      <c r="B44" s="248">
        <f t="shared" si="1"/>
        <v>34</v>
      </c>
      <c r="C44" s="249">
        <f t="shared" ca="1" si="6"/>
        <v>47234</v>
      </c>
      <c r="D44" s="249">
        <f t="shared" ca="1" si="16"/>
        <v>47234</v>
      </c>
      <c r="E44" s="250">
        <f t="shared" ca="1" si="7"/>
        <v>52.81</v>
      </c>
      <c r="F44" s="250">
        <f t="shared" ca="1" si="8"/>
        <v>806.14</v>
      </c>
      <c r="G44" s="250">
        <f t="shared" ca="1" si="2"/>
        <v>6518.0999999999976</v>
      </c>
      <c r="H44" s="250">
        <f t="shared" ca="1" si="3"/>
        <v>858.95</v>
      </c>
      <c r="I44" s="99"/>
      <c r="K44" s="231"/>
      <c r="L44" s="199" t="str">
        <f t="shared" si="9"/>
        <v>R</v>
      </c>
      <c r="M44" s="231">
        <f t="shared" ca="1" si="10"/>
        <v>47238</v>
      </c>
      <c r="N44" s="231">
        <f t="shared" ca="1" si="17"/>
        <v>47234</v>
      </c>
      <c r="O44" s="199">
        <f t="shared" ca="1" si="18"/>
        <v>6</v>
      </c>
      <c r="P44" s="199">
        <f t="shared" ca="1" si="11"/>
        <v>25</v>
      </c>
      <c r="Q44" s="199">
        <f t="shared" ca="1" si="0"/>
        <v>365</v>
      </c>
      <c r="R44" s="199">
        <f t="shared" ca="1" si="12"/>
        <v>1.643835616438356E-2</v>
      </c>
      <c r="S44" s="199">
        <f t="shared" ca="1" si="13"/>
        <v>6.8493150684931503E-2</v>
      </c>
      <c r="T44" s="199">
        <f t="shared" ca="1" si="4"/>
        <v>8.4931506849315067E-2</v>
      </c>
      <c r="U44" s="415">
        <f t="shared" ca="1" si="14"/>
        <v>1.012518904109589</v>
      </c>
      <c r="V44" s="233">
        <f ca="1">IF(B44&lt;&gt;"",1/PRODUCT($U$11:U44),0)</f>
        <v>0.66032646808558437</v>
      </c>
      <c r="AA44" s="240">
        <f t="shared" ca="1" si="5"/>
        <v>858.95</v>
      </c>
      <c r="AB44" s="240">
        <f ca="1">IF(B44&lt;&gt;"",AA44/((1+$V$5)^(SUM($T$11:T44))),0)</f>
        <v>544.58155885013753</v>
      </c>
      <c r="AD44">
        <f t="shared" ca="1" si="15"/>
        <v>1.012518904109589</v>
      </c>
      <c r="AE44">
        <f ca="1">IF(B44&lt;&gt;"",1/PRODUCT($AD$11:AD44),0)</f>
        <v>0.66006309895685877</v>
      </c>
    </row>
    <row r="45" spans="1:31" ht="13" x14ac:dyDescent="0.3">
      <c r="A45" s="24"/>
      <c r="B45" s="248">
        <f t="shared" si="1"/>
        <v>35</v>
      </c>
      <c r="C45" s="249">
        <f t="shared" ca="1" si="6"/>
        <v>47264</v>
      </c>
      <c r="D45" s="249">
        <f t="shared" ca="1" si="16"/>
        <v>47264</v>
      </c>
      <c r="E45" s="250">
        <f t="shared" ca="1" si="7"/>
        <v>45.48</v>
      </c>
      <c r="F45" s="250">
        <f t="shared" ca="1" si="8"/>
        <v>813.47</v>
      </c>
      <c r="G45" s="250">
        <f t="shared" ca="1" si="2"/>
        <v>5704.6299999999974</v>
      </c>
      <c r="H45" s="250">
        <f t="shared" ca="1" si="3"/>
        <v>858.95</v>
      </c>
      <c r="I45" s="99"/>
      <c r="K45" s="231"/>
      <c r="L45" s="199" t="str">
        <f t="shared" si="9"/>
        <v>R</v>
      </c>
      <c r="M45" s="231">
        <f t="shared" ca="1" si="10"/>
        <v>47269</v>
      </c>
      <c r="N45" s="231">
        <f t="shared" ca="1" si="17"/>
        <v>47264</v>
      </c>
      <c r="O45" s="199">
        <f t="shared" ca="1" si="18"/>
        <v>5</v>
      </c>
      <c r="P45" s="199">
        <f t="shared" ca="1" si="11"/>
        <v>25</v>
      </c>
      <c r="Q45" s="199">
        <f t="shared" ca="1" si="0"/>
        <v>365</v>
      </c>
      <c r="R45" s="199">
        <f t="shared" ca="1" si="12"/>
        <v>1.3698630136986301E-2</v>
      </c>
      <c r="S45" s="199">
        <f t="shared" ca="1" si="13"/>
        <v>6.8493150684931503E-2</v>
      </c>
      <c r="T45" s="199">
        <f t="shared" ca="1" si="4"/>
        <v>8.2191780821917804E-2</v>
      </c>
      <c r="U45" s="415">
        <f t="shared" ca="1" si="14"/>
        <v>1.0121150684931506</v>
      </c>
      <c r="V45" s="233">
        <f ca="1">IF(B45&lt;&gt;"",1/PRODUCT($U$11:U45),0)</f>
        <v>0.65242232690862567</v>
      </c>
      <c r="AA45" s="240">
        <f t="shared" ca="1" si="5"/>
        <v>858.95</v>
      </c>
      <c r="AB45" s="240">
        <f ca="1">IF(B45&lt;&gt;"",AA45/((1+$V$5)^(SUM($T$11:T45))),0)</f>
        <v>537.42888864562724</v>
      </c>
      <c r="AD45">
        <f t="shared" ca="1" si="15"/>
        <v>1.0121150684931506</v>
      </c>
      <c r="AE45">
        <f ca="1">IF(B45&lt;&gt;"",1/PRODUCT($AD$11:AD45),0)</f>
        <v>0.65216211032167404</v>
      </c>
    </row>
    <row r="46" spans="1:31" ht="13" x14ac:dyDescent="0.3">
      <c r="A46" s="24"/>
      <c r="B46" s="248">
        <f t="shared" si="1"/>
        <v>36</v>
      </c>
      <c r="C46" s="249">
        <f t="shared" ca="1" si="6"/>
        <v>47295</v>
      </c>
      <c r="D46" s="249">
        <f t="shared" ca="1" si="16"/>
        <v>47295</v>
      </c>
      <c r="E46" s="250">
        <f t="shared" ca="1" si="7"/>
        <v>41.13</v>
      </c>
      <c r="F46" s="250">
        <f t="shared" ca="1" si="8"/>
        <v>817.82</v>
      </c>
      <c r="G46" s="250">
        <f t="shared" ca="1" si="2"/>
        <v>4886.8099999999977</v>
      </c>
      <c r="H46" s="250">
        <f t="shared" ca="1" si="3"/>
        <v>858.95</v>
      </c>
      <c r="I46" s="99"/>
      <c r="K46" s="231"/>
      <c r="L46" s="199" t="str">
        <f t="shared" si="9"/>
        <v>R</v>
      </c>
      <c r="M46" s="231">
        <f t="shared" ca="1" si="10"/>
        <v>47299</v>
      </c>
      <c r="N46" s="231">
        <f t="shared" ca="1" si="17"/>
        <v>47295</v>
      </c>
      <c r="O46" s="199">
        <f t="shared" ca="1" si="18"/>
        <v>6</v>
      </c>
      <c r="P46" s="199">
        <f t="shared" ca="1" si="11"/>
        <v>25</v>
      </c>
      <c r="Q46" s="199">
        <f t="shared" ca="1" si="0"/>
        <v>365</v>
      </c>
      <c r="R46" s="199">
        <f t="shared" ca="1" si="12"/>
        <v>1.643835616438356E-2</v>
      </c>
      <c r="S46" s="199">
        <f t="shared" ca="1" si="13"/>
        <v>6.8493150684931503E-2</v>
      </c>
      <c r="T46" s="199">
        <f t="shared" ca="1" si="4"/>
        <v>8.4931506849315067E-2</v>
      </c>
      <c r="U46" s="415">
        <f t="shared" ca="1" si="14"/>
        <v>1.012518904109589</v>
      </c>
      <c r="V46" s="233">
        <f ca="1">IF(B46&lt;&gt;"",1/PRODUCT($U$11:U46),0)</f>
        <v>0.64435569969171802</v>
      </c>
      <c r="AA46" s="240">
        <f t="shared" ca="1" si="5"/>
        <v>858.95</v>
      </c>
      <c r="AB46" s="240">
        <f ca="1">IF(B46&lt;&gt;"",AA46/((1+$V$5)^(SUM($T$11:T46))),0)</f>
        <v>530.13647604828463</v>
      </c>
      <c r="AD46">
        <f t="shared" ca="1" si="15"/>
        <v>1.012518904109589</v>
      </c>
      <c r="AE46">
        <f ca="1">IF(B46&lt;&gt;"",1/PRODUCT($AD$11:AD46),0)</f>
        <v>0.64409870045358475</v>
      </c>
    </row>
    <row r="47" spans="1:31" ht="13" x14ac:dyDescent="0.3">
      <c r="A47" s="24"/>
      <c r="B47" s="248">
        <f t="shared" si="1"/>
        <v>37</v>
      </c>
      <c r="C47" s="249">
        <f t="shared" ca="1" si="6"/>
        <v>47325</v>
      </c>
      <c r="D47" s="249">
        <f t="shared" ca="1" si="16"/>
        <v>47325</v>
      </c>
      <c r="E47" s="250">
        <f t="shared" ca="1" si="7"/>
        <v>34.1</v>
      </c>
      <c r="F47" s="250">
        <f t="shared" ca="1" si="8"/>
        <v>824.85</v>
      </c>
      <c r="G47" s="250">
        <f t="shared" ca="1" si="2"/>
        <v>4061.9599999999978</v>
      </c>
      <c r="H47" s="250">
        <f t="shared" ca="1" si="3"/>
        <v>858.95</v>
      </c>
      <c r="I47" s="99"/>
      <c r="K47" s="231"/>
      <c r="L47" s="199" t="str">
        <f t="shared" si="9"/>
        <v>R</v>
      </c>
      <c r="M47" s="231">
        <f t="shared" ca="1" si="10"/>
        <v>47330</v>
      </c>
      <c r="N47" s="231">
        <f t="shared" ca="1" si="17"/>
        <v>47325</v>
      </c>
      <c r="O47" s="199">
        <f t="shared" ca="1" si="18"/>
        <v>5</v>
      </c>
      <c r="P47" s="199">
        <f t="shared" ca="1" si="11"/>
        <v>25</v>
      </c>
      <c r="Q47" s="199">
        <f t="shared" ca="1" si="0"/>
        <v>365</v>
      </c>
      <c r="R47" s="199">
        <f t="shared" ca="1" si="12"/>
        <v>1.3698630136986301E-2</v>
      </c>
      <c r="S47" s="199">
        <f t="shared" ca="1" si="13"/>
        <v>6.8493150684931503E-2</v>
      </c>
      <c r="T47" s="199">
        <f t="shared" ca="1" si="4"/>
        <v>8.2191780821917804E-2</v>
      </c>
      <c r="U47" s="415">
        <f t="shared" ca="1" si="14"/>
        <v>1.0121150684931506</v>
      </c>
      <c r="V47" s="233">
        <f ca="1">IF(B47&lt;&gt;"",1/PRODUCT($U$11:U47),0)</f>
        <v>0.6366427294191388</v>
      </c>
      <c r="AA47" s="240">
        <f t="shared" ca="1" si="5"/>
        <v>858.95</v>
      </c>
      <c r="AB47" s="240">
        <f ca="1">IF(B47&lt;&gt;"",AA47/((1+$V$5)^(SUM($T$11:T47))),0)</f>
        <v>523.17353116898869</v>
      </c>
      <c r="AD47">
        <f t="shared" ca="1" si="15"/>
        <v>1.0121150684931506</v>
      </c>
      <c r="AE47">
        <f ca="1">IF(B47&lt;&gt;"",1/PRODUCT($AD$11:AD47),0)</f>
        <v>0.6363888064748674</v>
      </c>
    </row>
    <row r="48" spans="1:31" ht="13" x14ac:dyDescent="0.3">
      <c r="A48" s="24"/>
      <c r="B48" s="248">
        <f t="shared" si="1"/>
        <v>38</v>
      </c>
      <c r="C48" s="249">
        <f t="shared" ca="1" si="6"/>
        <v>47356</v>
      </c>
      <c r="D48" s="249">
        <f t="shared" ca="1" si="16"/>
        <v>47356</v>
      </c>
      <c r="E48" s="250">
        <f t="shared" ca="1" si="7"/>
        <v>29.29</v>
      </c>
      <c r="F48" s="250">
        <f t="shared" ca="1" si="8"/>
        <v>829.66</v>
      </c>
      <c r="G48" s="250">
        <f t="shared" ca="1" si="2"/>
        <v>3232.2999999999979</v>
      </c>
      <c r="H48" s="250">
        <f t="shared" ca="1" si="3"/>
        <v>858.95</v>
      </c>
      <c r="I48" s="99"/>
      <c r="K48" s="231"/>
      <c r="L48" s="199" t="str">
        <f t="shared" si="9"/>
        <v>R</v>
      </c>
      <c r="M48" s="231">
        <f t="shared" ca="1" si="10"/>
        <v>47361</v>
      </c>
      <c r="N48" s="231">
        <f t="shared" ca="1" si="17"/>
        <v>47356</v>
      </c>
      <c r="O48" s="199">
        <f t="shared" ca="1" si="18"/>
        <v>6</v>
      </c>
      <c r="P48" s="199">
        <f t="shared" ca="1" si="11"/>
        <v>25</v>
      </c>
      <c r="Q48" s="199">
        <f t="shared" ca="1" si="0"/>
        <v>365</v>
      </c>
      <c r="R48" s="199">
        <f t="shared" ca="1" si="12"/>
        <v>1.643835616438356E-2</v>
      </c>
      <c r="S48" s="199">
        <f t="shared" ca="1" si="13"/>
        <v>6.8493150684931503E-2</v>
      </c>
      <c r="T48" s="199">
        <f t="shared" ca="1" si="4"/>
        <v>8.4931506849315067E-2</v>
      </c>
      <c r="U48" s="415">
        <f t="shared" ca="1" si="14"/>
        <v>1.012518904109589</v>
      </c>
      <c r="V48" s="233">
        <f ca="1">IF(B48&lt;&gt;"",1/PRODUCT($U$11:U48),0)</f>
        <v>0.62877120302164002</v>
      </c>
      <c r="AA48" s="240">
        <f t="shared" ca="1" si="5"/>
        <v>858.95</v>
      </c>
      <c r="AB48" s="240">
        <f ca="1">IF(B48&lt;&gt;"",AA48/((1+$V$5)^(SUM($T$11:T48))),0)</f>
        <v>516.07455057844459</v>
      </c>
      <c r="AD48">
        <f t="shared" ca="1" si="15"/>
        <v>1.012518904109589</v>
      </c>
      <c r="AE48">
        <f ca="1">IF(B48&lt;&gt;"",1/PRODUCT($AD$11:AD48),0)</f>
        <v>0.62852041961084071</v>
      </c>
    </row>
    <row r="49" spans="1:31" ht="13" x14ac:dyDescent="0.3">
      <c r="A49" s="24"/>
      <c r="B49" s="248">
        <f t="shared" si="1"/>
        <v>39</v>
      </c>
      <c r="C49" s="249">
        <f t="shared" ca="1" si="6"/>
        <v>47387</v>
      </c>
      <c r="D49" s="249">
        <f t="shared" ca="1" si="16"/>
        <v>47387</v>
      </c>
      <c r="E49" s="250">
        <f t="shared" ca="1" si="7"/>
        <v>23.31</v>
      </c>
      <c r="F49" s="250">
        <f t="shared" ca="1" si="8"/>
        <v>835.64</v>
      </c>
      <c r="G49" s="250">
        <f t="shared" ca="1" si="2"/>
        <v>2396.659999999998</v>
      </c>
      <c r="H49" s="250">
        <f t="shared" ca="1" si="3"/>
        <v>858.95</v>
      </c>
      <c r="I49" s="99"/>
      <c r="K49" s="231"/>
      <c r="L49" s="199" t="str">
        <f t="shared" si="9"/>
        <v>R</v>
      </c>
      <c r="M49" s="231">
        <f t="shared" ca="1" si="10"/>
        <v>47391</v>
      </c>
      <c r="N49" s="231">
        <f t="shared" ca="1" si="17"/>
        <v>47387</v>
      </c>
      <c r="O49" s="199">
        <f t="shared" ca="1" si="18"/>
        <v>6</v>
      </c>
      <c r="P49" s="199">
        <f t="shared" ca="1" si="11"/>
        <v>25</v>
      </c>
      <c r="Q49" s="199">
        <f t="shared" ca="1" si="0"/>
        <v>365</v>
      </c>
      <c r="R49" s="199">
        <f t="shared" ca="1" si="12"/>
        <v>1.643835616438356E-2</v>
      </c>
      <c r="S49" s="199">
        <f t="shared" ca="1" si="13"/>
        <v>6.8493150684931503E-2</v>
      </c>
      <c r="T49" s="199">
        <f t="shared" ca="1" si="4"/>
        <v>8.4931506849315067E-2</v>
      </c>
      <c r="U49" s="415">
        <f t="shared" ca="1" si="14"/>
        <v>1.012518904109589</v>
      </c>
      <c r="V49" s="233">
        <f ca="1">IF(B49&lt;&gt;"",1/PRODUCT($U$11:U49),0)</f>
        <v>0.62099700111237188</v>
      </c>
      <c r="AA49" s="240">
        <f t="shared" ca="1" si="5"/>
        <v>858.95</v>
      </c>
      <c r="AB49" s="240">
        <f ca="1">IF(B49&lt;&gt;"",AA49/((1+$V$5)^(SUM($T$11:T49))),0)</f>
        <v>509.07189658399625</v>
      </c>
      <c r="AD49">
        <f t="shared" ca="1" si="15"/>
        <v>1.012518904109589</v>
      </c>
      <c r="AE49">
        <f ca="1">IF(B49&lt;&gt;"",1/PRODUCT($AD$11:AD49),0)</f>
        <v>0.62074931841747949</v>
      </c>
    </row>
    <row r="50" spans="1:31" ht="13" x14ac:dyDescent="0.3">
      <c r="A50" s="24"/>
      <c r="B50" s="248">
        <f t="shared" si="1"/>
        <v>40</v>
      </c>
      <c r="C50" s="249">
        <f t="shared" ca="1" si="6"/>
        <v>47417</v>
      </c>
      <c r="D50" s="249">
        <f t="shared" ca="1" si="16"/>
        <v>47417</v>
      </c>
      <c r="E50" s="250">
        <f t="shared" ca="1" si="7"/>
        <v>16.72</v>
      </c>
      <c r="F50" s="250">
        <f t="shared" ca="1" si="8"/>
        <v>842.23</v>
      </c>
      <c r="G50" s="250">
        <f t="shared" ca="1" si="2"/>
        <v>1554.429999999998</v>
      </c>
      <c r="H50" s="250">
        <f t="shared" ca="1" si="3"/>
        <v>858.95</v>
      </c>
      <c r="I50" s="99"/>
      <c r="K50" s="231"/>
      <c r="L50" s="199" t="str">
        <f t="shared" si="9"/>
        <v>R</v>
      </c>
      <c r="M50" s="231">
        <f t="shared" ca="1" si="10"/>
        <v>47422</v>
      </c>
      <c r="N50" s="231">
        <f t="shared" ca="1" si="17"/>
        <v>47417</v>
      </c>
      <c r="O50" s="199">
        <f t="shared" ca="1" si="18"/>
        <v>5</v>
      </c>
      <c r="P50" s="199">
        <f t="shared" ca="1" si="11"/>
        <v>25</v>
      </c>
      <c r="Q50" s="199">
        <f t="shared" ca="1" si="0"/>
        <v>365</v>
      </c>
      <c r="R50" s="199">
        <f t="shared" ca="1" si="12"/>
        <v>1.3698630136986301E-2</v>
      </c>
      <c r="S50" s="199">
        <f t="shared" ca="1" si="13"/>
        <v>6.8493150684931503E-2</v>
      </c>
      <c r="T50" s="199">
        <f t="shared" ca="1" si="4"/>
        <v>8.2191780821917804E-2</v>
      </c>
      <c r="U50" s="415">
        <f t="shared" ca="1" si="14"/>
        <v>1.0121150684931506</v>
      </c>
      <c r="V50" s="233">
        <f ca="1">IF(B50&lt;&gt;"",1/PRODUCT($U$11:U50),0)</f>
        <v>0.6135636356416666</v>
      </c>
      <c r="AA50" s="240">
        <f t="shared" ca="1" si="5"/>
        <v>858.95</v>
      </c>
      <c r="AB50" s="240">
        <f ca="1">IF(B50&lt;&gt;"",AA50/((1+$V$5)^(SUM($T$11:T50))),0)</f>
        <v>502.38561915231435</v>
      </c>
      <c r="AD50">
        <f t="shared" ca="1" si="15"/>
        <v>1.0121150684931506</v>
      </c>
      <c r="AE50">
        <f ca="1">IF(B50&lt;&gt;"",1/PRODUCT($AD$11:AD50),0)</f>
        <v>0.61331891772114289</v>
      </c>
    </row>
    <row r="51" spans="1:31" ht="13" x14ac:dyDescent="0.3">
      <c r="A51" s="24"/>
      <c r="B51" s="248">
        <f t="shared" si="1"/>
        <v>41</v>
      </c>
      <c r="C51" s="249">
        <f t="shared" ca="1" si="6"/>
        <v>47448</v>
      </c>
      <c r="D51" s="249">
        <f t="shared" ca="1" si="16"/>
        <v>47448</v>
      </c>
      <c r="E51" s="250">
        <f t="shared" ca="1" si="7"/>
        <v>11.21</v>
      </c>
      <c r="F51" s="250">
        <f t="shared" ca="1" si="8"/>
        <v>847.74</v>
      </c>
      <c r="G51" s="250">
        <f t="shared" ca="1" si="2"/>
        <v>706.68999999999801</v>
      </c>
      <c r="H51" s="250">
        <f t="shared" ca="1" si="3"/>
        <v>858.95</v>
      </c>
      <c r="I51" s="99"/>
      <c r="K51" s="231"/>
      <c r="L51" s="199" t="str">
        <f t="shared" si="9"/>
        <v>R</v>
      </c>
      <c r="M51" s="231">
        <f t="shared" ca="1" si="10"/>
        <v>47452</v>
      </c>
      <c r="N51" s="231">
        <f t="shared" ca="1" si="17"/>
        <v>47448</v>
      </c>
      <c r="O51" s="199">
        <f t="shared" ca="1" si="18"/>
        <v>6</v>
      </c>
      <c r="P51" s="199">
        <f t="shared" ca="1" si="11"/>
        <v>25</v>
      </c>
      <c r="Q51" s="199">
        <f t="shared" ca="1" si="0"/>
        <v>365</v>
      </c>
      <c r="R51" s="199">
        <f t="shared" ca="1" si="12"/>
        <v>1.643835616438356E-2</v>
      </c>
      <c r="S51" s="199">
        <f t="shared" ca="1" si="13"/>
        <v>6.8493150684931503E-2</v>
      </c>
      <c r="T51" s="199">
        <f t="shared" ca="1" si="4"/>
        <v>8.4931506849315067E-2</v>
      </c>
      <c r="U51" s="415">
        <f t="shared" ca="1" si="14"/>
        <v>1.012518904109589</v>
      </c>
      <c r="V51" s="233">
        <f ca="1">IF(B51&lt;&gt;"",1/PRODUCT($U$11:U51),0)</f>
        <v>0.60597746190352431</v>
      </c>
      <c r="AA51" s="240">
        <f t="shared" ca="1" si="5"/>
        <v>858.95</v>
      </c>
      <c r="AB51" s="240">
        <f ca="1">IF(B51&lt;&gt;"",AA51/((1+$V$5)^(SUM($T$11:T51))),0)</f>
        <v>495.56871128741938</v>
      </c>
      <c r="AD51">
        <f t="shared" ca="1" si="15"/>
        <v>1.012518904109589</v>
      </c>
      <c r="AE51">
        <f ca="1">IF(B51&lt;&gt;"",1/PRODUCT($AD$11:AD51),0)</f>
        <v>0.60573576970446463</v>
      </c>
    </row>
    <row r="52" spans="1:31" ht="13" x14ac:dyDescent="0.3">
      <c r="A52" s="24"/>
      <c r="B52" s="248">
        <f t="shared" si="1"/>
        <v>42</v>
      </c>
      <c r="C52" s="249">
        <f t="shared" ca="1" si="6"/>
        <v>47478</v>
      </c>
      <c r="D52" s="249">
        <f t="shared" ca="1" si="16"/>
        <v>47478</v>
      </c>
      <c r="E52" s="250">
        <f t="shared" ca="1" si="7"/>
        <v>4.93</v>
      </c>
      <c r="F52" s="250">
        <f t="shared" ca="1" si="8"/>
        <v>854.02</v>
      </c>
      <c r="G52" s="250">
        <f t="shared" ca="1" si="2"/>
        <v>-147.33000000000197</v>
      </c>
      <c r="H52" s="250">
        <f t="shared" ca="1" si="3"/>
        <v>858.95</v>
      </c>
      <c r="I52" s="99"/>
      <c r="K52" s="231"/>
      <c r="L52" s="199" t="str">
        <f t="shared" si="9"/>
        <v>R</v>
      </c>
      <c r="M52" s="231">
        <f t="shared" ca="1" si="10"/>
        <v>47483</v>
      </c>
      <c r="N52" s="231">
        <f t="shared" ca="1" si="17"/>
        <v>47478</v>
      </c>
      <c r="O52" s="199">
        <f t="shared" ca="1" si="18"/>
        <v>5</v>
      </c>
      <c r="P52" s="199">
        <f t="shared" ca="1" si="11"/>
        <v>25</v>
      </c>
      <c r="Q52" s="199">
        <f t="shared" ca="1" si="0"/>
        <v>365</v>
      </c>
      <c r="R52" s="199">
        <f t="shared" ca="1" si="12"/>
        <v>1.3698630136986301E-2</v>
      </c>
      <c r="S52" s="199">
        <f t="shared" ca="1" si="13"/>
        <v>6.8493150684931503E-2</v>
      </c>
      <c r="T52" s="199">
        <f t="shared" ca="1" si="4"/>
        <v>8.2191780821917804E-2</v>
      </c>
      <c r="U52" s="415">
        <f t="shared" ca="1" si="14"/>
        <v>1.0121150684931506</v>
      </c>
      <c r="V52" s="233">
        <f ca="1">IF(B52&lt;&gt;"",1/PRODUCT($U$11:U52),0)</f>
        <v>0.59872388107580599</v>
      </c>
      <c r="AA52" s="240">
        <f t="shared" ca="1" si="5"/>
        <v>858.95</v>
      </c>
      <c r="AB52" s="240">
        <f ca="1">IF(B52&lt;&gt;"",AA52/((1+$V$5)^(SUM($T$11:T52))),0)</f>
        <v>489.05978806387617</v>
      </c>
      <c r="AD52">
        <f t="shared" ca="1" si="15"/>
        <v>1.0121150684931506</v>
      </c>
      <c r="AE52">
        <f ca="1">IF(B52&lt;&gt;"",1/PRODUCT($AD$11:AD52),0)</f>
        <v>0.59848508194457717</v>
      </c>
    </row>
    <row r="53" spans="1:31" ht="13" x14ac:dyDescent="0.3">
      <c r="A53" s="24"/>
      <c r="B53" s="248">
        <f t="shared" si="1"/>
        <v>43</v>
      </c>
      <c r="C53" s="249">
        <f t="shared" ca="1" si="6"/>
        <v>47509</v>
      </c>
      <c r="D53" s="249">
        <f t="shared" ca="1" si="16"/>
        <v>47509</v>
      </c>
      <c r="E53" s="250">
        <f t="shared" ca="1" si="7"/>
        <v>-1.06</v>
      </c>
      <c r="F53" s="250">
        <f t="shared" ca="1" si="8"/>
        <v>860.01</v>
      </c>
      <c r="G53" s="250">
        <f t="shared" ca="1" si="2"/>
        <v>-1007.340000000002</v>
      </c>
      <c r="H53" s="250">
        <f t="shared" ca="1" si="3"/>
        <v>858.95</v>
      </c>
      <c r="I53" s="99"/>
      <c r="K53" s="231"/>
      <c r="L53" s="199" t="str">
        <f t="shared" si="9"/>
        <v>R</v>
      </c>
      <c r="M53" s="231">
        <f t="shared" ca="1" si="10"/>
        <v>47514</v>
      </c>
      <c r="N53" s="231">
        <f t="shared" ca="1" si="17"/>
        <v>47509</v>
      </c>
      <c r="O53" s="199">
        <f t="shared" ca="1" si="18"/>
        <v>6</v>
      </c>
      <c r="P53" s="199">
        <f t="shared" ca="1" si="11"/>
        <v>25</v>
      </c>
      <c r="Q53" s="199">
        <f t="shared" ca="1" si="0"/>
        <v>365</v>
      </c>
      <c r="R53" s="199">
        <f t="shared" ca="1" si="12"/>
        <v>1.643835616438356E-2</v>
      </c>
      <c r="S53" s="199">
        <f t="shared" ca="1" si="13"/>
        <v>6.8493150684931503E-2</v>
      </c>
      <c r="T53" s="199">
        <f t="shared" ca="1" si="4"/>
        <v>8.4931506849315067E-2</v>
      </c>
      <c r="U53" s="415">
        <f t="shared" ca="1" si="14"/>
        <v>1.012518904109589</v>
      </c>
      <c r="V53" s="233">
        <f ca="1">IF(B53&lt;&gt;"",1/PRODUCT($U$11:U53),0)</f>
        <v>0.59132118782742615</v>
      </c>
      <c r="AA53" s="240">
        <f t="shared" ca="1" si="5"/>
        <v>858.95</v>
      </c>
      <c r="AB53" s="240">
        <f ca="1">IF(B53&lt;&gt;"",AA53/((1+$V$5)^(SUM($T$11:T53))),0)</f>
        <v>482.42369939302245</v>
      </c>
      <c r="AD53">
        <f t="shared" ca="1" si="15"/>
        <v>1.012518904109589</v>
      </c>
      <c r="AE53">
        <f ca="1">IF(B53&lt;&gt;"",1/PRODUCT($AD$11:AD53),0)</f>
        <v>0.59108534123704692</v>
      </c>
    </row>
    <row r="54" spans="1:31" ht="13" x14ac:dyDescent="0.3">
      <c r="A54" s="24"/>
      <c r="B54" s="248">
        <f t="shared" si="1"/>
        <v>44</v>
      </c>
      <c r="C54" s="249">
        <f t="shared" ca="1" si="6"/>
        <v>47540</v>
      </c>
      <c r="D54" s="249">
        <f t="shared" ca="1" si="16"/>
        <v>47540</v>
      </c>
      <c r="E54" s="250">
        <f t="shared" ca="1" si="7"/>
        <v>-7.26</v>
      </c>
      <c r="F54" s="250">
        <f t="shared" ca="1" si="8"/>
        <v>866.21</v>
      </c>
      <c r="G54" s="250">
        <f t="shared" ca="1" si="2"/>
        <v>-1873.550000000002</v>
      </c>
      <c r="H54" s="250">
        <f t="shared" ca="1" si="3"/>
        <v>858.95</v>
      </c>
      <c r="I54" s="99"/>
      <c r="K54" s="231"/>
      <c r="L54" s="199" t="str">
        <f t="shared" si="9"/>
        <v>R</v>
      </c>
      <c r="M54" s="231">
        <f t="shared" ca="1" si="10"/>
        <v>47542</v>
      </c>
      <c r="N54" s="231">
        <f t="shared" ca="1" si="17"/>
        <v>47540</v>
      </c>
      <c r="O54" s="199">
        <f t="shared" ca="1" si="18"/>
        <v>6</v>
      </c>
      <c r="P54" s="199">
        <f t="shared" ca="1" si="11"/>
        <v>25</v>
      </c>
      <c r="Q54" s="199">
        <f t="shared" ca="1" si="0"/>
        <v>365</v>
      </c>
      <c r="R54" s="199">
        <f t="shared" ca="1" si="12"/>
        <v>1.643835616438356E-2</v>
      </c>
      <c r="S54" s="199">
        <f t="shared" ca="1" si="13"/>
        <v>6.8493150684931503E-2</v>
      </c>
      <c r="T54" s="199">
        <f t="shared" ca="1" si="4"/>
        <v>8.4931506849315067E-2</v>
      </c>
      <c r="U54" s="415">
        <f t="shared" ca="1" si="14"/>
        <v>1.012518904109589</v>
      </c>
      <c r="V54" s="233">
        <f ca="1">IF(B54&lt;&gt;"",1/PRODUCT($U$11:U54),0)</f>
        <v>0.58401002235848143</v>
      </c>
      <c r="AA54" s="240">
        <f t="shared" ca="1" si="5"/>
        <v>858.95</v>
      </c>
      <c r="AB54" s="240">
        <f ca="1">IF(B54&lt;&gt;"",AA54/((1+$V$5)^(SUM($T$11:T54))),0)</f>
        <v>475.87765630334764</v>
      </c>
      <c r="AD54">
        <f t="shared" ca="1" si="15"/>
        <v>1.012518904109589</v>
      </c>
      <c r="AE54">
        <f ca="1">IF(B54&lt;&gt;"",1/PRODUCT($AD$11:AD54),0)</f>
        <v>0.58377709180338555</v>
      </c>
    </row>
    <row r="55" spans="1:31" ht="13" x14ac:dyDescent="0.3">
      <c r="A55" s="24"/>
      <c r="B55" s="248">
        <f t="shared" si="1"/>
        <v>45</v>
      </c>
      <c r="C55" s="249">
        <f t="shared" ca="1" si="6"/>
        <v>47568</v>
      </c>
      <c r="D55" s="249">
        <f t="shared" ca="1" si="16"/>
        <v>47568</v>
      </c>
      <c r="E55" s="250">
        <f t="shared" ca="1" si="7"/>
        <v>-12.2</v>
      </c>
      <c r="F55" s="250">
        <f t="shared" ca="1" si="8"/>
        <v>871.15</v>
      </c>
      <c r="G55" s="250">
        <f t="shared" ca="1" si="2"/>
        <v>-2744.7000000000021</v>
      </c>
      <c r="H55" s="250">
        <f t="shared" ca="1" si="3"/>
        <v>858.95</v>
      </c>
      <c r="I55" s="99"/>
      <c r="K55" s="231"/>
      <c r="L55" s="199" t="str">
        <f t="shared" si="9"/>
        <v>R</v>
      </c>
      <c r="M55" s="231">
        <f t="shared" ca="1" si="10"/>
        <v>47573</v>
      </c>
      <c r="N55" s="231">
        <f t="shared" ca="1" si="17"/>
        <v>47568</v>
      </c>
      <c r="O55" s="199">
        <f t="shared" ca="1" si="18"/>
        <v>3</v>
      </c>
      <c r="P55" s="199">
        <f t="shared" ca="1" si="11"/>
        <v>25</v>
      </c>
      <c r="Q55" s="199">
        <f t="shared" ca="1" si="0"/>
        <v>365</v>
      </c>
      <c r="R55" s="199">
        <f t="shared" ca="1" si="12"/>
        <v>8.21917808219178E-3</v>
      </c>
      <c r="S55" s="199">
        <f t="shared" ca="1" si="13"/>
        <v>6.8493150684931503E-2</v>
      </c>
      <c r="T55" s="199">
        <f t="shared" ca="1" si="4"/>
        <v>7.6712328767123278E-2</v>
      </c>
      <c r="U55" s="415">
        <f t="shared" ca="1" si="14"/>
        <v>1.011307397260274</v>
      </c>
      <c r="V55" s="233">
        <f ca="1">IF(B55&lt;&gt;"",1/PRODUCT($U$11:U55),0)</f>
        <v>0.57748022405513788</v>
      </c>
      <c r="AA55" s="240">
        <f t="shared" ca="1" si="5"/>
        <v>858.95</v>
      </c>
      <c r="AB55" s="240">
        <f ca="1">IF(B55&lt;&gt;"",AA55/((1+$V$5)^(SUM($T$11:T55))),0)</f>
        <v>470.04148070163495</v>
      </c>
      <c r="AD55">
        <f t="shared" ca="1" si="15"/>
        <v>1.011307397260274</v>
      </c>
      <c r="AE55">
        <f ca="1">IF(B55&lt;&gt;"",1/PRODUCT($AD$11:AD55),0)</f>
        <v>0.57724989788949643</v>
      </c>
    </row>
    <row r="56" spans="1:31" ht="13" x14ac:dyDescent="0.3">
      <c r="A56" s="24"/>
      <c r="B56" s="248">
        <f t="shared" si="1"/>
        <v>46</v>
      </c>
      <c r="C56" s="249">
        <f t="shared" ca="1" si="6"/>
        <v>47599</v>
      </c>
      <c r="D56" s="249">
        <f t="shared" ca="1" si="16"/>
        <v>47599</v>
      </c>
      <c r="E56" s="250">
        <f t="shared" ca="1" si="7"/>
        <v>-19.79</v>
      </c>
      <c r="F56" s="250">
        <f t="shared" ca="1" si="8"/>
        <v>878.74</v>
      </c>
      <c r="G56" s="250">
        <f t="shared" ca="1" si="2"/>
        <v>-3623.4400000000023</v>
      </c>
      <c r="H56" s="250">
        <f t="shared" ca="1" si="3"/>
        <v>858.95</v>
      </c>
      <c r="I56" s="99"/>
      <c r="K56" s="231"/>
      <c r="L56" s="199" t="str">
        <f t="shared" si="9"/>
        <v>R</v>
      </c>
      <c r="M56" s="231">
        <f t="shared" ca="1" si="10"/>
        <v>47603</v>
      </c>
      <c r="N56" s="231">
        <f t="shared" ca="1" si="17"/>
        <v>47599</v>
      </c>
      <c r="O56" s="199">
        <f t="shared" ca="1" si="18"/>
        <v>6</v>
      </c>
      <c r="P56" s="199">
        <f t="shared" ca="1" si="11"/>
        <v>25</v>
      </c>
      <c r="Q56" s="199">
        <f t="shared" ca="1" si="0"/>
        <v>365</v>
      </c>
      <c r="R56" s="199">
        <f t="shared" ca="1" si="12"/>
        <v>1.643835616438356E-2</v>
      </c>
      <c r="S56" s="199">
        <f t="shared" ca="1" si="13"/>
        <v>6.8493150684931503E-2</v>
      </c>
      <c r="T56" s="199">
        <f t="shared" ca="1" si="4"/>
        <v>8.4931506849315067E-2</v>
      </c>
      <c r="U56" s="415">
        <f t="shared" ca="1" si="14"/>
        <v>1.012518904109589</v>
      </c>
      <c r="V56" s="233">
        <f ca="1">IF(B56&lt;&gt;"",1/PRODUCT($U$11:U56),0)</f>
        <v>0.57034018990783697</v>
      </c>
      <c r="AA56" s="240">
        <f t="shared" ca="1" si="5"/>
        <v>858.95</v>
      </c>
      <c r="AB56" s="240">
        <f ca="1">IF(B56&lt;&gt;"",AA56/((1+$V$5)^(SUM($T$11:T56))),0)</f>
        <v>463.66345285914139</v>
      </c>
      <c r="AD56">
        <f t="shared" ca="1" si="15"/>
        <v>1.012518904109589</v>
      </c>
      <c r="AE56">
        <f ca="1">IF(B56&lt;&gt;"",1/PRODUCT($AD$11:AD56),0)</f>
        <v>0.57011271152229115</v>
      </c>
    </row>
    <row r="57" spans="1:31" ht="13" x14ac:dyDescent="0.3">
      <c r="A57" s="24"/>
      <c r="B57" s="248">
        <f t="shared" si="1"/>
        <v>47</v>
      </c>
      <c r="C57" s="249">
        <f t="shared" ca="1" si="6"/>
        <v>47629</v>
      </c>
      <c r="D57" s="249">
        <f t="shared" ca="1" si="16"/>
        <v>47629</v>
      </c>
      <c r="E57" s="250">
        <f t="shared" ca="1" si="7"/>
        <v>-25.28</v>
      </c>
      <c r="F57" s="250">
        <f t="shared" ca="1" si="8"/>
        <v>884.23</v>
      </c>
      <c r="G57" s="250">
        <f t="shared" ca="1" si="2"/>
        <v>-4507.6700000000019</v>
      </c>
      <c r="H57" s="250">
        <f t="shared" ca="1" si="3"/>
        <v>858.95</v>
      </c>
      <c r="I57" s="99"/>
      <c r="K57" s="231"/>
      <c r="L57" s="199" t="str">
        <f t="shared" si="9"/>
        <v>R</v>
      </c>
      <c r="M57" s="231">
        <f t="shared" ca="1" si="10"/>
        <v>47634</v>
      </c>
      <c r="N57" s="231">
        <f t="shared" ca="1" si="17"/>
        <v>47629</v>
      </c>
      <c r="O57" s="199">
        <f t="shared" ca="1" si="18"/>
        <v>5</v>
      </c>
      <c r="P57" s="199">
        <f t="shared" ca="1" si="11"/>
        <v>25</v>
      </c>
      <c r="Q57" s="199">
        <f t="shared" ca="1" si="0"/>
        <v>365</v>
      </c>
      <c r="R57" s="199">
        <f t="shared" ca="1" si="12"/>
        <v>1.3698630136986301E-2</v>
      </c>
      <c r="S57" s="199">
        <f t="shared" ca="1" si="13"/>
        <v>6.8493150684931503E-2</v>
      </c>
      <c r="T57" s="199">
        <f t="shared" ca="1" si="4"/>
        <v>8.2191780821917804E-2</v>
      </c>
      <c r="U57" s="415">
        <f t="shared" ca="1" si="14"/>
        <v>1.0121150684931506</v>
      </c>
      <c r="V57" s="233">
        <f ca="1">IF(B57&lt;&gt;"",1/PRODUCT($U$11:U57),0)</f>
        <v>0.56351318902599334</v>
      </c>
      <c r="AA57" s="240">
        <f t="shared" ca="1" si="5"/>
        <v>858.95</v>
      </c>
      <c r="AB57" s="240">
        <f ca="1">IF(B57&lt;&gt;"",AA57/((1+$V$5)^(SUM($T$11:T57))),0)</f>
        <v>457.57358126821123</v>
      </c>
      <c r="AD57">
        <f t="shared" ca="1" si="15"/>
        <v>1.0121150684931506</v>
      </c>
      <c r="AE57">
        <f ca="1">IF(B57&lt;&gt;"",1/PRODUCT($AD$11:AD57),0)</f>
        <v>0.56328843356821268</v>
      </c>
    </row>
    <row r="58" spans="1:31" ht="13" x14ac:dyDescent="0.3">
      <c r="A58" s="24"/>
      <c r="B58" s="248">
        <f t="shared" si="1"/>
        <v>48</v>
      </c>
      <c r="C58" s="249">
        <f t="shared" ca="1" si="6"/>
        <v>47660</v>
      </c>
      <c r="D58" s="249">
        <f t="shared" ca="1" si="16"/>
        <v>47660</v>
      </c>
      <c r="E58" s="250">
        <f t="shared" ca="1" si="7"/>
        <v>5366.6200000000017</v>
      </c>
      <c r="F58" s="250">
        <f t="shared" ca="1" si="8"/>
        <v>-4507.6700000000019</v>
      </c>
      <c r="G58" s="250">
        <f t="shared" ca="1" si="2"/>
        <v>0</v>
      </c>
      <c r="H58" s="250">
        <f t="shared" ca="1" si="3"/>
        <v>858.95</v>
      </c>
      <c r="I58" s="99"/>
      <c r="K58" s="231"/>
      <c r="L58" s="199" t="str">
        <f t="shared" si="9"/>
        <v>R</v>
      </c>
      <c r="M58" s="231">
        <f t="shared" ca="1" si="10"/>
        <v>47664</v>
      </c>
      <c r="N58" s="231">
        <f t="shared" ca="1" si="17"/>
        <v>47660</v>
      </c>
      <c r="O58" s="199">
        <f t="shared" ca="1" si="18"/>
        <v>6</v>
      </c>
      <c r="P58" s="199">
        <f t="shared" ca="1" si="11"/>
        <v>25</v>
      </c>
      <c r="Q58" s="199">
        <f t="shared" ca="1" si="0"/>
        <v>365</v>
      </c>
      <c r="R58" s="199">
        <f t="shared" ca="1" si="12"/>
        <v>1.643835616438356E-2</v>
      </c>
      <c r="S58" s="199">
        <f t="shared" ca="1" si="13"/>
        <v>6.8493150684931503E-2</v>
      </c>
      <c r="T58" s="199">
        <f t="shared" ca="1" si="4"/>
        <v>8.4931506849315067E-2</v>
      </c>
      <c r="U58" s="415">
        <f t="shared" ca="1" si="14"/>
        <v>1.012518904109589</v>
      </c>
      <c r="V58" s="233">
        <f ca="1">IF(B58&lt;&gt;"",1/PRODUCT($U$11:U58),0)</f>
        <v>0.55654584496034465</v>
      </c>
      <c r="AA58" s="240">
        <f t="shared" ca="1" si="5"/>
        <v>858.95</v>
      </c>
      <c r="AB58" s="240">
        <f ca="1">IF(B58&lt;&gt;"",AA58/((1+$V$5)^(SUM($T$11:T58))),0)</f>
        <v>451.36473128126585</v>
      </c>
      <c r="AD58">
        <f t="shared" ca="1" si="15"/>
        <v>1.012518904109589</v>
      </c>
      <c r="AE58">
        <f ca="1">IF(B58&lt;&gt;"",1/PRODUCT($AD$11:AD58),0)</f>
        <v>0.55632386840576531</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2705"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2706"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Arkusz25">
    <tabColor indexed="18"/>
  </sheetPr>
  <dimension ref="A1:AI200"/>
  <sheetViews>
    <sheetView workbookViewId="0">
      <selection activeCell="D1" sqref="D1"/>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46229</v>
      </c>
      <c r="C1" s="85"/>
      <c r="D1" s="217">
        <f>IF(D3=D4,D4,D3-F_SKROCONY!$D$12+0%)</f>
        <v>4.7400000000000005E-2</v>
      </c>
      <c r="E1" s="218" t="str">
        <f ca="1">IF(I2&lt;&gt;"",I2,IF(I3&lt;&gt;"",I3,I4))</f>
        <v/>
      </c>
      <c r="F1" s="218">
        <f ca="1">IF(G2&lt;=MAX_,E2,IF(G3&lt;=MAX_,E3,E4))</f>
        <v>46229</v>
      </c>
      <c r="G1" s="214">
        <v>45</v>
      </c>
      <c r="H1" s="255">
        <f ca="1">IF(OR(H2=D4,D1=D4),1,0)</f>
        <v>0</v>
      </c>
      <c r="I1">
        <v>15</v>
      </c>
      <c r="K1" s="252"/>
      <c r="M1" s="252"/>
      <c r="N1" s="252"/>
      <c r="O1" s="252"/>
      <c r="P1" s="252"/>
      <c r="Q1" s="252"/>
      <c r="R1" s="252"/>
      <c r="S1" s="252"/>
      <c r="T1" s="252"/>
    </row>
    <row r="2" spans="1:33" ht="13" x14ac:dyDescent="0.3">
      <c r="A2" s="205"/>
      <c r="B2" s="350">
        <f ca="1">DATE(YEAR((E5)),MONTH((E5))+1,1)-1</f>
        <v>46203</v>
      </c>
      <c r="C2" s="351">
        <f ca="1">DAY(B2)</f>
        <v>30</v>
      </c>
      <c r="D2" s="4"/>
      <c r="E2" s="213">
        <f ca="1">IF(MOD(MONTH(F2)-MONTH(F3),12)&gt;1,DATE(YEAR(F2),MONTH(F2),DAY(F2)-DAY(F2)),F2)</f>
        <v>46260</v>
      </c>
      <c r="F2" s="213">
        <f ca="1">DATE(YEAR(E5),MONTH(E5)+2,$G$5)</f>
        <v>46260</v>
      </c>
      <c r="G2" s="215">
        <f ca="1">E2-$E$5</f>
        <v>61</v>
      </c>
      <c r="H2" s="221">
        <f ca="1">ROUND(AE4,2)</f>
        <v>710.34</v>
      </c>
      <c r="I2" s="264" t="str">
        <f ca="1">IF(AND(G2&lt;=MAX_,G2&gt;=MIN),E2,"")</f>
        <v/>
      </c>
    </row>
    <row r="3" spans="1:33" ht="13.5" thickBot="1" x14ac:dyDescent="0.35">
      <c r="A3" s="209" t="s">
        <v>59</v>
      </c>
      <c r="B3" s="254"/>
      <c r="C3" s="4"/>
      <c r="D3" s="212">
        <f>'DOD1'!H3</f>
        <v>8.4900000000000003E-2</v>
      </c>
      <c r="E3" s="213">
        <f ca="1">IF(MOD(MONTH(F3)-MONTH(F4),12)&gt;1,DATE(YEAR(F3),MONTH(F3),DAY(F3)-DAY(F3)),F3)</f>
        <v>46229</v>
      </c>
      <c r="F3" s="213">
        <f ca="1">DATE(YEAR(E5),MONTH(E5)+1,$G$5)</f>
        <v>46229</v>
      </c>
      <c r="G3" s="215">
        <f ca="1">E3-E5</f>
        <v>30</v>
      </c>
      <c r="I3" s="265"/>
      <c r="P3" s="411" t="s">
        <v>180</v>
      </c>
      <c r="Q3" s="412">
        <v>365</v>
      </c>
    </row>
    <row r="4" spans="1:33" ht="13.5" thickBot="1" x14ac:dyDescent="0.35">
      <c r="A4" s="211" t="s">
        <v>19</v>
      </c>
      <c r="B4" s="204"/>
      <c r="C4" s="204"/>
      <c r="D4" s="206" t="s">
        <v>15</v>
      </c>
      <c r="E4" s="213">
        <f ca="1">IF(MOD(MONTH(F4)-MONTH(F5),12)&gt;1,DATE(YEAR(F4),MONTH(F4),DAY(F4)-DAY(F4)),F4)</f>
        <v>46199</v>
      </c>
      <c r="F4" s="213">
        <f ca="1">DATE(YEAR(E5),MONTH(E5),$G$5)</f>
        <v>46199</v>
      </c>
      <c r="G4" s="215">
        <f ca="1">(E4-E5)</f>
        <v>0</v>
      </c>
      <c r="H4" s="262">
        <f ca="1">VLOOKUP(B6,B11:D130,3,FALSE)</f>
        <v>47660</v>
      </c>
      <c r="I4" s="265" t="str">
        <f ca="1">IF(AND(G4&lt;=MAX_,G4&gt;=MIN),E4,"")</f>
        <v/>
      </c>
      <c r="M4" s="916"/>
      <c r="U4" s="945" t="s">
        <v>121</v>
      </c>
      <c r="V4" s="946">
        <f ca="1">G10/V9</f>
        <v>710.29671399888798</v>
      </c>
      <c r="AD4" s="413" t="s">
        <v>121</v>
      </c>
      <c r="AE4" s="203">
        <f ca="1">G10/AE9</f>
        <v>710.34111230780672</v>
      </c>
      <c r="AF4" s="609" t="s">
        <v>1959</v>
      </c>
    </row>
    <row r="5" spans="1:33" ht="13.5" thickBot="1" x14ac:dyDescent="0.35">
      <c r="A5" s="210" t="s">
        <v>60</v>
      </c>
      <c r="B5" s="2"/>
      <c r="C5" s="615">
        <f>'DOD1'!E8</f>
        <v>48</v>
      </c>
      <c r="D5" s="2"/>
      <c r="E5" s="614">
        <f ca="1">WERSJA2!D18</f>
        <v>46199</v>
      </c>
      <c r="F5" s="618">
        <f ca="1">DATE(YEAR(E5),MONTH(E5)-1,$G$5)</f>
        <v>46168</v>
      </c>
      <c r="G5" s="615">
        <f ca="1">WERSJA2!D19</f>
        <v>26</v>
      </c>
      <c r="H5" s="262">
        <f ca="1">D11</f>
        <v>46229</v>
      </c>
      <c r="I5" s="263" t="s">
        <v>167</v>
      </c>
      <c r="M5" s="916"/>
      <c r="U5" s="228" t="s">
        <v>150</v>
      </c>
      <c r="V5" s="229">
        <v>0.17451905146291249</v>
      </c>
      <c r="AD5" s="609" t="s">
        <v>1817</v>
      </c>
    </row>
    <row r="6" spans="1:33" ht="13.5" thickBot="1" x14ac:dyDescent="0.35">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45</v>
      </c>
      <c r="AB7" s="226" t="s">
        <v>144</v>
      </c>
      <c r="AD7" s="178" t="s">
        <v>182</v>
      </c>
      <c r="AE7" s="178" t="s">
        <v>183</v>
      </c>
    </row>
    <row r="8" spans="1:33" ht="13.5" thickBot="1" x14ac:dyDescent="0.35">
      <c r="A8" s="192" t="str">
        <f>WERSJA2!C4</f>
        <v>RODZAJ POŻYCZKI</v>
      </c>
      <c r="B8" s="24"/>
      <c r="C8" s="24"/>
      <c r="E8" s="207" t="s">
        <v>5</v>
      </c>
      <c r="F8" s="241">
        <f>D1</f>
        <v>4.7400000000000005E-2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-6027.1656854213179</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46203</v>
      </c>
      <c r="N9" s="232">
        <f ca="1">D10</f>
        <v>46199</v>
      </c>
      <c r="Q9" s="199">
        <f ca="1">IF(B9&lt;&gt;"",IF(MOD(YEAR(N9),4)=0,366,365),0)</f>
        <v>365</v>
      </c>
      <c r="U9" s="234"/>
      <c r="V9" s="235">
        <f ca="1">SUM(V11:V130)</f>
        <v>43.643732807763676</v>
      </c>
      <c r="Z9" s="236">
        <f ca="1">G10/((1+$V$5)^(0/Q9))</f>
        <v>31000</v>
      </c>
      <c r="AA9" s="237">
        <f>G10</f>
        <v>31000</v>
      </c>
      <c r="AB9" s="236">
        <f ca="1">SUM(AB10:AB130)</f>
        <v>24972.834314578682</v>
      </c>
      <c r="AE9" s="235">
        <f ca="1">SUM(AE11:AE130)</f>
        <v>43.641004952233438</v>
      </c>
      <c r="AF9">
        <v>11.930682479761785</v>
      </c>
      <c r="AG9" s="653"/>
    </row>
    <row r="10" spans="1:33" ht="13" x14ac:dyDescent="0.3">
      <c r="A10" s="194" t="str">
        <f>WERSJA2!C6</f>
        <v>SEGMENT KLIENTA</v>
      </c>
      <c r="B10" s="242">
        <v>0</v>
      </c>
      <c r="C10" s="243">
        <f ca="1">E5</f>
        <v>46199</v>
      </c>
      <c r="D10" s="243">
        <f ca="1">E5</f>
        <v>46199</v>
      </c>
      <c r="E10" s="24"/>
      <c r="F10" s="24"/>
      <c r="G10" s="244">
        <f>'DOD1'!K3</f>
        <v>31000</v>
      </c>
      <c r="H10" s="24"/>
      <c r="I10" s="99"/>
      <c r="K10" s="919">
        <v>0</v>
      </c>
      <c r="L10" s="199" t="s">
        <v>147</v>
      </c>
      <c r="M10" s="232">
        <f ca="1">DATE(YEAR((N11)),MONTH((N11)+1),1)-1</f>
        <v>46203</v>
      </c>
      <c r="N10" s="232">
        <f ca="1">DATE(YEAR(N11),MONTH(N11)-1,DAY(N11))</f>
        <v>46199</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46229</v>
      </c>
      <c r="D11" s="246">
        <f ca="1">B1</f>
        <v>46229</v>
      </c>
      <c r="E11" s="247">
        <f ca="1">IF($H$1&lt;&gt;1,IF(B11=$C$5,H11-F11,IF(B11&lt;&gt;"",ROUND(G10*($D$3)*((SUM(O10:P11)/365)),2),"")),"Brak Oferty")</f>
        <v>216.32</v>
      </c>
      <c r="F11" s="247">
        <f ca="1">IF($H$1&lt;&gt;1,IF(B11=$C$5,G10,IF(B11&lt;&gt;"",ROUND((H11-E11),2),"")),"Brak Oferty")</f>
        <v>494.02</v>
      </c>
      <c r="G11" s="247">
        <f ca="1">IF($H$1&lt;&gt;1,IF(B11&lt;&gt;"",G10-F11,""),"Brak Oferty")</f>
        <v>30505.98</v>
      </c>
      <c r="H11" s="247">
        <f ca="1">IF($H$1&lt;&gt;1,IF(B11&lt;&gt;"",$H$2,""),$D$4)</f>
        <v>710.34</v>
      </c>
      <c r="I11" s="99"/>
      <c r="K11" s="918">
        <v>1</v>
      </c>
      <c r="L11" s="202" t="s">
        <v>147</v>
      </c>
      <c r="M11" s="238">
        <f ca="1">IF(B11&lt;&gt;"",DATE(YEAR((D11)),MONTH((D11))+1,1)-1,"")</f>
        <v>46234</v>
      </c>
      <c r="N11" s="238">
        <f ca="1">D11</f>
        <v>46229</v>
      </c>
      <c r="O11" s="202">
        <f ca="1">IF(M6=1,0,IF(M6=2,M9-N9+1,M10-N10+1))</f>
        <v>5</v>
      </c>
      <c r="P11" s="202">
        <f ca="1">IF(M6=1,N11-N9,IF(M6=2,N11-M9-1,N11-M10-1))</f>
        <v>25</v>
      </c>
      <c r="Q11" s="202">
        <f t="shared" ref="Q11:Q74" ca="1" si="0">IF(B11&lt;&gt;"",IF(MOD(YEAR(N11),4)=0,366,365),0)</f>
        <v>365</v>
      </c>
      <c r="R11" s="202">
        <f ca="1">IF(1,O11/Q10,"")</f>
        <v>1.3698630136986301E-2</v>
      </c>
      <c r="S11" s="202">
        <f ca="1">IF(1,P11/Q11,"")</f>
        <v>6.8493150684931503E-2</v>
      </c>
      <c r="T11" s="202">
        <f ca="1">IF(B11&lt;&gt;"",R10+S10+R11+S11,"")</f>
        <v>8.2191780821917804E-2</v>
      </c>
      <c r="U11" s="415">
        <f ca="1">IF(B11&lt;&gt;"",1+$D$1*T11,0)</f>
        <v>1.0038958904109589</v>
      </c>
      <c r="V11" s="202">
        <f ca="1">IF(B11&lt;&gt;"",1/U11,0)</f>
        <v>0.99611922864893476</v>
      </c>
      <c r="W11" s="197"/>
      <c r="X11" s="197"/>
      <c r="Y11" s="197"/>
      <c r="Z11" s="197"/>
      <c r="AA11" s="239">
        <f ca="1">IF(B11&lt;&gt;"",$H$2,0)</f>
        <v>710.34</v>
      </c>
      <c r="AB11" s="239">
        <f ca="1">IF(B11&lt;&gt;"",AA11/((1+$V$5)^T11),0)</f>
        <v>701.01021703085257</v>
      </c>
      <c r="AC11" s="197"/>
      <c r="AD11" s="202">
        <f ca="1">IF(B11&lt;&gt;"",1+$D$1*((O10+P10+O11+P11)/365),0)</f>
        <v>1.0038958904109589</v>
      </c>
      <c r="AE11" s="202">
        <f ca="1">IF(B11&lt;&gt;"",1/AD11,0)</f>
        <v>0.99611922864893476</v>
      </c>
    </row>
    <row r="12" spans="1:33" ht="13" x14ac:dyDescent="0.3">
      <c r="A12" s="194" t="str">
        <f>WERSJA2!C8</f>
        <v>KONSOLIDACJA</v>
      </c>
      <c r="B12" s="248">
        <f t="shared" ref="B12:B75" si="1">IF(B11&lt;$C$5,IF(B11&lt;&gt;"",B11+1,1),"")</f>
        <v>2</v>
      </c>
      <c r="C12" s="249">
        <f ca="1">IF(B12&lt;&gt;"",DATE(YEAR(D11),MONTH(D11)+1,$G$5),"")</f>
        <v>46260</v>
      </c>
      <c r="D12" s="249">
        <f ca="1">IF(B12&lt;&gt;"",IF(MOD(MONTH(C12)-MONTH(C11),12)&gt;1,DATE(YEAR(C12),MONTH(C12),DAY(C12)-DAY(C12)),C12),"")</f>
        <v>46260</v>
      </c>
      <c r="E12" s="250">
        <f ca="1">IF($H$1&lt;&gt;1,IF(B12=$C$5,H12-F12,IF(B12&lt;&gt;"",ROUND(G11*($D$3)*((SUM(O12:P12)/365)),2),"")),"Brak Oferty")</f>
        <v>219.97</v>
      </c>
      <c r="F12" s="250">
        <f ca="1">IF($H$1&lt;&gt;1,IF(B12=$C$5,G11,IF(B12&lt;&gt;"",ROUND((H12-E12),2),"")),"Brak Oferty")</f>
        <v>490.37</v>
      </c>
      <c r="G12" s="250">
        <f t="shared" ref="G12:G75" ca="1" si="2">IF($H$1&lt;&gt;1,IF(B12&lt;&gt;"",G11-F12,""),"Brak Oferty")</f>
        <v>30015.61</v>
      </c>
      <c r="H12" s="250">
        <f t="shared" ref="H12:H75" ca="1" si="3">IF($H$1&lt;&gt;1,IF(B12&lt;&gt;"",$H$2,""),$D$4)</f>
        <v>710.34</v>
      </c>
      <c r="I12" s="99"/>
      <c r="K12" s="240"/>
      <c r="L12" s="199" t="str">
        <f>IF(B12&lt;&gt;"",L11,"")</f>
        <v>R</v>
      </c>
      <c r="M12" s="231">
        <f ca="1">IF(B12&lt;&gt;"",DATE(YEAR((D12)),MONTH((D12))+1,1)-1,"")</f>
        <v>46265</v>
      </c>
      <c r="N12" s="231">
        <f ca="1">D12</f>
        <v>46260</v>
      </c>
      <c r="O12" s="253">
        <f ca="1">IF(B12&lt;&gt;"",M11-N11+1,0)</f>
        <v>6</v>
      </c>
      <c r="P12" s="199">
        <f ca="1">IF(B12&lt;&gt;"",N12-M11-1,0)</f>
        <v>25</v>
      </c>
      <c r="Q12" s="199">
        <f ca="1">IF(B12&lt;&gt;"",IF(MOD(YEAR(N12),4)=0,366,365),0)</f>
        <v>365</v>
      </c>
      <c r="R12" s="199">
        <f ca="1">IF(1,O12/Q11,"")</f>
        <v>1.643835616438356E-2</v>
      </c>
      <c r="S12" s="199">
        <f ca="1">IF(1,P12/Q12,"")</f>
        <v>6.8493150684931503E-2</v>
      </c>
      <c r="T12" s="199">
        <f t="shared" ref="T12:T75" ca="1" si="4">IF(B12&lt;&gt;"",R12+S12,"")</f>
        <v>8.4931506849315067E-2</v>
      </c>
      <c r="U12" s="415">
        <f ca="1">IF(B12&lt;&gt;"",1+$D$1*T12,0)</f>
        <v>1.0040257534246575</v>
      </c>
      <c r="V12" s="233">
        <f ca="1">IF(B12&lt;&gt;"",1/PRODUCT($U$11:U12),0)</f>
        <v>0.99212517731865524</v>
      </c>
      <c r="AA12" s="240">
        <f t="shared" ref="AA12:AA75" ca="1" si="5">IF(B12&lt;&gt;"",$H$2,0)</f>
        <v>710.34</v>
      </c>
      <c r="AB12" s="240">
        <f ca="1">IF(B12&lt;&gt;"",AA12/((1+$V$5)^(SUM($T$11:T12))),0)</f>
        <v>691.49815721132074</v>
      </c>
      <c r="AD12">
        <f ca="1">IF(B12&lt;&gt;"",1+$D$1*((O12+P12)/365),0)</f>
        <v>1.0040257534246575</v>
      </c>
      <c r="AE12">
        <f ca="1">IF(B12&lt;&gt;"",1/PRODUCT($AD$11:AD12),0)</f>
        <v>0.99212517731865524</v>
      </c>
      <c r="AF12" s="609" t="s">
        <v>1963</v>
      </c>
    </row>
    <row r="13" spans="1:33" ht="13.5" thickBot="1" x14ac:dyDescent="0.35">
      <c r="A13" s="193" t="str">
        <f>WERSJA2!D8</f>
        <v>NIE</v>
      </c>
      <c r="B13" s="248">
        <f t="shared" si="1"/>
        <v>3</v>
      </c>
      <c r="C13" s="249">
        <f t="shared" ref="C13:C76" ca="1" si="6">IF(B13&lt;&gt;"",DATE(YEAR(D12),MONTH(D12)+1,$G$5),"")</f>
        <v>46291</v>
      </c>
      <c r="D13" s="249">
        <f ca="1">IF(B13&lt;&gt;"",IF(MOD(MONTH(C13)-MONTH(C12),12)&gt;1,DATE(YEAR(C13),MONTH(C13),DAY(C13)-DAY(C13)),C13),"")</f>
        <v>46291</v>
      </c>
      <c r="E13" s="250">
        <f t="shared" ref="E13:E70" ca="1" si="7">IF($H$1&lt;&gt;1,IF(B13=$C$5,H13-F13,IF(B13&lt;&gt;"",ROUND(G12*($D$3)*((SUM(O13:P13)/365)),2),"")),"Brak Oferty")</f>
        <v>216.43</v>
      </c>
      <c r="F13" s="250">
        <f t="shared" ref="F13:F76" ca="1" si="8">IF($H$1&lt;&gt;1,IF(B13=$C$5,G12,IF(B13&lt;&gt;"",ROUND((H13-E13),2),"")),"Brak Oferty")</f>
        <v>493.91</v>
      </c>
      <c r="G13" s="250">
        <f t="shared" ca="1" si="2"/>
        <v>29521.7</v>
      </c>
      <c r="H13" s="250">
        <f t="shared" ca="1" si="3"/>
        <v>710.34</v>
      </c>
      <c r="I13" s="99"/>
      <c r="K13" s="240"/>
      <c r="L13" s="199" t="str">
        <f t="shared" ref="L13:L76" si="9">IF(B13&lt;&gt;"",L12,"")</f>
        <v>R</v>
      </c>
      <c r="M13" s="231">
        <f t="shared" ref="M13:M76" ca="1" si="10">IF(B13&lt;&gt;"",DATE(YEAR((D13)),MONTH((D13))+1,1)-1,"")</f>
        <v>46295</v>
      </c>
      <c r="N13" s="231">
        <f ca="1">D13</f>
        <v>46291</v>
      </c>
      <c r="O13" s="199">
        <f ca="1">IF(B13&lt;&gt;"",M12-N12+1,0)</f>
        <v>6</v>
      </c>
      <c r="P13" s="199">
        <f t="shared" ref="P13:P76" ca="1" si="11">IF(B13&lt;&gt;"",N13-M12-1,0)</f>
        <v>25</v>
      </c>
      <c r="Q13" s="199">
        <f t="shared" ca="1" si="0"/>
        <v>365</v>
      </c>
      <c r="R13" s="199">
        <f t="shared" ref="R13:R76" ca="1" si="12">IF(1,O13/Q12,"")</f>
        <v>1.643835616438356E-2</v>
      </c>
      <c r="S13" s="199">
        <f t="shared" ref="S13:S76" ca="1" si="13">IF(1,P13/Q13,"")</f>
        <v>6.8493150684931503E-2</v>
      </c>
      <c r="T13" s="199">
        <f t="shared" ca="1" si="4"/>
        <v>8.4931506849315067E-2</v>
      </c>
      <c r="U13" s="415">
        <f t="shared" ref="U13:U76" ca="1" si="14">IF(B13&lt;&gt;"",1+$D$1*T13,0)</f>
        <v>1.0040257534246575</v>
      </c>
      <c r="V13" s="233">
        <f ca="1">IF(B13&lt;&gt;"",1/PRODUCT($U$11:U13),0)</f>
        <v>0.98814714058338615</v>
      </c>
      <c r="AA13" s="240">
        <f t="shared" ca="1" si="5"/>
        <v>710.34</v>
      </c>
      <c r="AB13" s="963">
        <f ca="1">IF(B13&lt;&gt;"",AA13/((1+$V$5)^(SUM($T$11:T13))),0)</f>
        <v>682.11516723957743</v>
      </c>
      <c r="AD13">
        <f t="shared" ref="AD13:AD76" ca="1" si="15">IF(B13&lt;&gt;"",1+$D$1*((O13+P13)/365),0)</f>
        <v>1.0040257534246575</v>
      </c>
      <c r="AE13">
        <f ca="1">IF(B13&lt;&gt;"",1/PRODUCT($AD$11:AD13),0)</f>
        <v>0.98814714058338615</v>
      </c>
    </row>
    <row r="14" spans="1:33" ht="13" x14ac:dyDescent="0.3">
      <c r="A14" s="194" t="str">
        <f>WERSJA2!C9</f>
        <v>MIEJSCE ZŁOŻENIA WNIOSKU</v>
      </c>
      <c r="B14" s="248">
        <f t="shared" si="1"/>
        <v>4</v>
      </c>
      <c r="C14" s="249">
        <f t="shared" ca="1" si="6"/>
        <v>46321</v>
      </c>
      <c r="D14" s="249">
        <f t="shared" ref="D14:D77" ca="1" si="16">IF(B14&lt;&gt;"",IF(MOD(MONTH(C14)-MONTH(C13),12)&gt;1,DATE(YEAR(C14),MONTH(C14),DAY(C14)-DAY(C14)),C14),"")</f>
        <v>46321</v>
      </c>
      <c r="E14" s="250">
        <f t="shared" ca="1" si="7"/>
        <v>206</v>
      </c>
      <c r="F14" s="250">
        <f t="shared" ca="1" si="8"/>
        <v>504.34</v>
      </c>
      <c r="G14" s="250">
        <f t="shared" ca="1" si="2"/>
        <v>29017.360000000001</v>
      </c>
      <c r="H14" s="250">
        <f t="shared" ca="1" si="3"/>
        <v>710.34</v>
      </c>
      <c r="I14" s="99"/>
      <c r="K14" s="240"/>
      <c r="L14" s="199" t="str">
        <f t="shared" si="9"/>
        <v>R</v>
      </c>
      <c r="M14" s="231">
        <f t="shared" ca="1" si="10"/>
        <v>46326</v>
      </c>
      <c r="N14" s="231">
        <f t="shared" ref="N14:N77" ca="1" si="17">D14</f>
        <v>46321</v>
      </c>
      <c r="O14" s="199">
        <f t="shared" ref="O14:O77" ca="1" si="18">IF(B14&lt;&gt;"",M13-N13+1,0)</f>
        <v>5</v>
      </c>
      <c r="P14" s="199">
        <f t="shared" ca="1" si="11"/>
        <v>25</v>
      </c>
      <c r="Q14" s="199">
        <f t="shared" ca="1" si="0"/>
        <v>365</v>
      </c>
      <c r="R14" s="199">
        <f t="shared" ca="1" si="12"/>
        <v>1.3698630136986301E-2</v>
      </c>
      <c r="S14" s="199">
        <f ca="1">IF(1,P14/Q14,"")</f>
        <v>6.8493150684931503E-2</v>
      </c>
      <c r="T14" s="199">
        <f t="shared" ca="1" si="4"/>
        <v>8.2191780821917804E-2</v>
      </c>
      <c r="U14" s="415">
        <f t="shared" ca="1" si="14"/>
        <v>1.0038958904109589</v>
      </c>
      <c r="V14" s="233">
        <f ca="1">IF(B14&lt;&gt;"",1/PRODUCT($U$11:U14),0)</f>
        <v>0.98431236746957307</v>
      </c>
      <c r="AA14" s="240">
        <f t="shared" ca="1" si="5"/>
        <v>710.34</v>
      </c>
      <c r="AB14" s="240">
        <f ca="1">IF(B14&lt;&gt;"",AA14/((1+$V$5)^(SUM($T$11:T14))),0)</f>
        <v>673.1560962731262</v>
      </c>
      <c r="AD14">
        <f t="shared" ca="1" si="15"/>
        <v>1.0038958904109589</v>
      </c>
      <c r="AE14">
        <f ca="1">IF(B14&lt;&gt;"",1/PRODUCT($AD$11:AD14),0)</f>
        <v>0.98431236746957307</v>
      </c>
    </row>
    <row r="15" spans="1:33" ht="13.5" thickBot="1" x14ac:dyDescent="0.35">
      <c r="A15" s="193" t="str">
        <f>WERSJA2!D9</f>
        <v>MOJE ING</v>
      </c>
      <c r="B15" s="248">
        <f t="shared" si="1"/>
        <v>5</v>
      </c>
      <c r="C15" s="249">
        <f t="shared" ca="1" si="6"/>
        <v>46352</v>
      </c>
      <c r="D15" s="249">
        <f ca="1">IF(B15&lt;&gt;"",IF(MOD(MONTH(C15)-MONTH(C14),12)&gt;1,DATE(YEAR(C15),MONTH(C15),DAY(C15)-DAY(C15)),C15),"")</f>
        <v>46352</v>
      </c>
      <c r="E15" s="250">
        <f t="shared" ca="1" si="7"/>
        <v>209.24</v>
      </c>
      <c r="F15" s="250">
        <f t="shared" ca="1" si="8"/>
        <v>501.1</v>
      </c>
      <c r="G15" s="250">
        <f t="shared" ca="1" si="2"/>
        <v>28516.260000000002</v>
      </c>
      <c r="H15" s="250">
        <f t="shared" ca="1" si="3"/>
        <v>710.34</v>
      </c>
      <c r="I15" s="99"/>
      <c r="K15" s="240"/>
      <c r="L15" s="199" t="str">
        <f t="shared" si="9"/>
        <v>R</v>
      </c>
      <c r="M15" s="231">
        <f t="shared" ca="1" si="10"/>
        <v>46356</v>
      </c>
      <c r="N15" s="231">
        <f t="shared" ca="1" si="17"/>
        <v>46352</v>
      </c>
      <c r="O15" s="199">
        <f t="shared" ca="1" si="18"/>
        <v>6</v>
      </c>
      <c r="P15" s="199">
        <f t="shared" ca="1" si="11"/>
        <v>25</v>
      </c>
      <c r="Q15" s="199">
        <f t="shared" ca="1" si="0"/>
        <v>365</v>
      </c>
      <c r="R15" s="199">
        <f t="shared" ca="1" si="12"/>
        <v>1.643835616438356E-2</v>
      </c>
      <c r="S15" s="199">
        <f t="shared" ca="1" si="13"/>
        <v>6.8493150684931503E-2</v>
      </c>
      <c r="T15" s="199">
        <f t="shared" ca="1" si="4"/>
        <v>8.4931506849315067E-2</v>
      </c>
      <c r="U15" s="415">
        <f t="shared" ca="1" si="14"/>
        <v>1.0040257534246575</v>
      </c>
      <c r="V15" s="233">
        <f ca="1">IF(B15&lt;&gt;"",1/PRODUCT($U$11:U15),0)</f>
        <v>0.9803656570682141</v>
      </c>
      <c r="AA15" s="240">
        <f t="shared" ca="1" si="5"/>
        <v>710.34</v>
      </c>
      <c r="AB15" s="240">
        <f ca="1">IF(B15&lt;&gt;"",AA15/((1+$V$5)^(SUM($T$11:T15))),0)</f>
        <v>664.02199109167395</v>
      </c>
      <c r="AD15">
        <f t="shared" ca="1" si="15"/>
        <v>1.0040257534246575</v>
      </c>
      <c r="AE15">
        <f ca="1">IF(B15&lt;&gt;"",1/PRODUCT($AD$11:AD15),0)</f>
        <v>0.9803656570682141</v>
      </c>
    </row>
    <row r="16" spans="1:33" ht="13" x14ac:dyDescent="0.3">
      <c r="A16" s="194" t="str">
        <f>WERSJA2!C13</f>
        <v>LICZBA RAT W MIESIĄCACH</v>
      </c>
      <c r="B16" s="248">
        <f t="shared" si="1"/>
        <v>6</v>
      </c>
      <c r="C16" s="249">
        <f t="shared" ca="1" si="6"/>
        <v>46382</v>
      </c>
      <c r="D16" s="249">
        <f t="shared" ca="1" si="16"/>
        <v>46382</v>
      </c>
      <c r="E16" s="250">
        <f ca="1">IF($H$1&lt;&gt;1,IF(B16=$C$5,H16-F16,IF(B16&lt;&gt;"",ROUND(G15*($D$3)*((SUM(O16:P16)/365)),2),"")),"Brak Oferty")</f>
        <v>198.99</v>
      </c>
      <c r="F16" s="250">
        <f t="shared" ca="1" si="8"/>
        <v>511.35</v>
      </c>
      <c r="G16" s="250">
        <f t="shared" ca="1" si="2"/>
        <v>28004.910000000003</v>
      </c>
      <c r="H16" s="250">
        <f t="shared" ca="1" si="3"/>
        <v>710.34</v>
      </c>
      <c r="I16" s="99"/>
      <c r="K16" s="240"/>
      <c r="L16" s="199" t="str">
        <f t="shared" si="9"/>
        <v>R</v>
      </c>
      <c r="M16" s="231">
        <f t="shared" ca="1" si="10"/>
        <v>46387</v>
      </c>
      <c r="N16" s="231">
        <f t="shared" ca="1" si="17"/>
        <v>46382</v>
      </c>
      <c r="O16" s="199">
        <f t="shared" ca="1" si="18"/>
        <v>5</v>
      </c>
      <c r="P16" s="199">
        <f t="shared" ca="1" si="11"/>
        <v>25</v>
      </c>
      <c r="Q16" s="199">
        <f t="shared" ca="1" si="0"/>
        <v>365</v>
      </c>
      <c r="R16" s="199">
        <f t="shared" ca="1" si="12"/>
        <v>1.3698630136986301E-2</v>
      </c>
      <c r="S16" s="199">
        <f t="shared" ca="1" si="13"/>
        <v>6.8493150684931503E-2</v>
      </c>
      <c r="T16" s="199">
        <f t="shared" ca="1" si="4"/>
        <v>8.2191780821917804E-2</v>
      </c>
      <c r="U16" s="415">
        <f t="shared" ca="1" si="14"/>
        <v>1.0038958904109589</v>
      </c>
      <c r="V16" s="233">
        <f ca="1">IF(B16&lt;&gt;"",1/PRODUCT($U$11:U16),0)</f>
        <v>0.97656108211269566</v>
      </c>
      <c r="AA16" s="240">
        <f t="shared" ca="1" si="5"/>
        <v>710.34</v>
      </c>
      <c r="AB16" s="240">
        <f ca="1">IF(B16&lt;&gt;"",AA16/((1+$V$5)^(SUM($T$11:T16))),0)</f>
        <v>655.30056041956414</v>
      </c>
      <c r="AD16">
        <f t="shared" ca="1" si="15"/>
        <v>1.0038958904109589</v>
      </c>
      <c r="AE16">
        <f ca="1">IF(B16&lt;&gt;"",1/PRODUCT($AD$11:AD16),0)</f>
        <v>0.97656108211269566</v>
      </c>
    </row>
    <row r="17" spans="1:35" ht="13.5" thickBot="1" x14ac:dyDescent="0.35">
      <c r="A17" s="195">
        <f>WERSJA2!D13</f>
        <v>48</v>
      </c>
      <c r="B17" s="248">
        <f t="shared" si="1"/>
        <v>7</v>
      </c>
      <c r="C17" s="249">
        <f t="shared" ca="1" si="6"/>
        <v>46413</v>
      </c>
      <c r="D17" s="249">
        <f t="shared" ca="1" si="16"/>
        <v>46413</v>
      </c>
      <c r="E17" s="250">
        <f t="shared" ca="1" si="7"/>
        <v>201.93</v>
      </c>
      <c r="F17" s="250">
        <f t="shared" ca="1" si="8"/>
        <v>508.41</v>
      </c>
      <c r="G17" s="250">
        <f t="shared" ca="1" si="2"/>
        <v>27496.500000000004</v>
      </c>
      <c r="H17" s="250">
        <f t="shared" ca="1" si="3"/>
        <v>710.34</v>
      </c>
      <c r="I17" s="99"/>
      <c r="K17" s="240"/>
      <c r="L17" s="199" t="str">
        <f t="shared" si="9"/>
        <v>R</v>
      </c>
      <c r="M17" s="231">
        <f t="shared" ca="1" si="10"/>
        <v>46418</v>
      </c>
      <c r="N17" s="231">
        <f t="shared" ca="1" si="17"/>
        <v>46413</v>
      </c>
      <c r="O17" s="199">
        <f t="shared" ca="1" si="18"/>
        <v>6</v>
      </c>
      <c r="P17" s="199">
        <f t="shared" ca="1" si="11"/>
        <v>25</v>
      </c>
      <c r="Q17" s="199">
        <f t="shared" ca="1" si="0"/>
        <v>365</v>
      </c>
      <c r="R17" s="199">
        <f t="shared" ca="1" si="12"/>
        <v>1.643835616438356E-2</v>
      </c>
      <c r="S17" s="199">
        <f t="shared" ca="1" si="13"/>
        <v>6.8493150684931503E-2</v>
      </c>
      <c r="T17" s="199">
        <f t="shared" ca="1" si="4"/>
        <v>8.4931506849315067E-2</v>
      </c>
      <c r="U17" s="415">
        <f t="shared" ca="1" si="14"/>
        <v>1.0040257534246575</v>
      </c>
      <c r="V17" s="233">
        <f ca="1">IF(B17&lt;&gt;"",1/PRODUCT($U$11:U17),0)</f>
        <v>0.97264545135592195</v>
      </c>
      <c r="AA17" s="240">
        <f t="shared" ca="1" si="5"/>
        <v>710.34</v>
      </c>
      <c r="AB17" s="240">
        <f ca="1">IF(B17&lt;&gt;"",AA17/((1+$V$5)^(SUM($T$11:T17))),0)</f>
        <v>646.40873833331159</v>
      </c>
      <c r="AD17">
        <f t="shared" ca="1" si="15"/>
        <v>1.0040257534246575</v>
      </c>
      <c r="AE17">
        <f ca="1">IF(B17&lt;&gt;"",1/PRODUCT($AD$11:AD17),0)</f>
        <v>0.97264545135592195</v>
      </c>
    </row>
    <row r="18" spans="1:35" ht="13" x14ac:dyDescent="0.3">
      <c r="A18" s="194" t="str">
        <f>WERSJA2!I5</f>
        <v>PROWIZJA (KWOTA)</v>
      </c>
      <c r="B18" s="248">
        <f t="shared" si="1"/>
        <v>8</v>
      </c>
      <c r="C18" s="249">
        <f t="shared" ca="1" si="6"/>
        <v>46444</v>
      </c>
      <c r="D18" s="249">
        <f t="shared" ca="1" si="16"/>
        <v>46444</v>
      </c>
      <c r="E18" s="250">
        <f t="shared" ca="1" si="7"/>
        <v>198.27</v>
      </c>
      <c r="F18" s="250">
        <f t="shared" ca="1" si="8"/>
        <v>512.07000000000005</v>
      </c>
      <c r="G18" s="250">
        <f t="shared" ca="1" si="2"/>
        <v>26984.430000000004</v>
      </c>
      <c r="H18" s="250">
        <f t="shared" ca="1" si="3"/>
        <v>710.34</v>
      </c>
      <c r="I18" s="99"/>
      <c r="K18" s="240"/>
      <c r="L18" s="199" t="str">
        <f t="shared" si="9"/>
        <v>R</v>
      </c>
      <c r="M18" s="231">
        <f t="shared" ca="1" si="10"/>
        <v>46446</v>
      </c>
      <c r="N18" s="231">
        <f t="shared" ca="1" si="17"/>
        <v>46444</v>
      </c>
      <c r="O18" s="199">
        <f t="shared" ca="1" si="18"/>
        <v>6</v>
      </c>
      <c r="P18" s="199">
        <f t="shared" ca="1" si="11"/>
        <v>25</v>
      </c>
      <c r="Q18" s="199">
        <f t="shared" ca="1" si="0"/>
        <v>365</v>
      </c>
      <c r="R18" s="199">
        <f t="shared" ca="1" si="12"/>
        <v>1.643835616438356E-2</v>
      </c>
      <c r="S18" s="199">
        <f t="shared" ca="1" si="13"/>
        <v>6.8493150684931503E-2</v>
      </c>
      <c r="T18" s="199">
        <f t="shared" ca="1" si="4"/>
        <v>8.4931506849315067E-2</v>
      </c>
      <c r="U18" s="415">
        <f t="shared" ca="1" si="14"/>
        <v>1.0040257534246575</v>
      </c>
      <c r="V18" s="233">
        <f ca="1">IF(B18&lt;&gt;"",1/PRODUCT($U$11:U18),0)</f>
        <v>0.96874552075810838</v>
      </c>
      <c r="AA18" s="240">
        <f t="shared" ca="1" si="5"/>
        <v>710.34</v>
      </c>
      <c r="AB18" s="240">
        <f ca="1">IF(B18&lt;&gt;"",AA18/((1+$V$5)^(SUM($T$11:T18))),0)</f>
        <v>637.63757004287299</v>
      </c>
      <c r="AD18">
        <f t="shared" ca="1" si="15"/>
        <v>1.0040257534246575</v>
      </c>
      <c r="AE18">
        <f ca="1">IF(B18&lt;&gt;"",1/PRODUCT($AD$11:AD18),0)</f>
        <v>0.96874552075810838</v>
      </c>
    </row>
    <row r="19" spans="1:35" ht="13.5" thickBot="1" x14ac:dyDescent="0.35">
      <c r="A19" s="196">
        <f>WERSJA2!J5</f>
        <v>0</v>
      </c>
      <c r="B19" s="248">
        <f t="shared" si="1"/>
        <v>9</v>
      </c>
      <c r="C19" s="249">
        <f t="shared" ca="1" si="6"/>
        <v>46472</v>
      </c>
      <c r="D19" s="249">
        <f t="shared" ca="1" si="16"/>
        <v>46472</v>
      </c>
      <c r="E19" s="250">
        <f t="shared" ca="1" si="7"/>
        <v>175.75</v>
      </c>
      <c r="F19" s="250">
        <f t="shared" ca="1" si="8"/>
        <v>534.59</v>
      </c>
      <c r="G19" s="250">
        <f t="shared" ca="1" si="2"/>
        <v>26449.840000000004</v>
      </c>
      <c r="H19" s="250">
        <f t="shared" ca="1" si="3"/>
        <v>710.34</v>
      </c>
      <c r="I19" s="99"/>
      <c r="K19" s="240"/>
      <c r="L19" s="199" t="str">
        <f t="shared" si="9"/>
        <v>R</v>
      </c>
      <c r="M19" s="231">
        <f t="shared" ca="1" si="10"/>
        <v>46477</v>
      </c>
      <c r="N19" s="231">
        <f t="shared" ca="1" si="17"/>
        <v>46472</v>
      </c>
      <c r="O19" s="199">
        <f t="shared" ca="1" si="18"/>
        <v>3</v>
      </c>
      <c r="P19" s="199">
        <f t="shared" ca="1" si="11"/>
        <v>25</v>
      </c>
      <c r="Q19" s="199">
        <f t="shared" ca="1" si="0"/>
        <v>365</v>
      </c>
      <c r="R19" s="199">
        <f t="shared" ca="1" si="12"/>
        <v>8.21917808219178E-3</v>
      </c>
      <c r="S19" s="199">
        <f t="shared" ca="1" si="13"/>
        <v>6.8493150684931503E-2</v>
      </c>
      <c r="T19" s="199">
        <f t="shared" ca="1" si="4"/>
        <v>7.6712328767123278E-2</v>
      </c>
      <c r="U19" s="415">
        <f t="shared" ca="1" si="14"/>
        <v>1.0036361643835616</v>
      </c>
      <c r="V19" s="233">
        <f ca="1">IF(B19&lt;&gt;"",1/PRODUCT($U$11:U19),0)</f>
        <v>0.96523576484822726</v>
      </c>
      <c r="AA19" s="240">
        <f t="shared" ca="1" si="5"/>
        <v>710.34</v>
      </c>
      <c r="AB19" s="240">
        <f ca="1">IF(B19&lt;&gt;"",AA19/((1+$V$5)^(SUM($T$11:T19))),0)</f>
        <v>629.81756677159649</v>
      </c>
      <c r="AD19">
        <f t="shared" ca="1" si="15"/>
        <v>1.0036361643835616</v>
      </c>
      <c r="AE19">
        <f ca="1">IF(B19&lt;&gt;"",1/PRODUCT($AD$11:AD19),0)</f>
        <v>0.96523576484822726</v>
      </c>
    </row>
    <row r="20" spans="1:35" ht="13" x14ac:dyDescent="0.3">
      <c r="A20" s="194" t="str">
        <f>WERSJA2!I6</f>
        <v>KWOTA UBEZPIECZENIA jednorazowego</v>
      </c>
      <c r="B20" s="248">
        <f t="shared" si="1"/>
        <v>10</v>
      </c>
      <c r="C20" s="249">
        <f t="shared" ca="1" si="6"/>
        <v>46503</v>
      </c>
      <c r="D20" s="249">
        <f t="shared" ca="1" si="16"/>
        <v>46503</v>
      </c>
      <c r="E20" s="250">
        <f t="shared" ca="1" si="7"/>
        <v>190.72</v>
      </c>
      <c r="F20" s="250">
        <f t="shared" ca="1" si="8"/>
        <v>519.62</v>
      </c>
      <c r="G20" s="250">
        <f t="shared" ca="1" si="2"/>
        <v>25930.220000000005</v>
      </c>
      <c r="H20" s="250">
        <f t="shared" ca="1" si="3"/>
        <v>710.34</v>
      </c>
      <c r="I20" s="99"/>
      <c r="K20" s="240"/>
      <c r="L20" s="199" t="str">
        <f t="shared" si="9"/>
        <v>R</v>
      </c>
      <c r="M20" s="231">
        <f t="shared" ca="1" si="10"/>
        <v>46507</v>
      </c>
      <c r="N20" s="231">
        <f t="shared" ca="1" si="17"/>
        <v>46503</v>
      </c>
      <c r="O20" s="199">
        <f t="shared" ca="1" si="18"/>
        <v>6</v>
      </c>
      <c r="P20" s="199">
        <f t="shared" ca="1" si="11"/>
        <v>25</v>
      </c>
      <c r="Q20" s="199">
        <f t="shared" ca="1" si="0"/>
        <v>365</v>
      </c>
      <c r="R20" s="928">
        <f ca="1">IF(B20&lt;&gt;"",O20/Q19,"")</f>
        <v>1.643835616438356E-2</v>
      </c>
      <c r="S20" s="199">
        <f t="shared" ca="1" si="13"/>
        <v>6.8493150684931503E-2</v>
      </c>
      <c r="T20" s="199">
        <f t="shared" ca="1" si="4"/>
        <v>8.4931506849315067E-2</v>
      </c>
      <c r="U20" s="415">
        <f t="shared" ca="1" si="14"/>
        <v>1.0040257534246575</v>
      </c>
      <c r="V20" s="233">
        <f ca="1">IF(B20&lt;&gt;"",1/PRODUCT($U$11:U20),0)</f>
        <v>0.96136554421625087</v>
      </c>
      <c r="AA20" s="240">
        <f t="shared" ca="1" si="5"/>
        <v>710.34</v>
      </c>
      <c r="AB20" s="240">
        <f ca="1">IF(B20&lt;&gt;"",AA20/((1+$V$5)^(SUM($T$11:T20))),0)</f>
        <v>621.27152532315961</v>
      </c>
      <c r="AD20">
        <f t="shared" ca="1" si="15"/>
        <v>1.0040257534246575</v>
      </c>
      <c r="AE20">
        <f ca="1">IF(B20&lt;&gt;"",1/PRODUCT($AD$11:AD20),0)</f>
        <v>0.96136554421625087</v>
      </c>
    </row>
    <row r="21" spans="1:35" ht="13.5" thickBot="1" x14ac:dyDescent="0.35">
      <c r="A21" s="196">
        <f>WERSJA2!J6</f>
        <v>0</v>
      </c>
      <c r="B21" s="248">
        <f t="shared" si="1"/>
        <v>11</v>
      </c>
      <c r="C21" s="249">
        <f t="shared" ca="1" si="6"/>
        <v>46533</v>
      </c>
      <c r="D21" s="249">
        <f t="shared" ca="1" si="16"/>
        <v>46533</v>
      </c>
      <c r="E21" s="250">
        <f t="shared" ca="1" si="7"/>
        <v>180.94</v>
      </c>
      <c r="F21" s="250">
        <f t="shared" ca="1" si="8"/>
        <v>529.4</v>
      </c>
      <c r="G21" s="250">
        <f t="shared" ca="1" si="2"/>
        <v>25400.820000000003</v>
      </c>
      <c r="H21" s="250">
        <f t="shared" ca="1" si="3"/>
        <v>710.34</v>
      </c>
      <c r="I21" s="99"/>
      <c r="K21" s="240"/>
      <c r="L21" s="199" t="str">
        <f t="shared" si="9"/>
        <v>R</v>
      </c>
      <c r="M21" s="231">
        <f t="shared" ca="1" si="10"/>
        <v>46538</v>
      </c>
      <c r="N21" s="231">
        <f t="shared" ca="1" si="17"/>
        <v>46533</v>
      </c>
      <c r="O21" s="199">
        <f t="shared" ca="1" si="18"/>
        <v>5</v>
      </c>
      <c r="P21" s="199">
        <f t="shared" ca="1" si="11"/>
        <v>25</v>
      </c>
      <c r="Q21" s="199">
        <f t="shared" ca="1" si="0"/>
        <v>365</v>
      </c>
      <c r="R21" s="199">
        <f t="shared" ca="1" si="12"/>
        <v>1.3698630136986301E-2</v>
      </c>
      <c r="S21" s="199">
        <f t="shared" ca="1" si="13"/>
        <v>6.8493150684931503E-2</v>
      </c>
      <c r="T21" s="199">
        <f t="shared" ca="1" si="4"/>
        <v>8.2191780821917804E-2</v>
      </c>
      <c r="U21" s="415">
        <f t="shared" ca="1" si="14"/>
        <v>1.0038958904109589</v>
      </c>
      <c r="V21" s="233">
        <f ca="1">IF(B21&lt;&gt;"",1/PRODUCT($U$11:U21),0)</f>
        <v>0.95763470435435538</v>
      </c>
      <c r="AA21" s="240">
        <f t="shared" ca="1" si="5"/>
        <v>710.34</v>
      </c>
      <c r="AB21" s="240">
        <f ca="1">IF(B21&lt;&gt;"",AA21/((1+$V$5)^(SUM($T$11:T21))),0)</f>
        <v>613.11158994548657</v>
      </c>
      <c r="AD21">
        <f t="shared" ca="1" si="15"/>
        <v>1.0038958904109589</v>
      </c>
      <c r="AE21">
        <f ca="1">IF(B21&lt;&gt;"",1/PRODUCT($AD$11:AD21),0)</f>
        <v>0.95763470435435538</v>
      </c>
    </row>
    <row r="22" spans="1:35" ht="13" x14ac:dyDescent="0.3">
      <c r="A22" s="194" t="s">
        <v>40</v>
      </c>
      <c r="B22" s="248">
        <f t="shared" si="1"/>
        <v>12</v>
      </c>
      <c r="C22" s="249">
        <f t="shared" ca="1" si="6"/>
        <v>46564</v>
      </c>
      <c r="D22" s="249">
        <f t="shared" ca="1" si="16"/>
        <v>46564</v>
      </c>
      <c r="E22" s="250">
        <f t="shared" ca="1" si="7"/>
        <v>183.16</v>
      </c>
      <c r="F22" s="250">
        <f t="shared" ca="1" si="8"/>
        <v>527.17999999999995</v>
      </c>
      <c r="G22" s="250">
        <f t="shared" ca="1" si="2"/>
        <v>24873.640000000003</v>
      </c>
      <c r="H22" s="250">
        <f t="shared" ca="1" si="3"/>
        <v>710.34</v>
      </c>
      <c r="I22" s="99"/>
      <c r="K22" s="240"/>
      <c r="L22" s="199" t="str">
        <f t="shared" si="9"/>
        <v>R</v>
      </c>
      <c r="M22" s="231">
        <f t="shared" ca="1" si="10"/>
        <v>46568</v>
      </c>
      <c r="N22" s="231">
        <f t="shared" ca="1" si="17"/>
        <v>46564</v>
      </c>
      <c r="O22" s="199">
        <f t="shared" ca="1" si="18"/>
        <v>6</v>
      </c>
      <c r="P22" s="199">
        <f t="shared" ca="1" si="11"/>
        <v>25</v>
      </c>
      <c r="Q22" s="199">
        <f t="shared" ca="1" si="0"/>
        <v>365</v>
      </c>
      <c r="R22" s="199">
        <f t="shared" ca="1" si="12"/>
        <v>1.643835616438356E-2</v>
      </c>
      <c r="S22" s="199">
        <f t="shared" ca="1" si="13"/>
        <v>6.8493150684931503E-2</v>
      </c>
      <c r="T22" s="199">
        <f t="shared" ca="1" si="4"/>
        <v>8.4931506849315067E-2</v>
      </c>
      <c r="U22" s="415">
        <f t="shared" ca="1" si="14"/>
        <v>1.0040257534246575</v>
      </c>
      <c r="V22" s="233">
        <f ca="1">IF(B22&lt;&gt;"",1/PRODUCT($U$11:U22),0)</f>
        <v>0.9537949610235934</v>
      </c>
      <c r="AA22" s="240">
        <f t="shared" ca="1" si="5"/>
        <v>710.34</v>
      </c>
      <c r="AB22" s="240">
        <f ca="1">IF(B22&lt;&gt;"",AA22/((1+$V$5)^(SUM($T$11:T22))),0)</f>
        <v>604.79223314023045</v>
      </c>
      <c r="AD22">
        <f t="shared" ca="1" si="15"/>
        <v>1.0040257534246575</v>
      </c>
      <c r="AE22">
        <f ca="1">IF(B22&lt;&gt;"",1/PRODUCT($AD$11:AD22),0)</f>
        <v>0.9537949610235934</v>
      </c>
    </row>
    <row r="23" spans="1:35" ht="13.5" thickBot="1" x14ac:dyDescent="0.35">
      <c r="A23" s="196">
        <f>G10</f>
        <v>31000</v>
      </c>
      <c r="B23" s="248">
        <f t="shared" si="1"/>
        <v>13</v>
      </c>
      <c r="C23" s="249">
        <f t="shared" ca="1" si="6"/>
        <v>46594</v>
      </c>
      <c r="D23" s="249">
        <f t="shared" ca="1" si="16"/>
        <v>46594</v>
      </c>
      <c r="E23" s="250">
        <f t="shared" ca="1" si="7"/>
        <v>173.57</v>
      </c>
      <c r="F23" s="250">
        <f t="shared" ca="1" si="8"/>
        <v>536.77</v>
      </c>
      <c r="G23" s="250">
        <f t="shared" ca="1" si="2"/>
        <v>24336.870000000003</v>
      </c>
      <c r="H23" s="250">
        <f t="shared" ca="1" si="3"/>
        <v>710.34</v>
      </c>
      <c r="I23" s="99"/>
      <c r="K23" s="240"/>
      <c r="L23" s="199" t="str">
        <f t="shared" si="9"/>
        <v>R</v>
      </c>
      <c r="M23" s="231">
        <f t="shared" ca="1" si="10"/>
        <v>46599</v>
      </c>
      <c r="N23" s="231">
        <f t="shared" ca="1" si="17"/>
        <v>46594</v>
      </c>
      <c r="O23" s="199">
        <f t="shared" ca="1" si="18"/>
        <v>5</v>
      </c>
      <c r="P23" s="199">
        <f t="shared" ca="1" si="11"/>
        <v>25</v>
      </c>
      <c r="Q23" s="199">
        <f t="shared" ca="1" si="0"/>
        <v>365</v>
      </c>
      <c r="R23" s="199">
        <f t="shared" ca="1" si="12"/>
        <v>1.3698630136986301E-2</v>
      </c>
      <c r="S23" s="199">
        <f t="shared" ca="1" si="13"/>
        <v>6.8493150684931503E-2</v>
      </c>
      <c r="T23" s="199">
        <f t="shared" ca="1" si="4"/>
        <v>8.2191780821917804E-2</v>
      </c>
      <c r="U23" s="415">
        <f t="shared" ca="1" si="14"/>
        <v>1.0038958904109589</v>
      </c>
      <c r="V23" s="233">
        <f ca="1">IF(B23&lt;&gt;"",1/PRODUCT($U$11:U23),0)</f>
        <v>0.95009350086406275</v>
      </c>
      <c r="AA23" s="240">
        <f t="shared" ca="1" si="5"/>
        <v>710.34</v>
      </c>
      <c r="AB23" s="240">
        <f ca="1">IF(B23&lt;&gt;"",AA23/((1+$V$5)^(SUM($T$11:T23))),0)</f>
        <v>596.84874090183132</v>
      </c>
      <c r="AD23">
        <f t="shared" ca="1" si="15"/>
        <v>1.0038958904109589</v>
      </c>
      <c r="AE23">
        <f ca="1">IF(B23&lt;&gt;"",1/PRODUCT($AD$11:AD23),0)</f>
        <v>0.95009350086406275</v>
      </c>
    </row>
    <row r="24" spans="1:35" ht="13" x14ac:dyDescent="0.3">
      <c r="A24" s="194" t="s">
        <v>162</v>
      </c>
      <c r="B24" s="248">
        <f t="shared" si="1"/>
        <v>14</v>
      </c>
      <c r="C24" s="249">
        <f t="shared" ca="1" si="6"/>
        <v>46625</v>
      </c>
      <c r="D24" s="249">
        <f t="shared" ca="1" si="16"/>
        <v>46625</v>
      </c>
      <c r="E24" s="250">
        <f ca="1">IF($H$1&lt;&gt;1,IF(B24=$C$5,H24-F24,IF(B24&lt;&gt;"",ROUND(G23*($D$3)*((SUM(O24:P24)/365)),2),"")),"Brak Oferty")</f>
        <v>175.49</v>
      </c>
      <c r="F24" s="250">
        <f t="shared" ca="1" si="8"/>
        <v>534.85</v>
      </c>
      <c r="G24" s="250">
        <f t="shared" ca="1" si="2"/>
        <v>23802.020000000004</v>
      </c>
      <c r="H24" s="250">
        <f t="shared" ca="1" si="3"/>
        <v>710.34</v>
      </c>
      <c r="I24" s="99"/>
      <c r="K24" s="240"/>
      <c r="L24" s="199" t="str">
        <f t="shared" si="9"/>
        <v>R</v>
      </c>
      <c r="M24" s="231">
        <f t="shared" ca="1" si="10"/>
        <v>46630</v>
      </c>
      <c r="N24" s="231">
        <f t="shared" ca="1" si="17"/>
        <v>46625</v>
      </c>
      <c r="O24" s="199">
        <f ca="1">IF(B24&lt;&gt;"",M23-N23+1,0)</f>
        <v>6</v>
      </c>
      <c r="P24" s="199">
        <f t="shared" ca="1" si="11"/>
        <v>25</v>
      </c>
      <c r="Q24" s="199">
        <f t="shared" ca="1" si="0"/>
        <v>365</v>
      </c>
      <c r="R24" s="928">
        <f ca="1">IF(B24&lt;&gt;"",O24/Q23,0)</f>
        <v>1.643835616438356E-2</v>
      </c>
      <c r="S24" s="199">
        <f t="shared" ca="1" si="13"/>
        <v>6.8493150684931503E-2</v>
      </c>
      <c r="T24" s="199">
        <f t="shared" ca="1" si="4"/>
        <v>8.4931506849315067E-2</v>
      </c>
      <c r="U24" s="415">
        <f t="shared" ca="1" si="14"/>
        <v>1.0040257534246575</v>
      </c>
      <c r="V24" s="233">
        <f ca="1">IF(B24&lt;&gt;"",1/PRODUCT($U$11:U24),0)</f>
        <v>0.94628399483117254</v>
      </c>
      <c r="AA24" s="240">
        <f t="shared" ca="1" si="5"/>
        <v>710.34</v>
      </c>
      <c r="AB24" s="240">
        <f ca="1">IF(B24&lt;&gt;"",AA24/((1+$V$5)^(SUM($T$11:T24))),0)</f>
        <v>588.75005590588842</v>
      </c>
      <c r="AD24">
        <f t="shared" ca="1" si="15"/>
        <v>1.0040257534246575</v>
      </c>
      <c r="AE24">
        <f ca="1">IF(B24&lt;&gt;"",1/PRODUCT($AD$11:AD24),0)</f>
        <v>0.94628399483117254</v>
      </c>
    </row>
    <row r="25" spans="1:35" ht="13.5" thickBot="1" x14ac:dyDescent="0.35">
      <c r="A25" s="196">
        <f ca="1">SUM(E11:E130)</f>
        <v>3096.3199999999892</v>
      </c>
      <c r="B25" s="248">
        <f t="shared" si="1"/>
        <v>15</v>
      </c>
      <c r="C25" s="249">
        <f t="shared" ca="1" si="6"/>
        <v>46656</v>
      </c>
      <c r="D25" s="249">
        <f t="shared" ca="1" si="16"/>
        <v>46656</v>
      </c>
      <c r="E25" s="250">
        <f t="shared" ca="1" si="7"/>
        <v>171.63</v>
      </c>
      <c r="F25" s="250">
        <f t="shared" ca="1" si="8"/>
        <v>538.71</v>
      </c>
      <c r="G25" s="250">
        <f t="shared" ca="1" si="2"/>
        <v>23263.310000000005</v>
      </c>
      <c r="H25" s="250">
        <f t="shared" ca="1" si="3"/>
        <v>710.34</v>
      </c>
      <c r="I25" s="99"/>
      <c r="K25" s="231"/>
      <c r="L25" s="199" t="str">
        <f t="shared" si="9"/>
        <v>R</v>
      </c>
      <c r="M25" s="231">
        <f t="shared" ca="1" si="10"/>
        <v>46660</v>
      </c>
      <c r="N25" s="231">
        <f t="shared" ca="1" si="17"/>
        <v>46656</v>
      </c>
      <c r="O25" s="199">
        <f t="shared" ca="1" si="18"/>
        <v>6</v>
      </c>
      <c r="P25" s="199">
        <f t="shared" ca="1" si="11"/>
        <v>25</v>
      </c>
      <c r="Q25" s="199">
        <f t="shared" ca="1" si="0"/>
        <v>365</v>
      </c>
      <c r="R25" s="928">
        <f t="shared" ref="R25:R26" ca="1" si="19">IF(B25&lt;&gt;"",O25/Q24,0)</f>
        <v>1.643835616438356E-2</v>
      </c>
      <c r="S25" s="199">
        <f t="shared" ca="1" si="13"/>
        <v>6.8493150684931503E-2</v>
      </c>
      <c r="T25" s="199">
        <f t="shared" ca="1" si="4"/>
        <v>8.4931506849315067E-2</v>
      </c>
      <c r="U25" s="415">
        <f t="shared" ca="1" si="14"/>
        <v>1.0040257534246575</v>
      </c>
      <c r="V25" s="233">
        <f ca="1">IF(B25&lt;&gt;"",1/PRODUCT($U$11:U25),0)</f>
        <v>0.94248976343830615</v>
      </c>
      <c r="AA25" s="240">
        <f t="shared" ca="1" si="5"/>
        <v>710.34</v>
      </c>
      <c r="AB25" s="240">
        <f ca="1">IF(B25&lt;&gt;"",AA25/((1+$V$5)^(SUM($T$11:T25))),0)</f>
        <v>580.76126256953819</v>
      </c>
      <c r="AD25">
        <f t="shared" ca="1" si="15"/>
        <v>1.0040257534246575</v>
      </c>
      <c r="AE25">
        <f ca="1">IF(B25&lt;&gt;"",1/PRODUCT($AD$11:AD25),0)</f>
        <v>0.94248976343830615</v>
      </c>
      <c r="AI25">
        <v>-3.7778706683311344E+16</v>
      </c>
    </row>
    <row r="26" spans="1:35" ht="13" x14ac:dyDescent="0.3">
      <c r="A26" s="194" t="s">
        <v>138</v>
      </c>
      <c r="B26" s="248">
        <f t="shared" si="1"/>
        <v>16</v>
      </c>
      <c r="C26" s="249">
        <f t="shared" ca="1" si="6"/>
        <v>46686</v>
      </c>
      <c r="D26" s="249">
        <f t="shared" ca="1" si="16"/>
        <v>46686</v>
      </c>
      <c r="E26" s="250">
        <f t="shared" ca="1" si="7"/>
        <v>162.33000000000001</v>
      </c>
      <c r="F26" s="250">
        <f t="shared" ca="1" si="8"/>
        <v>548.01</v>
      </c>
      <c r="G26" s="250">
        <f t="shared" ca="1" si="2"/>
        <v>22715.300000000007</v>
      </c>
      <c r="H26" s="250">
        <f t="shared" ca="1" si="3"/>
        <v>710.34</v>
      </c>
      <c r="I26" s="99"/>
      <c r="K26" s="231"/>
      <c r="L26" s="199" t="str">
        <f t="shared" si="9"/>
        <v>R</v>
      </c>
      <c r="M26" s="231">
        <f t="shared" ca="1" si="10"/>
        <v>46691</v>
      </c>
      <c r="N26" s="231">
        <f t="shared" ca="1" si="17"/>
        <v>46686</v>
      </c>
      <c r="O26" s="199">
        <f t="shared" ca="1" si="18"/>
        <v>5</v>
      </c>
      <c r="P26" s="199">
        <f t="shared" ca="1" si="11"/>
        <v>25</v>
      </c>
      <c r="Q26" s="199">
        <f t="shared" ca="1" si="0"/>
        <v>365</v>
      </c>
      <c r="R26" s="928">
        <f t="shared" ca="1" si="19"/>
        <v>1.3698630136986301E-2</v>
      </c>
      <c r="S26" s="199">
        <f t="shared" ca="1" si="13"/>
        <v>6.8493150684931503E-2</v>
      </c>
      <c r="T26" s="199">
        <f t="shared" ca="1" si="4"/>
        <v>8.2191780821917804E-2</v>
      </c>
      <c r="U26" s="415">
        <f t="shared" ca="1" si="14"/>
        <v>1.0038958904109589</v>
      </c>
      <c r="V26" s="233">
        <f ca="1">IF(B26&lt;&gt;"",1/PRODUCT($U$11:U26),0)</f>
        <v>0.93883217616568249</v>
      </c>
      <c r="AA26" s="240">
        <f t="shared" ca="1" si="5"/>
        <v>710.34</v>
      </c>
      <c r="AB26" s="240">
        <f ca="1">IF(B26&lt;&gt;"",AA26/((1+$V$5)^(SUM($T$11:T26))),0)</f>
        <v>573.13339910040816</v>
      </c>
      <c r="AD26">
        <f t="shared" ca="1" si="15"/>
        <v>1.0038958904109589</v>
      </c>
      <c r="AE26">
        <f ca="1">IF(B26&lt;&gt;"",1/PRODUCT($AD$11:AD26),0)</f>
        <v>0.93883217616568249</v>
      </c>
    </row>
    <row r="27" spans="1:35" ht="13.5" thickBot="1" x14ac:dyDescent="0.35">
      <c r="A27" s="223">
        <f ca="1">H2</f>
        <v>710.34</v>
      </c>
      <c r="B27" s="248">
        <f t="shared" si="1"/>
        <v>17</v>
      </c>
      <c r="C27" s="249">
        <f t="shared" ca="1" si="6"/>
        <v>46717</v>
      </c>
      <c r="D27" s="249">
        <f t="shared" ca="1" si="16"/>
        <v>46717</v>
      </c>
      <c r="E27" s="250">
        <f t="shared" ca="1" si="7"/>
        <v>163.79</v>
      </c>
      <c r="F27" s="250">
        <f t="shared" ca="1" si="8"/>
        <v>546.54999999999995</v>
      </c>
      <c r="G27" s="250">
        <f t="shared" ca="1" si="2"/>
        <v>22168.750000000007</v>
      </c>
      <c r="H27" s="250">
        <f t="shared" ca="1" si="3"/>
        <v>710.34</v>
      </c>
      <c r="I27" s="99"/>
      <c r="K27" s="231"/>
      <c r="L27" s="199" t="str">
        <f t="shared" si="9"/>
        <v>R</v>
      </c>
      <c r="M27" s="231">
        <f t="shared" ca="1" si="10"/>
        <v>46721</v>
      </c>
      <c r="N27" s="231">
        <f t="shared" ca="1" si="17"/>
        <v>46717</v>
      </c>
      <c r="O27" s="199">
        <f t="shared" ca="1" si="18"/>
        <v>6</v>
      </c>
      <c r="P27" s="199">
        <f t="shared" ca="1" si="11"/>
        <v>25</v>
      </c>
      <c r="Q27" s="199">
        <f t="shared" ca="1" si="0"/>
        <v>365</v>
      </c>
      <c r="R27" s="199">
        <f t="shared" ca="1" si="12"/>
        <v>1.643835616438356E-2</v>
      </c>
      <c r="S27" s="199">
        <f t="shared" ca="1" si="13"/>
        <v>6.8493150684931503E-2</v>
      </c>
      <c r="T27" s="199">
        <f t="shared" ca="1" si="4"/>
        <v>8.4931506849315067E-2</v>
      </c>
      <c r="U27" s="415">
        <f t="shared" ca="1" si="14"/>
        <v>1.0040257534246575</v>
      </c>
      <c r="V27" s="233">
        <f ca="1">IF(B27&lt;&gt;"",1/PRODUCT($U$11:U27),0)</f>
        <v>0.93506782367224694</v>
      </c>
      <c r="AA27" s="240">
        <f t="shared" ca="1" si="5"/>
        <v>710.34</v>
      </c>
      <c r="AB27" s="240">
        <f ca="1">IF(B27&lt;&gt;"",AA27/((1+$V$5)^(SUM($T$11:T27))),0)</f>
        <v>565.3565093427876</v>
      </c>
      <c r="AD27">
        <f t="shared" ca="1" si="15"/>
        <v>1.0040257534246575</v>
      </c>
      <c r="AE27">
        <f ca="1">IF(B27&lt;&gt;"",1/PRODUCT($AD$11:AD27),0)</f>
        <v>0.93506782367224694</v>
      </c>
    </row>
    <row r="28" spans="1:35" ht="13" x14ac:dyDescent="0.3">
      <c r="A28" s="194" t="s">
        <v>14</v>
      </c>
      <c r="B28" s="248">
        <f t="shared" si="1"/>
        <v>18</v>
      </c>
      <c r="C28" s="249">
        <f t="shared" ca="1" si="6"/>
        <v>46747</v>
      </c>
      <c r="D28" s="249">
        <f t="shared" ca="1" si="16"/>
        <v>46747</v>
      </c>
      <c r="E28" s="250">
        <f t="shared" ca="1" si="7"/>
        <v>154.69999999999999</v>
      </c>
      <c r="F28" s="250">
        <f t="shared" ca="1" si="8"/>
        <v>555.64</v>
      </c>
      <c r="G28" s="250">
        <f t="shared" ca="1" si="2"/>
        <v>21613.110000000008</v>
      </c>
      <c r="H28" s="250">
        <f t="shared" ca="1" si="3"/>
        <v>710.34</v>
      </c>
      <c r="I28" s="99"/>
      <c r="K28" s="231"/>
      <c r="L28" s="199" t="str">
        <f t="shared" si="9"/>
        <v>R</v>
      </c>
      <c r="M28" s="231">
        <f t="shared" ca="1" si="10"/>
        <v>46752</v>
      </c>
      <c r="N28" s="231">
        <f t="shared" ca="1" si="17"/>
        <v>46747</v>
      </c>
      <c r="O28" s="199">
        <f t="shared" ca="1" si="18"/>
        <v>5</v>
      </c>
      <c r="P28" s="199">
        <f t="shared" ca="1" si="11"/>
        <v>25</v>
      </c>
      <c r="Q28" s="199">
        <f t="shared" ca="1" si="0"/>
        <v>365</v>
      </c>
      <c r="R28" s="199">
        <f t="shared" ca="1" si="12"/>
        <v>1.3698630136986301E-2</v>
      </c>
      <c r="S28" s="199">
        <f t="shared" ca="1" si="13"/>
        <v>6.8493150684931503E-2</v>
      </c>
      <c r="T28" s="199">
        <f t="shared" ca="1" si="4"/>
        <v>8.2191780821917804E-2</v>
      </c>
      <c r="U28" s="415">
        <f t="shared" ca="1" si="14"/>
        <v>1.0038958904109589</v>
      </c>
      <c r="V28" s="233">
        <f ca="1">IF(B28&lt;&gt;"",1/PRODUCT($U$11:U28),0)</f>
        <v>0.93143903925083682</v>
      </c>
      <c r="AA28" s="240">
        <f t="shared" ca="1" si="5"/>
        <v>710.34</v>
      </c>
      <c r="AB28" s="240">
        <f ca="1">IF(B28&lt;&gt;"",AA28/((1+$V$5)^(SUM($T$11:T28))),0)</f>
        <v>557.93097574991225</v>
      </c>
      <c r="AD28">
        <f t="shared" ca="1" si="15"/>
        <v>1.0038958904109589</v>
      </c>
      <c r="AE28">
        <f ca="1">IF(B28&lt;&gt;"",1/PRODUCT($AD$11:AD28),0)</f>
        <v>0.93143903925083682</v>
      </c>
    </row>
    <row r="29" spans="1:35" ht="13.5" thickBot="1" x14ac:dyDescent="0.35">
      <c r="A29" s="222">
        <f>$H$8</f>
        <v>0.17451905146291249</v>
      </c>
      <c r="B29" s="248">
        <f t="shared" si="1"/>
        <v>19</v>
      </c>
      <c r="C29" s="249">
        <f t="shared" ca="1" si="6"/>
        <v>46778</v>
      </c>
      <c r="D29" s="249">
        <f t="shared" ca="1" si="16"/>
        <v>46778</v>
      </c>
      <c r="E29" s="250">
        <f t="shared" ca="1" si="7"/>
        <v>155.85</v>
      </c>
      <c r="F29" s="250">
        <f t="shared" ca="1" si="8"/>
        <v>554.49</v>
      </c>
      <c r="G29" s="250">
        <f t="shared" ca="1" si="2"/>
        <v>21058.620000000006</v>
      </c>
      <c r="H29" s="250">
        <f t="shared" ca="1" si="3"/>
        <v>710.34</v>
      </c>
      <c r="I29" s="99"/>
      <c r="K29" s="231"/>
      <c r="L29" s="199" t="str">
        <f t="shared" si="9"/>
        <v>R</v>
      </c>
      <c r="M29" s="231">
        <f t="shared" ca="1" si="10"/>
        <v>46783</v>
      </c>
      <c r="N29" s="231">
        <f t="shared" ca="1" si="17"/>
        <v>46778</v>
      </c>
      <c r="O29" s="199">
        <f t="shared" ca="1" si="18"/>
        <v>6</v>
      </c>
      <c r="P29" s="199">
        <f t="shared" ca="1" si="11"/>
        <v>25</v>
      </c>
      <c r="Q29" s="199">
        <f t="shared" ca="1" si="0"/>
        <v>366</v>
      </c>
      <c r="R29" s="199">
        <f t="shared" ca="1" si="12"/>
        <v>1.643835616438356E-2</v>
      </c>
      <c r="S29" s="199">
        <f t="shared" ca="1" si="13"/>
        <v>6.8306010928961755E-2</v>
      </c>
      <c r="T29" s="199">
        <f t="shared" ca="1" si="4"/>
        <v>8.4744367093345319E-2</v>
      </c>
      <c r="U29" s="415">
        <f t="shared" ca="1" si="14"/>
        <v>1.0040168830002245</v>
      </c>
      <c r="V29" s="233">
        <f ca="1">IF(B29&lt;&gt;"",1/PRODUCT($U$11:U29),0)</f>
        <v>0.92771252657374725</v>
      </c>
      <c r="AA29" s="240">
        <f t="shared" ca="1" si="5"/>
        <v>710.34</v>
      </c>
      <c r="AB29" s="240">
        <f ca="1">IF(B29&lt;&gt;"",AA29/((1+$V$5)^(SUM($T$11:T29))),0)</f>
        <v>550.37693659055878</v>
      </c>
      <c r="AD29">
        <f t="shared" ca="1" si="15"/>
        <v>1.0040257534246575</v>
      </c>
      <c r="AE29">
        <f ca="1">IF(B29&lt;&gt;"",1/PRODUCT($AD$11:AD29),0)</f>
        <v>0.92770433036579714</v>
      </c>
    </row>
    <row r="30" spans="1:35" ht="13" x14ac:dyDescent="0.3">
      <c r="A30" s="194" t="s">
        <v>159</v>
      </c>
      <c r="B30" s="248">
        <f t="shared" si="1"/>
        <v>20</v>
      </c>
      <c r="C30" s="249">
        <f t="shared" ca="1" si="6"/>
        <v>46809</v>
      </c>
      <c r="D30" s="249">
        <f t="shared" ca="1" si="16"/>
        <v>46809</v>
      </c>
      <c r="E30" s="250">
        <f t="shared" ca="1" si="7"/>
        <v>151.85</v>
      </c>
      <c r="F30" s="250">
        <f t="shared" ca="1" si="8"/>
        <v>558.49</v>
      </c>
      <c r="G30" s="250">
        <f t="shared" ca="1" si="2"/>
        <v>20500.130000000005</v>
      </c>
      <c r="H30" s="250">
        <f t="shared" ca="1" si="3"/>
        <v>710.34</v>
      </c>
      <c r="I30" s="99"/>
      <c r="K30" s="231"/>
      <c r="L30" s="199" t="str">
        <f t="shared" si="9"/>
        <v>R</v>
      </c>
      <c r="M30" s="231">
        <f ca="1">IF(B30&lt;&gt;"",DATE(YEAR((D30)),MONTH((D30))+1,1)-1,"")</f>
        <v>46812</v>
      </c>
      <c r="N30" s="231">
        <f t="shared" ca="1" si="17"/>
        <v>46809</v>
      </c>
      <c r="O30" s="199">
        <f t="shared" ca="1" si="18"/>
        <v>6</v>
      </c>
      <c r="P30" s="199">
        <f t="shared" ca="1" si="11"/>
        <v>25</v>
      </c>
      <c r="Q30" s="199">
        <f t="shared" ca="1" si="0"/>
        <v>366</v>
      </c>
      <c r="R30" s="199">
        <f t="shared" ca="1" si="12"/>
        <v>1.6393442622950821E-2</v>
      </c>
      <c r="S30" s="199">
        <f t="shared" ca="1" si="13"/>
        <v>6.8306010928961755E-2</v>
      </c>
      <c r="T30" s="199">
        <f t="shared" ca="1" si="4"/>
        <v>8.4699453551912579E-2</v>
      </c>
      <c r="U30" s="415">
        <f t="shared" ca="1" si="14"/>
        <v>1.0040147540983606</v>
      </c>
      <c r="V30" s="233">
        <f ca="1">IF(B30&lt;&gt;"",1/PRODUCT($U$11:U30),0)</f>
        <v>0.92400288221547577</v>
      </c>
      <c r="AA30" s="240">
        <f t="shared" ca="1" si="5"/>
        <v>710.34</v>
      </c>
      <c r="AB30" s="240">
        <f ca="1">IF(B30&lt;&gt;"",AA30/((1+$V$5)^(SUM($T$11:T30))),0)</f>
        <v>542.92909693857632</v>
      </c>
      <c r="AD30">
        <f t="shared" ca="1" si="15"/>
        <v>1.0040257534246575</v>
      </c>
      <c r="AE30">
        <f ca="1">IF(B30&lt;&gt;"",1/PRODUCT($AD$11:AD30),0)</f>
        <v>0.92398459621326079</v>
      </c>
    </row>
    <row r="31" spans="1:35" ht="13.5" thickBot="1" x14ac:dyDescent="0.35">
      <c r="A31" s="258">
        <f ca="1">A25+A19</f>
        <v>3096.3199999999892</v>
      </c>
      <c r="B31" s="248">
        <f t="shared" si="1"/>
        <v>21</v>
      </c>
      <c r="C31" s="249">
        <f t="shared" ca="1" si="6"/>
        <v>46838</v>
      </c>
      <c r="D31" s="249">
        <f t="shared" ca="1" si="16"/>
        <v>46838</v>
      </c>
      <c r="E31" s="250">
        <f t="shared" ca="1" si="7"/>
        <v>138.28</v>
      </c>
      <c r="F31" s="250">
        <f t="shared" ca="1" si="8"/>
        <v>572.05999999999995</v>
      </c>
      <c r="G31" s="250">
        <f t="shared" ca="1" si="2"/>
        <v>19928.070000000003</v>
      </c>
      <c r="H31" s="250">
        <f t="shared" ca="1" si="3"/>
        <v>710.34</v>
      </c>
      <c r="I31" s="99"/>
      <c r="K31" s="231"/>
      <c r="L31" s="199" t="str">
        <f t="shared" si="9"/>
        <v>R</v>
      </c>
      <c r="M31" s="231">
        <f t="shared" ca="1" si="10"/>
        <v>46843</v>
      </c>
      <c r="N31" s="231">
        <f t="shared" ca="1" si="17"/>
        <v>46838</v>
      </c>
      <c r="O31" s="199">
        <f t="shared" ca="1" si="18"/>
        <v>4</v>
      </c>
      <c r="P31" s="199">
        <f t="shared" ca="1" si="11"/>
        <v>25</v>
      </c>
      <c r="Q31" s="199">
        <f t="shared" ca="1" si="0"/>
        <v>366</v>
      </c>
      <c r="R31" s="199">
        <f t="shared" ca="1" si="12"/>
        <v>1.092896174863388E-2</v>
      </c>
      <c r="S31" s="199">
        <f t="shared" ca="1" si="13"/>
        <v>6.8306010928961755E-2</v>
      </c>
      <c r="T31" s="199">
        <f t="shared" ca="1" si="4"/>
        <v>7.9234972677595633E-2</v>
      </c>
      <c r="U31" s="415">
        <f t="shared" ca="1" si="14"/>
        <v>1.003755737704918</v>
      </c>
      <c r="V31" s="233">
        <f ca="1">IF(B31&lt;&gt;"",1/PRODUCT($U$11:U31),0)</f>
        <v>0.92054555456709342</v>
      </c>
      <c r="AA31" s="240">
        <f t="shared" ca="1" si="5"/>
        <v>710.34</v>
      </c>
      <c r="AB31" s="240">
        <f ca="1">IF(B31&lt;&gt;"",AA31/((1+$V$5)^(SUM($T$11:T31))),0)</f>
        <v>536.05303203024346</v>
      </c>
      <c r="AD31">
        <f t="shared" ca="1" si="15"/>
        <v>1.0037660273972602</v>
      </c>
      <c r="AE31">
        <f ca="1">IF(B31&lt;&gt;"",1/PRODUCT($AD$11:AD31),0)</f>
        <v>0.92051790058000804</v>
      </c>
    </row>
    <row r="32" spans="1:35" ht="13" x14ac:dyDescent="0.3">
      <c r="A32" s="194" t="s">
        <v>158</v>
      </c>
      <c r="B32" s="248">
        <f t="shared" si="1"/>
        <v>22</v>
      </c>
      <c r="C32" s="249">
        <f t="shared" ca="1" si="6"/>
        <v>46869</v>
      </c>
      <c r="D32" s="249">
        <f t="shared" ca="1" si="16"/>
        <v>46869</v>
      </c>
      <c r="E32" s="250">
        <f t="shared" ca="1" si="7"/>
        <v>143.69999999999999</v>
      </c>
      <c r="F32" s="250">
        <f t="shared" ca="1" si="8"/>
        <v>566.64</v>
      </c>
      <c r="G32" s="250">
        <f t="shared" ca="1" si="2"/>
        <v>19361.430000000004</v>
      </c>
      <c r="H32" s="250">
        <f t="shared" ca="1" si="3"/>
        <v>710.34</v>
      </c>
      <c r="I32" s="99"/>
      <c r="K32" s="231"/>
      <c r="L32" s="199" t="str">
        <f t="shared" si="9"/>
        <v>R</v>
      </c>
      <c r="M32" s="231">
        <f t="shared" ca="1" si="10"/>
        <v>46873</v>
      </c>
      <c r="N32" s="231">
        <f t="shared" ca="1" si="17"/>
        <v>46869</v>
      </c>
      <c r="O32" s="199">
        <f t="shared" ca="1" si="18"/>
        <v>6</v>
      </c>
      <c r="P32" s="199">
        <f t="shared" ca="1" si="11"/>
        <v>25</v>
      </c>
      <c r="Q32" s="199">
        <f t="shared" ca="1" si="0"/>
        <v>366</v>
      </c>
      <c r="R32" s="199">
        <f t="shared" ca="1" si="12"/>
        <v>1.6393442622950821E-2</v>
      </c>
      <c r="S32" s="199">
        <f t="shared" ca="1" si="13"/>
        <v>6.8306010928961755E-2</v>
      </c>
      <c r="T32" s="199">
        <f t="shared" ca="1" si="4"/>
        <v>8.4699453551912579E-2</v>
      </c>
      <c r="U32" s="415">
        <f t="shared" ca="1" si="14"/>
        <v>1.0040147540983606</v>
      </c>
      <c r="V32" s="233">
        <f ca="1">IF(B32&lt;&gt;"",1/PRODUCT($U$11:U32),0)</f>
        <v>0.91686456878193445</v>
      </c>
      <c r="AA32" s="240">
        <f t="shared" ca="1" si="5"/>
        <v>710.34</v>
      </c>
      <c r="AB32" s="240">
        <f ca="1">IF(B32&lt;&gt;"",AA32/((1+$V$5)^(SUM($T$11:T32))),0)</f>
        <v>528.7990270709289</v>
      </c>
      <c r="AD32">
        <f t="shared" ca="1" si="15"/>
        <v>1.0040257534246575</v>
      </c>
      <c r="AE32">
        <f ca="1">IF(B32&lt;&gt;"",1/PRODUCT($AD$11:AD32),0)</f>
        <v>0.91682698122054118</v>
      </c>
    </row>
    <row r="33" spans="1:31" ht="13.5" thickBot="1" x14ac:dyDescent="0.35">
      <c r="A33" s="258">
        <f ca="1">A31+A21</f>
        <v>3096.3199999999892</v>
      </c>
      <c r="B33" s="248">
        <f t="shared" si="1"/>
        <v>23</v>
      </c>
      <c r="C33" s="249">
        <f t="shared" ca="1" si="6"/>
        <v>46899</v>
      </c>
      <c r="D33" s="249">
        <f t="shared" ca="1" si="16"/>
        <v>46899</v>
      </c>
      <c r="E33" s="250">
        <f t="shared" ca="1" si="7"/>
        <v>135.11000000000001</v>
      </c>
      <c r="F33" s="250">
        <f t="shared" ca="1" si="8"/>
        <v>575.23</v>
      </c>
      <c r="G33" s="250">
        <f t="shared" ca="1" si="2"/>
        <v>18786.200000000004</v>
      </c>
      <c r="H33" s="250">
        <f t="shared" ca="1" si="3"/>
        <v>710.34</v>
      </c>
      <c r="I33" s="99"/>
      <c r="K33" s="231"/>
      <c r="L33" s="199" t="str">
        <f t="shared" si="9"/>
        <v>R</v>
      </c>
      <c r="M33" s="231">
        <f t="shared" ca="1" si="10"/>
        <v>46904</v>
      </c>
      <c r="N33" s="231">
        <f t="shared" ca="1" si="17"/>
        <v>46899</v>
      </c>
      <c r="O33" s="199">
        <f t="shared" ca="1" si="18"/>
        <v>5</v>
      </c>
      <c r="P33" s="199">
        <f t="shared" ca="1" si="11"/>
        <v>25</v>
      </c>
      <c r="Q33" s="199">
        <f t="shared" ca="1" si="0"/>
        <v>366</v>
      </c>
      <c r="R33" s="199">
        <f t="shared" ca="1" si="12"/>
        <v>1.3661202185792349E-2</v>
      </c>
      <c r="S33" s="199">
        <f t="shared" ca="1" si="13"/>
        <v>6.8306010928961755E-2</v>
      </c>
      <c r="T33" s="199">
        <f t="shared" ca="1" si="4"/>
        <v>8.1967213114754106E-2</v>
      </c>
      <c r="U33" s="415">
        <f t="shared" ca="1" si="14"/>
        <v>1.0038852459016394</v>
      </c>
      <c r="V33" s="233">
        <f ca="1">IF(B33&lt;&gt;"",1/PRODUCT($U$11:U33),0)</f>
        <v>0.91331611110436484</v>
      </c>
      <c r="AA33" s="240">
        <f t="shared" ca="1" si="5"/>
        <v>710.34</v>
      </c>
      <c r="AB33" s="240">
        <f ca="1">IF(B33&lt;&gt;"",AA33/((1+$V$5)^(SUM($T$11:T33))),0)</f>
        <v>521.87250019509986</v>
      </c>
      <c r="AD33">
        <f t="shared" ca="1" si="15"/>
        <v>1.0038958904109589</v>
      </c>
      <c r="AE33">
        <f ca="1">IF(B33&lt;&gt;"",1/PRODUCT($AD$11:AD33),0)</f>
        <v>0.91326898533793688</v>
      </c>
    </row>
    <row r="34" spans="1:31" ht="13" x14ac:dyDescent="0.3">
      <c r="A34" s="194" t="s">
        <v>161</v>
      </c>
      <c r="B34" s="248">
        <f t="shared" si="1"/>
        <v>24</v>
      </c>
      <c r="C34" s="249">
        <f t="shared" ca="1" si="6"/>
        <v>46930</v>
      </c>
      <c r="D34" s="249">
        <f t="shared" ca="1" si="16"/>
        <v>46930</v>
      </c>
      <c r="E34" s="250">
        <f t="shared" ca="1" si="7"/>
        <v>135.46</v>
      </c>
      <c r="F34" s="250">
        <f t="shared" ca="1" si="8"/>
        <v>574.88</v>
      </c>
      <c r="G34" s="250">
        <f t="shared" ca="1" si="2"/>
        <v>18211.320000000003</v>
      </c>
      <c r="H34" s="250">
        <f t="shared" ca="1" si="3"/>
        <v>710.34</v>
      </c>
      <c r="I34" s="99"/>
      <c r="K34" s="231"/>
      <c r="L34" s="199" t="str">
        <f t="shared" si="9"/>
        <v>R</v>
      </c>
      <c r="M34" s="231">
        <f t="shared" ca="1" si="10"/>
        <v>46934</v>
      </c>
      <c r="N34" s="231">
        <f t="shared" ca="1" si="17"/>
        <v>46930</v>
      </c>
      <c r="O34" s="199">
        <f t="shared" ca="1" si="18"/>
        <v>6</v>
      </c>
      <c r="P34" s="199">
        <f t="shared" ca="1" si="11"/>
        <v>25</v>
      </c>
      <c r="Q34" s="199">
        <f t="shared" ca="1" si="0"/>
        <v>366</v>
      </c>
      <c r="R34" s="199">
        <f t="shared" ca="1" si="12"/>
        <v>1.6393442622950821E-2</v>
      </c>
      <c r="S34" s="199">
        <f t="shared" ca="1" si="13"/>
        <v>6.8306010928961755E-2</v>
      </c>
      <c r="T34" s="199">
        <f t="shared" ca="1" si="4"/>
        <v>8.4699453551912579E-2</v>
      </c>
      <c r="U34" s="415">
        <f t="shared" ca="1" si="14"/>
        <v>1.0040147540983606</v>
      </c>
      <c r="V34" s="233">
        <f ca="1">IF(B34&lt;&gt;"",1/PRODUCT($U$11:U34),0)</f>
        <v>0.90966403369694881</v>
      </c>
      <c r="AA34" s="240">
        <f t="shared" ca="1" si="5"/>
        <v>710.34</v>
      </c>
      <c r="AB34" s="240">
        <f ca="1">IF(B34&lt;&gt;"",AA34/((1+$V$5)^(SUM($T$11:T34))),0)</f>
        <v>514.81038977254082</v>
      </c>
      <c r="AD34">
        <f t="shared" ca="1" si="15"/>
        <v>1.0040257534246575</v>
      </c>
      <c r="AE34">
        <f ca="1">IF(B34&lt;&gt;"",1/PRODUCT($AD$11:AD34),0)</f>
        <v>0.90960713131395687</v>
      </c>
    </row>
    <row r="35" spans="1:31" ht="13.5" thickBot="1" x14ac:dyDescent="0.35">
      <c r="A35" s="911">
        <f ca="1">A23+A25</f>
        <v>34096.319999999992</v>
      </c>
      <c r="B35" s="248">
        <f t="shared" si="1"/>
        <v>25</v>
      </c>
      <c r="C35" s="249">
        <f t="shared" ca="1" si="6"/>
        <v>46960</v>
      </c>
      <c r="D35" s="249">
        <f t="shared" ca="1" si="16"/>
        <v>46960</v>
      </c>
      <c r="E35" s="250">
        <f t="shared" ca="1" si="7"/>
        <v>127.08</v>
      </c>
      <c r="F35" s="250">
        <f t="shared" ca="1" si="8"/>
        <v>583.26</v>
      </c>
      <c r="G35" s="250">
        <f t="shared" ca="1" si="2"/>
        <v>17628.060000000005</v>
      </c>
      <c r="H35" s="250">
        <f t="shared" ca="1" si="3"/>
        <v>710.34</v>
      </c>
      <c r="I35" s="99"/>
      <c r="K35" s="231"/>
      <c r="L35" s="199" t="str">
        <f t="shared" si="9"/>
        <v>R</v>
      </c>
      <c r="M35" s="231">
        <f t="shared" ca="1" si="10"/>
        <v>46965</v>
      </c>
      <c r="N35" s="231">
        <f t="shared" ca="1" si="17"/>
        <v>46960</v>
      </c>
      <c r="O35" s="199">
        <f t="shared" ca="1" si="18"/>
        <v>5</v>
      </c>
      <c r="P35" s="199">
        <f t="shared" ca="1" si="11"/>
        <v>25</v>
      </c>
      <c r="Q35" s="199">
        <f t="shared" ca="1" si="0"/>
        <v>366</v>
      </c>
      <c r="R35" s="199">
        <f t="shared" ca="1" si="12"/>
        <v>1.3661202185792349E-2</v>
      </c>
      <c r="S35" s="199">
        <f t="shared" ca="1" si="13"/>
        <v>6.8306010928961755E-2</v>
      </c>
      <c r="T35" s="199">
        <f t="shared" ca="1" si="4"/>
        <v>8.1967213114754106E-2</v>
      </c>
      <c r="U35" s="415">
        <f t="shared" ca="1" si="14"/>
        <v>1.0038852459016394</v>
      </c>
      <c r="V35" s="233">
        <f ca="1">IF(B35&lt;&gt;"",1/PRODUCT($U$11:U35),0)</f>
        <v>0.90614344359641841</v>
      </c>
      <c r="AA35" s="240">
        <f t="shared" ca="1" si="5"/>
        <v>710.34</v>
      </c>
      <c r="AB35" s="240">
        <f ca="1">IF(B35&lt;&gt;"",AA35/((1+$V$5)^(SUM($T$11:T35))),0)</f>
        <v>508.06709445963691</v>
      </c>
      <c r="AD35">
        <f t="shared" ca="1" si="15"/>
        <v>1.0038958904109589</v>
      </c>
      <c r="AE35">
        <f ca="1">IF(B35&lt;&gt;"",1/PRODUCT($AD$11:AD35),0)</f>
        <v>0.90607715401802913</v>
      </c>
    </row>
    <row r="36" spans="1:31" ht="13" x14ac:dyDescent="0.3">
      <c r="A36" s="24" t="s">
        <v>160</v>
      </c>
      <c r="B36" s="248">
        <f t="shared" si="1"/>
        <v>26</v>
      </c>
      <c r="C36" s="249">
        <f t="shared" ca="1" si="6"/>
        <v>46991</v>
      </c>
      <c r="D36" s="249">
        <f t="shared" ca="1" si="16"/>
        <v>46991</v>
      </c>
      <c r="E36" s="250">
        <f t="shared" ca="1" si="7"/>
        <v>127.11</v>
      </c>
      <c r="F36" s="250">
        <f t="shared" ca="1" si="8"/>
        <v>583.23</v>
      </c>
      <c r="G36" s="250">
        <f t="shared" ca="1" si="2"/>
        <v>17044.830000000005</v>
      </c>
      <c r="H36" s="250">
        <f t="shared" ca="1" si="3"/>
        <v>710.34</v>
      </c>
      <c r="I36" s="99"/>
      <c r="K36" s="231"/>
      <c r="L36" s="199" t="str">
        <f t="shared" si="9"/>
        <v>R</v>
      </c>
      <c r="M36" s="231">
        <f t="shared" ca="1" si="10"/>
        <v>46996</v>
      </c>
      <c r="N36" s="231">
        <f t="shared" ca="1" si="17"/>
        <v>46991</v>
      </c>
      <c r="O36" s="199">
        <f t="shared" ca="1" si="18"/>
        <v>6</v>
      </c>
      <c r="P36" s="199">
        <f t="shared" ca="1" si="11"/>
        <v>25</v>
      </c>
      <c r="Q36" s="199">
        <f t="shared" ca="1" si="0"/>
        <v>366</v>
      </c>
      <c r="R36" s="199">
        <f t="shared" ca="1" si="12"/>
        <v>1.6393442622950821E-2</v>
      </c>
      <c r="S36" s="199">
        <f t="shared" ca="1" si="13"/>
        <v>6.8306010928961755E-2</v>
      </c>
      <c r="T36" s="199">
        <f t="shared" ca="1" si="4"/>
        <v>8.4699453551912579E-2</v>
      </c>
      <c r="U36" s="415">
        <f t="shared" ca="1" si="14"/>
        <v>1.0040147540983606</v>
      </c>
      <c r="V36" s="233">
        <f ca="1">IF(B36&lt;&gt;"",1/PRODUCT($U$11:U36),0)</f>
        <v>0.90252004753671788</v>
      </c>
      <c r="AA36" s="240">
        <f t="shared" ca="1" si="5"/>
        <v>710.34</v>
      </c>
      <c r="AB36" s="240">
        <f ca="1">IF(B36&lt;&gt;"",AA36/((1+$V$5)^(SUM($T$11:T36))),0)</f>
        <v>501.19180227274978</v>
      </c>
      <c r="AD36">
        <f t="shared" ca="1" si="15"/>
        <v>1.0040257534246575</v>
      </c>
      <c r="AE36">
        <f ca="1">IF(B36&lt;&gt;"",1/PRODUCT($AD$11:AD36),0)</f>
        <v>0.90244413644517296</v>
      </c>
    </row>
    <row r="37" spans="1:31" ht="13" x14ac:dyDescent="0.3">
      <c r="A37" s="24"/>
      <c r="B37" s="248">
        <f t="shared" si="1"/>
        <v>27</v>
      </c>
      <c r="C37" s="249">
        <f t="shared" ca="1" si="6"/>
        <v>47022</v>
      </c>
      <c r="D37" s="249">
        <f t="shared" ca="1" si="16"/>
        <v>47022</v>
      </c>
      <c r="E37" s="250">
        <f t="shared" ca="1" si="7"/>
        <v>122.9</v>
      </c>
      <c r="F37" s="250">
        <f t="shared" ca="1" si="8"/>
        <v>587.44000000000005</v>
      </c>
      <c r="G37" s="250">
        <f t="shared" ca="1" si="2"/>
        <v>16457.390000000007</v>
      </c>
      <c r="H37" s="250">
        <f t="shared" ca="1" si="3"/>
        <v>710.34</v>
      </c>
      <c r="I37" s="99"/>
      <c r="K37" s="231"/>
      <c r="L37" s="199" t="str">
        <f t="shared" si="9"/>
        <v>R</v>
      </c>
      <c r="M37" s="231">
        <f t="shared" ca="1" si="10"/>
        <v>47026</v>
      </c>
      <c r="N37" s="231">
        <f t="shared" ca="1" si="17"/>
        <v>47022</v>
      </c>
      <c r="O37" s="199">
        <f t="shared" ca="1" si="18"/>
        <v>6</v>
      </c>
      <c r="P37" s="199">
        <f t="shared" ca="1" si="11"/>
        <v>25</v>
      </c>
      <c r="Q37" s="199">
        <f t="shared" ca="1" si="0"/>
        <v>366</v>
      </c>
      <c r="R37" s="199">
        <f t="shared" ca="1" si="12"/>
        <v>1.6393442622950821E-2</v>
      </c>
      <c r="S37" s="199">
        <f t="shared" ca="1" si="13"/>
        <v>6.8306010928961755E-2</v>
      </c>
      <c r="T37" s="199">
        <f t="shared" ca="1" si="4"/>
        <v>8.4699453551912579E-2</v>
      </c>
      <c r="U37" s="415">
        <f t="shared" ca="1" si="14"/>
        <v>1.0040147540983606</v>
      </c>
      <c r="V37" s="233">
        <f ca="1">IF(B37&lt;&gt;"",1/PRODUCT($U$11:U37),0)</f>
        <v>0.89891114035192798</v>
      </c>
      <c r="AA37" s="240">
        <f t="shared" ca="1" si="5"/>
        <v>710.34</v>
      </c>
      <c r="AB37" s="240">
        <f ca="1">IF(B37&lt;&gt;"",AA37/((1+$V$5)^(SUM($T$11:T37))),0)</f>
        <v>494.40954827544522</v>
      </c>
      <c r="AD37">
        <f t="shared" ca="1" si="15"/>
        <v>1.0040257534246575</v>
      </c>
      <c r="AE37">
        <f ca="1">IF(B37&lt;&gt;"",1/PRODUCT($AD$11:AD37),0)</f>
        <v>0.89882568586214329</v>
      </c>
    </row>
    <row r="38" spans="1:31" ht="13" x14ac:dyDescent="0.3">
      <c r="A38" s="24"/>
      <c r="B38" s="248">
        <f t="shared" si="1"/>
        <v>28</v>
      </c>
      <c r="C38" s="249">
        <f t="shared" ca="1" si="6"/>
        <v>47052</v>
      </c>
      <c r="D38" s="249">
        <f t="shared" ca="1" si="16"/>
        <v>47052</v>
      </c>
      <c r="E38" s="250">
        <f t="shared" ca="1" si="7"/>
        <v>114.84</v>
      </c>
      <c r="F38" s="250">
        <f t="shared" ca="1" si="8"/>
        <v>595.5</v>
      </c>
      <c r="G38" s="250">
        <f t="shared" ca="1" si="2"/>
        <v>15861.890000000007</v>
      </c>
      <c r="H38" s="250">
        <f t="shared" ca="1" si="3"/>
        <v>710.34</v>
      </c>
      <c r="I38" s="99"/>
      <c r="K38" s="231"/>
      <c r="L38" s="199" t="str">
        <f t="shared" si="9"/>
        <v>R</v>
      </c>
      <c r="M38" s="231">
        <f t="shared" ca="1" si="10"/>
        <v>47057</v>
      </c>
      <c r="N38" s="231">
        <f t="shared" ca="1" si="17"/>
        <v>47052</v>
      </c>
      <c r="O38" s="199">
        <f t="shared" ca="1" si="18"/>
        <v>5</v>
      </c>
      <c r="P38" s="199">
        <f t="shared" ca="1" si="11"/>
        <v>25</v>
      </c>
      <c r="Q38" s="199">
        <f t="shared" ca="1" si="0"/>
        <v>366</v>
      </c>
      <c r="R38" s="199">
        <f t="shared" ca="1" si="12"/>
        <v>1.3661202185792349E-2</v>
      </c>
      <c r="S38" s="199">
        <f t="shared" ca="1" si="13"/>
        <v>6.8306010928961755E-2</v>
      </c>
      <c r="T38" s="199">
        <f t="shared" ca="1" si="4"/>
        <v>8.1967213114754106E-2</v>
      </c>
      <c r="U38" s="415">
        <f t="shared" ca="1" si="14"/>
        <v>1.0038852459016394</v>
      </c>
      <c r="V38" s="233">
        <f ca="1">IF(B38&lt;&gt;"",1/PRODUCT($U$11:U38),0)</f>
        <v>0.89543216619801114</v>
      </c>
      <c r="AA38" s="240">
        <f t="shared" ca="1" si="5"/>
        <v>710.34</v>
      </c>
      <c r="AB38" s="240">
        <f ca="1">IF(B38&lt;&gt;"",AA38/((1+$V$5)^(SUM($T$11:T38))),0)</f>
        <v>487.93347542265417</v>
      </c>
      <c r="AD38">
        <f t="shared" ca="1" si="15"/>
        <v>1.0038958904109589</v>
      </c>
      <c r="AE38">
        <f ca="1">IF(B38&lt;&gt;"",1/PRODUCT($AD$11:AD38),0)</f>
        <v>0.89533754889084805</v>
      </c>
    </row>
    <row r="39" spans="1:31" ht="13" x14ac:dyDescent="0.3">
      <c r="A39" s="24"/>
      <c r="B39" s="248">
        <f t="shared" si="1"/>
        <v>29</v>
      </c>
      <c r="C39" s="249">
        <f t="shared" ca="1" si="6"/>
        <v>47083</v>
      </c>
      <c r="D39" s="249">
        <f t="shared" ca="1" si="16"/>
        <v>47083</v>
      </c>
      <c r="E39" s="250">
        <f t="shared" ca="1" si="7"/>
        <v>114.38</v>
      </c>
      <c r="F39" s="250">
        <f t="shared" ca="1" si="8"/>
        <v>595.96</v>
      </c>
      <c r="G39" s="250">
        <f t="shared" ca="1" si="2"/>
        <v>15265.930000000008</v>
      </c>
      <c r="H39" s="250">
        <f t="shared" ca="1" si="3"/>
        <v>710.34</v>
      </c>
      <c r="I39" s="99"/>
      <c r="K39" s="231"/>
      <c r="L39" s="199" t="str">
        <f t="shared" si="9"/>
        <v>R</v>
      </c>
      <c r="M39" s="231">
        <f t="shared" ca="1" si="10"/>
        <v>47087</v>
      </c>
      <c r="N39" s="231">
        <f t="shared" ca="1" si="17"/>
        <v>47083</v>
      </c>
      <c r="O39" s="199">
        <f t="shared" ca="1" si="18"/>
        <v>6</v>
      </c>
      <c r="P39" s="199">
        <f t="shared" ca="1" si="11"/>
        <v>25</v>
      </c>
      <c r="Q39" s="199">
        <f t="shared" ca="1" si="0"/>
        <v>366</v>
      </c>
      <c r="R39" s="199">
        <f t="shared" ca="1" si="12"/>
        <v>1.6393442622950821E-2</v>
      </c>
      <c r="S39" s="199">
        <f t="shared" ca="1" si="13"/>
        <v>6.8306010928961755E-2</v>
      </c>
      <c r="T39" s="199">
        <f t="shared" ca="1" si="4"/>
        <v>8.4699453551912579E-2</v>
      </c>
      <c r="U39" s="415">
        <f t="shared" ca="1" si="14"/>
        <v>1.0040147540983606</v>
      </c>
      <c r="V39" s="233">
        <f ca="1">IF(B39&lt;&gt;"",1/PRODUCT($U$11:U39),0)</f>
        <v>0.89185160132645624</v>
      </c>
      <c r="AA39" s="240">
        <f t="shared" ca="1" si="5"/>
        <v>710.34</v>
      </c>
      <c r="AB39" s="240">
        <f ca="1">IF(B39&lt;&gt;"",AA39/((1+$V$5)^(SUM($T$11:T39))),0)</f>
        <v>481.33063645143125</v>
      </c>
      <c r="AD39">
        <f t="shared" ca="1" si="15"/>
        <v>1.0040257534246575</v>
      </c>
      <c r="AE39">
        <f ca="1">IF(B39&lt;&gt;"",1/PRODUCT($AD$11:AD39),0)</f>
        <v>0.89174759296454087</v>
      </c>
    </row>
    <row r="40" spans="1:31" ht="13" x14ac:dyDescent="0.3">
      <c r="A40" s="24"/>
      <c r="B40" s="248">
        <f t="shared" si="1"/>
        <v>30</v>
      </c>
      <c r="C40" s="249">
        <f t="shared" ca="1" si="6"/>
        <v>47113</v>
      </c>
      <c r="D40" s="249">
        <f t="shared" ca="1" si="16"/>
        <v>47113</v>
      </c>
      <c r="E40" s="250">
        <f t="shared" ca="1" si="7"/>
        <v>106.53</v>
      </c>
      <c r="F40" s="250">
        <f t="shared" ca="1" si="8"/>
        <v>603.80999999999995</v>
      </c>
      <c r="G40" s="250">
        <f t="shared" ca="1" si="2"/>
        <v>14662.120000000008</v>
      </c>
      <c r="H40" s="250">
        <f t="shared" ca="1" si="3"/>
        <v>710.34</v>
      </c>
      <c r="I40" s="99"/>
      <c r="K40" s="231"/>
      <c r="L40" s="199" t="str">
        <f t="shared" si="9"/>
        <v>R</v>
      </c>
      <c r="M40" s="231">
        <f t="shared" ca="1" si="10"/>
        <v>47118</v>
      </c>
      <c r="N40" s="231">
        <f t="shared" ca="1" si="17"/>
        <v>47113</v>
      </c>
      <c r="O40" s="199">
        <f t="shared" ca="1" si="18"/>
        <v>5</v>
      </c>
      <c r="P40" s="199">
        <f t="shared" ca="1" si="11"/>
        <v>25</v>
      </c>
      <c r="Q40" s="199">
        <f t="shared" ca="1" si="0"/>
        <v>366</v>
      </c>
      <c r="R40" s="199">
        <f t="shared" ca="1" si="12"/>
        <v>1.3661202185792349E-2</v>
      </c>
      <c r="S40" s="199">
        <f t="shared" ca="1" si="13"/>
        <v>6.8306010928961755E-2</v>
      </c>
      <c r="T40" s="199">
        <f t="shared" ca="1" si="4"/>
        <v>8.1967213114754106E-2</v>
      </c>
      <c r="U40" s="415">
        <f t="shared" ca="1" si="14"/>
        <v>1.0038852459016394</v>
      </c>
      <c r="V40" s="233">
        <f ca="1">IF(B40&lt;&gt;"",1/PRODUCT($U$11:U40),0)</f>
        <v>0.88839994906533348</v>
      </c>
      <c r="AA40" s="240">
        <f t="shared" ca="1" si="5"/>
        <v>710.34</v>
      </c>
      <c r="AB40" s="240">
        <f ca="1">IF(B40&lt;&gt;"",AA40/((1+$V$5)^(SUM($T$11:T40))),0)</f>
        <v>475.02587903157018</v>
      </c>
      <c r="AD40">
        <f t="shared" ca="1" si="15"/>
        <v>1.0038958904109589</v>
      </c>
      <c r="AE40">
        <f ca="1">IF(B40&lt;&gt;"",1/PRODUCT($AD$11:AD40),0)</f>
        <v>0.88828692445338275</v>
      </c>
    </row>
    <row r="41" spans="1:31" ht="13" x14ac:dyDescent="0.3">
      <c r="A41" s="24"/>
      <c r="B41" s="248">
        <f t="shared" si="1"/>
        <v>31</v>
      </c>
      <c r="C41" s="249">
        <f t="shared" ca="1" si="6"/>
        <v>47144</v>
      </c>
      <c r="D41" s="249">
        <f t="shared" ca="1" si="16"/>
        <v>47144</v>
      </c>
      <c r="E41" s="250">
        <f t="shared" ca="1" si="7"/>
        <v>105.72</v>
      </c>
      <c r="F41" s="250">
        <f t="shared" ca="1" si="8"/>
        <v>604.62</v>
      </c>
      <c r="G41" s="250">
        <f t="shared" ca="1" si="2"/>
        <v>14057.500000000007</v>
      </c>
      <c r="H41" s="250">
        <f t="shared" ca="1" si="3"/>
        <v>710.34</v>
      </c>
      <c r="I41" s="99"/>
      <c r="K41" s="231"/>
      <c r="L41" s="199" t="str">
        <f t="shared" si="9"/>
        <v>R</v>
      </c>
      <c r="M41" s="231">
        <f t="shared" ca="1" si="10"/>
        <v>47149</v>
      </c>
      <c r="N41" s="231">
        <f t="shared" ca="1" si="17"/>
        <v>47144</v>
      </c>
      <c r="O41" s="199">
        <f t="shared" ca="1" si="18"/>
        <v>6</v>
      </c>
      <c r="P41" s="199">
        <f t="shared" ca="1" si="11"/>
        <v>25</v>
      </c>
      <c r="Q41" s="199">
        <f t="shared" ca="1" si="0"/>
        <v>365</v>
      </c>
      <c r="R41" s="199">
        <f t="shared" ca="1" si="12"/>
        <v>1.6393442622950821E-2</v>
      </c>
      <c r="S41" s="199">
        <f t="shared" ca="1" si="13"/>
        <v>6.8493150684931503E-2</v>
      </c>
      <c r="T41" s="199">
        <f t="shared" ca="1" si="4"/>
        <v>8.4886593307882327E-2</v>
      </c>
      <c r="U41" s="415">
        <f t="shared" ca="1" si="14"/>
        <v>1.0040236245227936</v>
      </c>
      <c r="V41" s="233">
        <f ca="1">IF(B41&lt;&gt;"",1/PRODUCT($U$11:U41),0)</f>
        <v>0.88483968640437582</v>
      </c>
      <c r="AA41" s="240">
        <f t="shared" ca="1" si="5"/>
        <v>710.34</v>
      </c>
      <c r="AB41" s="240">
        <f ca="1">IF(B41&lt;&gt;"",AA41/((1+$V$5)^(SUM($T$11:T41))),0)</f>
        <v>468.58360289766046</v>
      </c>
      <c r="AD41">
        <f t="shared" ca="1" si="15"/>
        <v>1.0040257534246575</v>
      </c>
      <c r="AE41">
        <f ca="1">IF(B41&lt;&gt;"",1/PRODUCT($AD$11:AD41),0)</f>
        <v>0.88472523879342913</v>
      </c>
    </row>
    <row r="42" spans="1:31" ht="13" x14ac:dyDescent="0.3">
      <c r="A42" s="24"/>
      <c r="B42" s="248">
        <f t="shared" si="1"/>
        <v>32</v>
      </c>
      <c r="C42" s="249">
        <f t="shared" ca="1" si="6"/>
        <v>47175</v>
      </c>
      <c r="D42" s="249">
        <f t="shared" ca="1" si="16"/>
        <v>47175</v>
      </c>
      <c r="E42" s="250">
        <f t="shared" ca="1" si="7"/>
        <v>101.36</v>
      </c>
      <c r="F42" s="250">
        <f t="shared" ca="1" si="8"/>
        <v>608.98</v>
      </c>
      <c r="G42" s="250">
        <f t="shared" ca="1" si="2"/>
        <v>13448.520000000008</v>
      </c>
      <c r="H42" s="250">
        <f t="shared" ca="1" si="3"/>
        <v>710.34</v>
      </c>
      <c r="I42" s="99"/>
      <c r="K42" s="231"/>
      <c r="L42" s="199" t="str">
        <f t="shared" si="9"/>
        <v>R</v>
      </c>
      <c r="M42" s="231">
        <f t="shared" ca="1" si="10"/>
        <v>47177</v>
      </c>
      <c r="N42" s="231">
        <f t="shared" ca="1" si="17"/>
        <v>47175</v>
      </c>
      <c r="O42" s="199">
        <f t="shared" ca="1" si="18"/>
        <v>6</v>
      </c>
      <c r="P42" s="199">
        <f t="shared" ca="1" si="11"/>
        <v>25</v>
      </c>
      <c r="Q42" s="199">
        <f t="shared" ca="1" si="0"/>
        <v>365</v>
      </c>
      <c r="R42" s="199">
        <f t="shared" ca="1" si="12"/>
        <v>1.643835616438356E-2</v>
      </c>
      <c r="S42" s="199">
        <f t="shared" ca="1" si="13"/>
        <v>6.8493150684931503E-2</v>
      </c>
      <c r="T42" s="199">
        <f t="shared" ca="1" si="4"/>
        <v>8.4931506849315067E-2</v>
      </c>
      <c r="U42" s="415">
        <f t="shared" ca="1" si="14"/>
        <v>1.0040257534246575</v>
      </c>
      <c r="V42" s="233">
        <f ca="1">IF(B42&lt;&gt;"",1/PRODUCT($U$11:U42),0)</f>
        <v>0.88129182283049323</v>
      </c>
      <c r="AA42" s="240">
        <f t="shared" ca="1" si="5"/>
        <v>710.34</v>
      </c>
      <c r="AB42" s="240">
        <f ca="1">IF(B42&lt;&gt;"",AA42/((1+$V$5)^(SUM($T$11:T42))),0)</f>
        <v>462.22535710761639</v>
      </c>
      <c r="AD42">
        <f t="shared" ca="1" si="15"/>
        <v>1.0040257534246575</v>
      </c>
      <c r="AE42">
        <f ca="1">IF(B42&lt;&gt;"",1/PRODUCT($AD$11:AD42),0)</f>
        <v>0.88117783411002848</v>
      </c>
    </row>
    <row r="43" spans="1:31" ht="13" x14ac:dyDescent="0.3">
      <c r="A43" s="24"/>
      <c r="B43" s="248">
        <f t="shared" si="1"/>
        <v>33</v>
      </c>
      <c r="C43" s="249">
        <f t="shared" ca="1" si="6"/>
        <v>47203</v>
      </c>
      <c r="D43" s="249">
        <f t="shared" ca="1" si="16"/>
        <v>47203</v>
      </c>
      <c r="E43" s="250">
        <f t="shared" ca="1" si="7"/>
        <v>87.59</v>
      </c>
      <c r="F43" s="250">
        <f t="shared" ca="1" si="8"/>
        <v>622.75</v>
      </c>
      <c r="G43" s="250">
        <f t="shared" ca="1" si="2"/>
        <v>12825.770000000008</v>
      </c>
      <c r="H43" s="250">
        <f t="shared" ca="1" si="3"/>
        <v>710.34</v>
      </c>
      <c r="I43" s="99"/>
      <c r="K43" s="231"/>
      <c r="L43" s="199" t="str">
        <f t="shared" si="9"/>
        <v>R</v>
      </c>
      <c r="M43" s="231">
        <f t="shared" ca="1" si="10"/>
        <v>47208</v>
      </c>
      <c r="N43" s="231">
        <f t="shared" ca="1" si="17"/>
        <v>47203</v>
      </c>
      <c r="O43" s="199">
        <f t="shared" ca="1" si="18"/>
        <v>3</v>
      </c>
      <c r="P43" s="199">
        <f t="shared" ca="1" si="11"/>
        <v>25</v>
      </c>
      <c r="Q43" s="199">
        <f t="shared" ca="1" si="0"/>
        <v>365</v>
      </c>
      <c r="R43" s="199">
        <f t="shared" ca="1" si="12"/>
        <v>8.21917808219178E-3</v>
      </c>
      <c r="S43" s="199">
        <f t="shared" ca="1" si="13"/>
        <v>6.8493150684931503E-2</v>
      </c>
      <c r="T43" s="199">
        <f t="shared" ca="1" si="4"/>
        <v>7.6712328767123278E-2</v>
      </c>
      <c r="U43" s="415">
        <f t="shared" ca="1" si="14"/>
        <v>1.0036361643835616</v>
      </c>
      <c r="V43" s="233">
        <f ca="1">IF(B43&lt;&gt;"",1/PRODUCT($U$11:U43),0)</f>
        <v>0.87809891084563207</v>
      </c>
      <c r="AA43" s="240">
        <f t="shared" ca="1" si="5"/>
        <v>710.34</v>
      </c>
      <c r="AB43" s="240">
        <f ca="1">IF(B43&lt;&gt;"",AA43/((1+$V$5)^(SUM($T$11:T43))),0)</f>
        <v>456.556613648216</v>
      </c>
      <c r="AD43">
        <f t="shared" ca="1" si="15"/>
        <v>1.0036361643835616</v>
      </c>
      <c r="AE43">
        <f ca="1">IF(B43&lt;&gt;"",1/PRODUCT($AD$11:AD43),0)</f>
        <v>0.87798533510522947</v>
      </c>
    </row>
    <row r="44" spans="1:31" ht="13" x14ac:dyDescent="0.3">
      <c r="A44" s="24"/>
      <c r="B44" s="248">
        <f t="shared" si="1"/>
        <v>34</v>
      </c>
      <c r="C44" s="249">
        <f t="shared" ca="1" si="6"/>
        <v>47234</v>
      </c>
      <c r="D44" s="249">
        <f t="shared" ca="1" si="16"/>
        <v>47234</v>
      </c>
      <c r="E44" s="250">
        <f t="shared" ca="1" si="7"/>
        <v>92.48</v>
      </c>
      <c r="F44" s="250">
        <f t="shared" ca="1" si="8"/>
        <v>617.86</v>
      </c>
      <c r="G44" s="250">
        <f t="shared" ca="1" si="2"/>
        <v>12207.910000000007</v>
      </c>
      <c r="H44" s="250">
        <f t="shared" ca="1" si="3"/>
        <v>710.34</v>
      </c>
      <c r="I44" s="99"/>
      <c r="K44" s="231"/>
      <c r="L44" s="199" t="str">
        <f t="shared" si="9"/>
        <v>R</v>
      </c>
      <c r="M44" s="231">
        <f t="shared" ca="1" si="10"/>
        <v>47238</v>
      </c>
      <c r="N44" s="231">
        <f t="shared" ca="1" si="17"/>
        <v>47234</v>
      </c>
      <c r="O44" s="199">
        <f t="shared" ca="1" si="18"/>
        <v>6</v>
      </c>
      <c r="P44" s="199">
        <f t="shared" ca="1" si="11"/>
        <v>25</v>
      </c>
      <c r="Q44" s="199">
        <f t="shared" ca="1" si="0"/>
        <v>365</v>
      </c>
      <c r="R44" s="199">
        <f t="shared" ca="1" si="12"/>
        <v>1.643835616438356E-2</v>
      </c>
      <c r="S44" s="199">
        <f t="shared" ca="1" si="13"/>
        <v>6.8493150684931503E-2</v>
      </c>
      <c r="T44" s="199">
        <f t="shared" ca="1" si="4"/>
        <v>8.4931506849315067E-2</v>
      </c>
      <c r="U44" s="415">
        <f t="shared" ca="1" si="14"/>
        <v>1.0040257534246575</v>
      </c>
      <c r="V44" s="233">
        <f ca="1">IF(B44&lt;&gt;"",1/PRODUCT($U$11:U44),0)</f>
        <v>0.87457807516440844</v>
      </c>
      <c r="AA44" s="240">
        <f t="shared" ca="1" si="5"/>
        <v>710.34</v>
      </c>
      <c r="AB44" s="240">
        <f ca="1">IF(B44&lt;&gt;"",AA44/((1+$V$5)^(SUM($T$11:T44))),0)</f>
        <v>450.36156297061143</v>
      </c>
      <c r="AD44">
        <f t="shared" ca="1" si="15"/>
        <v>1.0040257534246575</v>
      </c>
      <c r="AE44">
        <f ca="1">IF(B44&lt;&gt;"",1/PRODUCT($AD$11:AD44),0)</f>
        <v>0.8744649548186253</v>
      </c>
    </row>
    <row r="45" spans="1:31" ht="13" x14ac:dyDescent="0.3">
      <c r="A45" s="24"/>
      <c r="B45" s="248">
        <f t="shared" si="1"/>
        <v>35</v>
      </c>
      <c r="C45" s="249">
        <f t="shared" ca="1" si="6"/>
        <v>47264</v>
      </c>
      <c r="D45" s="249">
        <f t="shared" ca="1" si="16"/>
        <v>47264</v>
      </c>
      <c r="E45" s="250">
        <f t="shared" ca="1" si="7"/>
        <v>85.19</v>
      </c>
      <c r="F45" s="250">
        <f t="shared" ca="1" si="8"/>
        <v>625.15</v>
      </c>
      <c r="G45" s="250">
        <f t="shared" ca="1" si="2"/>
        <v>11582.760000000007</v>
      </c>
      <c r="H45" s="250">
        <f t="shared" ca="1" si="3"/>
        <v>710.34</v>
      </c>
      <c r="I45" s="99"/>
      <c r="K45" s="231"/>
      <c r="L45" s="199" t="str">
        <f t="shared" si="9"/>
        <v>R</v>
      </c>
      <c r="M45" s="231">
        <f t="shared" ca="1" si="10"/>
        <v>47269</v>
      </c>
      <c r="N45" s="231">
        <f t="shared" ca="1" si="17"/>
        <v>47264</v>
      </c>
      <c r="O45" s="199">
        <f t="shared" ca="1" si="18"/>
        <v>5</v>
      </c>
      <c r="P45" s="199">
        <f t="shared" ca="1" si="11"/>
        <v>25</v>
      </c>
      <c r="Q45" s="199">
        <f t="shared" ca="1" si="0"/>
        <v>365</v>
      </c>
      <c r="R45" s="199">
        <f t="shared" ca="1" si="12"/>
        <v>1.3698630136986301E-2</v>
      </c>
      <c r="S45" s="199">
        <f t="shared" ca="1" si="13"/>
        <v>6.8493150684931503E-2</v>
      </c>
      <c r="T45" s="199">
        <f t="shared" ca="1" si="4"/>
        <v>8.2191780821917804E-2</v>
      </c>
      <c r="U45" s="415">
        <f t="shared" ca="1" si="14"/>
        <v>1.0038958904109589</v>
      </c>
      <c r="V45" s="233">
        <f ca="1">IF(B45&lt;&gt;"",1/PRODUCT($U$11:U45),0)</f>
        <v>0.87118403762604069</v>
      </c>
      <c r="AA45" s="240">
        <f t="shared" ca="1" si="5"/>
        <v>710.34</v>
      </c>
      <c r="AB45" s="240">
        <f ca="1">IF(B45&lt;&gt;"",AA45/((1+$V$5)^(SUM($T$11:T45))),0)</f>
        <v>444.44640172365666</v>
      </c>
      <c r="AD45">
        <f t="shared" ca="1" si="15"/>
        <v>1.0038958904109589</v>
      </c>
      <c r="AE45">
        <f ca="1">IF(B45&lt;&gt;"",1/PRODUCT($AD$11:AD45),0)</f>
        <v>0.87107135627445464</v>
      </c>
    </row>
    <row r="46" spans="1:31" ht="13" x14ac:dyDescent="0.3">
      <c r="A46" s="24"/>
      <c r="B46" s="248">
        <f t="shared" si="1"/>
        <v>36</v>
      </c>
      <c r="C46" s="249">
        <f t="shared" ca="1" si="6"/>
        <v>47295</v>
      </c>
      <c r="D46" s="249">
        <f t="shared" ca="1" si="16"/>
        <v>47295</v>
      </c>
      <c r="E46" s="250">
        <f t="shared" ca="1" si="7"/>
        <v>83.52</v>
      </c>
      <c r="F46" s="250">
        <f t="shared" ca="1" si="8"/>
        <v>626.82000000000005</v>
      </c>
      <c r="G46" s="250">
        <f t="shared" ca="1" si="2"/>
        <v>10955.940000000008</v>
      </c>
      <c r="H46" s="250">
        <f t="shared" ca="1" si="3"/>
        <v>710.34</v>
      </c>
      <c r="I46" s="99"/>
      <c r="K46" s="231"/>
      <c r="L46" s="199" t="str">
        <f t="shared" si="9"/>
        <v>R</v>
      </c>
      <c r="M46" s="231">
        <f t="shared" ca="1" si="10"/>
        <v>47299</v>
      </c>
      <c r="N46" s="231">
        <f t="shared" ca="1" si="17"/>
        <v>47295</v>
      </c>
      <c r="O46" s="199">
        <f t="shared" ca="1" si="18"/>
        <v>6</v>
      </c>
      <c r="P46" s="199">
        <f t="shared" ca="1" si="11"/>
        <v>25</v>
      </c>
      <c r="Q46" s="199">
        <f t="shared" ca="1" si="0"/>
        <v>365</v>
      </c>
      <c r="R46" s="199">
        <f t="shared" ca="1" si="12"/>
        <v>1.643835616438356E-2</v>
      </c>
      <c r="S46" s="199">
        <f t="shared" ca="1" si="13"/>
        <v>6.8493150684931503E-2</v>
      </c>
      <c r="T46" s="199">
        <f t="shared" ca="1" si="4"/>
        <v>8.4931506849315067E-2</v>
      </c>
      <c r="U46" s="415">
        <f t="shared" ca="1" si="14"/>
        <v>1.0040257534246575</v>
      </c>
      <c r="V46" s="233">
        <f ca="1">IF(B46&lt;&gt;"",1/PRODUCT($U$11:U46),0)</f>
        <v>0.86769092790149704</v>
      </c>
      <c r="AA46" s="240">
        <f t="shared" ca="1" si="5"/>
        <v>710.34</v>
      </c>
      <c r="AB46" s="240">
        <f ca="1">IF(B46&lt;&gt;"",AA46/((1+$V$5)^(SUM($T$11:T46))),0)</f>
        <v>438.4156754131655</v>
      </c>
      <c r="AD46">
        <f t="shared" ca="1" si="15"/>
        <v>1.0040257534246575</v>
      </c>
      <c r="AE46">
        <f ca="1">IF(B46&lt;&gt;"",1/PRODUCT($AD$11:AD46),0)</f>
        <v>0.86757869835837853</v>
      </c>
    </row>
    <row r="47" spans="1:31" ht="13" x14ac:dyDescent="0.3">
      <c r="A47" s="24"/>
      <c r="B47" s="248">
        <f t="shared" si="1"/>
        <v>37</v>
      </c>
      <c r="C47" s="249">
        <f t="shared" ca="1" si="6"/>
        <v>47325</v>
      </c>
      <c r="D47" s="249">
        <f t="shared" ca="1" si="16"/>
        <v>47325</v>
      </c>
      <c r="E47" s="250">
        <f t="shared" ca="1" si="7"/>
        <v>76.45</v>
      </c>
      <c r="F47" s="250">
        <f t="shared" ca="1" si="8"/>
        <v>633.89</v>
      </c>
      <c r="G47" s="250">
        <f t="shared" ca="1" si="2"/>
        <v>10322.050000000008</v>
      </c>
      <c r="H47" s="250">
        <f t="shared" ca="1" si="3"/>
        <v>710.34</v>
      </c>
      <c r="I47" s="99"/>
      <c r="K47" s="231"/>
      <c r="L47" s="199" t="str">
        <f t="shared" si="9"/>
        <v>R</v>
      </c>
      <c r="M47" s="231">
        <f t="shared" ca="1" si="10"/>
        <v>47330</v>
      </c>
      <c r="N47" s="231">
        <f t="shared" ca="1" si="17"/>
        <v>47325</v>
      </c>
      <c r="O47" s="199">
        <f t="shared" ca="1" si="18"/>
        <v>5</v>
      </c>
      <c r="P47" s="199">
        <f t="shared" ca="1" si="11"/>
        <v>25</v>
      </c>
      <c r="Q47" s="199">
        <f t="shared" ca="1" si="0"/>
        <v>365</v>
      </c>
      <c r="R47" s="199">
        <f t="shared" ca="1" si="12"/>
        <v>1.3698630136986301E-2</v>
      </c>
      <c r="S47" s="199">
        <f t="shared" ca="1" si="13"/>
        <v>6.8493150684931503E-2</v>
      </c>
      <c r="T47" s="199">
        <f t="shared" ca="1" si="4"/>
        <v>8.2191780821917804E-2</v>
      </c>
      <c r="U47" s="415">
        <f t="shared" ca="1" si="14"/>
        <v>1.0038958904109589</v>
      </c>
      <c r="V47" s="233">
        <f ca="1">IF(B47&lt;&gt;"",1/PRODUCT($U$11:U47),0)</f>
        <v>0.86432361780691769</v>
      </c>
      <c r="AA47" s="240">
        <f t="shared" ca="1" si="5"/>
        <v>710.34</v>
      </c>
      <c r="AB47" s="240">
        <f ca="1">IF(B47&lt;&gt;"",AA47/((1+$V$5)^(SUM($T$11:T47))),0)</f>
        <v>432.65741443690484</v>
      </c>
      <c r="AD47">
        <f t="shared" ca="1" si="15"/>
        <v>1.0038958904109589</v>
      </c>
      <c r="AE47">
        <f ca="1">IF(B47&lt;&gt;"",1/PRODUCT($AD$11:AD47),0)</f>
        <v>0.86421182380099493</v>
      </c>
    </row>
    <row r="48" spans="1:31" ht="13" x14ac:dyDescent="0.3">
      <c r="A48" s="24"/>
      <c r="B48" s="248">
        <f t="shared" si="1"/>
        <v>38</v>
      </c>
      <c r="C48" s="249">
        <f t="shared" ca="1" si="6"/>
        <v>47356</v>
      </c>
      <c r="D48" s="249">
        <f t="shared" ca="1" si="16"/>
        <v>47356</v>
      </c>
      <c r="E48" s="250">
        <f t="shared" ca="1" si="7"/>
        <v>74.430000000000007</v>
      </c>
      <c r="F48" s="250">
        <f t="shared" ca="1" si="8"/>
        <v>635.91</v>
      </c>
      <c r="G48" s="250">
        <f t="shared" ca="1" si="2"/>
        <v>9686.1400000000085</v>
      </c>
      <c r="H48" s="250">
        <f t="shared" ca="1" si="3"/>
        <v>710.34</v>
      </c>
      <c r="I48" s="99"/>
      <c r="K48" s="231"/>
      <c r="L48" s="199" t="str">
        <f t="shared" si="9"/>
        <v>R</v>
      </c>
      <c r="M48" s="231">
        <f t="shared" ca="1" si="10"/>
        <v>47361</v>
      </c>
      <c r="N48" s="231">
        <f t="shared" ca="1" si="17"/>
        <v>47356</v>
      </c>
      <c r="O48" s="199">
        <f t="shared" ca="1" si="18"/>
        <v>6</v>
      </c>
      <c r="P48" s="199">
        <f t="shared" ca="1" si="11"/>
        <v>25</v>
      </c>
      <c r="Q48" s="199">
        <f t="shared" ca="1" si="0"/>
        <v>365</v>
      </c>
      <c r="R48" s="199">
        <f t="shared" ca="1" si="12"/>
        <v>1.643835616438356E-2</v>
      </c>
      <c r="S48" s="199">
        <f t="shared" ca="1" si="13"/>
        <v>6.8493150684931503E-2</v>
      </c>
      <c r="T48" s="199">
        <f t="shared" ca="1" si="4"/>
        <v>8.4931506849315067E-2</v>
      </c>
      <c r="U48" s="415">
        <f t="shared" ca="1" si="14"/>
        <v>1.0040257534246575</v>
      </c>
      <c r="V48" s="233">
        <f ca="1">IF(B48&lt;&gt;"",1/PRODUCT($U$11:U48),0)</f>
        <v>0.86085801570206122</v>
      </c>
      <c r="AA48" s="240">
        <f t="shared" ca="1" si="5"/>
        <v>710.34</v>
      </c>
      <c r="AB48" s="240">
        <f ca="1">IF(B48&lt;&gt;"",AA48/((1+$V$5)^(SUM($T$11:T48))),0)</f>
        <v>426.786653772504</v>
      </c>
      <c r="AD48">
        <f t="shared" ca="1" si="15"/>
        <v>1.0040257534246575</v>
      </c>
      <c r="AE48">
        <f ca="1">IF(B48&lt;&gt;"",1/PRODUCT($AD$11:AD48),0)</f>
        <v>0.86074666994669446</v>
      </c>
    </row>
    <row r="49" spans="1:31" ht="13" x14ac:dyDescent="0.3">
      <c r="A49" s="24"/>
      <c r="B49" s="248">
        <f t="shared" si="1"/>
        <v>39</v>
      </c>
      <c r="C49" s="249">
        <f t="shared" ca="1" si="6"/>
        <v>47387</v>
      </c>
      <c r="D49" s="249">
        <f t="shared" ca="1" si="16"/>
        <v>47387</v>
      </c>
      <c r="E49" s="250">
        <f t="shared" ca="1" si="7"/>
        <v>69.84</v>
      </c>
      <c r="F49" s="250">
        <f t="shared" ca="1" si="8"/>
        <v>640.5</v>
      </c>
      <c r="G49" s="250">
        <f t="shared" ca="1" si="2"/>
        <v>9045.6400000000085</v>
      </c>
      <c r="H49" s="250">
        <f t="shared" ca="1" si="3"/>
        <v>710.34</v>
      </c>
      <c r="I49" s="99"/>
      <c r="K49" s="231"/>
      <c r="L49" s="199" t="str">
        <f t="shared" si="9"/>
        <v>R</v>
      </c>
      <c r="M49" s="231">
        <f t="shared" ca="1" si="10"/>
        <v>47391</v>
      </c>
      <c r="N49" s="231">
        <f t="shared" ca="1" si="17"/>
        <v>47387</v>
      </c>
      <c r="O49" s="199">
        <f t="shared" ca="1" si="18"/>
        <v>6</v>
      </c>
      <c r="P49" s="199">
        <f t="shared" ca="1" si="11"/>
        <v>25</v>
      </c>
      <c r="Q49" s="199">
        <f t="shared" ca="1" si="0"/>
        <v>365</v>
      </c>
      <c r="R49" s="199">
        <f t="shared" ca="1" si="12"/>
        <v>1.643835616438356E-2</v>
      </c>
      <c r="S49" s="199">
        <f t="shared" ca="1" si="13"/>
        <v>6.8493150684931503E-2</v>
      </c>
      <c r="T49" s="199">
        <f t="shared" ca="1" si="4"/>
        <v>8.4931506849315067E-2</v>
      </c>
      <c r="U49" s="415">
        <f t="shared" ca="1" si="14"/>
        <v>1.0040257534246575</v>
      </c>
      <c r="V49" s="233">
        <f ca="1">IF(B49&lt;&gt;"",1/PRODUCT($U$11:U49),0)</f>
        <v>0.85740630931600936</v>
      </c>
      <c r="AA49" s="240">
        <f t="shared" ca="1" si="5"/>
        <v>710.34</v>
      </c>
      <c r="AB49" s="240">
        <f ca="1">IF(B49&lt;&gt;"",AA49/((1+$V$5)^(SUM($T$11:T49))),0)</f>
        <v>420.99555389658991</v>
      </c>
      <c r="AD49">
        <f t="shared" ca="1" si="15"/>
        <v>1.0040257534246575</v>
      </c>
      <c r="AE49">
        <f ca="1">IF(B49&lt;&gt;"",1/PRODUCT($AD$11:AD49),0)</f>
        <v>0.85729541001388798</v>
      </c>
    </row>
    <row r="50" spans="1:31" ht="13" x14ac:dyDescent="0.3">
      <c r="A50" s="24"/>
      <c r="B50" s="248">
        <f t="shared" si="1"/>
        <v>40</v>
      </c>
      <c r="C50" s="249">
        <f t="shared" ca="1" si="6"/>
        <v>47417</v>
      </c>
      <c r="D50" s="249">
        <f t="shared" ca="1" si="16"/>
        <v>47417</v>
      </c>
      <c r="E50" s="250">
        <f t="shared" ca="1" si="7"/>
        <v>63.12</v>
      </c>
      <c r="F50" s="250">
        <f t="shared" ca="1" si="8"/>
        <v>647.22</v>
      </c>
      <c r="G50" s="250">
        <f t="shared" ca="1" si="2"/>
        <v>8398.4200000000092</v>
      </c>
      <c r="H50" s="250">
        <f t="shared" ca="1" si="3"/>
        <v>710.34</v>
      </c>
      <c r="I50" s="99"/>
      <c r="K50" s="231"/>
      <c r="L50" s="199" t="str">
        <f t="shared" si="9"/>
        <v>R</v>
      </c>
      <c r="M50" s="231">
        <f t="shared" ca="1" si="10"/>
        <v>47422</v>
      </c>
      <c r="N50" s="231">
        <f t="shared" ca="1" si="17"/>
        <v>47417</v>
      </c>
      <c r="O50" s="199">
        <f t="shared" ca="1" si="18"/>
        <v>5</v>
      </c>
      <c r="P50" s="199">
        <f t="shared" ca="1" si="11"/>
        <v>25</v>
      </c>
      <c r="Q50" s="199">
        <f t="shared" ca="1" si="0"/>
        <v>365</v>
      </c>
      <c r="R50" s="199">
        <f t="shared" ca="1" si="12"/>
        <v>1.3698630136986301E-2</v>
      </c>
      <c r="S50" s="199">
        <f t="shared" ca="1" si="13"/>
        <v>6.8493150684931503E-2</v>
      </c>
      <c r="T50" s="199">
        <f t="shared" ca="1" si="4"/>
        <v>8.2191780821917804E-2</v>
      </c>
      <c r="U50" s="415">
        <f t="shared" ca="1" si="14"/>
        <v>1.0038958904109589</v>
      </c>
      <c r="V50" s="233">
        <f ca="1">IF(B50&lt;&gt;"",1/PRODUCT($U$11:U50),0)</f>
        <v>0.85407891147459325</v>
      </c>
      <c r="AA50" s="240">
        <f t="shared" ca="1" si="5"/>
        <v>710.34</v>
      </c>
      <c r="AB50" s="240">
        <f ca="1">IF(B50&lt;&gt;"",AA50/((1+$V$5)^(SUM($T$11:T50))),0)</f>
        <v>415.46609314704574</v>
      </c>
      <c r="AD50">
        <f t="shared" ca="1" si="15"/>
        <v>1.0038958904109589</v>
      </c>
      <c r="AE50">
        <f ca="1">IF(B50&lt;&gt;"",1/PRODUCT($AD$11:AD50),0)</f>
        <v>0.85396844254730653</v>
      </c>
    </row>
    <row r="51" spans="1:31" ht="13" x14ac:dyDescent="0.3">
      <c r="A51" s="24"/>
      <c r="B51" s="248">
        <f t="shared" si="1"/>
        <v>41</v>
      </c>
      <c r="C51" s="249">
        <f t="shared" ca="1" si="6"/>
        <v>47448</v>
      </c>
      <c r="D51" s="249">
        <f t="shared" ca="1" si="16"/>
        <v>47448</v>
      </c>
      <c r="E51" s="250">
        <f t="shared" ca="1" si="7"/>
        <v>60.56</v>
      </c>
      <c r="F51" s="250">
        <f t="shared" ca="1" si="8"/>
        <v>649.78</v>
      </c>
      <c r="G51" s="250">
        <f t="shared" ca="1" si="2"/>
        <v>7748.6400000000094</v>
      </c>
      <c r="H51" s="250">
        <f t="shared" ca="1" si="3"/>
        <v>710.34</v>
      </c>
      <c r="I51" s="99"/>
      <c r="K51" s="231"/>
      <c r="L51" s="199" t="str">
        <f t="shared" si="9"/>
        <v>R</v>
      </c>
      <c r="M51" s="231">
        <f t="shared" ca="1" si="10"/>
        <v>47452</v>
      </c>
      <c r="N51" s="231">
        <f t="shared" ca="1" si="17"/>
        <v>47448</v>
      </c>
      <c r="O51" s="199">
        <f t="shared" ca="1" si="18"/>
        <v>6</v>
      </c>
      <c r="P51" s="199">
        <f t="shared" ca="1" si="11"/>
        <v>25</v>
      </c>
      <c r="Q51" s="199">
        <f t="shared" ca="1" si="0"/>
        <v>365</v>
      </c>
      <c r="R51" s="199">
        <f t="shared" ca="1" si="12"/>
        <v>1.643835616438356E-2</v>
      </c>
      <c r="S51" s="199">
        <f t="shared" ca="1" si="13"/>
        <v>6.8493150684931503E-2</v>
      </c>
      <c r="T51" s="199">
        <f t="shared" ca="1" si="4"/>
        <v>8.4931506849315067E-2</v>
      </c>
      <c r="U51" s="415">
        <f t="shared" ca="1" si="14"/>
        <v>1.0040257534246575</v>
      </c>
      <c r="V51" s="233">
        <f ca="1">IF(B51&lt;&gt;"",1/PRODUCT($U$11:U51),0)</f>
        <v>0.8506543866642795</v>
      </c>
      <c r="AA51" s="240">
        <f t="shared" ca="1" si="5"/>
        <v>710.34</v>
      </c>
      <c r="AB51" s="240">
        <f ca="1">IF(B51&lt;&gt;"",AA51/((1+$V$5)^(SUM($T$11:T51))),0)</f>
        <v>409.8286028009843</v>
      </c>
      <c r="AD51">
        <f t="shared" ca="1" si="15"/>
        <v>1.0040257534246575</v>
      </c>
      <c r="AE51">
        <f ca="1">IF(B51&lt;&gt;"",1/PRODUCT($AD$11:AD51),0)</f>
        <v>0.85054436067449801</v>
      </c>
    </row>
    <row r="52" spans="1:31" ht="13" x14ac:dyDescent="0.3">
      <c r="A52" s="24"/>
      <c r="B52" s="248">
        <f t="shared" si="1"/>
        <v>42</v>
      </c>
      <c r="C52" s="249">
        <f t="shared" ca="1" si="6"/>
        <v>47478</v>
      </c>
      <c r="D52" s="249">
        <f t="shared" ca="1" si="16"/>
        <v>47478</v>
      </c>
      <c r="E52" s="250">
        <f t="shared" ca="1" si="7"/>
        <v>54.07</v>
      </c>
      <c r="F52" s="250">
        <f t="shared" ca="1" si="8"/>
        <v>656.27</v>
      </c>
      <c r="G52" s="250">
        <f t="shared" ca="1" si="2"/>
        <v>7092.3700000000099</v>
      </c>
      <c r="H52" s="250">
        <f t="shared" ca="1" si="3"/>
        <v>710.34</v>
      </c>
      <c r="I52" s="99"/>
      <c r="K52" s="231"/>
      <c r="L52" s="199" t="str">
        <f t="shared" si="9"/>
        <v>R</v>
      </c>
      <c r="M52" s="231">
        <f t="shared" ca="1" si="10"/>
        <v>47483</v>
      </c>
      <c r="N52" s="231">
        <f t="shared" ca="1" si="17"/>
        <v>47478</v>
      </c>
      <c r="O52" s="199">
        <f t="shared" ca="1" si="18"/>
        <v>5</v>
      </c>
      <c r="P52" s="199">
        <f t="shared" ca="1" si="11"/>
        <v>25</v>
      </c>
      <c r="Q52" s="199">
        <f t="shared" ca="1" si="0"/>
        <v>365</v>
      </c>
      <c r="R52" s="199">
        <f t="shared" ca="1" si="12"/>
        <v>1.3698630136986301E-2</v>
      </c>
      <c r="S52" s="199">
        <f t="shared" ca="1" si="13"/>
        <v>6.8493150684931503E-2</v>
      </c>
      <c r="T52" s="199">
        <f t="shared" ca="1" si="4"/>
        <v>8.2191780821917804E-2</v>
      </c>
      <c r="U52" s="415">
        <f t="shared" ca="1" si="14"/>
        <v>1.0038958904109589</v>
      </c>
      <c r="V52" s="233">
        <f ca="1">IF(B52&lt;&gt;"",1/PRODUCT($U$11:U52),0)</f>
        <v>0.84735319149085486</v>
      </c>
      <c r="AA52" s="240">
        <f t="shared" ca="1" si="5"/>
        <v>710.34</v>
      </c>
      <c r="AB52" s="240">
        <f ca="1">IF(B52&lt;&gt;"",AA52/((1+$V$5)^(SUM($T$11:T52))),0)</f>
        <v>404.44581157610315</v>
      </c>
      <c r="AD52">
        <f t="shared" ca="1" si="15"/>
        <v>1.0038958904109589</v>
      </c>
      <c r="AE52">
        <f ca="1">IF(B52&lt;&gt;"",1/PRODUCT($AD$11:AD52),0)</f>
        <v>0.84724359248678227</v>
      </c>
    </row>
    <row r="53" spans="1:31" ht="13" x14ac:dyDescent="0.3">
      <c r="A53" s="24"/>
      <c r="B53" s="248">
        <f t="shared" si="1"/>
        <v>43</v>
      </c>
      <c r="C53" s="249">
        <f t="shared" ca="1" si="6"/>
        <v>47509</v>
      </c>
      <c r="D53" s="249">
        <f t="shared" ca="1" si="16"/>
        <v>47509</v>
      </c>
      <c r="E53" s="250">
        <f t="shared" ca="1" si="7"/>
        <v>51.14</v>
      </c>
      <c r="F53" s="250">
        <f t="shared" ca="1" si="8"/>
        <v>659.2</v>
      </c>
      <c r="G53" s="250">
        <f t="shared" ca="1" si="2"/>
        <v>6433.1700000000101</v>
      </c>
      <c r="H53" s="250">
        <f t="shared" ca="1" si="3"/>
        <v>710.34</v>
      </c>
      <c r="I53" s="99"/>
      <c r="K53" s="231"/>
      <c r="L53" s="199" t="str">
        <f t="shared" si="9"/>
        <v>R</v>
      </c>
      <c r="M53" s="231">
        <f t="shared" ca="1" si="10"/>
        <v>47514</v>
      </c>
      <c r="N53" s="231">
        <f t="shared" ca="1" si="17"/>
        <v>47509</v>
      </c>
      <c r="O53" s="199">
        <f t="shared" ca="1" si="18"/>
        <v>6</v>
      </c>
      <c r="P53" s="199">
        <f t="shared" ca="1" si="11"/>
        <v>25</v>
      </c>
      <c r="Q53" s="199">
        <f t="shared" ca="1" si="0"/>
        <v>365</v>
      </c>
      <c r="R53" s="199">
        <f t="shared" ca="1" si="12"/>
        <v>1.643835616438356E-2</v>
      </c>
      <c r="S53" s="199">
        <f t="shared" ca="1" si="13"/>
        <v>6.8493150684931503E-2</v>
      </c>
      <c r="T53" s="199">
        <f t="shared" ca="1" si="4"/>
        <v>8.4931506849315067E-2</v>
      </c>
      <c r="U53" s="415">
        <f t="shared" ca="1" si="14"/>
        <v>1.0040257534246575</v>
      </c>
      <c r="V53" s="233">
        <f ca="1">IF(B53&lt;&gt;"",1/PRODUCT($U$11:U53),0)</f>
        <v>0.84395563420619024</v>
      </c>
      <c r="AA53" s="240">
        <f t="shared" ca="1" si="5"/>
        <v>710.34</v>
      </c>
      <c r="AB53" s="240">
        <f ca="1">IF(B53&lt;&gt;"",AA53/((1+$V$5)^(SUM($T$11:T53))),0)</f>
        <v>398.9578562510502</v>
      </c>
      <c r="AD53">
        <f t="shared" ca="1" si="15"/>
        <v>1.0040257534246575</v>
      </c>
      <c r="AE53">
        <f ca="1">IF(B53&lt;&gt;"",1/PRODUCT($AD$11:AD53),0)</f>
        <v>0.8438464746515687</v>
      </c>
    </row>
    <row r="54" spans="1:31" ht="13" x14ac:dyDescent="0.3">
      <c r="A54" s="24"/>
      <c r="B54" s="248">
        <f t="shared" si="1"/>
        <v>44</v>
      </c>
      <c r="C54" s="249">
        <f t="shared" ca="1" si="6"/>
        <v>47540</v>
      </c>
      <c r="D54" s="249">
        <f t="shared" ca="1" si="16"/>
        <v>47540</v>
      </c>
      <c r="E54" s="250">
        <f t="shared" ca="1" si="7"/>
        <v>46.39</v>
      </c>
      <c r="F54" s="250">
        <f t="shared" ca="1" si="8"/>
        <v>663.95</v>
      </c>
      <c r="G54" s="250">
        <f t="shared" ca="1" si="2"/>
        <v>5769.2200000000103</v>
      </c>
      <c r="H54" s="250">
        <f t="shared" ca="1" si="3"/>
        <v>710.34</v>
      </c>
      <c r="I54" s="99"/>
      <c r="K54" s="231"/>
      <c r="L54" s="199" t="str">
        <f t="shared" si="9"/>
        <v>R</v>
      </c>
      <c r="M54" s="231">
        <f t="shared" ca="1" si="10"/>
        <v>47542</v>
      </c>
      <c r="N54" s="231">
        <f t="shared" ca="1" si="17"/>
        <v>47540</v>
      </c>
      <c r="O54" s="199">
        <f t="shared" ca="1" si="18"/>
        <v>6</v>
      </c>
      <c r="P54" s="199">
        <f t="shared" ca="1" si="11"/>
        <v>25</v>
      </c>
      <c r="Q54" s="199">
        <f t="shared" ca="1" si="0"/>
        <v>365</v>
      </c>
      <c r="R54" s="199">
        <f t="shared" ca="1" si="12"/>
        <v>1.643835616438356E-2</v>
      </c>
      <c r="S54" s="199">
        <f t="shared" ca="1" si="13"/>
        <v>6.8493150684931503E-2</v>
      </c>
      <c r="T54" s="199">
        <f t="shared" ca="1" si="4"/>
        <v>8.4931506849315067E-2</v>
      </c>
      <c r="U54" s="415">
        <f t="shared" ca="1" si="14"/>
        <v>1.0040257534246575</v>
      </c>
      <c r="V54" s="233">
        <f ca="1">IF(B54&lt;&gt;"",1/PRODUCT($U$11:U54),0)</f>
        <v>0.84057169980702195</v>
      </c>
      <c r="AA54" s="240">
        <f t="shared" ca="1" si="5"/>
        <v>710.34</v>
      </c>
      <c r="AB54" s="240">
        <f ca="1">IF(B54&lt;&gt;"",AA54/((1+$V$5)^(SUM($T$11:T54))),0)</f>
        <v>393.54436740033759</v>
      </c>
      <c r="AD54">
        <f t="shared" ca="1" si="15"/>
        <v>1.0040257534246575</v>
      </c>
      <c r="AE54">
        <f ca="1">IF(B54&lt;&gt;"",1/PRODUCT($AD$11:AD54),0)</f>
        <v>0.84046297793982949</v>
      </c>
    </row>
    <row r="55" spans="1:31" ht="13" x14ac:dyDescent="0.3">
      <c r="A55" s="24"/>
      <c r="B55" s="248">
        <f t="shared" si="1"/>
        <v>45</v>
      </c>
      <c r="C55" s="249">
        <f t="shared" ca="1" si="6"/>
        <v>47568</v>
      </c>
      <c r="D55" s="249">
        <f t="shared" ca="1" si="16"/>
        <v>47568</v>
      </c>
      <c r="E55" s="250">
        <f t="shared" ca="1" si="7"/>
        <v>37.57</v>
      </c>
      <c r="F55" s="250">
        <f t="shared" ca="1" si="8"/>
        <v>672.77</v>
      </c>
      <c r="G55" s="250">
        <f t="shared" ca="1" si="2"/>
        <v>5096.4500000000098</v>
      </c>
      <c r="H55" s="250">
        <f t="shared" ca="1" si="3"/>
        <v>710.34</v>
      </c>
      <c r="I55" s="99"/>
      <c r="K55" s="231"/>
      <c r="L55" s="199" t="str">
        <f t="shared" si="9"/>
        <v>R</v>
      </c>
      <c r="M55" s="231">
        <f t="shared" ca="1" si="10"/>
        <v>47573</v>
      </c>
      <c r="N55" s="231">
        <f t="shared" ca="1" si="17"/>
        <v>47568</v>
      </c>
      <c r="O55" s="199">
        <f t="shared" ca="1" si="18"/>
        <v>3</v>
      </c>
      <c r="P55" s="199">
        <f t="shared" ca="1" si="11"/>
        <v>25</v>
      </c>
      <c r="Q55" s="199">
        <f t="shared" ca="1" si="0"/>
        <v>365</v>
      </c>
      <c r="R55" s="199">
        <f t="shared" ca="1" si="12"/>
        <v>8.21917808219178E-3</v>
      </c>
      <c r="S55" s="199">
        <f t="shared" ca="1" si="13"/>
        <v>6.8493150684931503E-2</v>
      </c>
      <c r="T55" s="199">
        <f t="shared" ca="1" si="4"/>
        <v>7.6712328767123278E-2</v>
      </c>
      <c r="U55" s="415">
        <f t="shared" ca="1" si="14"/>
        <v>1.0036361643835616</v>
      </c>
      <c r="V55" s="233">
        <f ca="1">IF(B55&lt;&gt;"",1/PRODUCT($U$11:U55),0)</f>
        <v>0.83752631644486952</v>
      </c>
      <c r="AA55" s="240">
        <f t="shared" ca="1" si="5"/>
        <v>710.34</v>
      </c>
      <c r="AB55" s="240">
        <f ca="1">IF(B55&lt;&gt;"",AA55/((1+$V$5)^(SUM($T$11:T55))),0)</f>
        <v>388.71792933418635</v>
      </c>
      <c r="AD55">
        <f t="shared" ca="1" si="15"/>
        <v>1.0036361643835616</v>
      </c>
      <c r="AE55">
        <f ca="1">IF(B55&lt;&gt;"",1/PRODUCT($AD$11:AD55),0)</f>
        <v>0.83741798847597926</v>
      </c>
    </row>
    <row r="56" spans="1:31" ht="13" x14ac:dyDescent="0.3">
      <c r="A56" s="24"/>
      <c r="B56" s="248">
        <f t="shared" si="1"/>
        <v>46</v>
      </c>
      <c r="C56" s="249">
        <f t="shared" ca="1" si="6"/>
        <v>47599</v>
      </c>
      <c r="D56" s="249">
        <f t="shared" ca="1" si="16"/>
        <v>47599</v>
      </c>
      <c r="E56" s="250">
        <f t="shared" ca="1" si="7"/>
        <v>36.75</v>
      </c>
      <c r="F56" s="250">
        <f t="shared" ca="1" si="8"/>
        <v>673.59</v>
      </c>
      <c r="G56" s="250">
        <f t="shared" ca="1" si="2"/>
        <v>4422.8600000000097</v>
      </c>
      <c r="H56" s="250">
        <f t="shared" ca="1" si="3"/>
        <v>710.34</v>
      </c>
      <c r="I56" s="99"/>
      <c r="K56" s="231"/>
      <c r="L56" s="199" t="str">
        <f t="shared" si="9"/>
        <v>R</v>
      </c>
      <c r="M56" s="231">
        <f t="shared" ca="1" si="10"/>
        <v>47603</v>
      </c>
      <c r="N56" s="231">
        <f t="shared" ca="1" si="17"/>
        <v>47599</v>
      </c>
      <c r="O56" s="199">
        <f t="shared" ca="1" si="18"/>
        <v>6</v>
      </c>
      <c r="P56" s="199">
        <f t="shared" ca="1" si="11"/>
        <v>25</v>
      </c>
      <c r="Q56" s="199">
        <f t="shared" ca="1" si="0"/>
        <v>365</v>
      </c>
      <c r="R56" s="199">
        <f t="shared" ca="1" si="12"/>
        <v>1.643835616438356E-2</v>
      </c>
      <c r="S56" s="199">
        <f t="shared" ca="1" si="13"/>
        <v>6.8493150684931503E-2</v>
      </c>
      <c r="T56" s="199">
        <f t="shared" ca="1" si="4"/>
        <v>8.4931506849315067E-2</v>
      </c>
      <c r="U56" s="415">
        <f t="shared" ca="1" si="14"/>
        <v>1.0040257534246575</v>
      </c>
      <c r="V56" s="233">
        <f ca="1">IF(B56&lt;&gt;"",1/PRODUCT($U$11:U56),0)</f>
        <v>0.83416816111352654</v>
      </c>
      <c r="AA56" s="240">
        <f t="shared" ca="1" si="5"/>
        <v>710.34</v>
      </c>
      <c r="AB56" s="240">
        <f ca="1">IF(B56&lt;&gt;"",AA56/((1+$V$5)^(SUM($T$11:T56))),0)</f>
        <v>383.44338681408988</v>
      </c>
      <c r="AD56">
        <f t="shared" ca="1" si="15"/>
        <v>1.0040257534246575</v>
      </c>
      <c r="AE56">
        <f ca="1">IF(B56&lt;&gt;"",1/PRODUCT($AD$11:AD56),0)</f>
        <v>0.83406026749772955</v>
      </c>
    </row>
    <row r="57" spans="1:31" ht="13" x14ac:dyDescent="0.3">
      <c r="A57" s="24"/>
      <c r="B57" s="248">
        <f t="shared" si="1"/>
        <v>47</v>
      </c>
      <c r="C57" s="249">
        <f t="shared" ca="1" si="6"/>
        <v>47629</v>
      </c>
      <c r="D57" s="249">
        <f t="shared" ca="1" si="16"/>
        <v>47629</v>
      </c>
      <c r="E57" s="250">
        <f t="shared" ca="1" si="7"/>
        <v>30.86</v>
      </c>
      <c r="F57" s="250">
        <f t="shared" ca="1" si="8"/>
        <v>679.48</v>
      </c>
      <c r="G57" s="250">
        <f t="shared" ca="1" si="2"/>
        <v>3743.3800000000097</v>
      </c>
      <c r="H57" s="250">
        <f t="shared" ca="1" si="3"/>
        <v>710.34</v>
      </c>
      <c r="I57" s="99"/>
      <c r="K57" s="231"/>
      <c r="L57" s="199" t="str">
        <f t="shared" si="9"/>
        <v>R</v>
      </c>
      <c r="M57" s="231">
        <f t="shared" ca="1" si="10"/>
        <v>47634</v>
      </c>
      <c r="N57" s="231">
        <f t="shared" ca="1" si="17"/>
        <v>47629</v>
      </c>
      <c r="O57" s="199">
        <f t="shared" ca="1" si="18"/>
        <v>5</v>
      </c>
      <c r="P57" s="199">
        <f t="shared" ca="1" si="11"/>
        <v>25</v>
      </c>
      <c r="Q57" s="199">
        <f t="shared" ca="1" si="0"/>
        <v>365</v>
      </c>
      <c r="R57" s="199">
        <f t="shared" ca="1" si="12"/>
        <v>1.3698630136986301E-2</v>
      </c>
      <c r="S57" s="199">
        <f t="shared" ca="1" si="13"/>
        <v>6.8493150684931503E-2</v>
      </c>
      <c r="T57" s="199">
        <f t="shared" ca="1" si="4"/>
        <v>8.2191780821917804E-2</v>
      </c>
      <c r="U57" s="415">
        <f t="shared" ca="1" si="14"/>
        <v>1.0038958904109589</v>
      </c>
      <c r="V57" s="233">
        <f ca="1">IF(B57&lt;&gt;"",1/PRODUCT($U$11:U57),0)</f>
        <v>0.83093094521190647</v>
      </c>
      <c r="AA57" s="240">
        <f t="shared" ca="1" si="5"/>
        <v>710.34</v>
      </c>
      <c r="AB57" s="240">
        <f ca="1">IF(B57&lt;&gt;"",AA57/((1+$V$5)^(SUM($T$11:T57))),0)</f>
        <v>378.40714560575253</v>
      </c>
      <c r="AD57">
        <f t="shared" ca="1" si="15"/>
        <v>1.0038958904109589</v>
      </c>
      <c r="AE57">
        <f ca="1">IF(B57&lt;&gt;"",1/PRODUCT($AD$11:AD57),0)</f>
        <v>0.83082347030656267</v>
      </c>
    </row>
    <row r="58" spans="1:31" ht="13" x14ac:dyDescent="0.3">
      <c r="A58" s="24"/>
      <c r="B58" s="248">
        <f t="shared" si="1"/>
        <v>48</v>
      </c>
      <c r="C58" s="249">
        <f t="shared" ca="1" si="6"/>
        <v>47660</v>
      </c>
      <c r="D58" s="249">
        <f t="shared" ca="1" si="16"/>
        <v>47660</v>
      </c>
      <c r="E58" s="250">
        <f t="shared" ca="1" si="7"/>
        <v>-3033.0400000000095</v>
      </c>
      <c r="F58" s="250">
        <f t="shared" ca="1" si="8"/>
        <v>3743.3800000000097</v>
      </c>
      <c r="G58" s="250">
        <f t="shared" ca="1" si="2"/>
        <v>0</v>
      </c>
      <c r="H58" s="250">
        <f t="shared" ca="1" si="3"/>
        <v>710.34</v>
      </c>
      <c r="I58" s="99"/>
      <c r="K58" s="231"/>
      <c r="L58" s="199" t="str">
        <f t="shared" si="9"/>
        <v>R</v>
      </c>
      <c r="M58" s="231">
        <f t="shared" ca="1" si="10"/>
        <v>47664</v>
      </c>
      <c r="N58" s="231">
        <f t="shared" ca="1" si="17"/>
        <v>47660</v>
      </c>
      <c r="O58" s="199">
        <f t="shared" ca="1" si="18"/>
        <v>6</v>
      </c>
      <c r="P58" s="199">
        <f t="shared" ca="1" si="11"/>
        <v>25</v>
      </c>
      <c r="Q58" s="199">
        <f t="shared" ca="1" si="0"/>
        <v>365</v>
      </c>
      <c r="R58" s="199">
        <f t="shared" ca="1" si="12"/>
        <v>1.643835616438356E-2</v>
      </c>
      <c r="S58" s="199">
        <f t="shared" ca="1" si="13"/>
        <v>6.8493150684931503E-2</v>
      </c>
      <c r="T58" s="199">
        <f t="shared" ca="1" si="4"/>
        <v>8.4931506849315067E-2</v>
      </c>
      <c r="U58" s="415">
        <f t="shared" ca="1" si="14"/>
        <v>1.0040257534246575</v>
      </c>
      <c r="V58" s="233">
        <f ca="1">IF(B58&lt;&gt;"",1/PRODUCT($U$11:U58),0)</f>
        <v>0.82759923475833419</v>
      </c>
      <c r="AA58" s="240">
        <f t="shared" ca="1" si="5"/>
        <v>710.34</v>
      </c>
      <c r="AB58" s="240">
        <f ca="1">IF(B58&lt;&gt;"",AA58/((1+$V$5)^(SUM($T$11:T58))),0)</f>
        <v>373.27251087762312</v>
      </c>
      <c r="AD58">
        <f t="shared" ca="1" si="15"/>
        <v>1.0040257534246575</v>
      </c>
      <c r="AE58">
        <f ca="1">IF(B58&lt;&gt;"",1/PRODUCT($AD$11:AD58),0)</f>
        <v>0.82749219078563008</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3729"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3730"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Arkusz12">
    <pageSetUpPr fitToPage="1"/>
  </sheetPr>
  <dimension ref="A1:XFD1059"/>
  <sheetViews>
    <sheetView view="pageBreakPreview" zoomScale="70" zoomScaleNormal="85" zoomScaleSheetLayoutView="70" workbookViewId="0">
      <pane xSplit="4" ySplit="12" topLeftCell="E13" activePane="bottomRight" state="frozen"/>
      <selection activeCell="C1" sqref="C1"/>
      <selection pane="topRight" activeCell="E1" sqref="E1"/>
      <selection pane="bottomLeft" activeCell="C13" sqref="C13"/>
      <selection pane="bottomRight" activeCell="D1" sqref="D1"/>
    </sheetView>
  </sheetViews>
  <sheetFormatPr defaultColWidth="8.81640625" defaultRowHeight="12.5" x14ac:dyDescent="0.25"/>
  <cols>
    <col min="1" max="1" width="3.81640625" style="426" hidden="1" customWidth="1"/>
    <col min="2" max="2" width="4.26953125" style="426" hidden="1" customWidth="1"/>
    <col min="3" max="3" width="45.54296875" style="426" customWidth="1"/>
    <col min="4" max="4" width="79.81640625" style="426" customWidth="1"/>
    <col min="5" max="5" width="55.54296875" style="426" customWidth="1"/>
    <col min="6" max="6" width="18.453125" style="546" customWidth="1"/>
    <col min="7" max="7" width="15.26953125" style="546" customWidth="1"/>
    <col min="8" max="8" width="19" style="546" customWidth="1"/>
    <col min="9" max="9" width="19.81640625" style="546" bestFit="1" customWidth="1"/>
    <col min="10" max="10" width="14.26953125" style="426" customWidth="1"/>
    <col min="11" max="11" width="18.453125" style="426" customWidth="1"/>
    <col min="12" max="12" width="18.81640625" style="426" customWidth="1"/>
    <col min="13" max="13" width="9" style="426" bestFit="1" customWidth="1"/>
    <col min="14" max="15" width="10.1796875" style="426" bestFit="1" customWidth="1"/>
    <col min="16" max="16" width="9" style="426" bestFit="1" customWidth="1"/>
    <col min="17" max="17" width="19.26953125" style="426" customWidth="1"/>
    <col min="18" max="19" width="9" style="426" bestFit="1" customWidth="1"/>
    <col min="20" max="20" width="13.54296875" style="426" customWidth="1"/>
    <col min="21" max="21" width="8.81640625" style="426"/>
    <col min="22" max="23" width="9" style="426" bestFit="1" customWidth="1"/>
    <col min="24" max="24" width="18.26953125" style="426" customWidth="1"/>
    <col min="25" max="26" width="8.81640625" style="426"/>
    <col min="27" max="27" width="16" style="426" customWidth="1"/>
    <col min="28" max="29" width="17.54296875" style="426" customWidth="1"/>
    <col min="30" max="30" width="22.26953125" style="426" bestFit="1" customWidth="1"/>
    <col min="31" max="31" width="13.1796875" style="426" bestFit="1" customWidth="1"/>
    <col min="32" max="32" width="20.7265625" style="426" bestFit="1" customWidth="1"/>
    <col min="33" max="33" width="20.7265625" style="426" customWidth="1"/>
    <col min="34" max="34" width="12.26953125" style="426" customWidth="1"/>
    <col min="35" max="35" width="13.1796875" style="426" customWidth="1"/>
    <col min="36" max="37" width="8.81640625" style="426"/>
    <col min="38" max="38" width="11.7265625" style="426" customWidth="1"/>
    <col min="39" max="127" width="8.81640625" style="426"/>
    <col min="128" max="128" width="9.54296875" style="426" bestFit="1" customWidth="1"/>
    <col min="129" max="16384" width="8.81640625" style="426"/>
  </cols>
  <sheetData>
    <row r="1" spans="1:128" ht="13" x14ac:dyDescent="0.3">
      <c r="C1" s="473" t="s">
        <v>186</v>
      </c>
      <c r="D1" s="803">
        <v>999</v>
      </c>
      <c r="E1" s="598" t="s">
        <v>2226</v>
      </c>
      <c r="F1" s="544" t="s">
        <v>187</v>
      </c>
      <c r="G1" s="545">
        <f ca="1">H200</f>
        <v>31000</v>
      </c>
      <c r="H1" s="544" t="s">
        <v>188</v>
      </c>
      <c r="I1" s="545">
        <f ca="1">AA200</f>
        <v>31000</v>
      </c>
      <c r="DX1" s="426" t="e">
        <f>o Activesheet.name</f>
        <v>#NAME?</v>
      </c>
    </row>
    <row r="2" spans="1:128" x14ac:dyDescent="0.25">
      <c r="C2" s="427" t="str">
        <f>VLOOKUP(D1,C599:E1063,3,FALSE)</f>
        <v xml:space="preserve"> </v>
      </c>
      <c r="D2" s="426">
        <f>VLOOKUP(D1,C599:D1063,2,FALSE)</f>
        <v>0</v>
      </c>
      <c r="E2" s="1525">
        <v>3.7499999999999999E-2</v>
      </c>
      <c r="H2" s="544" t="s">
        <v>189</v>
      </c>
      <c r="I2" s="547" t="str">
        <f ca="1">F200</f>
        <v>Zmienne</v>
      </c>
    </row>
    <row r="3" spans="1:128" x14ac:dyDescent="0.25">
      <c r="C3" s="427" t="str">
        <f>VLOOKUP(D1,C599:G1063,5,FALSE)</f>
        <v>40-086 Katowice</v>
      </c>
      <c r="D3" s="426" t="str">
        <f>VLOOKUP(D1,C599:H1063,6,FALSE)</f>
        <v>Sokolska 34</v>
      </c>
      <c r="E3" s="598" t="s">
        <v>2227</v>
      </c>
      <c r="F3" s="544" t="s">
        <v>191</v>
      </c>
      <c r="G3" s="548">
        <f ca="1">J200</f>
        <v>0</v>
      </c>
      <c r="H3" s="544" t="s">
        <v>5</v>
      </c>
      <c r="I3" s="548">
        <f ca="1">I200</f>
        <v>8.4900000000000003E-2</v>
      </c>
    </row>
    <row r="4" spans="1:128" ht="13" x14ac:dyDescent="0.3">
      <c r="C4" s="474"/>
      <c r="D4" s="597"/>
      <c r="E4" s="1525">
        <f ca="1">FWartOproc-E2</f>
        <v>4.7400000000000005E-2</v>
      </c>
      <c r="F4" s="544" t="s">
        <v>193</v>
      </c>
      <c r="G4" s="545">
        <f ca="1">X200</f>
        <v>0</v>
      </c>
      <c r="H4" s="549" t="s">
        <v>194</v>
      </c>
      <c r="I4" s="548" t="str">
        <f ca="1">U200</f>
        <v>NieDotyczy</v>
      </c>
    </row>
    <row r="5" spans="1:128" ht="27.5" x14ac:dyDescent="0.25">
      <c r="C5" s="475" t="s">
        <v>196</v>
      </c>
      <c r="D5" s="787" t="s">
        <v>197</v>
      </c>
      <c r="F5" s="550" t="s">
        <v>198</v>
      </c>
      <c r="G5" s="545">
        <f ca="1">T200</f>
        <v>0</v>
      </c>
      <c r="H5" s="551" t="s">
        <v>199</v>
      </c>
      <c r="I5" s="548" t="str">
        <f ca="1">Q200</f>
        <v>NieDotyczy</v>
      </c>
      <c r="J5" s="1855">
        <f ca="1">G5/J6</f>
        <v>0</v>
      </c>
    </row>
    <row r="6" spans="1:128" ht="21" customHeight="1" x14ac:dyDescent="0.25">
      <c r="C6" s="458" t="str">
        <f>IF(D5="1.Oferty dla Klienta","","WYBIERZ z listy reprezentatywny przykład")</f>
        <v/>
      </c>
      <c r="D6"/>
      <c r="F6" s="544" t="s">
        <v>1764</v>
      </c>
      <c r="G6" s="552">
        <f ca="1">K200</f>
        <v>46199</v>
      </c>
      <c r="H6" s="553" t="s">
        <v>201</v>
      </c>
      <c r="I6" s="554" t="str">
        <f ca="1">Y200</f>
        <v>NIE</v>
      </c>
      <c r="J6" s="426">
        <f ca="1">G7-G6</f>
        <v>1461</v>
      </c>
    </row>
    <row r="7" spans="1:128" ht="42" customHeight="1" x14ac:dyDescent="0.25">
      <c r="C7" s="457" t="s">
        <v>1740</v>
      </c>
      <c r="D7" s="517" t="str">
        <f ca="1">IF(D6="",D203,D6)</f>
        <v>Oferta obliczona dla klienta</v>
      </c>
      <c r="F7" s="544" t="s">
        <v>203</v>
      </c>
      <c r="G7" s="552">
        <f ca="1">L200</f>
        <v>47660</v>
      </c>
      <c r="H7" s="544" t="s">
        <v>204</v>
      </c>
      <c r="I7" s="548" t="str">
        <f ca="1">Z200</f>
        <v>NIE</v>
      </c>
    </row>
    <row r="8" spans="1:128" x14ac:dyDescent="0.25">
      <c r="C8" s="429" t="s">
        <v>202</v>
      </c>
      <c r="D8" s="426" t="str">
        <f>VLOOKUP(D1,C599:F1063,4,FALSE)</f>
        <v>Katowice</v>
      </c>
      <c r="F8" s="544" t="s">
        <v>206</v>
      </c>
      <c r="G8" s="555">
        <f ca="1">M200</f>
        <v>26</v>
      </c>
      <c r="H8" s="556" t="s">
        <v>207</v>
      </c>
      <c r="I8" s="596">
        <f ca="1">AE200</f>
        <v>8.2407822681154569E-2</v>
      </c>
    </row>
    <row r="9" spans="1:128" x14ac:dyDescent="0.25">
      <c r="C9" s="429" t="s">
        <v>205</v>
      </c>
      <c r="D9" s="598">
        <f>nazwa_posrednika</f>
        <v>0</v>
      </c>
      <c r="F9" s="544" t="s">
        <v>209</v>
      </c>
      <c r="G9" s="555">
        <f ca="1">P200</f>
        <v>48</v>
      </c>
      <c r="H9" s="557" t="s">
        <v>1744</v>
      </c>
      <c r="I9" s="545">
        <f ca="1">AF200+I13</f>
        <v>36676.700000000004</v>
      </c>
    </row>
    <row r="10" spans="1:128" x14ac:dyDescent="0.25">
      <c r="C10" s="429" t="s">
        <v>208</v>
      </c>
      <c r="D10" s="1713" t="s">
        <v>2262</v>
      </c>
      <c r="F10" s="544" t="s">
        <v>211</v>
      </c>
      <c r="G10" s="552">
        <f ca="1">N200</f>
        <v>46199</v>
      </c>
      <c r="H10" s="544" t="s">
        <v>212</v>
      </c>
      <c r="I10" s="545">
        <f ca="1">AB200</f>
        <v>764.1</v>
      </c>
    </row>
    <row r="11" spans="1:128" x14ac:dyDescent="0.25">
      <c r="F11" s="544" t="s">
        <v>213</v>
      </c>
      <c r="G11" s="552">
        <f ca="1">O200</f>
        <v>46229</v>
      </c>
      <c r="H11" s="544" t="s">
        <v>214</v>
      </c>
      <c r="I11" s="545">
        <f ca="1">AC200</f>
        <v>5676.7000000000016</v>
      </c>
    </row>
    <row r="12" spans="1:128" x14ac:dyDescent="0.25">
      <c r="H12" s="544" t="s">
        <v>215</v>
      </c>
      <c r="I12" s="545">
        <f ca="1">AD200+I13</f>
        <v>5676.7000000000016</v>
      </c>
    </row>
    <row r="13" spans="1:128" ht="20.149999999999999" customHeight="1" x14ac:dyDescent="0.25">
      <c r="H13" s="546" t="s">
        <v>2407</v>
      </c>
      <c r="I13" s="1843">
        <f>WERSJA2!$D$11</f>
        <v>0</v>
      </c>
    </row>
    <row r="14" spans="1:128" ht="13" x14ac:dyDescent="0.25">
      <c r="C14" s="1719" t="s">
        <v>216</v>
      </c>
      <c r="D14" s="1720"/>
    </row>
    <row r="15" spans="1:128" ht="13" x14ac:dyDescent="0.25">
      <c r="C15" s="476"/>
      <c r="D15" s="476"/>
    </row>
    <row r="16" spans="1:128" ht="13" x14ac:dyDescent="0.25">
      <c r="A16" s="428" t="s">
        <v>217</v>
      </c>
      <c r="B16" s="428" t="s">
        <v>218</v>
      </c>
      <c r="C16" s="1715" t="s">
        <v>219</v>
      </c>
      <c r="D16" s="1716"/>
      <c r="F16" s="601" t="s">
        <v>1793</v>
      </c>
    </row>
    <row r="17" spans="2:5" ht="13" x14ac:dyDescent="0.25">
      <c r="C17" s="1144" t="s">
        <v>2265</v>
      </c>
      <c r="D17" s="477" t="s">
        <v>221</v>
      </c>
    </row>
    <row r="18" spans="2:5" ht="13" x14ac:dyDescent="0.25">
      <c r="C18" s="1698"/>
      <c r="D18" s="478" t="s">
        <v>222</v>
      </c>
    </row>
    <row r="19" spans="2:5" ht="13" x14ac:dyDescent="0.25">
      <c r="C19" s="1698"/>
      <c r="D19" s="478" t="s">
        <v>223</v>
      </c>
    </row>
    <row r="20" spans="2:5" ht="13" x14ac:dyDescent="0.25">
      <c r="C20" s="1698"/>
      <c r="D20" s="478" t="s">
        <v>224</v>
      </c>
    </row>
    <row r="21" spans="2:5" ht="13" x14ac:dyDescent="0.25">
      <c r="C21" s="1698"/>
      <c r="D21" s="478" t="s">
        <v>225</v>
      </c>
    </row>
    <row r="22" spans="2:5" ht="13" x14ac:dyDescent="0.25">
      <c r="C22" s="1698"/>
      <c r="D22" s="478" t="s">
        <v>226</v>
      </c>
    </row>
    <row r="23" spans="2:5" ht="13" x14ac:dyDescent="0.25">
      <c r="C23" s="1698"/>
      <c r="D23" s="478" t="s">
        <v>227</v>
      </c>
    </row>
    <row r="24" spans="2:5" ht="13" x14ac:dyDescent="0.25">
      <c r="C24" s="1698"/>
      <c r="D24" s="478" t="s">
        <v>228</v>
      </c>
    </row>
    <row r="25" spans="2:5" ht="13" x14ac:dyDescent="0.25">
      <c r="B25" s="428"/>
      <c r="C25" s="1698"/>
      <c r="D25" s="479" t="s">
        <v>229</v>
      </c>
    </row>
    <row r="26" spans="2:5" ht="13" x14ac:dyDescent="0.25">
      <c r="C26" s="1698"/>
      <c r="D26" s="478" t="s">
        <v>2247</v>
      </c>
    </row>
    <row r="27" spans="2:5" ht="13" x14ac:dyDescent="0.25">
      <c r="B27" s="428" t="s">
        <v>231</v>
      </c>
      <c r="C27" s="1698"/>
      <c r="D27" s="478" t="s">
        <v>2409</v>
      </c>
      <c r="E27" s="907"/>
    </row>
    <row r="28" spans="2:5" ht="13" x14ac:dyDescent="0.25">
      <c r="B28" s="428" t="s">
        <v>232</v>
      </c>
      <c r="C28" s="1698"/>
      <c r="D28" s="478" t="s">
        <v>2248</v>
      </c>
    </row>
    <row r="29" spans="2:5" ht="13" x14ac:dyDescent="0.25">
      <c r="B29" s="428" t="s">
        <v>233</v>
      </c>
      <c r="C29" s="1699"/>
      <c r="D29" s="481" t="s">
        <v>2249</v>
      </c>
    </row>
    <row r="30" spans="2:5" ht="13" x14ac:dyDescent="0.25">
      <c r="C30" s="1144" t="s">
        <v>234</v>
      </c>
      <c r="D30" s="480" t="s">
        <v>235</v>
      </c>
    </row>
    <row r="31" spans="2:5" ht="13" x14ac:dyDescent="0.25">
      <c r="C31" s="1700"/>
      <c r="D31" s="478" t="s">
        <v>236</v>
      </c>
    </row>
    <row r="32" spans="2:5" ht="13" x14ac:dyDescent="0.25">
      <c r="C32" s="1701"/>
      <c r="D32" s="481" t="s">
        <v>237</v>
      </c>
    </row>
    <row r="33" spans="2:9" ht="13" x14ac:dyDescent="0.25">
      <c r="C33" s="1145" t="s">
        <v>238</v>
      </c>
      <c r="D33" s="480" t="s">
        <v>239</v>
      </c>
    </row>
    <row r="34" spans="2:9" ht="13" x14ac:dyDescent="0.25">
      <c r="C34" s="482" t="s">
        <v>240</v>
      </c>
      <c r="D34" s="481" t="s">
        <v>241</v>
      </c>
    </row>
    <row r="35" spans="2:9" s="431" customFormat="1" ht="31.5" customHeight="1" x14ac:dyDescent="0.25">
      <c r="C35" s="483" t="s">
        <v>242</v>
      </c>
      <c r="D35" s="484"/>
      <c r="F35" s="547"/>
      <c r="G35" s="547"/>
      <c r="H35" s="547"/>
      <c r="I35" s="547"/>
    </row>
    <row r="36" spans="2:9" ht="31.5" customHeight="1" x14ac:dyDescent="0.25">
      <c r="C36" s="483" t="s">
        <v>243</v>
      </c>
      <c r="D36" s="485"/>
    </row>
    <row r="37" spans="2:9" ht="29.25" customHeight="1" x14ac:dyDescent="0.25">
      <c r="C37" s="483" t="s">
        <v>244</v>
      </c>
      <c r="D37" s="486" t="s">
        <v>245</v>
      </c>
    </row>
    <row r="38" spans="2:9" ht="17.5" x14ac:dyDescent="0.25">
      <c r="C38" s="1144" t="s">
        <v>246</v>
      </c>
      <c r="D38" s="479" t="s">
        <v>247</v>
      </c>
    </row>
    <row r="39" spans="2:9" ht="13" x14ac:dyDescent="0.25">
      <c r="B39" s="428" t="s">
        <v>218</v>
      </c>
      <c r="C39" s="1698"/>
      <c r="D39" s="479" t="s">
        <v>2263</v>
      </c>
    </row>
    <row r="40" spans="2:9" ht="13" x14ac:dyDescent="0.25">
      <c r="B40" s="428" t="s">
        <v>218</v>
      </c>
      <c r="C40" s="1698"/>
      <c r="D40" s="478">
        <f>nazwa_posrednika</f>
        <v>0</v>
      </c>
    </row>
    <row r="41" spans="2:9" ht="13" x14ac:dyDescent="0.25">
      <c r="B41" s="428" t="s">
        <v>218</v>
      </c>
      <c r="C41" s="1698"/>
      <c r="D41" s="478">
        <f>adres_siedziby_posrednika</f>
        <v>0</v>
      </c>
      <c r="E41" s="1520" t="s">
        <v>249</v>
      </c>
    </row>
    <row r="42" spans="2:9" ht="1.5" customHeight="1" x14ac:dyDescent="0.25">
      <c r="B42" s="428" t="s">
        <v>218</v>
      </c>
      <c r="C42" s="1698"/>
      <c r="D42" s="478" t="str">
        <f>IF(FRodzajPlacowki="Placówka Partnerska",D3&amp;", "&amp;C3,"")</f>
        <v/>
      </c>
      <c r="E42" s="907" t="s">
        <v>250</v>
      </c>
    </row>
    <row r="43" spans="2:9" ht="28.5" customHeight="1" x14ac:dyDescent="0.25">
      <c r="B43" s="428" t="s">
        <v>218</v>
      </c>
      <c r="C43" s="483" t="s">
        <v>2408</v>
      </c>
      <c r="D43" s="487" t="str">
        <f>nazwa_posrednika&amp;", "&amp;adres_siedziby_posrednika</f>
        <v xml:space="preserve">, </v>
      </c>
      <c r="E43" s="1714" t="s">
        <v>2264</v>
      </c>
    </row>
    <row r="44" spans="2:9" ht="30.75" customHeight="1" x14ac:dyDescent="0.25">
      <c r="C44" s="483" t="s">
        <v>252</v>
      </c>
      <c r="D44" s="487" t="str">
        <f>IF(FRodzajPlacowki="Placówka Partnerska",D11,"nie dotyczy")</f>
        <v>nie dotyczy</v>
      </c>
    </row>
    <row r="45" spans="2:9" ht="28.5" customHeight="1" x14ac:dyDescent="0.25">
      <c r="C45" s="483" t="s">
        <v>243</v>
      </c>
      <c r="D45" s="487" t="str">
        <f>IF(FRodzajPlacowki="Placówka Partnerska",D12,"nie dotyczy")</f>
        <v>nie dotyczy</v>
      </c>
    </row>
    <row r="46" spans="2:9" ht="30.75" customHeight="1" x14ac:dyDescent="0.25">
      <c r="C46" s="483" t="s">
        <v>242</v>
      </c>
      <c r="D46" s="487" t="str">
        <f>IF(FRodzajPlacowki="Placówka Partnerska",D13,"nie dotyczy")</f>
        <v>nie dotyczy</v>
      </c>
    </row>
    <row r="47" spans="2:9" ht="28.5" customHeight="1" x14ac:dyDescent="0.25">
      <c r="C47" s="483" t="s">
        <v>244</v>
      </c>
      <c r="D47" s="487" t="str">
        <f>IF(FRodzajPlacowki="Placówka Partnerska",D14,"nie dotyczy")</f>
        <v>nie dotyczy</v>
      </c>
    </row>
    <row r="48" spans="2:9" ht="13" x14ac:dyDescent="0.25">
      <c r="C48" s="488" t="s">
        <v>253</v>
      </c>
      <c r="D48" s="488"/>
    </row>
    <row r="49" spans="3:7" ht="13" x14ac:dyDescent="0.25">
      <c r="C49" s="489" t="s">
        <v>254</v>
      </c>
      <c r="D49" s="485" t="s">
        <v>255</v>
      </c>
    </row>
    <row r="50" spans="3:7" ht="45.75" customHeight="1" x14ac:dyDescent="0.25">
      <c r="C50" s="1717" t="s">
        <v>256</v>
      </c>
      <c r="D50" s="1765" t="str">
        <f>IF(prowizja_kredytowana=TRUE,
"Pożyczka w wysokości "&amp;FIXED(WERSJA2!J15,2,FALSE) &amp;" na którą składa się:
A. Kwota " &amp; FIXED(KwNaReke) &amp; " do dyspozycji Pożyczkobiorcy, stanowiąca całkowitą kwotę pożyczki,
B. Kwota " &amp; FIXED(KwNaReke*OPROCENTOWANIE!$J$2)&amp;"  stanowiąca kredytowaną prowizję Banku za udzielenie pożyczki. ","Pożyczka w wysokości "&amp;FIXED(KwNaReke,2,FALSE)&amp;" zł, stanowiąca całkowitą kwotę pożyczki")</f>
        <v>Pożyczka w wysokości 31 000,00 zł, stanowiąca całkowitą kwotę pożyczki</v>
      </c>
    </row>
    <row r="51" spans="3:7" ht="3" customHeight="1" x14ac:dyDescent="0.25">
      <c r="C51" s="500"/>
      <c r="D51" s="490"/>
    </row>
    <row r="52" spans="3:7" ht="97.5" customHeight="1" x14ac:dyDescent="0.25">
      <c r="C52" s="491" t="s">
        <v>257</v>
      </c>
      <c r="D52" s="514" t="str">
        <f>"Wypłata pożyczki może mieć miejsce na :
1) rachunek oszczędnościowo rozliczeniowy Pożyczkobiorcy lub 
2)rachunek wskazany przez Bank."&amp;"
Wypłata pożyczki nastąpi w dniu wskazanym w umowie , a w przypadku braku wskazania daty do czterech dni roboczych od dnia zawarcia umowy. "&amp;"W przypadku, gdy umowa przewidywać będzie warunki wypłaty pożyczki przez Bank wówczas wypłata ta nastąpi po spełnieniu tych warunków przez Pożyczkobiorcę. "</f>
        <v xml:space="preserve">Wypłata pożyczki może mieć miejsce na :
1) rachunek oszczędnościowo rozliczeniowy Pożyczkobiorcy lub 
2)rachunek wskazany przez Bank.
Wypłata pożyczki nastąpi w dniu wskazanym w umowie , a w przypadku braku wskazania daty do czterech dni roboczych od dnia zawarcia umowy. W przypadku, gdy umowa przewidywać będzie warunki wypłaty pożyczki przez Bank wówczas wypłata ta nastąpi po spełnieniu tych warunków przez Pożyczkobiorcę. </v>
      </c>
      <c r="F52" s="559" t="str">
        <f>"Źródło: "&amp;C4</f>
        <v xml:space="preserve">Źródło: </v>
      </c>
    </row>
    <row r="53" spans="3:7" ht="13.5" thickBot="1" x14ac:dyDescent="0.3">
      <c r="C53" s="492" t="s">
        <v>258</v>
      </c>
      <c r="D53" s="1711" t="str">
        <f ca="1">TEXT(G7, "dd-mm-rrrr")</f>
        <v>26-06-2030</v>
      </c>
      <c r="F53" s="560" t="s">
        <v>1760</v>
      </c>
    </row>
    <row r="54" spans="3:7" ht="43.5" customHeight="1" thickTop="1" x14ac:dyDescent="0.25">
      <c r="C54" s="1143" t="s">
        <v>259</v>
      </c>
      <c r="D54" s="479" t="str">
        <f>"- będzie Pan/Pani musiał/a dokonać spłaty na następujących warunkach: 
spłata w formie rat kapitałowo-odsetkowych płatnych miesięcznie
- kwota, liczba i częstotliwość płatności rat kredytu konsumenckiego:"</f>
        <v>- będzie Pan/Pani musiał/a dokonać spłaty na następujących warunkach: 
spłata w formie rat kapitałowo-odsetkowych płatnych miesięcznie
- kwota, liczba i częstotliwość płatności rat kredytu konsumenckiego:</v>
      </c>
    </row>
    <row r="55" spans="3:7" ht="44.25" customHeight="1" x14ac:dyDescent="0.25">
      <c r="C55" s="1143"/>
      <c r="D55" s="479" t="str">
        <f ca="1">IF(Lr=1,D514,D515)</f>
        <v>Liczba miesięcznych rat: 
- 47 rat/y równych/e w wysokości 764,10 zł,  płatnych/e każdego 26-go dnia każdego miesiąca
- ostatnia 48 rata w wysokości 764,00 zł, płatna 26-06-2030r.</v>
      </c>
      <c r="F55" s="559" t="s">
        <v>260</v>
      </c>
      <c r="G55" s="559"/>
    </row>
    <row r="56" spans="3:7" ht="114" customHeight="1" x14ac:dyDescent="0.25">
      <c r="C56" s="1143"/>
      <c r="D56" s="479" t="str">
        <f ca="1">VLOOKUP(I2,FORMULARZ!C504:D505,2,FALSE)</f>
        <v>Wysokość ostatniej raty może ulec zmianie w przypadku zmiany stopy procentowej w okresie kredytowania w tym w przypadku zmiany wysokości oprocentowania wskutek zmiany wysokości odsetek maksymalnych lub w związku z tym, że termin wypłaty pożyczki przez Bank może być inny niż data zawarcia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F56" s="559" t="str">
        <f ca="1">"wart zmienia się w zależn od Źródło (I1) "&amp;H2
&amp;", teraz wybrano: "&amp;I2</f>
        <v>wart zmienia się w zależn od Źródło (I1) Typ Oprocentow:, teraz wybrano: Zmienne</v>
      </c>
      <c r="G56" s="559"/>
    </row>
    <row r="57" spans="3:7" ht="20.25" customHeight="1" x14ac:dyDescent="0.25">
      <c r="C57" s="1143"/>
      <c r="D57" s="479" t="str">
        <f ca="1">CONCATENATE(E538,E539)</f>
        <v/>
      </c>
      <c r="E57" s="1262"/>
      <c r="F57" s="559" t="str">
        <f>"wiersz odkrywa się gdy "&amp;H5&amp;" (J3)=  'NieDotyczy' " &amp;"                      w makrze wiersz do ukrycia 57"</f>
        <v>wiersz odkrywa się gdy Ubezpieczenie kredytowane (dla Całkowitej Kwoty Ubezpiecz): (J3)=  'NieDotyczy'                       w makrze wiersz do ukrycia 57</v>
      </c>
    </row>
    <row r="58" spans="3:7" ht="29.25" customHeight="1" x14ac:dyDescent="0.25">
      <c r="C58" s="1143"/>
      <c r="D58" s="479" t="s">
        <v>261</v>
      </c>
    </row>
    <row r="59" spans="3:7" ht="13" x14ac:dyDescent="0.25">
      <c r="C59" s="1143"/>
      <c r="D59" s="479" t="s">
        <v>2250</v>
      </c>
    </row>
    <row r="60" spans="3:7" ht="13" x14ac:dyDescent="0.25">
      <c r="C60" s="1143"/>
      <c r="D60" s="479" t="s">
        <v>2251</v>
      </c>
    </row>
    <row r="61" spans="3:7" ht="13" x14ac:dyDescent="0.25">
      <c r="C61" s="1143"/>
      <c r="D61" s="479" t="s">
        <v>265</v>
      </c>
    </row>
    <row r="62" spans="3:7" ht="13" x14ac:dyDescent="0.25">
      <c r="C62" s="1143"/>
      <c r="D62" s="479" t="s">
        <v>266</v>
      </c>
    </row>
    <row r="63" spans="3:7" ht="13" x14ac:dyDescent="0.25">
      <c r="C63" s="1143"/>
      <c r="D63" s="479" t="s">
        <v>267</v>
      </c>
    </row>
    <row r="64" spans="3:7" ht="13" x14ac:dyDescent="0.25">
      <c r="C64" s="1143"/>
      <c r="D64" s="479" t="s">
        <v>2252</v>
      </c>
    </row>
    <row r="65" spans="3:10" ht="13" x14ac:dyDescent="0.25">
      <c r="C65" s="1143"/>
      <c r="D65" s="479" t="s">
        <v>269</v>
      </c>
    </row>
    <row r="66" spans="3:10" ht="13" x14ac:dyDescent="0.25">
      <c r="C66" s="1143"/>
      <c r="D66" s="479" t="s">
        <v>270</v>
      </c>
    </row>
    <row r="67" spans="3:10" ht="13" x14ac:dyDescent="0.25">
      <c r="C67" s="1143"/>
      <c r="D67" s="1705"/>
    </row>
    <row r="68" spans="3:10" ht="147" customHeight="1" x14ac:dyDescent="0.25">
      <c r="C68" s="1143"/>
      <c r="D68" s="493" t="str">
        <f>"Jeżeli Pożyczkobiorca zalegał będzie  ze spłatą więcej niż jednej raty pożyczki, wierzytelności Banku zaspakajane będą według dat wymagalności kolejnych niespłaconych rat począwszy od raty najdawniej wymagalnej, "&amp;"przy zachowaniu zasady pierwszeństwa zaspokajania związanych z daną ratą należności przeterminowanych według kolejności określonej w pkt 2."&amp;"
Po rozwiązaniu Umowy środki przeznaczone na spłatę zadłużenia Pożyczkobiorcy, zaliczane są na poczet niżej wymienionych należności Banku w następującej kolejności:"&amp;"
A) kapitał,
B) koszty sądowe i komornicze,
C) odsetki umowne,
D) odsetki podwyższone,
E) koszty zastępstwa procesowego."</f>
        <v>Jeżeli Pożyczkobiorca zalegał będzie  ze spłatą więcej niż jednej raty pożyczki, wierzytelności Banku zaspakajane będą według dat wymagalności kolejnych niespłaconych rat począwszy od raty najdawniej wymagalnej, przy zachowaniu zasady pierwszeństwa zaspokajania związanych z daną ratą należności przeterminowanych według kolejności określonej w pkt 2.
Po rozwiązaniu Umowy środki przeznaczone na spłatę zadłużenia Pożyczkobiorcy, zaliczane są na poczet niżej wymienionych należności Banku w następującej kolejności:
A) kapitał,
B) koszty sądowe i komornicze,
C) odsetki umowne,
D) odsetki podwyższone,
E) koszty zastępstwa procesowego.</v>
      </c>
      <c r="E68" s="1189"/>
    </row>
    <row r="69" spans="3:10" ht="80.25" customHeight="1" x14ac:dyDescent="0.25">
      <c r="C69" s="1706" t="s">
        <v>271</v>
      </c>
      <c r="D69" s="1710" t="str">
        <f ca="1">"(suma całkowitego kosztu kredytu i całkowitej kwoty kredytu)"&amp;"
"&amp;FIXED(I9,2,FALSE)&amp;" zł, na którą składają się:
1. całkowita kwota pożyczki "&amp;FIXED(G1,2,FALSE)&amp;" zł,  
2. całkowity koszt pożyczki "&amp;FIXED(I12,2,FALSE)&amp;" zł. "</f>
        <v xml:space="preserve">(suma całkowitego kosztu kredytu i całkowitej kwoty kredytu)
36 676,70 zł, na którą składają się:
1. całkowita kwota pożyczki 31 000,00 zł,  
2. całkowity koszt pożyczki 5 676,70 zł. </v>
      </c>
    </row>
    <row r="70" spans="3:10" ht="56.25" customHeight="1" x14ac:dyDescent="0.25">
      <c r="C70" s="483" t="s">
        <v>272</v>
      </c>
      <c r="D70" s="495" t="s">
        <v>273</v>
      </c>
      <c r="F70" s="561"/>
    </row>
    <row r="71" spans="3:10" ht="13" x14ac:dyDescent="0.25">
      <c r="C71" s="496" t="s">
        <v>274</v>
      </c>
      <c r="D71" s="497" t="str">
        <f>"- rodzaj zabezpieczenia kredytu:"</f>
        <v>- rodzaj zabezpieczenia kredytu:</v>
      </c>
      <c r="F71" s="546" t="s">
        <v>1759</v>
      </c>
      <c r="G71" s="562"/>
      <c r="J71" s="531"/>
    </row>
    <row r="72" spans="3:10" ht="112" customHeight="1" x14ac:dyDescent="0.25">
      <c r="C72" s="498" t="s">
        <v>275</v>
      </c>
      <c r="D72" s="1522" t="s">
        <v>2259</v>
      </c>
      <c r="E72" s="1189"/>
      <c r="F72" s="561"/>
    </row>
    <row r="73" spans="3:10" ht="48.75" customHeight="1" x14ac:dyDescent="0.25">
      <c r="C73" s="499" t="s">
        <v>276</v>
      </c>
      <c r="D73" s="493" t="s">
        <v>273</v>
      </c>
    </row>
    <row r="74" spans="3:10" ht="117" x14ac:dyDescent="0.25">
      <c r="C74" s="1721" t="s">
        <v>277</v>
      </c>
      <c r="D74" s="501"/>
    </row>
    <row r="75" spans="3:10" ht="13" x14ac:dyDescent="0.25">
      <c r="C75" s="488" t="s">
        <v>278</v>
      </c>
      <c r="D75" s="488"/>
    </row>
    <row r="76" spans="3:10" ht="161.15" customHeight="1" x14ac:dyDescent="0.25">
      <c r="C76" s="1697" t="s">
        <v>279</v>
      </c>
      <c r="D76" s="504" t="str">
        <f ca="1">"– stopa oprocentowania kredytu: "&amp;IF(I2="stałe",D549,D550)</f>
        <v>– stopa oprocentowania kredytu: 8,49% w stosunku rocznym. 
Składniki oprocentowania: 
a) 3,75% - stopa referencyjna
b) 4,74% stała marża Banku.</v>
      </c>
      <c r="E76" s="598" t="s">
        <v>2228</v>
      </c>
    </row>
    <row r="77" spans="3:10" ht="221" x14ac:dyDescent="0.25">
      <c r="C77" s="503"/>
      <c r="D77" s="493" t="str">
        <f ca="1">IF(I2="zmienne",D551,"")</f>
        <v>Wysokość oprocentowania pożyczki może się zmienić w okresie obowiązywania Umowy. Może to wystąpić, jeżeli zmieni się wysokość stopy referencyjnej. Zmiana wysokości stopy referencyjnej spowoduje zmianę wysokości oprocentowania pożyczki o taką liczbę punktów procentowych, o jaką zmieniona została stopa referencyjna. Zmiana ta nastąpi w dniu wejścia w życie nowej wartości stopy referencyjnej. Jeśli stopa referencyjna przyjmie wartość '0' (zero) lub ujemną – oprocentowanie pożyczki będzie równe marży Banku. Zmiana oprocentowania pożyczki wywołana zmianą stopy referencyjnej nie wymaga aneksu ani wypowiedzenia Umowy. O zmianie stopy referencyjnej Bank poinformuje komunikatem w oddziałach Banku oraz na stronie www.ing.pl.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lub większa od oprocentowania określonego w Umowie.</v>
      </c>
      <c r="E77" s="598" t="s">
        <v>2228</v>
      </c>
      <c r="F77" s="559" t="s">
        <v>1761</v>
      </c>
    </row>
    <row r="78" spans="3:10" ht="13" x14ac:dyDescent="0.25">
      <c r="C78" s="503"/>
      <c r="D78" s="1953" t="str">
        <f ca="1">"– stopa stała lub zmienna z podaniem stopy referencyjnej mającej zastosowanie do pierwotnej stopy oprocentowania: "&amp;"                                                                                                                                                             "&amp;
IF(I2="zmienne",D552,
"Stopa referencyjna nie ma zastosowania dla pożyczki o stałym oprocentowaniu")&amp;"
- wszystkie stosowane stopy procentowe w czasie obowiązywania umowy:
Jeżeli zmienna stopa - w okresach, w których stopa referencyjna NBP przymuje wartość ujemną, oprocentowanie będzie równe stałej marży Banku."&amp;"
Jeżeli stała stopa  - umowa nie przewiduje stosowanie różnych stóp oprocentowania w różnych okresach jej obowiązywania. "&amp;IF(FkredytowaneUbezpiecz&lt;&gt; "NieDotyczy",E79,"")</f>
        <v xml:space="preserve">– stopa stała lub zmienna z podaniem stopy referencyjnej mającej zastosowanie do pierwotnej stopy oprocentowania:                                                                                                                                                              W dniu 26-06-2026 stopa referencyjna uchwalona przez Radę Polityki Pieniężnej wynosi 3,75%.
- wszystkie stosowane stopy procentowe w czasie obowiązywania umowy:
Jeżeli zmienna stopa - w okresach, w których stopa referencyjna NBP przymuje wartość ujemną, oprocentowanie będzie równe stałej marży Banku.
Jeżeli stała stopa  - umowa nie przewiduje stosowanie różnych stóp oprocentowania w różnych okresach jej obowiązywania. </v>
      </c>
      <c r="E78" s="1521"/>
      <c r="F78" s="561"/>
    </row>
    <row r="79" spans="3:10" ht="212.5" x14ac:dyDescent="0.25">
      <c r="C79" s="503"/>
      <c r="D79" s="1954"/>
      <c r="E79" s="1852" t="str">
        <f ca="1">" Oprocentowanie w wysokości określonej w Podstawowych warunkach umowy ulega zmianie jeżeli Pożyczkobiorca, w trakcie trwania Umowy,"&amp;" wypowie umowę ubezpieczenia lub od niej odstąpi."&amp;" W takim przypadku, oprocentowanie pożyczki wyniesie "&amp;
FIXED(100*FWartOproc,2,FALSE)&amp;"% "&amp;"
"&amp;"
Nowa wysokość oprocentowania, będzie obowiązywała:
a. w następnym dniu roboczym przypadającym po dacie odstąpienia "&amp;"lub w sobotę jeżeli odstąpienie nastąpiło w piątek,
"&amp;"
b. w pierwszym dniu roboczym następnego miesiąca kalendarzowego, przypadającego po miesiącu w którym została wypowiedziana "&amp;" umowa ubezpieczenia lub w sobotę jeżeli jest to pierwszy dzień kalendarzowy następnego miesiąca, przypadającego po miesiącu w którym została wypowiedziana umowa ubezpieczenia.
"&amp;""</f>
        <v xml:space="preserve"> Oprocentowanie w wysokości określonej w Podstawowych warunkach umowy ulega zmianie jeżeli Pożyczkobiorca, w trakcie trwania Umowy, wypowie umowę ubezpieczenia lub od niej odstąpi. W takim przypadku, oprocentowanie pożyczki wyniesie 8,49% 
Nowa wysokość oprocentowania, będzie obowiązywała:
a. w następnym dniu roboczym przypadającym po dacie odstąpienia lub w sobotę jeżeli odstąpienie nastąpiło w piątek,
b. w pierwszym dniu roboczym następnego miesiąca kalendarzowego, przypadającego po miesiącu w którym została wypowiedziana  umowa ubezpieczenia lub w sobotę jeżeli jest to pierwszy dzień kalendarzowy następnego miesiąca, przypadającego po miesiącu w którym została wypowiedziana umowa ubezpieczenia.
</v>
      </c>
      <c r="F79" s="561" t="str">
        <f ca="1">FIXED(100*FWartOproc,2,FALSE)&amp;"% w stosunku rocznym."&amp;""</f>
        <v>8,49% w stosunku rocznym.</v>
      </c>
    </row>
    <row r="80" spans="3:10" ht="26" x14ac:dyDescent="0.25">
      <c r="C80" s="1951" t="s">
        <v>1756</v>
      </c>
      <c r="D80" s="504" t="str">
        <f ca="1">"– rzeczywista roczna stopa oprocentowania:
Rzeczywista Roczna Stopa Oprocentowania (RRSO) wynosi "&amp;FIXED(100*FWartRRSO,2,FALSE)&amp;"%."</f>
        <v>– rzeczywista roczna stopa oprocentowania:
Rzeczywista Roczna Stopa Oprocentowania (RRSO) wynosi 8,24%.</v>
      </c>
      <c r="E80" s="600"/>
    </row>
    <row r="81" spans="3:6" ht="13" x14ac:dyDescent="0.25">
      <c r="C81" s="1952"/>
      <c r="D81" s="1707" t="s">
        <v>2446</v>
      </c>
      <c r="E81" s="1293"/>
      <c r="F81" s="559" t="s">
        <v>282</v>
      </c>
    </row>
    <row r="82" spans="3:6" ht="71.900000000000006" customHeight="1" x14ac:dyDescent="0.25">
      <c r="C82" s="1952"/>
      <c r="D82" s="1291" t="str">
        <f ca="1">"Pożyczka pieniężna ze "&amp;VLOOKUP(F200,FORMULARZ!$C$504:$F$505,4,FALSE)&amp;" stopą procentową w wysokości "&amp;FIXED(AA200,2,FALSE)&amp;"zł,
 na okres "&amp;P200&amp;" miesięcznych rat, "
&amp;IF(OR(AI200="SILVER",AI200="GOLD")," 
z miesięczną opłatą z tyt. przystąpienia do programu ubezpieczeniowego Bezpieczna Pożyczka "&amp;AM200&amp;" w wysokości "&amp;FIXED(AK200,2,FALSE)&amp;" zł ( łącznie w całym okresie kredytowania w wysokości "&amp;FIXED(AL200,2,FALSE)&amp;" zł) ","")
&amp;IF(X200&gt;0,"
oraz prowizją za przyznanie pożyczki w wysokości "&amp;FIXED(X200,2,FALSE)&amp;" zł.","")</f>
        <v xml:space="preserve">Pożyczka pieniężna ze zmienną stopą procentową w wysokości 31 000,00zł,
 na okres 48 miesięcznych rat, </v>
      </c>
      <c r="E82" s="1294" t="s">
        <v>2161</v>
      </c>
      <c r="F82" s="546" t="s">
        <v>1758</v>
      </c>
    </row>
    <row r="83" spans="3:6" ht="12" hidden="1" customHeight="1" x14ac:dyDescent="0.25">
      <c r="C83" s="1952"/>
      <c r="D83" s="493"/>
      <c r="F83" s="546" t="s">
        <v>1757</v>
      </c>
    </row>
    <row r="84" spans="3:6" ht="12.75" hidden="1" customHeight="1" x14ac:dyDescent="0.25">
      <c r="C84" s="1952"/>
      <c r="D84" s="493"/>
      <c r="F84" s="546" t="s">
        <v>1757</v>
      </c>
    </row>
    <row r="85" spans="3:6" ht="13" x14ac:dyDescent="0.3">
      <c r="C85" s="1952"/>
      <c r="D85" s="578" t="s">
        <v>283</v>
      </c>
    </row>
    <row r="86" spans="3:6" ht="54" customHeight="1" x14ac:dyDescent="0.25">
      <c r="C86" s="1952"/>
      <c r="D86" s="493" t="s">
        <v>284</v>
      </c>
      <c r="F86" s="559" t="s">
        <v>285</v>
      </c>
    </row>
    <row r="87" spans="3:6" ht="46.4" customHeight="1" x14ac:dyDescent="0.25">
      <c r="C87" s="1952"/>
      <c r="D87" s="493" t="str">
        <f ca="1">"3. umowa pożyczki zostanie zawarta na okres od dnia "
&amp;TEXT(G6, "dd-mm-rrrr")&amp;" do dnia "&amp;TEXT(G7, "dd-mm-rrrr")
&amp;", zaś obie strony wypełnią w całości i w terminie wynikające z niej zobowiązania (w przypadku ich naruszenia powstać mogą dodatkowe zobowiązania wskazane w niniejszej Umowie),"</f>
        <v>3. umowa pożyczki zostanie zawarta na okres od dnia 26-06-2026 do dnia 26-06-2030, zaś obie strony wypełnią w całości i w terminie wynikające z niej zobowiązania (w przypadku ich naruszenia powstać mogą dodatkowe zobowiązania wskazane w niniejszej Umowie),</v>
      </c>
    </row>
    <row r="88" spans="3:6" ht="71.900000000000006" customHeight="1" x14ac:dyDescent="0.25">
      <c r="C88" s="1952"/>
      <c r="D88" s="493" t="str">
        <f ca="1">IF(prowizja_kredytowana=FALSE,D528,D529)</f>
        <v>4. całkowita kwota pożyczki zostanie Pożyczkobiorcy postawiona do dyspozycji w dniu 26-06-2026, a spłacana będzie wraz z kwotą stanowiącą kredytowaną prowizję za udzielenie pożyczki  w formie 48 miesięcznych rat kapitałowo-odsetkowych. 47 miesięczne(ych) rat(y) równe(ych) i ostatnia 48 rata wyrównawcza. Spłata rat następować będzie w dniu odpowiadającym dniu wypłaty przez Bank pożyczki</v>
      </c>
    </row>
    <row r="89" spans="3:6" ht="20.9" customHeight="1" x14ac:dyDescent="0.25">
      <c r="C89" s="1952"/>
      <c r="D89" s="493" t="s">
        <v>174</v>
      </c>
      <c r="E89" s="598" t="s">
        <v>2306</v>
      </c>
      <c r="F89" s="546" t="s">
        <v>286</v>
      </c>
    </row>
    <row r="90" spans="3:6" ht="30" hidden="1" customHeight="1" x14ac:dyDescent="0.25">
      <c r="C90" s="1952"/>
      <c r="D90" s="493"/>
      <c r="E90" s="598" t="s">
        <v>2306</v>
      </c>
    </row>
    <row r="91" spans="3:6" ht="26" x14ac:dyDescent="0.25">
      <c r="C91" s="1952"/>
      <c r="D91" s="1289" t="str">
        <f ca="1">E543</f>
        <v>7. stopa oprocentowania pożyczki oraz opłaty uwzględniane przy ustalaniu RRSO pozostaną niezmienione przez cały czas obowiązywania Umowy</v>
      </c>
      <c r="E91" s="1262"/>
      <c r="F91" s="559" t="s">
        <v>287</v>
      </c>
    </row>
    <row r="92" spans="3:6" ht="22.75" hidden="1" customHeight="1" x14ac:dyDescent="0.25">
      <c r="C92" s="506"/>
      <c r="D92" s="507"/>
      <c r="F92" s="559"/>
    </row>
    <row r="93" spans="3:6" ht="65" x14ac:dyDescent="0.3">
      <c r="C93" s="1144" t="s">
        <v>289</v>
      </c>
      <c r="D93" s="1722" t="s">
        <v>1750</v>
      </c>
      <c r="F93" s="559" t="s">
        <v>290</v>
      </c>
    </row>
    <row r="94" spans="3:6" ht="17.25" customHeight="1" x14ac:dyDescent="0.25">
      <c r="C94" s="1143"/>
      <c r="D94" s="508" t="str">
        <f ca="1">IF(FkredytowaneUbezpiecz="NieDotyczy","nie","tak")</f>
        <v>nie</v>
      </c>
      <c r="E94" s="599" t="s">
        <v>2221</v>
      </c>
      <c r="F94" s="559" t="s">
        <v>291</v>
      </c>
    </row>
    <row r="95" spans="3:6" ht="14.25" customHeight="1" x14ac:dyDescent="0.25">
      <c r="C95" s="1143"/>
      <c r="D95" s="505" t="s">
        <v>292</v>
      </c>
      <c r="E95" s="1267"/>
    </row>
    <row r="96" spans="3:6" ht="50.25" customHeight="1" x14ac:dyDescent="0.25">
      <c r="C96" s="1143"/>
      <c r="D96" s="1270" t="str">
        <f ca="1">CONCATENATE(E532,E533,E534,E535,E536)</f>
        <v>Nie dotyczy</v>
      </c>
      <c r="E96" s="1262"/>
      <c r="F96" s="559" t="s">
        <v>1762</v>
      </c>
    </row>
    <row r="97" spans="3:6" ht="13" x14ac:dyDescent="0.25">
      <c r="C97" s="1143"/>
      <c r="D97" s="505" t="s">
        <v>273</v>
      </c>
      <c r="F97" s="559" t="s">
        <v>1763</v>
      </c>
    </row>
    <row r="98" spans="3:6" ht="69" customHeight="1" x14ac:dyDescent="0.25">
      <c r="C98" s="1143"/>
      <c r="D98" s="505" t="s">
        <v>2254</v>
      </c>
    </row>
    <row r="99" spans="3:6" ht="5.25" hidden="1" customHeight="1" x14ac:dyDescent="0.25">
      <c r="C99" s="506"/>
      <c r="D99" s="505"/>
    </row>
    <row r="100" spans="3:6" ht="32.25" customHeight="1" x14ac:dyDescent="0.25">
      <c r="C100" s="491" t="s">
        <v>294</v>
      </c>
      <c r="D100" s="509"/>
    </row>
    <row r="101" spans="3:6" ht="26" x14ac:dyDescent="0.25">
      <c r="C101" s="510" t="s">
        <v>295</v>
      </c>
      <c r="D101" s="509" t="s">
        <v>273</v>
      </c>
    </row>
    <row r="102" spans="3:6" ht="13" x14ac:dyDescent="0.25">
      <c r="C102" s="510" t="s">
        <v>296</v>
      </c>
      <c r="D102" s="509" t="s">
        <v>273</v>
      </c>
    </row>
    <row r="103" spans="3:6" ht="26" x14ac:dyDescent="0.25">
      <c r="C103" s="510" t="s">
        <v>297</v>
      </c>
      <c r="D103" s="509" t="str">
        <f ca="1">"Prowizja za udzielenie pożyczki w wysokości  "&amp;FIXED(G4,2,FALSE)&amp;" zł"</f>
        <v>Prowizja za udzielenie pożyczki w wysokości  0,00 zł</v>
      </c>
    </row>
    <row r="104" spans="3:6" ht="188.5" customHeight="1" x14ac:dyDescent="0.25">
      <c r="C104" s="511" t="s">
        <v>298</v>
      </c>
      <c r="D104" s="505" t="s">
        <v>2222</v>
      </c>
    </row>
    <row r="105" spans="3:6" ht="22.75" hidden="1" customHeight="1" x14ac:dyDescent="0.25">
      <c r="C105" s="1143"/>
      <c r="D105" s="505"/>
    </row>
    <row r="106" spans="3:6" ht="22.75" hidden="1" customHeight="1" x14ac:dyDescent="0.25">
      <c r="C106" s="1143"/>
      <c r="D106" s="508"/>
    </row>
    <row r="107" spans="3:6" ht="22.75" hidden="1" customHeight="1" x14ac:dyDescent="0.25">
      <c r="C107" s="506"/>
      <c r="D107" s="507"/>
    </row>
    <row r="108" spans="3:6" ht="13" x14ac:dyDescent="0.25">
      <c r="C108" s="492" t="s">
        <v>300</v>
      </c>
      <c r="D108" s="514" t="s">
        <v>273</v>
      </c>
    </row>
    <row r="109" spans="3:6" ht="163" customHeight="1" x14ac:dyDescent="0.25">
      <c r="C109" s="1143" t="s">
        <v>301</v>
      </c>
      <c r="D109" s="505" t="s">
        <v>2260</v>
      </c>
    </row>
    <row r="110" spans="3:6" ht="66.75" customHeight="1" x14ac:dyDescent="0.25">
      <c r="C110" s="1143"/>
      <c r="D110" s="505" t="s">
        <v>2223</v>
      </c>
    </row>
    <row r="111" spans="3:6" ht="17.25" customHeight="1" x14ac:dyDescent="0.25">
      <c r="C111" s="1143"/>
      <c r="D111" s="1459" t="str">
        <f>"Wysokość odsetek podwyższonych na dzień sporządzenia niniejszego formularza wynosi "&amp;"14,00%."</f>
        <v>Wysokość odsetek podwyższonych na dzień sporządzenia niniejszego formularza wynosi 14,00%.</v>
      </c>
      <c r="F111" s="546" t="s">
        <v>303</v>
      </c>
    </row>
    <row r="112" spans="3:6" ht="120.75" customHeight="1" x14ac:dyDescent="0.25">
      <c r="C112" s="506"/>
      <c r="D112" s="507" t="s">
        <v>2304</v>
      </c>
    </row>
    <row r="113" spans="3:6" ht="13" x14ac:dyDescent="0.25">
      <c r="C113" s="488" t="s">
        <v>305</v>
      </c>
      <c r="D113" s="488"/>
    </row>
    <row r="114" spans="3:6" ht="39" x14ac:dyDescent="0.25">
      <c r="C114" s="491" t="s">
        <v>306</v>
      </c>
      <c r="D114" s="509" t="s">
        <v>2266</v>
      </c>
    </row>
    <row r="115" spans="3:6" ht="71.900000000000006" customHeight="1" x14ac:dyDescent="0.25">
      <c r="C115" s="491" t="s">
        <v>308</v>
      </c>
      <c r="D115" s="509" t="str">
        <f ca="1">IF(I2="stałe",E549,E550)</f>
        <v>Przedterminowej częściowej lub całkowitej spłaty pożyczki należy dokonać na wskazany w umowie rachunek. Przedterminowa częściowa spłata pożyczki jest przeznaczana na zmniejszenie kapitału pozostającego do spłaty i skutkuje skróceniem okresu kredytowania, przy tej samej wysokości rat  do czasu najbliższej zmiany oprocentowania, gdy nowa wysokość rat ustalona zostanie z uwzględnieniem okresu kredytowania wskazanego w umowie.</v>
      </c>
      <c r="F115" s="426"/>
    </row>
    <row r="116" spans="3:6" ht="40.5" customHeight="1" x14ac:dyDescent="0.25">
      <c r="C116" s="491" t="s">
        <v>310</v>
      </c>
      <c r="D116" s="509" t="s">
        <v>311</v>
      </c>
    </row>
    <row r="117" spans="3:6" ht="124.75" customHeight="1" x14ac:dyDescent="0.25">
      <c r="C117" s="1706" t="s">
        <v>312</v>
      </c>
      <c r="D117" s="514" t="s">
        <v>2256</v>
      </c>
    </row>
    <row r="118" spans="3:6" ht="112" customHeight="1" x14ac:dyDescent="0.25">
      <c r="C118" s="491" t="s">
        <v>313</v>
      </c>
      <c r="D118" s="509" t="s">
        <v>314</v>
      </c>
    </row>
    <row r="119" spans="3:6" ht="166.5" customHeight="1" x14ac:dyDescent="0.25">
      <c r="C119" s="492" t="s">
        <v>315</v>
      </c>
      <c r="D119" s="512" t="str">
        <f ca="1">"Niniejsza informacja zachowuje ważność od "&amp;TEXT(TODAY(),"dd-mm-rrrr")&amp;" do dnia"&amp;TEXT(TODAY()+3,"dd-mm-rrrr")
&amp;" z następującymi zastrzeżeniami:
Wszystkie informacje, w tym opłaty podane w Formularzu (informacji) oraz wyliczenia w nim zawarte są aktualne na dzień wydruku Formularza t.j. "&amp;TEXT(TODAY(),"dd-mm-rrrr")&amp;" i uwzględniają informację o wysokości kredytu/pożyczki podaną Bankowi przez Klienta (odbiorcę Formularza)."&amp;"
W przypadku, gdy zawarcie umowy nastąpi w innym dniu niż data wydruku Formularza, informacje o opłatach oraz wyliczenia wskazane w Formularzu mogą ulec zmianie."&amp;" Dane zawarte w Formularzu stanowią informację drukowaną na życzenie Klienta i nie stanowią oferty w rozumieniu przepisów prawa ani zobowiązania Banku do zawarcia umowy,"&amp;" w tym na warunkach w nim podanych ani nie stanowią przyrzeczenia Banku do udzielenia danego rodzaju kredytu/pożyczki."&amp;" Zawarcie umowy na określonych warunkach zależy od dokonywanej przez Bank oceny wiarygodności Klienta i oceny jego zdolności kredytowej w procesie wnioskowania o zobowiązanie kredytowe."</f>
        <v>Niniejsza informacja zachowuje ważność od 26-06-2026 do dnia29-06-2026 z następującymi zastrzeżeniami:
Wszystkie informacje, w tym opłaty podane w Formularzu (informacji) oraz wyliczenia w nim zawarte są aktualne na dzień wydruku Formularza t.j. 26-06-2026 i uwzględniają informację o wysokości kredytu/pożyczki podaną Bankowi przez Klienta (odbiorcę Formularza).
W przypadku, gdy zawarcie umowy nastąpi w innym dniu niż data wydruku Formularza, informacje o opłatach oraz wyliczenia wskazane w Formularzu mogą ulec zmianie. Dane zawarte w Formularzu stanowią informację drukowaną na życzenie Klienta i nie stanowią oferty w rozumieniu przepisów prawa ani zobowiązania Banku do zawarcia umowy, w tym na warunkach w nim podanych ani nie stanowią przyrzeczenia Banku do udzielenia danego rodzaju kredytu/pożyczki. Zawarcie umowy na określonych warunkach zależy od dokonywanej przez Bank oceny wiarygodności Klienta i oceny jego zdolności kredytowej w procesie wnioskowania o zobowiązanie kredytowe.</v>
      </c>
      <c r="E119" s="600"/>
      <c r="F119" s="546" t="s">
        <v>316</v>
      </c>
    </row>
    <row r="120" spans="3:6" ht="73.75" customHeight="1" x14ac:dyDescent="0.25">
      <c r="C120" s="1165" t="s">
        <v>317</v>
      </c>
      <c r="D120" s="1165"/>
    </row>
    <row r="121" spans="3:6" ht="35.5" customHeight="1" x14ac:dyDescent="0.25">
      <c r="C121" s="492" t="s">
        <v>318</v>
      </c>
      <c r="D121" s="512" t="s">
        <v>319</v>
      </c>
    </row>
    <row r="122" spans="3:6" ht="22.75" customHeight="1" x14ac:dyDescent="0.25">
      <c r="C122" s="491" t="s">
        <v>320</v>
      </c>
      <c r="D122" s="509" t="s">
        <v>273</v>
      </c>
    </row>
    <row r="123" spans="3:6" ht="35.5" customHeight="1" x14ac:dyDescent="0.25">
      <c r="C123" s="492" t="s">
        <v>321</v>
      </c>
      <c r="D123" s="509" t="s">
        <v>273</v>
      </c>
    </row>
    <row r="124" spans="3:6" ht="35.5" customHeight="1" x14ac:dyDescent="0.25">
      <c r="C124" s="492" t="s">
        <v>322</v>
      </c>
      <c r="D124" s="509" t="s">
        <v>273</v>
      </c>
    </row>
    <row r="125" spans="3:6" ht="35.5" customHeight="1" x14ac:dyDescent="0.25">
      <c r="C125" s="492" t="s">
        <v>323</v>
      </c>
      <c r="D125" s="509" t="s">
        <v>273</v>
      </c>
    </row>
    <row r="126" spans="3:6" ht="35.5" customHeight="1" x14ac:dyDescent="0.25">
      <c r="C126" s="492" t="s">
        <v>324</v>
      </c>
      <c r="D126" s="509" t="s">
        <v>273</v>
      </c>
    </row>
    <row r="127" spans="3:6" ht="48.75" customHeight="1" x14ac:dyDescent="0.25">
      <c r="C127" s="491" t="s">
        <v>325</v>
      </c>
      <c r="D127" s="509" t="s">
        <v>326</v>
      </c>
    </row>
    <row r="128" spans="3:6" ht="15.75" customHeight="1" x14ac:dyDescent="0.25">
      <c r="C128" s="491" t="s">
        <v>327</v>
      </c>
      <c r="D128" s="509" t="s">
        <v>273</v>
      </c>
    </row>
    <row r="129" spans="3:4" ht="22.75" customHeight="1" x14ac:dyDescent="0.25">
      <c r="C129" s="1718" t="s">
        <v>328</v>
      </c>
      <c r="D129" s="1718"/>
    </row>
    <row r="130" spans="3:4" ht="135" customHeight="1" x14ac:dyDescent="0.25">
      <c r="C130" s="491" t="s">
        <v>329</v>
      </c>
      <c r="D130" s="509" t="s">
        <v>2257</v>
      </c>
    </row>
    <row r="131" spans="3:4" ht="48.25" customHeight="1" x14ac:dyDescent="0.25">
      <c r="C131" s="491" t="s">
        <v>330</v>
      </c>
      <c r="D131" s="509" t="s">
        <v>273</v>
      </c>
    </row>
    <row r="132" spans="3:4" ht="29.25" customHeight="1" x14ac:dyDescent="0.25">
      <c r="C132" s="491" t="s">
        <v>331</v>
      </c>
      <c r="D132" s="509" t="s">
        <v>332</v>
      </c>
    </row>
    <row r="133" spans="3:4" ht="43.5" customHeight="1" x14ac:dyDescent="0.25">
      <c r="C133" s="491" t="s">
        <v>333</v>
      </c>
      <c r="D133" s="509" t="s">
        <v>334</v>
      </c>
    </row>
    <row r="134" spans="3:4" ht="22.75" customHeight="1" x14ac:dyDescent="0.25">
      <c r="C134" s="1718" t="s">
        <v>335</v>
      </c>
      <c r="D134" s="1718"/>
    </row>
    <row r="135" spans="3:4" ht="70.5" customHeight="1" x14ac:dyDescent="0.25">
      <c r="C135" s="491" t="s">
        <v>336</v>
      </c>
      <c r="D135" s="509" t="s">
        <v>2258</v>
      </c>
    </row>
    <row r="136" spans="3:4" ht="73.75" customHeight="1" x14ac:dyDescent="0.25">
      <c r="C136" s="523" t="s">
        <v>337</v>
      </c>
      <c r="D136" s="515"/>
    </row>
    <row r="137" spans="3:4" ht="13" x14ac:dyDescent="0.25">
      <c r="C137" s="1718" t="s">
        <v>338</v>
      </c>
      <c r="D137" s="1718"/>
    </row>
    <row r="138" spans="3:4" ht="22.75" customHeight="1" x14ac:dyDescent="0.25">
      <c r="C138" s="1718"/>
      <c r="D138" s="1718"/>
    </row>
    <row r="139" spans="3:4" ht="22.75" customHeight="1" x14ac:dyDescent="0.25">
      <c r="C139" s="488" t="s">
        <v>1786</v>
      </c>
      <c r="D139" s="488"/>
    </row>
    <row r="140" spans="3:4" ht="63" customHeight="1" x14ac:dyDescent="0.25">
      <c r="C140" s="1948" t="s">
        <v>339</v>
      </c>
      <c r="D140" s="1948"/>
    </row>
    <row r="141" spans="3:4" ht="136.5" customHeight="1" x14ac:dyDescent="0.25">
      <c r="C141" s="1949" t="s">
        <v>2363</v>
      </c>
      <c r="D141" s="1950"/>
    </row>
    <row r="142" spans="3:4" ht="13" x14ac:dyDescent="0.25">
      <c r="C142" s="1696" t="str">
        <f ca="1">"Sporządzono w "&amp;D8&amp;" dnia "
&amp;TEXT(TODAY(),"dd-mm-rrrr")</f>
        <v>Sporządzono w Katowice dnia 26-06-2026</v>
      </c>
      <c r="D142" s="1696"/>
    </row>
    <row r="196" spans="3:39" x14ac:dyDescent="0.25">
      <c r="C196" s="598" t="s">
        <v>1795</v>
      </c>
    </row>
    <row r="197" spans="3:39" x14ac:dyDescent="0.25">
      <c r="C197" s="600">
        <f>IF(OR(DODZ!T3=DODZ!T4),0,1)</f>
        <v>1</v>
      </c>
    </row>
    <row r="198" spans="3:39" x14ac:dyDescent="0.25">
      <c r="C198" s="598" t="s">
        <v>1794</v>
      </c>
    </row>
    <row r="199" spans="3:39" ht="20.5" thickBot="1" x14ac:dyDescent="0.45">
      <c r="C199" s="456" t="s">
        <v>1987</v>
      </c>
      <c r="F199" s="546">
        <f>COLUMN()-3</f>
        <v>3</v>
      </c>
      <c r="AE199" s="598">
        <f t="shared" ref="AE199:AH199" si="0">COLUMN()-3</f>
        <v>28</v>
      </c>
      <c r="AF199" s="598">
        <f t="shared" si="0"/>
        <v>29</v>
      </c>
      <c r="AG199" s="598">
        <f t="shared" si="0"/>
        <v>30</v>
      </c>
      <c r="AH199" s="598">
        <f t="shared" si="0"/>
        <v>31</v>
      </c>
      <c r="AI199" s="598">
        <f>COLUMN()-3</f>
        <v>32</v>
      </c>
    </row>
    <row r="200" spans="3:39" ht="27" thickTop="1" thickBot="1" x14ac:dyDescent="0.3">
      <c r="C200" s="459" t="s">
        <v>1741</v>
      </c>
      <c r="D200" s="460" t="str">
        <f ca="1">D7</f>
        <v>Oferta obliczona dla klienta</v>
      </c>
      <c r="E200" s="563">
        <f ca="1">VLOOKUP($D$200,$D$203:E221,COLUMN()-3,FALSE)</f>
        <v>1</v>
      </c>
      <c r="F200" s="563" t="str">
        <f ca="1">VLOOKUP($D$200,$D$203:F221,COLUMN()-3,FALSE)</f>
        <v>Zmienne</v>
      </c>
      <c r="G200" s="563">
        <f ca="1">VLOOKUP($D$200,$D$203:G221,COLUMN()-3,FALSE)</f>
        <v>0</v>
      </c>
      <c r="H200" s="564">
        <f ca="1">VLOOKUP($D$200,$D$203:H221,COLUMN()-3,FALSE)</f>
        <v>31000</v>
      </c>
      <c r="I200" s="565">
        <f ca="1">VLOOKUP($D$200,$D$203:I221,COLUMN()-3,FALSE)</f>
        <v>8.4900000000000003E-2</v>
      </c>
      <c r="J200" s="462">
        <f ca="1">VLOOKUP($D$200,$D$203:J221,COLUMN()-3,FALSE)</f>
        <v>0</v>
      </c>
      <c r="K200" s="463">
        <f ca="1">VLOOKUP($D$200,$D$203:K221,COLUMN()-3,FALSE)</f>
        <v>46199</v>
      </c>
      <c r="L200" s="463">
        <f ca="1">VLOOKUP($D$200,$D$203:L221,COLUMN()-3,FALSE)</f>
        <v>47660</v>
      </c>
      <c r="M200" s="461">
        <f ca="1">VLOOKUP($D$200,$D$203:M221,COLUMN()-3,FALSE)</f>
        <v>26</v>
      </c>
      <c r="N200" s="463">
        <f ca="1">VLOOKUP($D$200,$D$203:N221,COLUMN()-3,FALSE)</f>
        <v>46199</v>
      </c>
      <c r="O200" s="463">
        <f ca="1">VLOOKUP($D$200,$D$203:O221,COLUMN()-3,FALSE)</f>
        <v>46229</v>
      </c>
      <c r="P200" s="461">
        <f ca="1">VLOOKUP($D$200,$D$203:P221,COLUMN()-3,FALSE)</f>
        <v>48</v>
      </c>
      <c r="Q200" s="462" t="str">
        <f ca="1">VLOOKUP($D$200,$D$203:Q221,COLUMN()-3,FALSE)</f>
        <v>NieDotyczy</v>
      </c>
      <c r="R200" s="461">
        <f ca="1">VLOOKUP($D$200,$D$203:R221,COLUMN()-3,FALSE)</f>
        <v>0</v>
      </c>
      <c r="S200" s="461">
        <f ca="1">VLOOKUP($D$200,$D$203:S221,COLUMN()-3,FALSE)</f>
        <v>0</v>
      </c>
      <c r="T200" s="461">
        <f ca="1">VLOOKUP($D$200,$D$203:T221,COLUMN()-3,FALSE)</f>
        <v>0</v>
      </c>
      <c r="U200" s="462" t="str">
        <f ca="1">VLOOKUP($D$200,$D$203:U221,COLUMN()-3,FALSE)</f>
        <v>NieDotyczy</v>
      </c>
      <c r="V200" s="461">
        <f ca="1">VLOOKUP($D$200,$D$203:V221,COLUMN()-3,FALSE)</f>
        <v>0</v>
      </c>
      <c r="W200" s="461">
        <f ca="1">VLOOKUP($D$200,$D$203:W221,COLUMN()-3,FALSE)</f>
        <v>0</v>
      </c>
      <c r="X200" s="461">
        <f ca="1">VLOOKUP($D$200,$D$203:X221,COLUMN()-3,FALSE)</f>
        <v>0</v>
      </c>
      <c r="Y200" s="462" t="str">
        <f ca="1">VLOOKUP($D$200,$D$203:Y221,COLUMN()-3,FALSE)</f>
        <v>NIE</v>
      </c>
      <c r="Z200" s="462" t="str">
        <f ca="1">VLOOKUP($D$200,$D$203:Z221,COLUMN()-3,FALSE)</f>
        <v>NIE</v>
      </c>
      <c r="AA200" s="461">
        <f ca="1">VLOOKUP($D$200,$D$203:AA221,COLUMN()-3,FALSE)</f>
        <v>31000</v>
      </c>
      <c r="AB200" s="461">
        <f ca="1">VLOOKUP($D$200,$D$203:AB221,COLUMN()-3,FALSE)</f>
        <v>764.1</v>
      </c>
      <c r="AC200" s="461">
        <f ca="1">VLOOKUP($D$200,$D$203:AC221,COLUMN()-3,FALSE)</f>
        <v>5676.7000000000016</v>
      </c>
      <c r="AD200" s="461">
        <f ca="1">VLOOKUP($D$200,$D$203:AD221,COLUMN()-3,FALSE)</f>
        <v>5676.7000000000016</v>
      </c>
      <c r="AE200" s="462">
        <f ca="1">VLOOKUP($D$200,$D$203:AE221,COLUMN()-3,FALSE)</f>
        <v>8.2407822681154569E-2</v>
      </c>
      <c r="AF200" s="464">
        <f ca="1">VLOOKUP($D$200,$D$203:AF221,COLUMN()-3,FALSE)</f>
        <v>36676.700000000004</v>
      </c>
      <c r="AG200" s="464" t="str">
        <f ca="1">VLOOKUP($D$200,$D$203:AG221,COLUMN()-3,FALSE)</f>
        <v>MASS</v>
      </c>
      <c r="AH200" s="464" t="str">
        <f ca="1">VLOOKUP($D$200,$D$203:AH221,COLUMN()-3,FALSE)</f>
        <v>BEZ UBEZPIECZENIA</v>
      </c>
      <c r="AI200" s="464">
        <f ca="1">VLOOKUP($D$200,$D$203:AI221,COLUMN()-3,FALSE)</f>
        <v>0</v>
      </c>
      <c r="AJ200" s="464" t="str">
        <f ca="1">VLOOKUP($D$200,$D$203:AJ221,COLUMN()-3,FALSE)</f>
        <v>MASS</v>
      </c>
      <c r="AK200" s="464">
        <f ca="1">VLOOKUP($D$200,$D$203:AK221,COLUMN()-3,FALSE)</f>
        <v>0</v>
      </c>
      <c r="AL200" s="464">
        <f ca="1">VLOOKUP($D$200,$D$203:AL221,COLUMN()-3,FALSE)</f>
        <v>0</v>
      </c>
      <c r="AM200" s="1292" t="str">
        <f ca="1">IF(OR(AI200="SILVER",AI200="GOLD"),AI200,"")</f>
        <v/>
      </c>
    </row>
    <row r="201" spans="3:39" ht="30.5" thickTop="1" x14ac:dyDescent="0.25">
      <c r="C201" s="442" t="s">
        <v>1712</v>
      </c>
      <c r="D201" s="443"/>
      <c r="F201" s="566" t="s">
        <v>1713</v>
      </c>
      <c r="G201" s="566"/>
      <c r="H201" s="566" t="s">
        <v>1714</v>
      </c>
      <c r="I201" s="567" t="s">
        <v>1715</v>
      </c>
      <c r="J201" s="442" t="s">
        <v>1716</v>
      </c>
      <c r="K201" s="466" t="s">
        <v>1717</v>
      </c>
      <c r="L201" s="466" t="s">
        <v>1718</v>
      </c>
      <c r="M201" s="465" t="s">
        <v>1719</v>
      </c>
      <c r="N201" s="466" t="s">
        <v>1720</v>
      </c>
      <c r="O201" s="466" t="s">
        <v>1721</v>
      </c>
      <c r="P201" s="465" t="s">
        <v>1722</v>
      </c>
      <c r="Q201" s="465" t="s">
        <v>1723</v>
      </c>
      <c r="R201" s="442"/>
      <c r="S201" s="442"/>
      <c r="T201" s="465" t="s">
        <v>1742</v>
      </c>
      <c r="U201" s="465" t="s">
        <v>1743</v>
      </c>
      <c r="V201" s="442"/>
      <c r="W201" s="442"/>
      <c r="X201" s="442" t="s">
        <v>1724</v>
      </c>
      <c r="Y201" s="442"/>
      <c r="Z201" s="442" t="s">
        <v>1725</v>
      </c>
      <c r="AA201" s="442" t="s">
        <v>1726</v>
      </c>
      <c r="AB201" s="443"/>
      <c r="AC201" s="465" t="s">
        <v>1748</v>
      </c>
      <c r="AD201" s="465" t="s">
        <v>1747</v>
      </c>
      <c r="AE201" s="465" t="s">
        <v>1745</v>
      </c>
      <c r="AF201" s="442" t="s">
        <v>1746</v>
      </c>
      <c r="AG201" s="598" t="s">
        <v>1883</v>
      </c>
      <c r="AH201" s="1248" t="str">
        <f>WERSJA2!C4</f>
        <v>RODZAJ POŻYCZKI</v>
      </c>
      <c r="AI201" s="1248">
        <f>WERSJA2!C5</f>
        <v>0</v>
      </c>
      <c r="AJ201" s="1248" t="str">
        <f>WERSJA2!C6</f>
        <v>SEGMENT KLIENTA</v>
      </c>
      <c r="AK201" s="1248" t="s">
        <v>2136</v>
      </c>
      <c r="AL201" s="1248" t="s">
        <v>2139</v>
      </c>
      <c r="AM201" s="1248" t="s">
        <v>2153</v>
      </c>
    </row>
    <row r="202" spans="3:39" s="455" customFormat="1" ht="50" x14ac:dyDescent="0.25">
      <c r="C202" s="444" t="s">
        <v>1727</v>
      </c>
      <c r="D202" s="445" t="s">
        <v>1728</v>
      </c>
      <c r="E202" s="432"/>
      <c r="F202" s="568" t="s">
        <v>1729</v>
      </c>
      <c r="G202" s="568" t="s">
        <v>1730</v>
      </c>
      <c r="H202" s="569" t="s">
        <v>187</v>
      </c>
      <c r="I202" s="570" t="s">
        <v>5</v>
      </c>
      <c r="J202" s="468" t="s">
        <v>191</v>
      </c>
      <c r="K202" s="469" t="s">
        <v>200</v>
      </c>
      <c r="L202" s="469" t="s">
        <v>203</v>
      </c>
      <c r="M202" s="468" t="s">
        <v>206</v>
      </c>
      <c r="N202" s="469" t="s">
        <v>1731</v>
      </c>
      <c r="O202" s="469" t="s">
        <v>1732</v>
      </c>
      <c r="P202" s="468" t="s">
        <v>209</v>
      </c>
      <c r="Q202" s="468" t="s">
        <v>199</v>
      </c>
      <c r="R202" s="470" t="s">
        <v>1733</v>
      </c>
      <c r="S202" s="470" t="s">
        <v>1734</v>
      </c>
      <c r="T202" s="468" t="s">
        <v>198</v>
      </c>
      <c r="U202" s="468" t="s">
        <v>194</v>
      </c>
      <c r="V202" s="470" t="s">
        <v>1735</v>
      </c>
      <c r="W202" s="470" t="s">
        <v>1736</v>
      </c>
      <c r="X202" s="468" t="s">
        <v>193</v>
      </c>
      <c r="Y202" s="468" t="s">
        <v>1737</v>
      </c>
      <c r="Z202" s="468" t="s">
        <v>204</v>
      </c>
      <c r="AA202" s="468" t="s">
        <v>188</v>
      </c>
      <c r="AB202" s="468" t="s">
        <v>212</v>
      </c>
      <c r="AC202" s="468" t="s">
        <v>1749</v>
      </c>
      <c r="AD202" s="468" t="s">
        <v>215</v>
      </c>
      <c r="AE202" s="471" t="s">
        <v>1738</v>
      </c>
      <c r="AF202" s="468" t="s">
        <v>210</v>
      </c>
      <c r="AG202" s="468" t="s">
        <v>210</v>
      </c>
      <c r="AH202" s="468"/>
      <c r="AI202" s="468"/>
      <c r="AJ202" s="468"/>
    </row>
    <row r="203" spans="3:39" ht="13" x14ac:dyDescent="0.3">
      <c r="C203" s="467" t="s">
        <v>197</v>
      </c>
      <c r="D203" s="467" t="str">
        <f ca="1">IF(E203=0,"MOŻESZ DRUKOWAĆ TYLKO REPREZENTATYWNE PRZYKŁADY 
w Kalkulatorze nie ma oferty dla klienta albo zdolność pozwala na udzielenie niższej kwoty niż wnioskowana kwota pożyczki.","Oferta obliczona dla klienta")</f>
        <v>Oferta obliczona dla klienta</v>
      </c>
      <c r="E203" s="516">
        <f ca="1">IF(OR(DODZ!T3=DODZ!T4,WERSJA2!G2="BRAK OFERTY",DODZ!T5=DODZ!T10),0,1)</f>
        <v>1</v>
      </c>
      <c r="F203" s="571" t="str">
        <f>IF(WERSJA2!J9="ZMIENNE","Zmienne","Stałe")</f>
        <v>Zmienne</v>
      </c>
      <c r="G203" s="572"/>
      <c r="H203" s="1060">
        <f>H222</f>
        <v>31000</v>
      </c>
      <c r="I203" s="1061">
        <f t="shared" ref="I203:AE203" ca="1" si="1">I222</f>
        <v>8.4900000000000003E-2</v>
      </c>
      <c r="J203" s="1062">
        <f t="shared" si="1"/>
        <v>0</v>
      </c>
      <c r="K203" s="1063">
        <f t="shared" ca="1" si="1"/>
        <v>46199</v>
      </c>
      <c r="L203" s="1064">
        <f t="shared" ca="1" si="1"/>
        <v>47660</v>
      </c>
      <c r="M203" s="1065">
        <f t="shared" ca="1" si="1"/>
        <v>26</v>
      </c>
      <c r="N203" s="1064">
        <f t="shared" ca="1" si="1"/>
        <v>46199</v>
      </c>
      <c r="O203" s="1064">
        <f t="shared" ca="1" si="1"/>
        <v>46229</v>
      </c>
      <c r="P203" s="1066">
        <f t="shared" si="1"/>
        <v>48</v>
      </c>
      <c r="Q203" s="1067" t="str">
        <f t="shared" si="1"/>
        <v>NieDotyczy</v>
      </c>
      <c r="R203" s="1068">
        <f t="shared" si="1"/>
        <v>0</v>
      </c>
      <c r="S203" s="1068">
        <f t="shared" si="1"/>
        <v>0</v>
      </c>
      <c r="T203" s="1069">
        <f t="shared" ca="1" si="1"/>
        <v>0</v>
      </c>
      <c r="U203" s="1067" t="str">
        <f t="shared" si="1"/>
        <v>NieDotyczy</v>
      </c>
      <c r="V203" s="1070">
        <f t="shared" si="1"/>
        <v>0</v>
      </c>
      <c r="W203" s="1070">
        <f t="shared" si="1"/>
        <v>0</v>
      </c>
      <c r="X203" s="1071">
        <f t="shared" ca="1" si="1"/>
        <v>0</v>
      </c>
      <c r="Y203" s="1072" t="str">
        <f t="shared" si="1"/>
        <v>NIE</v>
      </c>
      <c r="Z203" s="1073" t="str">
        <f t="shared" si="1"/>
        <v>NIE</v>
      </c>
      <c r="AA203" s="1071">
        <f t="shared" ca="1" si="1"/>
        <v>31000</v>
      </c>
      <c r="AB203" s="1072">
        <f t="shared" ca="1" si="1"/>
        <v>764.1</v>
      </c>
      <c r="AC203" s="1072">
        <f t="shared" ca="1" si="1"/>
        <v>5676.7000000000016</v>
      </c>
      <c r="AD203" s="1074">
        <f t="shared" ca="1" si="1"/>
        <v>5676.7000000000016</v>
      </c>
      <c r="AE203" s="1062">
        <f t="shared" si="1"/>
        <v>8.2407822681154569E-2</v>
      </c>
      <c r="AF203" s="1075">
        <f ca="1">AF222</f>
        <v>36676.700000000004</v>
      </c>
      <c r="AG203" s="426" t="str">
        <f>WERSJA2!D6</f>
        <v>MASS</v>
      </c>
      <c r="AH203" s="1249" t="str">
        <f>AH222</f>
        <v>BEZ UBEZPIECZENIA</v>
      </c>
      <c r="AI203" s="1249">
        <f t="shared" ref="AI203:AL203" si="2">AI222</f>
        <v>0</v>
      </c>
      <c r="AJ203" s="1249" t="str">
        <f t="shared" si="2"/>
        <v>MASS</v>
      </c>
      <c r="AK203" s="1074">
        <f t="shared" si="2"/>
        <v>0</v>
      </c>
      <c r="AL203" s="1074">
        <f t="shared" si="2"/>
        <v>0</v>
      </c>
    </row>
    <row r="204" spans="3:39" ht="13" x14ac:dyDescent="0.25">
      <c r="C204" s="446" t="s">
        <v>1739</v>
      </c>
      <c r="D204" s="580" t="s">
        <v>2383</v>
      </c>
      <c r="E204" s="426">
        <v>1</v>
      </c>
      <c r="F204" s="1099" t="s">
        <v>350</v>
      </c>
      <c r="G204" s="574"/>
      <c r="H204" s="1100">
        <v>2392</v>
      </c>
      <c r="I204" s="1101">
        <v>0.14000000000000001</v>
      </c>
      <c r="J204" s="526">
        <v>0.03</v>
      </c>
      <c r="K204" s="453">
        <v>41456</v>
      </c>
      <c r="L204" s="453">
        <v>42186</v>
      </c>
      <c r="M204" s="454">
        <v>1</v>
      </c>
      <c r="N204" s="453">
        <v>41456</v>
      </c>
      <c r="O204" s="453">
        <v>41487</v>
      </c>
      <c r="P204" s="454">
        <v>24</v>
      </c>
      <c r="Q204" s="452" t="s">
        <v>181</v>
      </c>
      <c r="R204" s="448">
        <v>1</v>
      </c>
      <c r="S204" s="448">
        <v>0</v>
      </c>
      <c r="T204" s="539">
        <v>155.04</v>
      </c>
      <c r="U204" s="452" t="s">
        <v>181</v>
      </c>
      <c r="V204" s="448">
        <v>1</v>
      </c>
      <c r="W204" s="448">
        <v>0</v>
      </c>
      <c r="X204" s="450">
        <v>71.759999999999991</v>
      </c>
      <c r="Y204" s="450" t="s">
        <v>181</v>
      </c>
      <c r="Z204" s="452" t="s">
        <v>181</v>
      </c>
      <c r="AA204" s="450">
        <v>2392</v>
      </c>
      <c r="AB204" s="520">
        <v>114.88</v>
      </c>
      <c r="AC204" s="520">
        <v>365.11999999999983</v>
      </c>
      <c r="AD204" s="451">
        <v>591.91999999999985</v>
      </c>
      <c r="AE204" s="521">
        <v>0.25335075817936342</v>
      </c>
      <c r="AF204" s="451">
        <v>2983.92</v>
      </c>
      <c r="AG204" s="426" t="s">
        <v>0</v>
      </c>
      <c r="AH204" s="426" t="s">
        <v>7</v>
      </c>
      <c r="AI204" s="1266" t="s">
        <v>2150</v>
      </c>
      <c r="AJ204" s="598" t="s">
        <v>0</v>
      </c>
      <c r="AK204" s="1251">
        <v>6.46</v>
      </c>
      <c r="AL204" s="426">
        <v>155.04</v>
      </c>
    </row>
    <row r="205" spans="3:39" s="430" customFormat="1" ht="13" x14ac:dyDescent="0.3">
      <c r="C205" s="579" t="s">
        <v>1739</v>
      </c>
      <c r="D205" s="525" t="s">
        <v>2007</v>
      </c>
      <c r="E205" s="430">
        <v>1</v>
      </c>
      <c r="F205" s="1273" t="s">
        <v>350</v>
      </c>
      <c r="G205" s="582"/>
      <c r="H205" s="1274">
        <v>34198.82</v>
      </c>
      <c r="I205" s="1275">
        <v>0.123</v>
      </c>
      <c r="J205" s="585">
        <v>0</v>
      </c>
      <c r="K205" s="589">
        <v>41456</v>
      </c>
      <c r="L205" s="589">
        <v>43405</v>
      </c>
      <c r="M205" s="1276">
        <v>1</v>
      </c>
      <c r="N205" s="589">
        <v>41456</v>
      </c>
      <c r="O205" s="589">
        <v>41487</v>
      </c>
      <c r="P205" s="1276">
        <v>64</v>
      </c>
      <c r="Q205" s="1277" t="s">
        <v>195</v>
      </c>
      <c r="R205" s="590">
        <v>0</v>
      </c>
      <c r="S205" s="590">
        <v>0</v>
      </c>
      <c r="T205" s="1278">
        <v>0</v>
      </c>
      <c r="U205" s="1277" t="s">
        <v>195</v>
      </c>
      <c r="V205" s="590">
        <v>0</v>
      </c>
      <c r="W205" s="590">
        <v>0</v>
      </c>
      <c r="X205" s="592">
        <v>0</v>
      </c>
      <c r="Y205" s="592" t="s">
        <v>181</v>
      </c>
      <c r="Z205" s="1277" t="s">
        <v>181</v>
      </c>
      <c r="AA205" s="592">
        <v>34198.82</v>
      </c>
      <c r="AB205" s="1279">
        <v>731.57</v>
      </c>
      <c r="AC205" s="1279">
        <v>12622.019999999999</v>
      </c>
      <c r="AD205" s="594">
        <v>12622.019999999999</v>
      </c>
      <c r="AE205" s="1280">
        <v>0.13023247760563225</v>
      </c>
      <c r="AF205" s="594">
        <v>46820.84</v>
      </c>
      <c r="AH205" s="430" t="s">
        <v>3</v>
      </c>
      <c r="AI205" s="1281" t="s">
        <v>2123</v>
      </c>
      <c r="AJ205" s="430" t="s">
        <v>185</v>
      </c>
      <c r="AK205" s="1282">
        <v>0</v>
      </c>
      <c r="AL205" s="430">
        <v>0</v>
      </c>
    </row>
    <row r="206" spans="3:39" s="430" customFormat="1" ht="13" x14ac:dyDescent="0.3">
      <c r="C206" s="579" t="s">
        <v>1739</v>
      </c>
      <c r="D206" s="602" t="s">
        <v>2008</v>
      </c>
      <c r="E206" s="430">
        <v>1</v>
      </c>
      <c r="F206" s="1273" t="s">
        <v>350</v>
      </c>
      <c r="G206" s="582">
        <v>0</v>
      </c>
      <c r="H206" s="1274">
        <v>157947</v>
      </c>
      <c r="I206" s="1275">
        <v>0.115</v>
      </c>
      <c r="J206" s="585">
        <v>1.4999999999999999E-2</v>
      </c>
      <c r="K206" s="589">
        <v>41445</v>
      </c>
      <c r="L206" s="587">
        <v>42055</v>
      </c>
      <c r="M206" s="588">
        <v>20</v>
      </c>
      <c r="N206" s="589">
        <v>41445</v>
      </c>
      <c r="O206" s="587">
        <v>41475</v>
      </c>
      <c r="P206" s="588">
        <v>20</v>
      </c>
      <c r="Q206" s="580" t="s">
        <v>195</v>
      </c>
      <c r="R206" s="590">
        <v>0</v>
      </c>
      <c r="S206" s="590">
        <v>0</v>
      </c>
      <c r="T206" s="1278">
        <v>0</v>
      </c>
      <c r="U206" s="580" t="s">
        <v>195</v>
      </c>
      <c r="V206" s="590">
        <v>1</v>
      </c>
      <c r="W206" s="590">
        <v>0</v>
      </c>
      <c r="X206" s="592">
        <v>2369.2049999999999</v>
      </c>
      <c r="Y206" s="592" t="s">
        <v>181</v>
      </c>
      <c r="Z206" s="580" t="s">
        <v>181</v>
      </c>
      <c r="AA206" s="592">
        <v>157947</v>
      </c>
      <c r="AB206" s="1283">
        <v>8717.14</v>
      </c>
      <c r="AC206" s="593">
        <v>16395.799999999988</v>
      </c>
      <c r="AD206" s="594">
        <v>18765.00499999999</v>
      </c>
      <c r="AE206" s="595">
        <v>0.14143031030359993</v>
      </c>
      <c r="AF206" s="594">
        <v>176712.005</v>
      </c>
      <c r="AH206" s="430" t="s">
        <v>3</v>
      </c>
      <c r="AI206" s="1281" t="s">
        <v>2123</v>
      </c>
      <c r="AJ206" s="430" t="s">
        <v>0</v>
      </c>
      <c r="AK206" s="1254">
        <v>0</v>
      </c>
      <c r="AL206" s="430">
        <v>0</v>
      </c>
    </row>
    <row r="207" spans="3:39" ht="13" x14ac:dyDescent="0.25">
      <c r="C207" s="446" t="s">
        <v>1739</v>
      </c>
      <c r="D207" s="580" t="s">
        <v>2384</v>
      </c>
      <c r="E207" s="426">
        <v>1</v>
      </c>
      <c r="F207" s="1099" t="s">
        <v>350</v>
      </c>
      <c r="G207" s="574"/>
      <c r="H207" s="1100">
        <v>2392</v>
      </c>
      <c r="I207" s="1101">
        <v>0.14000000000000001</v>
      </c>
      <c r="J207" s="526">
        <v>0.03</v>
      </c>
      <c r="K207" s="453">
        <v>41456</v>
      </c>
      <c r="L207" s="527">
        <v>42186</v>
      </c>
      <c r="M207" s="528">
        <v>1</v>
      </c>
      <c r="N207" s="453">
        <v>41456</v>
      </c>
      <c r="O207" s="453">
        <v>41487</v>
      </c>
      <c r="P207" s="528">
        <v>24</v>
      </c>
      <c r="Q207" s="524" t="s">
        <v>181</v>
      </c>
      <c r="R207" s="448">
        <v>1</v>
      </c>
      <c r="S207" s="448">
        <v>0</v>
      </c>
      <c r="T207" s="539">
        <v>155.04</v>
      </c>
      <c r="U207" s="524" t="s">
        <v>181</v>
      </c>
      <c r="V207" s="448">
        <v>1</v>
      </c>
      <c r="W207" s="448">
        <v>0</v>
      </c>
      <c r="X207" s="450">
        <v>71.759999999999991</v>
      </c>
      <c r="Y207" s="450" t="s">
        <v>181</v>
      </c>
      <c r="Z207" s="524" t="s">
        <v>181</v>
      </c>
      <c r="AA207" s="450">
        <v>2392</v>
      </c>
      <c r="AB207" s="520">
        <v>114.88</v>
      </c>
      <c r="AC207" s="520">
        <v>365.11999999999983</v>
      </c>
      <c r="AD207" s="451">
        <v>591.91999999999985</v>
      </c>
      <c r="AE207" s="1146">
        <v>0.25335075817936342</v>
      </c>
      <c r="AF207" s="451">
        <v>2983.92</v>
      </c>
      <c r="AG207" s="426" t="s">
        <v>0</v>
      </c>
      <c r="AH207" s="426" t="s">
        <v>7</v>
      </c>
      <c r="AI207" s="1266" t="s">
        <v>2151</v>
      </c>
      <c r="AJ207" s="598" t="s">
        <v>0</v>
      </c>
      <c r="AK207" s="1253">
        <v>6.46</v>
      </c>
      <c r="AL207" s="426">
        <v>155.04</v>
      </c>
    </row>
    <row r="208" spans="3:39" s="1329" customFormat="1" x14ac:dyDescent="0.25">
      <c r="C208" s="1327" t="s">
        <v>1739</v>
      </c>
      <c r="D208" s="1328" t="s">
        <v>2379</v>
      </c>
      <c r="E208" s="1329">
        <v>1</v>
      </c>
      <c r="F208" s="1330" t="s">
        <v>350</v>
      </c>
      <c r="G208" s="1331">
        <v>0</v>
      </c>
      <c r="H208" s="1332">
        <v>10876</v>
      </c>
      <c r="I208" s="1333">
        <v>0.13</v>
      </c>
      <c r="J208" s="1334">
        <v>0</v>
      </c>
      <c r="K208" s="1335">
        <v>41456</v>
      </c>
      <c r="L208" s="1336">
        <v>42856</v>
      </c>
      <c r="M208" s="1337">
        <v>1</v>
      </c>
      <c r="N208" s="1335">
        <v>41456</v>
      </c>
      <c r="O208" s="1335">
        <v>41487</v>
      </c>
      <c r="P208" s="1337">
        <v>46</v>
      </c>
      <c r="Q208" s="1328" t="s">
        <v>181</v>
      </c>
      <c r="R208" s="1338">
        <v>1</v>
      </c>
      <c r="S208" s="1338">
        <v>0</v>
      </c>
      <c r="T208" s="1339">
        <v>1351.02</v>
      </c>
      <c r="U208" s="1328" t="s">
        <v>195</v>
      </c>
      <c r="V208" s="1338">
        <v>0</v>
      </c>
      <c r="W208" s="1338">
        <v>0</v>
      </c>
      <c r="X208" s="1340">
        <v>0</v>
      </c>
      <c r="Y208" s="1340" t="s">
        <v>181</v>
      </c>
      <c r="Z208" s="1328" t="s">
        <v>181</v>
      </c>
      <c r="AA208" s="1340">
        <v>10876</v>
      </c>
      <c r="AB208" s="1341">
        <v>301.58</v>
      </c>
      <c r="AC208" s="1342">
        <v>2996.6800000000003</v>
      </c>
      <c r="AD208" s="1343">
        <v>4347.7000000000007</v>
      </c>
      <c r="AE208" s="1344">
        <v>0.1993684404371481</v>
      </c>
      <c r="AF208" s="1343">
        <v>15223.7</v>
      </c>
      <c r="AH208" s="1329" t="s">
        <v>7</v>
      </c>
      <c r="AI208" s="1345" t="s">
        <v>2150</v>
      </c>
      <c r="AJ208" s="1329" t="s">
        <v>2162</v>
      </c>
      <c r="AK208" s="1346">
        <v>29.37</v>
      </c>
      <c r="AL208" s="1329">
        <v>1351.02</v>
      </c>
    </row>
    <row r="209" spans="3:61 14290:16384" s="1348" customFormat="1" ht="13" x14ac:dyDescent="0.3">
      <c r="C209" s="1347" t="s">
        <v>1739</v>
      </c>
      <c r="D209" s="1328" t="s">
        <v>2380</v>
      </c>
      <c r="E209" s="1348">
        <v>1</v>
      </c>
      <c r="F209" s="1330" t="s">
        <v>350</v>
      </c>
      <c r="G209" s="1349">
        <v>0</v>
      </c>
      <c r="H209" s="1332">
        <v>10876</v>
      </c>
      <c r="I209" s="1333">
        <v>0.13</v>
      </c>
      <c r="J209" s="1334">
        <v>0</v>
      </c>
      <c r="K209" s="1335">
        <v>41456</v>
      </c>
      <c r="L209" s="1336">
        <v>42856</v>
      </c>
      <c r="M209" s="1337">
        <v>1</v>
      </c>
      <c r="N209" s="1335">
        <v>41456</v>
      </c>
      <c r="O209" s="1335">
        <v>41487</v>
      </c>
      <c r="P209" s="1337">
        <v>46</v>
      </c>
      <c r="Q209" s="1328" t="s">
        <v>181</v>
      </c>
      <c r="R209" s="1338">
        <v>1</v>
      </c>
      <c r="S209" s="1338">
        <v>0</v>
      </c>
      <c r="T209" s="1339">
        <v>1351.02</v>
      </c>
      <c r="U209" s="1328" t="s">
        <v>195</v>
      </c>
      <c r="V209" s="1338">
        <v>0</v>
      </c>
      <c r="W209" s="1338">
        <v>0</v>
      </c>
      <c r="X209" s="1340">
        <v>0</v>
      </c>
      <c r="Y209" s="1340" t="s">
        <v>181</v>
      </c>
      <c r="Z209" s="1328" t="s">
        <v>181</v>
      </c>
      <c r="AA209" s="1340">
        <v>10876</v>
      </c>
      <c r="AB209" s="1341">
        <v>301.58</v>
      </c>
      <c r="AC209" s="1342">
        <v>2996.6800000000003</v>
      </c>
      <c r="AD209" s="1343">
        <v>4347.7000000000007</v>
      </c>
      <c r="AE209" s="1344">
        <v>0.1993684404371481</v>
      </c>
      <c r="AF209" s="1343">
        <v>15223.7</v>
      </c>
      <c r="AH209" s="1348" t="s">
        <v>7</v>
      </c>
      <c r="AI209" s="1345" t="s">
        <v>2151</v>
      </c>
      <c r="AJ209" s="1348" t="s">
        <v>2162</v>
      </c>
      <c r="AK209" s="1346">
        <v>29.37</v>
      </c>
      <c r="AL209" s="1348">
        <v>1351.02</v>
      </c>
    </row>
    <row r="210" spans="3:61 14290:16384" s="430" customFormat="1" ht="13" x14ac:dyDescent="0.3">
      <c r="C210" s="579" t="s">
        <v>1739</v>
      </c>
      <c r="D210" s="1097" t="s">
        <v>2381</v>
      </c>
      <c r="E210" s="430">
        <v>1</v>
      </c>
      <c r="F210" s="581" t="s">
        <v>350</v>
      </c>
      <c r="G210" s="582">
        <v>0</v>
      </c>
      <c r="H210" s="583">
        <v>4797</v>
      </c>
      <c r="I210" s="584">
        <v>0.12</v>
      </c>
      <c r="J210" s="585">
        <v>0</v>
      </c>
      <c r="K210" s="586">
        <v>41456</v>
      </c>
      <c r="L210" s="587">
        <v>42430</v>
      </c>
      <c r="M210" s="588">
        <v>1</v>
      </c>
      <c r="N210" s="589">
        <v>41456</v>
      </c>
      <c r="O210" s="587">
        <v>41487</v>
      </c>
      <c r="P210" s="588">
        <v>32</v>
      </c>
      <c r="Q210" s="580" t="s">
        <v>181</v>
      </c>
      <c r="R210" s="590">
        <v>1</v>
      </c>
      <c r="S210" s="590">
        <v>0</v>
      </c>
      <c r="T210" s="591">
        <v>414.4</v>
      </c>
      <c r="U210" s="580" t="s">
        <v>195</v>
      </c>
      <c r="V210" s="590">
        <v>0</v>
      </c>
      <c r="W210" s="590">
        <v>0</v>
      </c>
      <c r="X210" s="592">
        <v>0</v>
      </c>
      <c r="Y210" s="592" t="s">
        <v>181</v>
      </c>
      <c r="Z210" s="580" t="s">
        <v>181</v>
      </c>
      <c r="AA210" s="592">
        <v>4797</v>
      </c>
      <c r="AB210" s="593">
        <v>175.96</v>
      </c>
      <c r="AC210" s="593">
        <v>833.57999999999993</v>
      </c>
      <c r="AD210" s="594">
        <v>1247.98</v>
      </c>
      <c r="AE210" s="595">
        <v>0.19057527478781019</v>
      </c>
      <c r="AF210" s="594">
        <v>6044.98</v>
      </c>
      <c r="AH210" s="430" t="s">
        <v>7</v>
      </c>
      <c r="AI210" s="1266" t="s">
        <v>2150</v>
      </c>
      <c r="AJ210" s="430" t="s">
        <v>2162</v>
      </c>
      <c r="AK210" s="1254">
        <v>12.95</v>
      </c>
      <c r="AL210" s="430">
        <v>414.4</v>
      </c>
    </row>
    <row r="211" spans="3:61 14290:16384" x14ac:dyDescent="0.25">
      <c r="C211" s="446" t="s">
        <v>1739</v>
      </c>
      <c r="D211" s="1097" t="s">
        <v>2382</v>
      </c>
      <c r="E211" s="426">
        <v>1</v>
      </c>
      <c r="F211" s="573" t="s">
        <v>350</v>
      </c>
      <c r="G211" s="574">
        <v>0</v>
      </c>
      <c r="H211" s="575">
        <v>4797</v>
      </c>
      <c r="I211" s="576">
        <v>0.12</v>
      </c>
      <c r="J211" s="526">
        <v>0</v>
      </c>
      <c r="K211" s="447">
        <v>41456</v>
      </c>
      <c r="L211" s="527">
        <v>42430</v>
      </c>
      <c r="M211" s="528">
        <v>1</v>
      </c>
      <c r="N211" s="453">
        <v>41456</v>
      </c>
      <c r="O211" s="527">
        <v>41487</v>
      </c>
      <c r="P211" s="528">
        <v>32</v>
      </c>
      <c r="Q211" s="524" t="s">
        <v>181</v>
      </c>
      <c r="R211" s="448">
        <v>1</v>
      </c>
      <c r="S211" s="448">
        <v>0</v>
      </c>
      <c r="T211" s="449">
        <v>414.4</v>
      </c>
      <c r="U211" s="524" t="s">
        <v>195</v>
      </c>
      <c r="V211" s="448">
        <v>0</v>
      </c>
      <c r="W211" s="448">
        <v>0</v>
      </c>
      <c r="X211" s="450">
        <v>0</v>
      </c>
      <c r="Y211" s="450" t="s">
        <v>181</v>
      </c>
      <c r="Z211" s="524" t="s">
        <v>181</v>
      </c>
      <c r="AA211" s="450">
        <v>4797</v>
      </c>
      <c r="AB211" s="529">
        <v>175.96</v>
      </c>
      <c r="AC211" s="529">
        <v>833.57999999999993</v>
      </c>
      <c r="AD211" s="451">
        <v>1247.98</v>
      </c>
      <c r="AE211" s="530">
        <v>0.19057527478781019</v>
      </c>
      <c r="AF211" s="451">
        <v>6044.98</v>
      </c>
      <c r="AH211" s="426" t="s">
        <v>7</v>
      </c>
      <c r="AI211" s="1266" t="s">
        <v>2151</v>
      </c>
      <c r="AJ211" s="426" t="s">
        <v>2162</v>
      </c>
      <c r="AK211" s="1252">
        <v>12.95</v>
      </c>
      <c r="AL211" s="426">
        <v>414.4</v>
      </c>
    </row>
    <row r="212" spans="3:61 14290:16384" x14ac:dyDescent="0.25">
      <c r="C212" s="446"/>
      <c r="D212" s="1097"/>
      <c r="F212" s="573"/>
      <c r="G212" s="574"/>
      <c r="H212" s="575"/>
      <c r="I212" s="576"/>
      <c r="J212" s="526"/>
      <c r="K212" s="447"/>
      <c r="L212" s="527"/>
      <c r="M212" s="528"/>
      <c r="N212" s="453"/>
      <c r="O212" s="527"/>
      <c r="P212" s="528"/>
      <c r="Q212" s="524"/>
      <c r="R212" s="448"/>
      <c r="S212" s="448"/>
      <c r="T212" s="449"/>
      <c r="U212" s="524"/>
      <c r="V212" s="448"/>
      <c r="W212" s="448"/>
      <c r="X212" s="450"/>
      <c r="Y212" s="450"/>
      <c r="Z212" s="524"/>
      <c r="AA212" s="450"/>
      <c r="AB212" s="529"/>
      <c r="AC212" s="529"/>
      <c r="AD212" s="451"/>
      <c r="AE212" s="530"/>
      <c r="AF212" s="451"/>
      <c r="AI212" s="1266"/>
      <c r="AK212" s="1252"/>
    </row>
    <row r="213" spans="3:61 14290:16384" x14ac:dyDescent="0.25">
      <c r="C213" s="446" t="s">
        <v>1739</v>
      </c>
      <c r="D213" s="1097" t="s">
        <v>47</v>
      </c>
      <c r="E213" s="426">
        <v>1</v>
      </c>
      <c r="F213" s="573"/>
      <c r="G213" s="574"/>
      <c r="H213" s="575"/>
      <c r="I213" s="576"/>
      <c r="J213" s="526"/>
      <c r="K213" s="447"/>
      <c r="L213" s="527"/>
      <c r="M213" s="528"/>
      <c r="N213" s="453"/>
      <c r="O213" s="527"/>
      <c r="P213" s="528"/>
      <c r="Q213" s="524"/>
      <c r="R213" s="448"/>
      <c r="S213" s="448"/>
      <c r="T213" s="449"/>
      <c r="U213" s="524"/>
      <c r="V213" s="448"/>
      <c r="W213" s="448"/>
      <c r="X213" s="450"/>
      <c r="Y213" s="450"/>
      <c r="Z213" s="524"/>
      <c r="AA213" s="450"/>
      <c r="AB213" s="529"/>
      <c r="AC213" s="529"/>
      <c r="AD213" s="451"/>
      <c r="AE213" s="530"/>
      <c r="AF213" s="451"/>
      <c r="AI213" s="1266" t="s">
        <v>174</v>
      </c>
      <c r="AK213" s="1252"/>
    </row>
    <row r="214" spans="3:61 14290:16384" x14ac:dyDescent="0.25">
      <c r="C214" s="446" t="s">
        <v>1739</v>
      </c>
      <c r="D214" s="1097" t="s">
        <v>47</v>
      </c>
      <c r="E214" s="426">
        <v>1</v>
      </c>
      <c r="F214" s="573"/>
      <c r="G214" s="574"/>
      <c r="H214" s="575"/>
      <c r="I214" s="576"/>
      <c r="J214" s="526"/>
      <c r="K214" s="447"/>
      <c r="L214" s="527"/>
      <c r="M214" s="528"/>
      <c r="N214" s="453"/>
      <c r="O214" s="527"/>
      <c r="P214" s="528"/>
      <c r="Q214" s="524"/>
      <c r="R214" s="448"/>
      <c r="S214" s="448"/>
      <c r="T214" s="449"/>
      <c r="U214" s="524"/>
      <c r="V214" s="448"/>
      <c r="W214" s="448"/>
      <c r="X214" s="450"/>
      <c r="Y214" s="450"/>
      <c r="Z214" s="524"/>
      <c r="AA214" s="450"/>
      <c r="AB214" s="529"/>
      <c r="AC214" s="529"/>
      <c r="AD214" s="451"/>
      <c r="AE214" s="530"/>
      <c r="AF214" s="451"/>
      <c r="AI214" s="1266" t="s">
        <v>174</v>
      </c>
      <c r="AK214" s="1252"/>
    </row>
    <row r="215" spans="3:61 14290:16384" x14ac:dyDescent="0.25">
      <c r="C215" s="446" t="s">
        <v>1739</v>
      </c>
      <c r="D215" s="1097" t="s">
        <v>47</v>
      </c>
      <c r="E215" s="426">
        <v>1</v>
      </c>
      <c r="F215" s="573"/>
      <c r="G215" s="574"/>
      <c r="H215" s="575"/>
      <c r="I215" s="576"/>
      <c r="J215" s="526"/>
      <c r="K215" s="447"/>
      <c r="L215" s="527"/>
      <c r="M215" s="528"/>
      <c r="N215" s="453"/>
      <c r="O215" s="527"/>
      <c r="P215" s="528"/>
      <c r="Q215" s="524"/>
      <c r="R215" s="448"/>
      <c r="S215" s="448"/>
      <c r="T215" s="449"/>
      <c r="U215" s="524"/>
      <c r="V215" s="448"/>
      <c r="W215" s="448"/>
      <c r="X215" s="450"/>
      <c r="Y215" s="450"/>
      <c r="Z215" s="524"/>
      <c r="AA215" s="450"/>
      <c r="AB215" s="529"/>
      <c r="AC215" s="529"/>
      <c r="AD215" s="451"/>
      <c r="AE215" s="530"/>
      <c r="AF215" s="451"/>
      <c r="AI215" s="1266" t="s">
        <v>174</v>
      </c>
      <c r="AK215" s="1252"/>
    </row>
    <row r="216" spans="3:61 14290:16384" s="531" customFormat="1" x14ac:dyDescent="0.25">
      <c r="C216" s="426" t="s">
        <v>1739</v>
      </c>
      <c r="D216" s="599" t="s">
        <v>47</v>
      </c>
      <c r="E216" s="446">
        <v>1</v>
      </c>
      <c r="F216" s="525"/>
      <c r="G216" s="426"/>
      <c r="H216" s="573"/>
      <c r="I216" s="574"/>
      <c r="J216" s="575"/>
      <c r="K216" s="576"/>
      <c r="L216" s="526"/>
      <c r="M216" s="447"/>
      <c r="N216" s="527"/>
      <c r="O216" s="528"/>
      <c r="P216" s="453"/>
      <c r="Q216" s="527"/>
      <c r="R216" s="528"/>
      <c r="S216" s="524"/>
      <c r="T216" s="448"/>
      <c r="U216" s="448"/>
      <c r="V216" s="449"/>
      <c r="W216" s="524"/>
      <c r="X216" s="448"/>
      <c r="Y216" s="448"/>
      <c r="Z216" s="450"/>
      <c r="AA216" s="450"/>
      <c r="AB216" s="533"/>
      <c r="AC216" s="450"/>
      <c r="AD216" s="529"/>
      <c r="AE216" s="529"/>
      <c r="AF216" s="451"/>
      <c r="AG216" s="426"/>
      <c r="AH216" s="426"/>
      <c r="AI216" s="1266" t="s">
        <v>174</v>
      </c>
      <c r="AJ216" s="426"/>
      <c r="AK216" s="1252"/>
      <c r="AL216" s="426"/>
      <c r="AM216" s="426"/>
      <c r="AN216" s="426"/>
      <c r="AO216" s="426"/>
      <c r="AP216" s="426"/>
      <c r="UCP216" s="426"/>
      <c r="UCQ216" s="426"/>
      <c r="UCR216" s="426"/>
      <c r="UCS216" s="426"/>
      <c r="UCT216" s="426"/>
      <c r="UCU216" s="426"/>
      <c r="UCV216" s="426"/>
      <c r="UCW216" s="426"/>
      <c r="UCX216" s="426"/>
      <c r="UCY216" s="426"/>
      <c r="UCZ216" s="426"/>
      <c r="UDA216" s="426"/>
      <c r="UDB216" s="426"/>
      <c r="UDC216" s="426"/>
      <c r="UDD216" s="426"/>
      <c r="UDE216" s="426"/>
      <c r="UDF216" s="426"/>
      <c r="UDG216" s="426"/>
      <c r="UDH216" s="426"/>
      <c r="UDI216" s="426"/>
      <c r="UDJ216" s="426"/>
      <c r="UDK216" s="426"/>
      <c r="UDL216" s="426"/>
      <c r="UDM216" s="426"/>
      <c r="UDN216" s="426"/>
      <c r="UDO216" s="426"/>
      <c r="UDP216" s="426"/>
      <c r="UDQ216" s="426"/>
      <c r="UDR216" s="426"/>
      <c r="UDS216" s="426"/>
      <c r="UDT216" s="426"/>
      <c r="UDU216" s="426"/>
      <c r="UDV216" s="426"/>
      <c r="UDW216" s="426"/>
      <c r="UDX216" s="426"/>
      <c r="UDY216" s="426"/>
      <c r="UDZ216" s="426"/>
      <c r="UEA216" s="426"/>
      <c r="UEB216" s="426"/>
      <c r="UEC216" s="426"/>
      <c r="UED216" s="426"/>
      <c r="UEE216" s="426"/>
      <c r="UEF216" s="426"/>
      <c r="UEG216" s="426"/>
      <c r="UEH216" s="426"/>
      <c r="UEI216" s="426"/>
      <c r="UEJ216" s="426"/>
      <c r="UEK216" s="426"/>
      <c r="UEL216" s="426"/>
      <c r="UEM216" s="426"/>
      <c r="UEN216" s="426"/>
      <c r="UEO216" s="426"/>
      <c r="UEP216" s="426"/>
      <c r="UEQ216" s="426"/>
      <c r="UER216" s="426"/>
      <c r="UES216" s="426"/>
      <c r="UET216" s="426"/>
      <c r="UEU216" s="426"/>
      <c r="UEV216" s="426"/>
      <c r="UEW216" s="426"/>
      <c r="UEX216" s="426"/>
      <c r="UEY216" s="426"/>
      <c r="UEZ216" s="426"/>
      <c r="UFA216" s="426"/>
      <c r="UFB216" s="426"/>
      <c r="UFC216" s="426"/>
      <c r="UFD216" s="426"/>
      <c r="UFE216" s="426"/>
      <c r="UFF216" s="426"/>
      <c r="UFG216" s="426"/>
      <c r="UFH216" s="426"/>
      <c r="UFI216" s="426"/>
      <c r="UFJ216" s="426"/>
      <c r="UFK216" s="426"/>
      <c r="UFL216" s="426"/>
      <c r="UFM216" s="426"/>
      <c r="UFN216" s="426"/>
      <c r="UFO216" s="426"/>
      <c r="UFP216" s="426"/>
      <c r="UFQ216" s="426"/>
      <c r="UFR216" s="426"/>
      <c r="UFS216" s="426"/>
      <c r="UFT216" s="426"/>
      <c r="UFU216" s="426"/>
      <c r="UFV216" s="426"/>
      <c r="UFW216" s="426"/>
      <c r="UFX216" s="426"/>
      <c r="UFY216" s="426"/>
      <c r="UFZ216" s="426"/>
      <c r="UGA216" s="426"/>
      <c r="UGB216" s="426"/>
      <c r="UGC216" s="426"/>
      <c r="UGD216" s="426"/>
      <c r="UGE216" s="426"/>
      <c r="UGF216" s="426"/>
      <c r="UGG216" s="426"/>
      <c r="UGH216" s="426"/>
      <c r="UGI216" s="426"/>
      <c r="UGJ216" s="426"/>
      <c r="UGK216" s="426"/>
      <c r="UGL216" s="426"/>
      <c r="UGM216" s="426"/>
      <c r="UGN216" s="426"/>
      <c r="UGO216" s="426"/>
      <c r="UGP216" s="426"/>
      <c r="UGQ216" s="426"/>
      <c r="UGR216" s="426"/>
      <c r="UGS216" s="426"/>
      <c r="UGT216" s="426"/>
      <c r="UGU216" s="426"/>
      <c r="UGV216" s="426"/>
      <c r="UGW216" s="426"/>
      <c r="UGX216" s="426"/>
      <c r="UGY216" s="426"/>
      <c r="UGZ216" s="426"/>
      <c r="UHA216" s="426"/>
      <c r="UHB216" s="426"/>
      <c r="UHC216" s="426"/>
      <c r="UHD216" s="426"/>
      <c r="UHE216" s="426"/>
      <c r="UHF216" s="426"/>
      <c r="UHG216" s="426"/>
      <c r="UHH216" s="426"/>
      <c r="UHI216" s="426"/>
      <c r="UHJ216" s="426"/>
      <c r="UHK216" s="426"/>
      <c r="UHL216" s="426"/>
      <c r="UHM216" s="426"/>
      <c r="UHN216" s="426"/>
      <c r="UHO216" s="426"/>
      <c r="UHP216" s="426"/>
      <c r="UHQ216" s="426"/>
      <c r="UHR216" s="426"/>
      <c r="UHS216" s="426"/>
      <c r="UHT216" s="426"/>
      <c r="UHU216" s="426"/>
      <c r="UHV216" s="426"/>
      <c r="UHW216" s="426"/>
      <c r="UHX216" s="426"/>
      <c r="UHY216" s="426"/>
      <c r="UHZ216" s="426"/>
      <c r="UIA216" s="426"/>
      <c r="UIB216" s="426"/>
      <c r="UIC216" s="426"/>
      <c r="UID216" s="426"/>
      <c r="UIE216" s="426"/>
      <c r="UIF216" s="426"/>
      <c r="UIG216" s="426"/>
      <c r="UIH216" s="426"/>
      <c r="UII216" s="426"/>
      <c r="UIJ216" s="426"/>
      <c r="UIK216" s="426"/>
      <c r="UIL216" s="426"/>
      <c r="UIM216" s="426"/>
      <c r="UIN216" s="426"/>
      <c r="UIO216" s="426"/>
      <c r="UIP216" s="426"/>
      <c r="UIQ216" s="426"/>
      <c r="UIR216" s="426"/>
      <c r="UIS216" s="426"/>
      <c r="UIT216" s="426"/>
      <c r="UIU216" s="426"/>
      <c r="UIV216" s="426"/>
      <c r="UIW216" s="426"/>
      <c r="UIX216" s="426"/>
      <c r="UIY216" s="426"/>
      <c r="UIZ216" s="426"/>
      <c r="UJA216" s="426"/>
      <c r="UJB216" s="426"/>
      <c r="UJC216" s="426"/>
      <c r="UJD216" s="426"/>
      <c r="UJE216" s="426"/>
      <c r="UJF216" s="426"/>
      <c r="UJG216" s="426"/>
      <c r="UJH216" s="426"/>
      <c r="UJI216" s="426"/>
      <c r="UJJ216" s="426"/>
      <c r="UJK216" s="426"/>
      <c r="UJL216" s="426"/>
      <c r="UJM216" s="426"/>
      <c r="UJN216" s="426"/>
      <c r="UJO216" s="426"/>
      <c r="UJP216" s="426"/>
      <c r="UJQ216" s="426"/>
      <c r="UJR216" s="426"/>
      <c r="UJS216" s="426"/>
      <c r="UJT216" s="426"/>
      <c r="UJU216" s="426"/>
      <c r="UJV216" s="426"/>
      <c r="UJW216" s="426"/>
      <c r="UJX216" s="426"/>
      <c r="UJY216" s="426"/>
      <c r="UJZ216" s="426"/>
      <c r="UKA216" s="426"/>
      <c r="UKB216" s="426"/>
      <c r="UKC216" s="426"/>
      <c r="UKD216" s="426"/>
      <c r="UKE216" s="426"/>
      <c r="UKF216" s="426"/>
      <c r="UKG216" s="426"/>
      <c r="UKH216" s="426"/>
      <c r="UKI216" s="426"/>
      <c r="UKJ216" s="426"/>
      <c r="UKK216" s="426"/>
      <c r="UKL216" s="426"/>
      <c r="UKM216" s="426"/>
      <c r="UKN216" s="426"/>
      <c r="UKO216" s="426"/>
      <c r="UKP216" s="426"/>
      <c r="UKQ216" s="426"/>
      <c r="UKR216" s="426"/>
      <c r="UKS216" s="426"/>
      <c r="UKT216" s="426"/>
      <c r="UKU216" s="426"/>
      <c r="UKV216" s="426"/>
      <c r="UKW216" s="426"/>
      <c r="UKX216" s="426"/>
      <c r="UKY216" s="426"/>
      <c r="UKZ216" s="426"/>
      <c r="ULA216" s="426"/>
      <c r="ULB216" s="426"/>
      <c r="ULC216" s="426"/>
      <c r="ULD216" s="426"/>
      <c r="ULE216" s="426"/>
      <c r="ULF216" s="426"/>
      <c r="ULG216" s="426"/>
      <c r="ULH216" s="426"/>
      <c r="ULI216" s="426"/>
      <c r="ULJ216" s="426"/>
      <c r="ULK216" s="426"/>
      <c r="ULL216" s="426"/>
      <c r="ULM216" s="426"/>
      <c r="ULN216" s="426"/>
      <c r="ULO216" s="426"/>
      <c r="ULP216" s="426"/>
      <c r="ULQ216" s="426"/>
      <c r="ULR216" s="426"/>
      <c r="ULS216" s="426"/>
      <c r="ULT216" s="426"/>
      <c r="ULU216" s="426"/>
      <c r="ULV216" s="426"/>
      <c r="ULW216" s="426"/>
      <c r="ULX216" s="426"/>
      <c r="ULY216" s="426"/>
      <c r="ULZ216" s="426"/>
      <c r="UMA216" s="426"/>
      <c r="UMB216" s="426"/>
      <c r="UMC216" s="426"/>
      <c r="UMD216" s="426"/>
      <c r="UME216" s="426"/>
      <c r="UMF216" s="426"/>
      <c r="UMG216" s="426"/>
      <c r="UMH216" s="426"/>
      <c r="UMI216" s="426"/>
      <c r="UMJ216" s="426"/>
      <c r="UMK216" s="426"/>
      <c r="UML216" s="426"/>
      <c r="UMM216" s="426"/>
      <c r="UMN216" s="426"/>
      <c r="UMO216" s="426"/>
      <c r="UMP216" s="426"/>
      <c r="UMQ216" s="426"/>
      <c r="UMR216" s="426"/>
      <c r="UMS216" s="426"/>
      <c r="UMT216" s="426"/>
      <c r="UMU216" s="426"/>
      <c r="UMV216" s="426"/>
      <c r="UMW216" s="426"/>
      <c r="UMX216" s="426"/>
      <c r="UMY216" s="426"/>
      <c r="UMZ216" s="426"/>
      <c r="UNA216" s="426"/>
      <c r="UNB216" s="426"/>
      <c r="UNC216" s="426"/>
      <c r="UND216" s="426"/>
      <c r="UNE216" s="426"/>
      <c r="UNF216" s="426"/>
      <c r="UNG216" s="426"/>
      <c r="UNH216" s="426"/>
      <c r="UNI216" s="426"/>
      <c r="UNJ216" s="426"/>
      <c r="UNK216" s="426"/>
      <c r="UNL216" s="426"/>
      <c r="UNM216" s="426"/>
      <c r="UNN216" s="426"/>
      <c r="UNO216" s="426"/>
      <c r="UNP216" s="426"/>
      <c r="UNQ216" s="426"/>
      <c r="UNR216" s="426"/>
      <c r="UNS216" s="426"/>
      <c r="UNT216" s="426"/>
      <c r="UNU216" s="426"/>
      <c r="UNV216" s="426"/>
      <c r="UNW216" s="426"/>
      <c r="UNX216" s="426"/>
      <c r="UNY216" s="426"/>
      <c r="UNZ216" s="426"/>
      <c r="UOA216" s="426"/>
      <c r="UOB216" s="426"/>
      <c r="UOC216" s="426"/>
      <c r="UOD216" s="426"/>
      <c r="UOE216" s="426"/>
      <c r="UOF216" s="426"/>
      <c r="UOG216" s="426"/>
      <c r="UOH216" s="426"/>
      <c r="UOI216" s="426"/>
      <c r="UOJ216" s="426"/>
      <c r="UOK216" s="426"/>
      <c r="UOL216" s="426"/>
      <c r="UOM216" s="426"/>
      <c r="UON216" s="426"/>
      <c r="UOO216" s="426"/>
      <c r="UOP216" s="426"/>
      <c r="UOQ216" s="426"/>
      <c r="UOR216" s="426"/>
      <c r="UOS216" s="426"/>
      <c r="UOT216" s="426"/>
      <c r="UOU216" s="426"/>
      <c r="UOV216" s="426"/>
      <c r="UOW216" s="426"/>
      <c r="UOX216" s="426"/>
      <c r="UOY216" s="426"/>
      <c r="UOZ216" s="426"/>
      <c r="UPA216" s="426"/>
      <c r="UPB216" s="426"/>
      <c r="UPC216" s="426"/>
      <c r="UPD216" s="426"/>
      <c r="UPE216" s="426"/>
      <c r="UPF216" s="426"/>
      <c r="UPG216" s="426"/>
      <c r="UPH216" s="426"/>
      <c r="UPI216" s="426"/>
      <c r="UPJ216" s="426"/>
      <c r="UPK216" s="426"/>
      <c r="UPL216" s="426"/>
      <c r="UPM216" s="426"/>
      <c r="UPN216" s="426"/>
      <c r="UPO216" s="426"/>
      <c r="UPP216" s="426"/>
      <c r="UPQ216" s="426"/>
      <c r="UPR216" s="426"/>
      <c r="UPS216" s="426"/>
      <c r="UPT216" s="426"/>
      <c r="UPU216" s="426"/>
      <c r="UPV216" s="426"/>
      <c r="UPW216" s="426"/>
      <c r="UPX216" s="426"/>
      <c r="UPY216" s="426"/>
      <c r="UPZ216" s="426"/>
      <c r="UQA216" s="426"/>
      <c r="UQB216" s="426"/>
      <c r="UQC216" s="426"/>
      <c r="UQD216" s="426"/>
      <c r="UQE216" s="426"/>
      <c r="UQF216" s="426"/>
      <c r="UQG216" s="426"/>
      <c r="UQH216" s="426"/>
      <c r="UQI216" s="426"/>
      <c r="UQJ216" s="426"/>
      <c r="UQK216" s="426"/>
      <c r="UQL216" s="426"/>
      <c r="UQM216" s="426"/>
      <c r="UQN216" s="426"/>
      <c r="UQO216" s="426"/>
      <c r="UQP216" s="426"/>
      <c r="UQQ216" s="426"/>
      <c r="UQR216" s="426"/>
      <c r="UQS216" s="426"/>
      <c r="UQT216" s="426"/>
      <c r="UQU216" s="426"/>
      <c r="UQV216" s="426"/>
      <c r="UQW216" s="426"/>
      <c r="UQX216" s="426"/>
      <c r="UQY216" s="426"/>
      <c r="UQZ216" s="426"/>
      <c r="URA216" s="426"/>
      <c r="URB216" s="426"/>
      <c r="URC216" s="426"/>
      <c r="URD216" s="426"/>
      <c r="URE216" s="426"/>
      <c r="URF216" s="426"/>
      <c r="URG216" s="426"/>
      <c r="URH216" s="426"/>
      <c r="URI216" s="426"/>
      <c r="URJ216" s="426"/>
      <c r="URK216" s="426"/>
      <c r="URL216" s="426"/>
      <c r="URM216" s="426"/>
      <c r="URN216" s="426"/>
      <c r="URO216" s="426"/>
      <c r="URP216" s="426"/>
      <c r="URQ216" s="426"/>
      <c r="URR216" s="426"/>
      <c r="URS216" s="426"/>
      <c r="URT216" s="426"/>
      <c r="URU216" s="426"/>
      <c r="URV216" s="426"/>
      <c r="URW216" s="426"/>
      <c r="URX216" s="426"/>
      <c r="URY216" s="426"/>
      <c r="URZ216" s="426"/>
      <c r="USA216" s="426"/>
      <c r="USB216" s="426"/>
      <c r="USC216" s="426"/>
      <c r="USD216" s="426"/>
      <c r="USE216" s="426"/>
      <c r="USF216" s="426"/>
      <c r="USG216" s="426"/>
      <c r="USH216" s="426"/>
      <c r="USI216" s="426"/>
      <c r="USJ216" s="426"/>
      <c r="USK216" s="426"/>
      <c r="USL216" s="426"/>
      <c r="USM216" s="426"/>
      <c r="USN216" s="426"/>
      <c r="USO216" s="426"/>
      <c r="USP216" s="426"/>
      <c r="USQ216" s="426"/>
      <c r="USR216" s="426"/>
      <c r="USS216" s="426"/>
      <c r="UST216" s="426"/>
      <c r="USU216" s="426"/>
      <c r="USV216" s="426"/>
      <c r="USW216" s="426"/>
      <c r="USX216" s="426"/>
      <c r="USY216" s="426"/>
      <c r="USZ216" s="426"/>
      <c r="UTA216" s="426"/>
      <c r="UTB216" s="426"/>
      <c r="UTC216" s="426"/>
      <c r="UTD216" s="426"/>
      <c r="UTE216" s="426"/>
      <c r="UTF216" s="426"/>
      <c r="UTG216" s="426"/>
      <c r="UTH216" s="426"/>
      <c r="UTI216" s="426"/>
      <c r="UTJ216" s="426"/>
      <c r="UTK216" s="426"/>
      <c r="UTL216" s="426"/>
      <c r="UTM216" s="426"/>
      <c r="UTN216" s="426"/>
      <c r="UTO216" s="426"/>
      <c r="UTP216" s="426"/>
      <c r="UTQ216" s="426"/>
      <c r="UTR216" s="426"/>
      <c r="UTS216" s="426"/>
      <c r="UTT216" s="426"/>
      <c r="UTU216" s="426"/>
      <c r="UTV216" s="426"/>
      <c r="UTW216" s="426"/>
      <c r="UTX216" s="426"/>
      <c r="UTY216" s="426"/>
      <c r="UTZ216" s="426"/>
      <c r="UUA216" s="426"/>
      <c r="UUB216" s="426"/>
      <c r="UUC216" s="426"/>
      <c r="UUD216" s="426"/>
      <c r="UUE216" s="426"/>
      <c r="UUF216" s="426"/>
      <c r="UUG216" s="426"/>
      <c r="UUH216" s="426"/>
      <c r="UUI216" s="426"/>
      <c r="UUJ216" s="426"/>
      <c r="UUK216" s="426"/>
      <c r="UUL216" s="426"/>
      <c r="UUM216" s="426"/>
      <c r="UUN216" s="426"/>
      <c r="UUO216" s="426"/>
      <c r="UUP216" s="426"/>
      <c r="UUQ216" s="426"/>
      <c r="UUR216" s="426"/>
      <c r="UUS216" s="426"/>
      <c r="UUT216" s="426"/>
      <c r="UUU216" s="426"/>
      <c r="UUV216" s="426"/>
      <c r="UUW216" s="426"/>
      <c r="UUX216" s="426"/>
      <c r="UUY216" s="426"/>
      <c r="UUZ216" s="426"/>
      <c r="UVA216" s="426"/>
      <c r="UVB216" s="426"/>
      <c r="UVC216" s="426"/>
      <c r="UVD216" s="426"/>
      <c r="UVE216" s="426"/>
      <c r="UVF216" s="426"/>
      <c r="UVG216" s="426"/>
      <c r="UVH216" s="426"/>
      <c r="UVI216" s="426"/>
      <c r="UVJ216" s="426"/>
      <c r="UVK216" s="426"/>
      <c r="UVL216" s="426"/>
      <c r="UVM216" s="426"/>
      <c r="UVN216" s="426"/>
      <c r="UVO216" s="426"/>
      <c r="UVP216" s="426"/>
      <c r="UVQ216" s="426"/>
      <c r="UVR216" s="426"/>
      <c r="UVS216" s="426"/>
      <c r="UVT216" s="426"/>
      <c r="UVU216" s="426"/>
      <c r="UVV216" s="426"/>
      <c r="UVW216" s="426"/>
      <c r="UVX216" s="426"/>
      <c r="UVY216" s="426"/>
      <c r="UVZ216" s="426"/>
      <c r="UWA216" s="426"/>
      <c r="UWB216" s="426"/>
      <c r="UWC216" s="426"/>
      <c r="UWD216" s="426"/>
      <c r="UWE216" s="426"/>
      <c r="UWF216" s="426"/>
      <c r="UWG216" s="426"/>
      <c r="UWH216" s="426"/>
      <c r="UWI216" s="426"/>
      <c r="UWJ216" s="426"/>
      <c r="UWK216" s="426"/>
      <c r="UWL216" s="426"/>
      <c r="UWM216" s="426"/>
      <c r="UWN216" s="426"/>
      <c r="UWO216" s="426"/>
      <c r="UWP216" s="426"/>
      <c r="UWQ216" s="426"/>
      <c r="UWR216" s="426"/>
      <c r="UWS216" s="426"/>
      <c r="UWT216" s="426"/>
      <c r="UWU216" s="426"/>
      <c r="UWV216" s="426"/>
      <c r="UWW216" s="426"/>
      <c r="UWX216" s="426"/>
      <c r="UWY216" s="426"/>
      <c r="UWZ216" s="426"/>
      <c r="UXA216" s="426"/>
      <c r="UXB216" s="426"/>
      <c r="UXC216" s="426"/>
      <c r="UXD216" s="426"/>
      <c r="UXE216" s="426"/>
      <c r="UXF216" s="426"/>
      <c r="UXG216" s="426"/>
      <c r="UXH216" s="426"/>
      <c r="UXI216" s="426"/>
      <c r="UXJ216" s="426"/>
      <c r="UXK216" s="426"/>
      <c r="UXL216" s="426"/>
      <c r="UXM216" s="426"/>
      <c r="UXN216" s="426"/>
      <c r="UXO216" s="426"/>
      <c r="UXP216" s="426"/>
      <c r="UXQ216" s="426"/>
      <c r="UXR216" s="426"/>
      <c r="UXS216" s="426"/>
      <c r="UXT216" s="426"/>
      <c r="UXU216" s="426"/>
      <c r="UXV216" s="426"/>
      <c r="UXW216" s="426"/>
      <c r="UXX216" s="426"/>
      <c r="UXY216" s="426"/>
      <c r="UXZ216" s="426"/>
      <c r="UYA216" s="426"/>
      <c r="UYB216" s="426"/>
      <c r="UYC216" s="426"/>
      <c r="UYD216" s="426"/>
      <c r="UYE216" s="426"/>
      <c r="UYF216" s="426"/>
      <c r="UYG216" s="426"/>
      <c r="UYH216" s="426"/>
      <c r="UYI216" s="426"/>
      <c r="UYJ216" s="426"/>
      <c r="UYK216" s="426"/>
      <c r="UYL216" s="426"/>
      <c r="UYM216" s="426"/>
      <c r="UYN216" s="426"/>
      <c r="UYO216" s="426"/>
      <c r="UYP216" s="426"/>
      <c r="UYQ216" s="426"/>
      <c r="UYR216" s="426"/>
      <c r="UYS216" s="426"/>
      <c r="UYT216" s="426"/>
      <c r="UYU216" s="426"/>
      <c r="UYV216" s="426"/>
      <c r="UYW216" s="426"/>
      <c r="UYX216" s="426"/>
      <c r="UYY216" s="426"/>
      <c r="UYZ216" s="426"/>
      <c r="UZA216" s="426"/>
      <c r="UZB216" s="426"/>
      <c r="UZC216" s="426"/>
      <c r="UZD216" s="426"/>
      <c r="UZE216" s="426"/>
      <c r="UZF216" s="426"/>
      <c r="UZG216" s="426"/>
      <c r="UZH216" s="426"/>
      <c r="UZI216" s="426"/>
      <c r="UZJ216" s="426"/>
      <c r="UZK216" s="426"/>
      <c r="UZL216" s="426"/>
      <c r="UZM216" s="426"/>
      <c r="UZN216" s="426"/>
      <c r="UZO216" s="426"/>
      <c r="UZP216" s="426"/>
      <c r="UZQ216" s="426"/>
      <c r="UZR216" s="426"/>
      <c r="UZS216" s="426"/>
      <c r="UZT216" s="426"/>
      <c r="UZU216" s="426"/>
      <c r="UZV216" s="426"/>
      <c r="UZW216" s="426"/>
      <c r="UZX216" s="426"/>
      <c r="UZY216" s="426"/>
      <c r="UZZ216" s="426"/>
      <c r="VAA216" s="426"/>
      <c r="VAB216" s="426"/>
      <c r="VAC216" s="426"/>
      <c r="VAD216" s="426"/>
      <c r="VAE216" s="426"/>
      <c r="VAF216" s="426"/>
      <c r="VAG216" s="426"/>
      <c r="VAH216" s="426"/>
      <c r="VAI216" s="426"/>
      <c r="VAJ216" s="426"/>
      <c r="VAK216" s="426"/>
      <c r="VAL216" s="426"/>
      <c r="VAM216" s="426"/>
      <c r="VAN216" s="426"/>
      <c r="VAO216" s="426"/>
      <c r="VAP216" s="426"/>
      <c r="VAQ216" s="426"/>
      <c r="VAR216" s="426"/>
      <c r="VAS216" s="426"/>
      <c r="VAT216" s="426"/>
      <c r="VAU216" s="426"/>
      <c r="VAV216" s="426"/>
      <c r="VAW216" s="426"/>
      <c r="VAX216" s="426"/>
      <c r="VAY216" s="426"/>
      <c r="VAZ216" s="426"/>
      <c r="VBA216" s="426"/>
      <c r="VBB216" s="426"/>
      <c r="VBC216" s="426"/>
      <c r="VBD216" s="426"/>
      <c r="VBE216" s="426"/>
      <c r="VBF216" s="426"/>
      <c r="VBG216" s="426"/>
      <c r="VBH216" s="426"/>
      <c r="VBI216" s="426"/>
      <c r="VBJ216" s="426"/>
      <c r="VBK216" s="426"/>
      <c r="VBL216" s="426"/>
      <c r="VBM216" s="426"/>
      <c r="VBN216" s="426"/>
      <c r="VBO216" s="426"/>
      <c r="VBP216" s="426"/>
      <c r="VBQ216" s="426"/>
      <c r="VBR216" s="426"/>
      <c r="VBS216" s="426"/>
      <c r="VBT216" s="426"/>
      <c r="VBU216" s="426"/>
      <c r="VBV216" s="426"/>
      <c r="VBW216" s="426"/>
      <c r="VBX216" s="426"/>
      <c r="VBY216" s="426"/>
      <c r="VBZ216" s="426"/>
      <c r="VCA216" s="426"/>
      <c r="VCB216" s="426"/>
      <c r="VCC216" s="426"/>
      <c r="VCD216" s="426"/>
      <c r="VCE216" s="426"/>
      <c r="VCF216" s="426"/>
      <c r="VCG216" s="426"/>
      <c r="VCH216" s="426"/>
      <c r="VCI216" s="426"/>
      <c r="VCJ216" s="426"/>
      <c r="VCK216" s="426"/>
      <c r="VCL216" s="426"/>
      <c r="VCM216" s="426"/>
      <c r="VCN216" s="426"/>
      <c r="VCO216" s="426"/>
      <c r="VCP216" s="426"/>
      <c r="VCQ216" s="426"/>
      <c r="VCR216" s="426"/>
      <c r="VCS216" s="426"/>
      <c r="VCT216" s="426"/>
      <c r="VCU216" s="426"/>
      <c r="VCV216" s="426"/>
      <c r="VCW216" s="426"/>
      <c r="VCX216" s="426"/>
      <c r="VCY216" s="426"/>
      <c r="VCZ216" s="426"/>
      <c r="VDA216" s="426"/>
      <c r="VDB216" s="426"/>
      <c r="VDC216" s="426"/>
      <c r="VDD216" s="426"/>
      <c r="VDE216" s="426"/>
      <c r="VDF216" s="426"/>
      <c r="VDG216" s="426"/>
      <c r="VDH216" s="426"/>
      <c r="VDI216" s="426"/>
      <c r="VDJ216" s="426"/>
      <c r="VDK216" s="426"/>
      <c r="VDL216" s="426"/>
      <c r="VDM216" s="426"/>
      <c r="VDN216" s="426"/>
      <c r="VDO216" s="426"/>
      <c r="VDP216" s="426"/>
      <c r="VDQ216" s="426"/>
      <c r="VDR216" s="426"/>
      <c r="VDS216" s="426"/>
      <c r="VDT216" s="426"/>
      <c r="VDU216" s="426"/>
      <c r="VDV216" s="426"/>
      <c r="VDW216" s="426"/>
      <c r="VDX216" s="426"/>
      <c r="VDY216" s="426"/>
      <c r="VDZ216" s="426"/>
      <c r="VEA216" s="426"/>
      <c r="VEB216" s="426"/>
      <c r="VEC216" s="426"/>
      <c r="VED216" s="426"/>
      <c r="VEE216" s="426"/>
      <c r="VEF216" s="426"/>
      <c r="VEG216" s="426"/>
      <c r="VEH216" s="426"/>
      <c r="VEI216" s="426"/>
      <c r="VEJ216" s="426"/>
      <c r="VEK216" s="426"/>
      <c r="VEL216" s="426"/>
      <c r="VEM216" s="426"/>
      <c r="VEN216" s="426"/>
      <c r="VEO216" s="426"/>
      <c r="VEP216" s="426"/>
      <c r="VEQ216" s="426"/>
      <c r="VER216" s="426"/>
      <c r="VES216" s="426"/>
      <c r="VET216" s="426"/>
      <c r="VEU216" s="426"/>
      <c r="VEV216" s="426"/>
      <c r="VEW216" s="426"/>
      <c r="VEX216" s="426"/>
      <c r="VEY216" s="426"/>
      <c r="VEZ216" s="426"/>
      <c r="VFA216" s="426"/>
      <c r="VFB216" s="426"/>
      <c r="VFC216" s="426"/>
      <c r="VFD216" s="426"/>
      <c r="VFE216" s="426"/>
      <c r="VFF216" s="426"/>
      <c r="VFG216" s="426"/>
      <c r="VFH216" s="426"/>
      <c r="VFI216" s="426"/>
      <c r="VFJ216" s="426"/>
      <c r="VFK216" s="426"/>
      <c r="VFL216" s="426"/>
      <c r="VFM216" s="426"/>
      <c r="VFN216" s="426"/>
      <c r="VFO216" s="426"/>
      <c r="VFP216" s="426"/>
      <c r="VFQ216" s="426"/>
      <c r="VFR216" s="426"/>
      <c r="VFS216" s="426"/>
      <c r="VFT216" s="426"/>
      <c r="VFU216" s="426"/>
      <c r="VFV216" s="426"/>
      <c r="VFW216" s="426"/>
      <c r="VFX216" s="426"/>
      <c r="VFY216" s="426"/>
      <c r="VFZ216" s="426"/>
      <c r="VGA216" s="426"/>
      <c r="VGB216" s="426"/>
      <c r="VGC216" s="426"/>
      <c r="VGD216" s="426"/>
      <c r="VGE216" s="426"/>
      <c r="VGF216" s="426"/>
      <c r="VGG216" s="426"/>
      <c r="VGH216" s="426"/>
      <c r="VGI216" s="426"/>
      <c r="VGJ216" s="426"/>
      <c r="VGK216" s="426"/>
      <c r="VGL216" s="426"/>
      <c r="VGM216" s="426"/>
      <c r="VGN216" s="426"/>
      <c r="VGO216" s="426"/>
      <c r="VGP216" s="426"/>
      <c r="VGQ216" s="426"/>
      <c r="VGR216" s="426"/>
      <c r="VGS216" s="426"/>
      <c r="VGT216" s="426"/>
      <c r="VGU216" s="426"/>
      <c r="VGV216" s="426"/>
      <c r="VGW216" s="426"/>
      <c r="VGX216" s="426"/>
      <c r="VGY216" s="426"/>
      <c r="VGZ216" s="426"/>
      <c r="VHA216" s="426"/>
      <c r="VHB216" s="426"/>
      <c r="VHC216" s="426"/>
      <c r="VHD216" s="426"/>
      <c r="VHE216" s="426"/>
      <c r="VHF216" s="426"/>
      <c r="VHG216" s="426"/>
      <c r="VHH216" s="426"/>
      <c r="VHI216" s="426"/>
      <c r="VHJ216" s="426"/>
      <c r="VHK216" s="426"/>
      <c r="VHL216" s="426"/>
      <c r="VHM216" s="426"/>
      <c r="VHN216" s="426"/>
      <c r="VHO216" s="426"/>
      <c r="VHP216" s="426"/>
      <c r="VHQ216" s="426"/>
      <c r="VHR216" s="426"/>
      <c r="VHS216" s="426"/>
      <c r="VHT216" s="426"/>
      <c r="VHU216" s="426"/>
      <c r="VHV216" s="426"/>
      <c r="VHW216" s="426"/>
      <c r="VHX216" s="426"/>
      <c r="VHY216" s="426"/>
      <c r="VHZ216" s="426"/>
      <c r="VIA216" s="426"/>
      <c r="VIB216" s="426"/>
      <c r="VIC216" s="426"/>
      <c r="VID216" s="426"/>
      <c r="VIE216" s="426"/>
      <c r="VIF216" s="426"/>
      <c r="VIG216" s="426"/>
      <c r="VIH216" s="426"/>
      <c r="VII216" s="426"/>
      <c r="VIJ216" s="426"/>
      <c r="VIK216" s="426"/>
      <c r="VIL216" s="426"/>
      <c r="VIM216" s="426"/>
      <c r="VIN216" s="426"/>
      <c r="VIO216" s="426"/>
      <c r="VIP216" s="426"/>
      <c r="VIQ216" s="426"/>
      <c r="VIR216" s="426"/>
      <c r="VIS216" s="426"/>
      <c r="VIT216" s="426"/>
      <c r="VIU216" s="426"/>
      <c r="VIV216" s="426"/>
      <c r="VIW216" s="426"/>
      <c r="VIX216" s="426"/>
      <c r="VIY216" s="426"/>
      <c r="VIZ216" s="426"/>
      <c r="VJA216" s="426"/>
      <c r="VJB216" s="426"/>
      <c r="VJC216" s="426"/>
      <c r="VJD216" s="426"/>
      <c r="VJE216" s="426"/>
      <c r="VJF216" s="426"/>
      <c r="VJG216" s="426"/>
      <c r="VJH216" s="426"/>
      <c r="VJI216" s="426"/>
      <c r="VJJ216" s="426"/>
      <c r="VJK216" s="426"/>
      <c r="VJL216" s="426"/>
      <c r="VJM216" s="426"/>
      <c r="VJN216" s="426"/>
      <c r="VJO216" s="426"/>
      <c r="VJP216" s="426"/>
      <c r="VJQ216" s="426"/>
      <c r="VJR216" s="426"/>
      <c r="VJS216" s="426"/>
      <c r="VJT216" s="426"/>
      <c r="VJU216" s="426"/>
      <c r="VJV216" s="426"/>
      <c r="VJW216" s="426"/>
      <c r="VJX216" s="426"/>
      <c r="VJY216" s="426"/>
      <c r="VJZ216" s="426"/>
      <c r="VKA216" s="426"/>
      <c r="VKB216" s="426"/>
      <c r="VKC216" s="426"/>
      <c r="VKD216" s="426"/>
      <c r="VKE216" s="426"/>
      <c r="VKF216" s="426"/>
      <c r="VKG216" s="426"/>
      <c r="VKH216" s="426"/>
      <c r="VKI216" s="426"/>
      <c r="VKJ216" s="426"/>
      <c r="VKK216" s="426"/>
      <c r="VKL216" s="426"/>
      <c r="VKM216" s="426"/>
      <c r="VKN216" s="426"/>
      <c r="VKO216" s="426"/>
      <c r="VKP216" s="426"/>
      <c r="VKQ216" s="426"/>
      <c r="VKR216" s="426"/>
      <c r="VKS216" s="426"/>
      <c r="VKT216" s="426"/>
      <c r="VKU216" s="426"/>
      <c r="VKV216" s="426"/>
      <c r="VKW216" s="426"/>
      <c r="VKX216" s="426"/>
      <c r="VKY216" s="426"/>
      <c r="VKZ216" s="426"/>
      <c r="VLA216" s="426"/>
      <c r="VLB216" s="426"/>
      <c r="VLC216" s="426"/>
      <c r="VLD216" s="426"/>
      <c r="VLE216" s="426"/>
      <c r="VLF216" s="426"/>
      <c r="VLG216" s="426"/>
      <c r="VLH216" s="426"/>
      <c r="VLI216" s="426"/>
      <c r="VLJ216" s="426"/>
      <c r="VLK216" s="426"/>
      <c r="VLL216" s="426"/>
      <c r="VLM216" s="426"/>
      <c r="VLN216" s="426"/>
      <c r="VLO216" s="426"/>
      <c r="VLP216" s="426"/>
      <c r="VLQ216" s="426"/>
      <c r="VLR216" s="426"/>
      <c r="VLS216" s="426"/>
      <c r="VLT216" s="426"/>
      <c r="VLU216" s="426"/>
      <c r="VLV216" s="426"/>
      <c r="VLW216" s="426"/>
      <c r="VLX216" s="426"/>
      <c r="VLY216" s="426"/>
      <c r="VLZ216" s="426"/>
      <c r="VMA216" s="426"/>
      <c r="VMB216" s="426"/>
      <c r="VMC216" s="426"/>
      <c r="VMD216" s="426"/>
      <c r="VME216" s="426"/>
      <c r="VMF216" s="426"/>
      <c r="VMG216" s="426"/>
      <c r="VMH216" s="426"/>
      <c r="VMI216" s="426"/>
      <c r="VMJ216" s="426"/>
      <c r="VMK216" s="426"/>
      <c r="VML216" s="426"/>
      <c r="VMM216" s="426"/>
      <c r="VMN216" s="426"/>
      <c r="VMO216" s="426"/>
      <c r="VMP216" s="426"/>
      <c r="VMQ216" s="426"/>
      <c r="VMR216" s="426"/>
      <c r="VMS216" s="426"/>
      <c r="VMT216" s="426"/>
      <c r="VMU216" s="426"/>
      <c r="VMV216" s="426"/>
      <c r="VMW216" s="426"/>
      <c r="VMX216" s="426"/>
      <c r="VMY216" s="426"/>
      <c r="VMZ216" s="426"/>
      <c r="VNA216" s="426"/>
      <c r="VNB216" s="426"/>
      <c r="VNC216" s="426"/>
      <c r="VND216" s="426"/>
      <c r="VNE216" s="426"/>
      <c r="VNF216" s="426"/>
      <c r="VNG216" s="426"/>
      <c r="VNH216" s="426"/>
      <c r="VNI216" s="426"/>
      <c r="VNJ216" s="426"/>
      <c r="VNK216" s="426"/>
      <c r="VNL216" s="426"/>
      <c r="VNM216" s="426"/>
      <c r="VNN216" s="426"/>
      <c r="VNO216" s="426"/>
      <c r="VNP216" s="426"/>
      <c r="VNQ216" s="426"/>
      <c r="VNR216" s="426"/>
      <c r="VNS216" s="426"/>
      <c r="VNT216" s="426"/>
      <c r="VNU216" s="426"/>
      <c r="VNV216" s="426"/>
      <c r="VNW216" s="426"/>
      <c r="VNX216" s="426"/>
      <c r="VNY216" s="426"/>
      <c r="VNZ216" s="426"/>
      <c r="VOA216" s="426"/>
      <c r="VOB216" s="426"/>
      <c r="VOC216" s="426"/>
      <c r="VOD216" s="426"/>
      <c r="VOE216" s="426"/>
      <c r="VOF216" s="426"/>
      <c r="VOG216" s="426"/>
      <c r="VOH216" s="426"/>
      <c r="VOI216" s="426"/>
      <c r="VOJ216" s="426"/>
      <c r="VOK216" s="426"/>
      <c r="VOL216" s="426"/>
      <c r="VOM216" s="426"/>
      <c r="VON216" s="426"/>
      <c r="VOO216" s="426"/>
      <c r="VOP216" s="426"/>
      <c r="VOQ216" s="426"/>
      <c r="VOR216" s="426"/>
      <c r="VOS216" s="426"/>
      <c r="VOT216" s="426"/>
      <c r="VOU216" s="426"/>
      <c r="VOV216" s="426"/>
      <c r="VOW216" s="426"/>
      <c r="VOX216" s="426"/>
      <c r="VOY216" s="426"/>
      <c r="VOZ216" s="426"/>
      <c r="VPA216" s="426"/>
      <c r="VPB216" s="426"/>
      <c r="VPC216" s="426"/>
      <c r="VPD216" s="426"/>
      <c r="VPE216" s="426"/>
      <c r="VPF216" s="426"/>
      <c r="VPG216" s="426"/>
      <c r="VPH216" s="426"/>
      <c r="VPI216" s="426"/>
      <c r="VPJ216" s="426"/>
      <c r="VPK216" s="426"/>
      <c r="VPL216" s="426"/>
      <c r="VPM216" s="426"/>
      <c r="VPN216" s="426"/>
      <c r="VPO216" s="426"/>
      <c r="VPP216" s="426"/>
      <c r="VPQ216" s="426"/>
      <c r="VPR216" s="426"/>
      <c r="VPS216" s="426"/>
      <c r="VPT216" s="426"/>
      <c r="VPU216" s="426"/>
      <c r="VPV216" s="426"/>
      <c r="VPW216" s="426"/>
      <c r="VPX216" s="426"/>
      <c r="VPY216" s="426"/>
      <c r="VPZ216" s="426"/>
      <c r="VQA216" s="426"/>
      <c r="VQB216" s="426"/>
      <c r="VQC216" s="426"/>
      <c r="VQD216" s="426"/>
      <c r="VQE216" s="426"/>
      <c r="VQF216" s="426"/>
      <c r="VQG216" s="426"/>
      <c r="VQH216" s="426"/>
      <c r="VQI216" s="426"/>
      <c r="VQJ216" s="426"/>
      <c r="VQK216" s="426"/>
      <c r="VQL216" s="426"/>
      <c r="VQM216" s="426"/>
      <c r="VQN216" s="426"/>
      <c r="VQO216" s="426"/>
      <c r="VQP216" s="426"/>
      <c r="VQQ216" s="426"/>
      <c r="VQR216" s="426"/>
      <c r="VQS216" s="426"/>
      <c r="VQT216" s="426"/>
      <c r="VQU216" s="426"/>
      <c r="VQV216" s="426"/>
      <c r="VQW216" s="426"/>
      <c r="VQX216" s="426"/>
      <c r="VQY216" s="426"/>
      <c r="VQZ216" s="426"/>
      <c r="VRA216" s="426"/>
      <c r="VRB216" s="426"/>
      <c r="VRC216" s="426"/>
      <c r="VRD216" s="426"/>
      <c r="VRE216" s="426"/>
      <c r="VRF216" s="426"/>
      <c r="VRG216" s="426"/>
      <c r="VRH216" s="426"/>
      <c r="VRI216" s="426"/>
      <c r="VRJ216" s="426"/>
      <c r="VRK216" s="426"/>
      <c r="VRL216" s="426"/>
      <c r="VRM216" s="426"/>
      <c r="VRN216" s="426"/>
      <c r="VRO216" s="426"/>
      <c r="VRP216" s="426"/>
      <c r="VRQ216" s="426"/>
      <c r="VRR216" s="426"/>
      <c r="VRS216" s="426"/>
      <c r="VRT216" s="426"/>
      <c r="VRU216" s="426"/>
      <c r="VRV216" s="426"/>
      <c r="VRW216" s="426"/>
      <c r="VRX216" s="426"/>
      <c r="VRY216" s="426"/>
      <c r="VRZ216" s="426"/>
      <c r="VSA216" s="426"/>
      <c r="VSB216" s="426"/>
      <c r="VSC216" s="426"/>
      <c r="VSD216" s="426"/>
      <c r="VSE216" s="426"/>
      <c r="VSF216" s="426"/>
      <c r="VSG216" s="426"/>
      <c r="VSH216" s="426"/>
      <c r="VSI216" s="426"/>
      <c r="VSJ216" s="426"/>
      <c r="VSK216" s="426"/>
      <c r="VSL216" s="426"/>
      <c r="VSM216" s="426"/>
      <c r="VSN216" s="426"/>
      <c r="VSO216" s="426"/>
      <c r="VSP216" s="426"/>
      <c r="VSQ216" s="426"/>
      <c r="VSR216" s="426"/>
      <c r="VSS216" s="426"/>
      <c r="VST216" s="426"/>
      <c r="VSU216" s="426"/>
      <c r="VSV216" s="426"/>
      <c r="VSW216" s="426"/>
      <c r="VSX216" s="426"/>
      <c r="VSY216" s="426"/>
      <c r="VSZ216" s="426"/>
      <c r="VTA216" s="426"/>
      <c r="VTB216" s="426"/>
      <c r="VTC216" s="426"/>
      <c r="VTD216" s="426"/>
      <c r="VTE216" s="426"/>
      <c r="VTF216" s="426"/>
      <c r="VTG216" s="426"/>
      <c r="VTH216" s="426"/>
      <c r="VTI216" s="426"/>
      <c r="VTJ216" s="426"/>
      <c r="VTK216" s="426"/>
      <c r="VTL216" s="426"/>
      <c r="VTM216" s="426"/>
      <c r="VTN216" s="426"/>
      <c r="VTO216" s="426"/>
      <c r="VTP216" s="426"/>
      <c r="VTQ216" s="426"/>
      <c r="VTR216" s="426"/>
      <c r="VTS216" s="426"/>
      <c r="VTT216" s="426"/>
      <c r="VTU216" s="426"/>
      <c r="VTV216" s="426"/>
      <c r="VTW216" s="426"/>
      <c r="VTX216" s="426"/>
      <c r="VTY216" s="426"/>
      <c r="VTZ216" s="426"/>
      <c r="VUA216" s="426"/>
      <c r="VUB216" s="426"/>
      <c r="VUC216" s="426"/>
      <c r="VUD216" s="426"/>
      <c r="VUE216" s="426"/>
      <c r="VUF216" s="426"/>
      <c r="VUG216" s="426"/>
      <c r="VUH216" s="426"/>
      <c r="VUI216" s="426"/>
      <c r="VUJ216" s="426"/>
      <c r="VUK216" s="426"/>
      <c r="VUL216" s="426"/>
      <c r="VUM216" s="426"/>
      <c r="VUN216" s="426"/>
      <c r="VUO216" s="426"/>
      <c r="VUP216" s="426"/>
      <c r="VUQ216" s="426"/>
      <c r="VUR216" s="426"/>
      <c r="VUS216" s="426"/>
      <c r="VUT216" s="426"/>
      <c r="VUU216" s="426"/>
      <c r="VUV216" s="426"/>
      <c r="VUW216" s="426"/>
      <c r="VUX216" s="426"/>
      <c r="VUY216" s="426"/>
      <c r="VUZ216" s="426"/>
      <c r="VVA216" s="426"/>
      <c r="VVB216" s="426"/>
      <c r="VVC216" s="426"/>
      <c r="VVD216" s="426"/>
      <c r="VVE216" s="426"/>
      <c r="VVF216" s="426"/>
      <c r="VVG216" s="426"/>
      <c r="VVH216" s="426"/>
      <c r="VVI216" s="426"/>
      <c r="VVJ216" s="426"/>
      <c r="VVK216" s="426"/>
      <c r="VVL216" s="426"/>
      <c r="VVM216" s="426"/>
      <c r="VVN216" s="426"/>
      <c r="VVO216" s="426"/>
      <c r="VVP216" s="426"/>
      <c r="VVQ216" s="426"/>
      <c r="VVR216" s="426"/>
      <c r="VVS216" s="426"/>
      <c r="VVT216" s="426"/>
      <c r="VVU216" s="426"/>
      <c r="VVV216" s="426"/>
      <c r="VVW216" s="426"/>
      <c r="VVX216" s="426"/>
      <c r="VVY216" s="426"/>
      <c r="VVZ216" s="426"/>
      <c r="VWA216" s="426"/>
      <c r="VWB216" s="426"/>
      <c r="VWC216" s="426"/>
      <c r="VWD216" s="426"/>
      <c r="VWE216" s="426"/>
      <c r="VWF216" s="426"/>
      <c r="VWG216" s="426"/>
      <c r="VWH216" s="426"/>
      <c r="VWI216" s="426"/>
      <c r="VWJ216" s="426"/>
      <c r="VWK216" s="426"/>
      <c r="VWL216" s="426"/>
      <c r="VWM216" s="426"/>
      <c r="VWN216" s="426"/>
      <c r="VWO216" s="426"/>
      <c r="VWP216" s="426"/>
      <c r="VWQ216" s="426"/>
      <c r="VWR216" s="426"/>
      <c r="VWS216" s="426"/>
      <c r="VWT216" s="426"/>
      <c r="VWU216" s="426"/>
      <c r="VWV216" s="426"/>
      <c r="VWW216" s="426"/>
      <c r="VWX216" s="426"/>
      <c r="VWY216" s="426"/>
      <c r="VWZ216" s="426"/>
      <c r="VXA216" s="426"/>
      <c r="VXB216" s="426"/>
      <c r="VXC216" s="426"/>
      <c r="VXD216" s="426"/>
      <c r="VXE216" s="426"/>
      <c r="VXF216" s="426"/>
      <c r="VXG216" s="426"/>
      <c r="VXH216" s="426"/>
      <c r="VXI216" s="426"/>
      <c r="VXJ216" s="426"/>
      <c r="VXK216" s="426"/>
      <c r="VXL216" s="426"/>
      <c r="VXM216" s="426"/>
      <c r="VXN216" s="426"/>
      <c r="VXO216" s="426"/>
      <c r="VXP216" s="426"/>
      <c r="VXQ216" s="426"/>
      <c r="VXR216" s="426"/>
      <c r="VXS216" s="426"/>
      <c r="VXT216" s="426"/>
      <c r="VXU216" s="426"/>
      <c r="VXV216" s="426"/>
      <c r="VXW216" s="426"/>
      <c r="VXX216" s="426"/>
      <c r="VXY216" s="426"/>
      <c r="VXZ216" s="426"/>
      <c r="VYA216" s="426"/>
      <c r="VYB216" s="426"/>
      <c r="VYC216" s="426"/>
      <c r="VYD216" s="426"/>
      <c r="VYE216" s="426"/>
      <c r="VYF216" s="426"/>
      <c r="VYG216" s="426"/>
      <c r="VYH216" s="426"/>
      <c r="VYI216" s="426"/>
      <c r="VYJ216" s="426"/>
      <c r="VYK216" s="426"/>
      <c r="VYL216" s="426"/>
      <c r="VYM216" s="426"/>
      <c r="VYN216" s="426"/>
      <c r="VYO216" s="426"/>
      <c r="VYP216" s="426"/>
      <c r="VYQ216" s="426"/>
      <c r="VYR216" s="426"/>
      <c r="VYS216" s="426"/>
      <c r="VYT216" s="426"/>
      <c r="VYU216" s="426"/>
      <c r="VYV216" s="426"/>
      <c r="VYW216" s="426"/>
      <c r="VYX216" s="426"/>
      <c r="VYY216" s="426"/>
      <c r="VYZ216" s="426"/>
      <c r="VZA216" s="426"/>
      <c r="VZB216" s="426"/>
      <c r="VZC216" s="426"/>
      <c r="VZD216" s="426"/>
      <c r="VZE216" s="426"/>
      <c r="VZF216" s="426"/>
      <c r="VZG216" s="426"/>
      <c r="VZH216" s="426"/>
      <c r="VZI216" s="426"/>
      <c r="VZJ216" s="426"/>
      <c r="VZK216" s="426"/>
      <c r="VZL216" s="426"/>
      <c r="VZM216" s="426"/>
      <c r="VZN216" s="426"/>
      <c r="VZO216" s="426"/>
      <c r="VZP216" s="426"/>
      <c r="VZQ216" s="426"/>
      <c r="VZR216" s="426"/>
      <c r="VZS216" s="426"/>
      <c r="VZT216" s="426"/>
      <c r="VZU216" s="426"/>
      <c r="VZV216" s="426"/>
      <c r="VZW216" s="426"/>
      <c r="VZX216" s="426"/>
      <c r="VZY216" s="426"/>
      <c r="VZZ216" s="426"/>
      <c r="WAA216" s="426"/>
      <c r="WAB216" s="426"/>
      <c r="WAC216" s="426"/>
      <c r="WAD216" s="426"/>
      <c r="WAE216" s="426"/>
      <c r="WAF216" s="426"/>
      <c r="WAG216" s="426"/>
      <c r="WAH216" s="426"/>
      <c r="WAI216" s="426"/>
      <c r="WAJ216" s="426"/>
      <c r="WAK216" s="426"/>
      <c r="WAL216" s="426"/>
      <c r="WAM216" s="426"/>
      <c r="WAN216" s="426"/>
      <c r="WAO216" s="426"/>
      <c r="WAP216" s="426"/>
      <c r="WAQ216" s="426"/>
      <c r="WAR216" s="426"/>
      <c r="WAS216" s="426"/>
      <c r="WAT216" s="426"/>
      <c r="WAU216" s="426"/>
      <c r="WAV216" s="426"/>
      <c r="WAW216" s="426"/>
      <c r="WAX216" s="426"/>
      <c r="WAY216" s="426"/>
      <c r="WAZ216" s="426"/>
      <c r="WBA216" s="426"/>
      <c r="WBB216" s="426"/>
      <c r="WBC216" s="426"/>
      <c r="WBD216" s="426"/>
      <c r="WBE216" s="426"/>
      <c r="WBF216" s="426"/>
      <c r="WBG216" s="426"/>
      <c r="WBH216" s="426"/>
      <c r="WBI216" s="426"/>
      <c r="WBJ216" s="426"/>
      <c r="WBK216" s="426"/>
      <c r="WBL216" s="426"/>
      <c r="WBM216" s="426"/>
      <c r="WBN216" s="426"/>
      <c r="WBO216" s="426"/>
      <c r="WBP216" s="426"/>
      <c r="WBQ216" s="426"/>
      <c r="WBR216" s="426"/>
      <c r="WBS216" s="426"/>
      <c r="WBT216" s="426"/>
      <c r="WBU216" s="426"/>
      <c r="WBV216" s="426"/>
      <c r="WBW216" s="426"/>
      <c r="WBX216" s="426"/>
      <c r="WBY216" s="426"/>
      <c r="WBZ216" s="426"/>
      <c r="WCA216" s="426"/>
      <c r="WCB216" s="426"/>
      <c r="WCC216" s="426"/>
      <c r="WCD216" s="426"/>
      <c r="WCE216" s="426"/>
      <c r="WCF216" s="426"/>
      <c r="WCG216" s="426"/>
      <c r="WCH216" s="426"/>
      <c r="WCI216" s="426"/>
      <c r="WCJ216" s="426"/>
      <c r="WCK216" s="426"/>
      <c r="WCL216" s="426"/>
      <c r="WCM216" s="426"/>
      <c r="WCN216" s="426"/>
      <c r="WCO216" s="426"/>
      <c r="WCP216" s="426"/>
      <c r="WCQ216" s="426"/>
      <c r="WCR216" s="426"/>
      <c r="WCS216" s="426"/>
      <c r="WCT216" s="426"/>
      <c r="WCU216" s="426"/>
      <c r="WCV216" s="426"/>
      <c r="WCW216" s="426"/>
      <c r="WCX216" s="426"/>
      <c r="WCY216" s="426"/>
      <c r="WCZ216" s="426"/>
      <c r="WDA216" s="426"/>
      <c r="WDB216" s="426"/>
      <c r="WDC216" s="426"/>
      <c r="WDD216" s="426"/>
      <c r="WDE216" s="426"/>
      <c r="WDF216" s="426"/>
      <c r="WDG216" s="426"/>
      <c r="WDH216" s="426"/>
      <c r="WDI216" s="426"/>
      <c r="WDJ216" s="426"/>
      <c r="WDK216" s="426"/>
      <c r="WDL216" s="426"/>
      <c r="WDM216" s="426"/>
      <c r="WDN216" s="426"/>
      <c r="WDO216" s="426"/>
      <c r="WDP216" s="426"/>
      <c r="WDQ216" s="426"/>
      <c r="WDR216" s="426"/>
      <c r="WDS216" s="426"/>
      <c r="WDT216" s="426"/>
      <c r="WDU216" s="426"/>
      <c r="WDV216" s="426"/>
      <c r="WDW216" s="426"/>
      <c r="WDX216" s="426"/>
      <c r="WDY216" s="426"/>
      <c r="WDZ216" s="426"/>
      <c r="WEA216" s="426"/>
      <c r="WEB216" s="426"/>
      <c r="WEC216" s="426"/>
      <c r="WED216" s="426"/>
      <c r="WEE216" s="426"/>
      <c r="WEF216" s="426"/>
      <c r="WEG216" s="426"/>
      <c r="WEH216" s="426"/>
      <c r="WEI216" s="426"/>
      <c r="WEJ216" s="426"/>
      <c r="WEK216" s="426"/>
      <c r="WEL216" s="426"/>
      <c r="WEM216" s="426"/>
      <c r="WEN216" s="426"/>
      <c r="WEO216" s="426"/>
      <c r="WEP216" s="426"/>
      <c r="WEQ216" s="426"/>
      <c r="WER216" s="426"/>
      <c r="WES216" s="426"/>
      <c r="WET216" s="426"/>
      <c r="WEU216" s="426"/>
      <c r="WEV216" s="426"/>
      <c r="WEW216" s="426"/>
      <c r="WEX216" s="426"/>
      <c r="WEY216" s="426"/>
      <c r="WEZ216" s="426"/>
      <c r="WFA216" s="426"/>
      <c r="WFB216" s="426"/>
      <c r="WFC216" s="426"/>
      <c r="WFD216" s="426"/>
      <c r="WFE216" s="426"/>
      <c r="WFF216" s="426"/>
      <c r="WFG216" s="426"/>
      <c r="WFH216" s="426"/>
      <c r="WFI216" s="426"/>
      <c r="WFJ216" s="426"/>
      <c r="WFK216" s="426"/>
      <c r="WFL216" s="426"/>
      <c r="WFM216" s="426"/>
      <c r="WFN216" s="426"/>
      <c r="WFO216" s="426"/>
      <c r="WFP216" s="426"/>
      <c r="WFQ216" s="426"/>
      <c r="WFR216" s="426"/>
      <c r="WFS216" s="426"/>
      <c r="WFT216" s="426"/>
      <c r="WFU216" s="426"/>
      <c r="WFV216" s="426"/>
      <c r="WFW216" s="426"/>
      <c r="WFX216" s="426"/>
      <c r="WFY216" s="426"/>
      <c r="WFZ216" s="426"/>
      <c r="WGA216" s="426"/>
      <c r="WGB216" s="426"/>
      <c r="WGC216" s="426"/>
      <c r="WGD216" s="426"/>
      <c r="WGE216" s="426"/>
      <c r="WGF216" s="426"/>
      <c r="WGG216" s="426"/>
      <c r="WGH216" s="426"/>
      <c r="WGI216" s="426"/>
      <c r="WGJ216" s="426"/>
      <c r="WGK216" s="426"/>
      <c r="WGL216" s="426"/>
      <c r="WGM216" s="426"/>
      <c r="WGN216" s="426"/>
      <c r="WGO216" s="426"/>
      <c r="WGP216" s="426"/>
      <c r="WGQ216" s="426"/>
      <c r="WGR216" s="426"/>
      <c r="WGS216" s="426"/>
      <c r="WGT216" s="426"/>
      <c r="WGU216" s="426"/>
      <c r="WGV216" s="426"/>
      <c r="WGW216" s="426"/>
      <c r="WGX216" s="426"/>
      <c r="WGY216" s="426"/>
      <c r="WGZ216" s="426"/>
      <c r="WHA216" s="426"/>
      <c r="WHB216" s="426"/>
      <c r="WHC216" s="426"/>
      <c r="WHD216" s="426"/>
      <c r="WHE216" s="426"/>
      <c r="WHF216" s="426"/>
      <c r="WHG216" s="426"/>
      <c r="WHH216" s="426"/>
      <c r="WHI216" s="426"/>
      <c r="WHJ216" s="426"/>
      <c r="WHK216" s="426"/>
      <c r="WHL216" s="426"/>
      <c r="WHM216" s="426"/>
      <c r="WHN216" s="426"/>
      <c r="WHO216" s="426"/>
      <c r="WHP216" s="426"/>
      <c r="WHQ216" s="426"/>
      <c r="WHR216" s="426"/>
      <c r="WHS216" s="426"/>
      <c r="WHT216" s="426"/>
      <c r="WHU216" s="426"/>
      <c r="WHV216" s="426"/>
      <c r="WHW216" s="426"/>
      <c r="WHX216" s="426"/>
      <c r="WHY216" s="426"/>
      <c r="WHZ216" s="426"/>
      <c r="WIA216" s="426"/>
      <c r="WIB216" s="426"/>
      <c r="WIC216" s="426"/>
      <c r="WID216" s="426"/>
      <c r="WIE216" s="426"/>
      <c r="WIF216" s="426"/>
      <c r="WIG216" s="426"/>
      <c r="WIH216" s="426"/>
      <c r="WII216" s="426"/>
      <c r="WIJ216" s="426"/>
      <c r="WIK216" s="426"/>
      <c r="WIL216" s="426"/>
      <c r="WIM216" s="426"/>
      <c r="WIN216" s="426"/>
      <c r="WIO216" s="426"/>
      <c r="WIP216" s="426"/>
      <c r="WIQ216" s="426"/>
      <c r="WIR216" s="426"/>
      <c r="WIS216" s="426"/>
      <c r="WIT216" s="426"/>
      <c r="WIU216" s="426"/>
      <c r="WIV216" s="426"/>
      <c r="WIW216" s="426"/>
      <c r="WIX216" s="426"/>
      <c r="WIY216" s="426"/>
      <c r="WIZ216" s="426"/>
      <c r="WJA216" s="426"/>
      <c r="WJB216" s="426"/>
      <c r="WJC216" s="426"/>
      <c r="WJD216" s="426"/>
      <c r="WJE216" s="426"/>
      <c r="WJF216" s="426"/>
      <c r="WJG216" s="426"/>
      <c r="WJH216" s="426"/>
      <c r="WJI216" s="426"/>
      <c r="WJJ216" s="426"/>
      <c r="WJK216" s="426"/>
      <c r="WJL216" s="426"/>
      <c r="WJM216" s="426"/>
      <c r="WJN216" s="426"/>
      <c r="WJO216" s="426"/>
      <c r="WJP216" s="426"/>
      <c r="WJQ216" s="426"/>
      <c r="WJR216" s="426"/>
      <c r="WJS216" s="426"/>
      <c r="WJT216" s="426"/>
      <c r="WJU216" s="426"/>
      <c r="WJV216" s="426"/>
      <c r="WJW216" s="426"/>
      <c r="WJX216" s="426"/>
      <c r="WJY216" s="426"/>
      <c r="WJZ216" s="426"/>
      <c r="WKA216" s="426"/>
      <c r="WKB216" s="426"/>
      <c r="WKC216" s="426"/>
      <c r="WKD216" s="426"/>
      <c r="WKE216" s="426"/>
      <c r="WKF216" s="426"/>
      <c r="WKG216" s="426"/>
      <c r="WKH216" s="426"/>
      <c r="WKI216" s="426"/>
      <c r="WKJ216" s="426"/>
      <c r="WKK216" s="426"/>
      <c r="WKL216" s="426"/>
      <c r="WKM216" s="426"/>
      <c r="WKN216" s="426"/>
      <c r="WKO216" s="426"/>
      <c r="WKP216" s="426"/>
      <c r="WKQ216" s="426"/>
      <c r="WKR216" s="426"/>
      <c r="WKS216" s="426"/>
      <c r="WKT216" s="426"/>
      <c r="WKU216" s="426"/>
      <c r="WKV216" s="426"/>
      <c r="WKW216" s="426"/>
      <c r="WKX216" s="426"/>
      <c r="WKY216" s="426"/>
      <c r="WKZ216" s="426"/>
      <c r="WLA216" s="426"/>
      <c r="WLB216" s="426"/>
      <c r="WLC216" s="426"/>
      <c r="WLD216" s="426"/>
      <c r="WLE216" s="426"/>
      <c r="WLF216" s="426"/>
      <c r="WLG216" s="426"/>
      <c r="WLH216" s="426"/>
      <c r="WLI216" s="426"/>
      <c r="WLJ216" s="426"/>
      <c r="WLK216" s="426"/>
      <c r="WLL216" s="426"/>
      <c r="WLM216" s="426"/>
      <c r="WLN216" s="426"/>
      <c r="WLO216" s="426"/>
      <c r="WLP216" s="426"/>
      <c r="WLQ216" s="426"/>
      <c r="WLR216" s="426"/>
      <c r="WLS216" s="426"/>
      <c r="WLT216" s="426"/>
      <c r="WLU216" s="426"/>
      <c r="WLV216" s="426"/>
      <c r="WLW216" s="426"/>
      <c r="WLX216" s="426"/>
      <c r="WLY216" s="426"/>
      <c r="WLZ216" s="426"/>
      <c r="WMA216" s="426"/>
      <c r="WMB216" s="426"/>
      <c r="WMC216" s="426"/>
      <c r="WMD216" s="426"/>
      <c r="WME216" s="426"/>
      <c r="WMF216" s="426"/>
      <c r="WMG216" s="426"/>
      <c r="WMH216" s="426"/>
      <c r="WMI216" s="426"/>
      <c r="WMJ216" s="426"/>
      <c r="WMK216" s="426"/>
      <c r="WML216" s="426"/>
      <c r="WMM216" s="426"/>
      <c r="WMN216" s="426"/>
      <c r="WMO216" s="426"/>
      <c r="WMP216" s="426"/>
      <c r="WMQ216" s="426"/>
      <c r="WMR216" s="426"/>
      <c r="WMS216" s="426"/>
      <c r="WMT216" s="426"/>
      <c r="WMU216" s="426"/>
      <c r="WMV216" s="426"/>
      <c r="WMW216" s="426"/>
      <c r="WMX216" s="426"/>
      <c r="WMY216" s="426"/>
      <c r="WMZ216" s="426"/>
      <c r="WNA216" s="426"/>
      <c r="WNB216" s="426"/>
      <c r="WNC216" s="426"/>
      <c r="WND216" s="426"/>
      <c r="WNE216" s="426"/>
      <c r="WNF216" s="426"/>
      <c r="WNG216" s="426"/>
      <c r="WNH216" s="426"/>
      <c r="WNI216" s="426"/>
      <c r="WNJ216" s="426"/>
      <c r="WNK216" s="426"/>
      <c r="WNL216" s="426"/>
      <c r="WNM216" s="426"/>
      <c r="WNN216" s="426"/>
      <c r="WNO216" s="426"/>
      <c r="WNP216" s="426"/>
      <c r="WNQ216" s="426"/>
      <c r="WNR216" s="426"/>
      <c r="WNS216" s="426"/>
      <c r="WNT216" s="426"/>
      <c r="WNU216" s="426"/>
      <c r="WNV216" s="426"/>
      <c r="WNW216" s="426"/>
      <c r="WNX216" s="426"/>
      <c r="WNY216" s="426"/>
      <c r="WNZ216" s="426"/>
      <c r="WOA216" s="426"/>
      <c r="WOB216" s="426"/>
      <c r="WOC216" s="426"/>
      <c r="WOD216" s="426"/>
      <c r="WOE216" s="426"/>
      <c r="WOF216" s="426"/>
      <c r="WOG216" s="426"/>
      <c r="WOH216" s="426"/>
      <c r="WOI216" s="426"/>
      <c r="WOJ216" s="426"/>
      <c r="WOK216" s="426"/>
      <c r="WOL216" s="426"/>
      <c r="WOM216" s="426"/>
      <c r="WON216" s="426"/>
      <c r="WOO216" s="426"/>
      <c r="WOP216" s="426"/>
      <c r="WOQ216" s="426"/>
      <c r="WOR216" s="426"/>
      <c r="WOS216" s="426"/>
      <c r="WOT216" s="426"/>
      <c r="WOU216" s="426"/>
      <c r="WOV216" s="426"/>
      <c r="WOW216" s="426"/>
      <c r="WOX216" s="426"/>
      <c r="WOY216" s="426"/>
      <c r="WOZ216" s="426"/>
      <c r="WPA216" s="426"/>
      <c r="WPB216" s="426"/>
      <c r="WPC216" s="426"/>
      <c r="WPD216" s="426"/>
      <c r="WPE216" s="426"/>
      <c r="WPF216" s="426"/>
      <c r="WPG216" s="426"/>
      <c r="WPH216" s="426"/>
      <c r="WPI216" s="426"/>
      <c r="WPJ216" s="426"/>
      <c r="WPK216" s="426"/>
      <c r="WPL216" s="426"/>
      <c r="WPM216" s="426"/>
      <c r="WPN216" s="426"/>
      <c r="WPO216" s="426"/>
      <c r="WPP216" s="426"/>
      <c r="WPQ216" s="426"/>
      <c r="WPR216" s="426"/>
      <c r="WPS216" s="426"/>
      <c r="WPT216" s="426"/>
      <c r="WPU216" s="426"/>
      <c r="WPV216" s="426"/>
      <c r="WPW216" s="426"/>
      <c r="WPX216" s="426"/>
      <c r="WPY216" s="426"/>
      <c r="WPZ216" s="426"/>
      <c r="WQA216" s="426"/>
      <c r="WQB216" s="426"/>
      <c r="WQC216" s="426"/>
      <c r="WQD216" s="426"/>
      <c r="WQE216" s="426"/>
      <c r="WQF216" s="426"/>
      <c r="WQG216" s="426"/>
      <c r="WQH216" s="426"/>
      <c r="WQI216" s="426"/>
      <c r="WQJ216" s="426"/>
      <c r="WQK216" s="426"/>
      <c r="WQL216" s="426"/>
      <c r="WQM216" s="426"/>
      <c r="WQN216" s="426"/>
      <c r="WQO216" s="426"/>
      <c r="WQP216" s="426"/>
      <c r="WQQ216" s="426"/>
      <c r="WQR216" s="426"/>
      <c r="WQS216" s="426"/>
      <c r="WQT216" s="426"/>
      <c r="WQU216" s="426"/>
      <c r="WQV216" s="426"/>
      <c r="WQW216" s="426"/>
      <c r="WQX216" s="426"/>
      <c r="WQY216" s="426"/>
      <c r="WQZ216" s="426"/>
      <c r="WRA216" s="426"/>
      <c r="WRB216" s="426"/>
      <c r="WRC216" s="426"/>
      <c r="WRD216" s="426"/>
      <c r="WRE216" s="426"/>
      <c r="WRF216" s="426"/>
      <c r="WRG216" s="426"/>
      <c r="WRH216" s="426"/>
      <c r="WRI216" s="426"/>
      <c r="WRJ216" s="426"/>
      <c r="WRK216" s="426"/>
      <c r="WRL216" s="426"/>
      <c r="WRM216" s="426"/>
      <c r="WRN216" s="426"/>
      <c r="WRO216" s="426"/>
      <c r="WRP216" s="426"/>
      <c r="WRQ216" s="426"/>
      <c r="WRR216" s="426"/>
      <c r="WRS216" s="426"/>
      <c r="WRT216" s="426"/>
      <c r="WRU216" s="426"/>
      <c r="WRV216" s="426"/>
      <c r="WRW216" s="426"/>
      <c r="WRX216" s="426"/>
      <c r="WRY216" s="426"/>
      <c r="WRZ216" s="426"/>
      <c r="WSA216" s="426"/>
      <c r="WSB216" s="426"/>
      <c r="WSC216" s="426"/>
      <c r="WSD216" s="426"/>
      <c r="WSE216" s="426"/>
      <c r="WSF216" s="426"/>
      <c r="WSG216" s="426"/>
      <c r="WSH216" s="426"/>
      <c r="WSI216" s="426"/>
      <c r="WSJ216" s="426"/>
      <c r="WSK216" s="426"/>
      <c r="WSL216" s="426"/>
      <c r="WSM216" s="426"/>
      <c r="WSN216" s="426"/>
      <c r="WSO216" s="426"/>
      <c r="WSP216" s="426"/>
      <c r="WSQ216" s="426"/>
      <c r="WSR216" s="426"/>
      <c r="WSS216" s="426"/>
      <c r="WST216" s="426"/>
      <c r="WSU216" s="426"/>
      <c r="WSV216" s="426"/>
      <c r="WSW216" s="426"/>
      <c r="WSX216" s="426"/>
      <c r="WSY216" s="426"/>
      <c r="WSZ216" s="426"/>
      <c r="WTA216" s="426"/>
      <c r="WTB216" s="426"/>
      <c r="WTC216" s="426"/>
      <c r="WTD216" s="426"/>
      <c r="WTE216" s="426"/>
      <c r="WTF216" s="426"/>
      <c r="WTG216" s="426"/>
      <c r="WTH216" s="426"/>
      <c r="WTI216" s="426"/>
      <c r="WTJ216" s="426"/>
      <c r="WTK216" s="426"/>
      <c r="WTL216" s="426"/>
      <c r="WTM216" s="426"/>
      <c r="WTN216" s="426"/>
      <c r="WTO216" s="426"/>
      <c r="WTP216" s="426"/>
      <c r="WTQ216" s="426"/>
      <c r="WTR216" s="426"/>
      <c r="WTS216" s="426"/>
      <c r="WTT216" s="426"/>
      <c r="WTU216" s="426"/>
      <c r="WTV216" s="426"/>
      <c r="WTW216" s="426"/>
      <c r="WTX216" s="426"/>
      <c r="WTY216" s="426"/>
      <c r="WTZ216" s="426"/>
      <c r="WUA216" s="426"/>
      <c r="WUB216" s="426"/>
      <c r="WUC216" s="426"/>
      <c r="WUD216" s="426"/>
      <c r="WUE216" s="426"/>
      <c r="WUF216" s="426"/>
      <c r="WUG216" s="426"/>
      <c r="WUH216" s="426"/>
      <c r="WUI216" s="426"/>
      <c r="WUJ216" s="426"/>
      <c r="WUK216" s="426"/>
      <c r="WUL216" s="426"/>
      <c r="WUM216" s="426"/>
      <c r="WUN216" s="426"/>
      <c r="WUO216" s="426"/>
      <c r="WUP216" s="426"/>
      <c r="WUQ216" s="426"/>
      <c r="WUR216" s="426"/>
      <c r="WUS216" s="426"/>
      <c r="WUT216" s="426"/>
      <c r="WUU216" s="426"/>
      <c r="WUV216" s="426"/>
      <c r="WUW216" s="426"/>
      <c r="WUX216" s="426"/>
      <c r="WUY216" s="426"/>
      <c r="WUZ216" s="426"/>
      <c r="WVA216" s="426"/>
      <c r="WVB216" s="426"/>
      <c r="WVC216" s="426"/>
      <c r="WVD216" s="426"/>
      <c r="WVE216" s="426"/>
      <c r="WVF216" s="426"/>
      <c r="WVG216" s="426"/>
      <c r="WVH216" s="426"/>
      <c r="WVI216" s="426"/>
      <c r="WVJ216" s="426"/>
      <c r="WVK216" s="426"/>
      <c r="WVL216" s="426"/>
      <c r="WVM216" s="426"/>
      <c r="WVN216" s="426"/>
      <c r="WVO216" s="426"/>
      <c r="WVP216" s="426"/>
      <c r="WVQ216" s="426"/>
      <c r="WVR216" s="426"/>
      <c r="WVS216" s="426"/>
      <c r="WVT216" s="426"/>
      <c r="WVU216" s="426"/>
      <c r="WVV216" s="426"/>
      <c r="WVW216" s="426"/>
      <c r="WVX216" s="426"/>
      <c r="WVY216" s="426"/>
      <c r="WVZ216" s="426"/>
      <c r="WWA216" s="426"/>
      <c r="WWB216" s="426"/>
      <c r="WWC216" s="426"/>
      <c r="WWD216" s="426"/>
      <c r="WWE216" s="426"/>
      <c r="WWF216" s="426"/>
      <c r="WWG216" s="426"/>
      <c r="WWH216" s="426"/>
      <c r="WWI216" s="426"/>
      <c r="WWJ216" s="426"/>
      <c r="WWK216" s="426"/>
      <c r="WWL216" s="426"/>
      <c r="WWM216" s="426"/>
      <c r="WWN216" s="426"/>
      <c r="WWO216" s="426"/>
      <c r="WWP216" s="426"/>
      <c r="WWQ216" s="426"/>
      <c r="WWR216" s="426"/>
      <c r="WWS216" s="426"/>
      <c r="WWT216" s="426"/>
      <c r="WWU216" s="426"/>
      <c r="WWV216" s="426"/>
      <c r="WWW216" s="426"/>
      <c r="WWX216" s="426"/>
      <c r="WWY216" s="426"/>
      <c r="WWZ216" s="426"/>
      <c r="WXA216" s="426"/>
      <c r="WXB216" s="426"/>
      <c r="WXC216" s="426"/>
      <c r="WXD216" s="426"/>
      <c r="WXE216" s="426"/>
      <c r="WXF216" s="426"/>
      <c r="WXG216" s="426"/>
      <c r="WXH216" s="426"/>
      <c r="WXI216" s="426"/>
      <c r="WXJ216" s="426"/>
      <c r="WXK216" s="426"/>
      <c r="WXL216" s="426"/>
      <c r="WXM216" s="426"/>
      <c r="WXN216" s="426"/>
      <c r="WXO216" s="426"/>
      <c r="WXP216" s="426"/>
      <c r="WXQ216" s="426"/>
      <c r="WXR216" s="426"/>
      <c r="WXS216" s="426"/>
      <c r="WXT216" s="426"/>
      <c r="WXU216" s="426"/>
      <c r="WXV216" s="426"/>
      <c r="WXW216" s="426"/>
      <c r="WXX216" s="426"/>
      <c r="WXY216" s="426"/>
      <c r="WXZ216" s="426"/>
      <c r="WYA216" s="426"/>
      <c r="WYB216" s="426"/>
      <c r="WYC216" s="426"/>
      <c r="WYD216" s="426"/>
      <c r="WYE216" s="426"/>
      <c r="WYF216" s="426"/>
      <c r="WYG216" s="426"/>
      <c r="WYH216" s="426"/>
      <c r="WYI216" s="426"/>
      <c r="WYJ216" s="426"/>
      <c r="WYK216" s="426"/>
      <c r="WYL216" s="426"/>
      <c r="WYM216" s="426"/>
      <c r="WYN216" s="426"/>
      <c r="WYO216" s="426"/>
      <c r="WYP216" s="426"/>
      <c r="WYQ216" s="426"/>
      <c r="WYR216" s="426"/>
      <c r="WYS216" s="426"/>
      <c r="WYT216" s="426"/>
      <c r="WYU216" s="426"/>
      <c r="WYV216" s="426"/>
      <c r="WYW216" s="426"/>
      <c r="WYX216" s="426"/>
      <c r="WYY216" s="426"/>
      <c r="WYZ216" s="426"/>
      <c r="WZA216" s="426"/>
      <c r="WZB216" s="426"/>
      <c r="WZC216" s="426"/>
      <c r="WZD216" s="426"/>
      <c r="WZE216" s="426"/>
      <c r="WZF216" s="426"/>
      <c r="WZG216" s="426"/>
      <c r="WZH216" s="426"/>
      <c r="WZI216" s="426"/>
      <c r="WZJ216" s="426"/>
      <c r="WZK216" s="426"/>
      <c r="WZL216" s="426"/>
      <c r="WZM216" s="426"/>
      <c r="WZN216" s="426"/>
      <c r="WZO216" s="426"/>
      <c r="WZP216" s="426"/>
      <c r="WZQ216" s="426"/>
      <c r="WZR216" s="426"/>
      <c r="WZS216" s="426"/>
      <c r="WZT216" s="426"/>
      <c r="WZU216" s="426"/>
      <c r="WZV216" s="426"/>
      <c r="WZW216" s="426"/>
      <c r="WZX216" s="426"/>
      <c r="WZY216" s="426"/>
      <c r="WZZ216" s="426"/>
      <c r="XAA216" s="426"/>
      <c r="XAB216" s="426"/>
      <c r="XAC216" s="426"/>
      <c r="XAD216" s="426"/>
      <c r="XAE216" s="426"/>
      <c r="XAF216" s="426"/>
      <c r="XAG216" s="426"/>
      <c r="XAH216" s="426"/>
      <c r="XAI216" s="426"/>
      <c r="XAJ216" s="426"/>
      <c r="XAK216" s="426"/>
      <c r="XAL216" s="426"/>
      <c r="XAM216" s="426"/>
      <c r="XAN216" s="426"/>
      <c r="XAO216" s="426"/>
      <c r="XAP216" s="426"/>
      <c r="XAQ216" s="426"/>
      <c r="XAR216" s="426"/>
      <c r="XAS216" s="426"/>
      <c r="XAT216" s="426"/>
      <c r="XAU216" s="426"/>
      <c r="XAV216" s="426"/>
      <c r="XAW216" s="426"/>
      <c r="XAX216" s="426"/>
      <c r="XAY216" s="426"/>
      <c r="XAZ216" s="426"/>
      <c r="XBA216" s="426"/>
      <c r="XBB216" s="426"/>
      <c r="XBC216" s="426"/>
      <c r="XBD216" s="426"/>
      <c r="XBE216" s="426"/>
      <c r="XBF216" s="426"/>
      <c r="XBG216" s="426"/>
      <c r="XBH216" s="426"/>
      <c r="XBI216" s="426"/>
      <c r="XBJ216" s="426"/>
      <c r="XBK216" s="426"/>
      <c r="XBL216" s="426"/>
      <c r="XBM216" s="426"/>
      <c r="XBN216" s="426"/>
      <c r="XBO216" s="426"/>
      <c r="XBP216" s="426"/>
      <c r="XBQ216" s="426"/>
      <c r="XBR216" s="426"/>
      <c r="XBS216" s="426"/>
      <c r="XBT216" s="426"/>
      <c r="XBU216" s="426"/>
      <c r="XBV216" s="426"/>
      <c r="XBW216" s="426"/>
      <c r="XBX216" s="426"/>
      <c r="XBY216" s="426"/>
      <c r="XBZ216" s="426"/>
      <c r="XCA216" s="426"/>
      <c r="XCB216" s="426"/>
      <c r="XCC216" s="426"/>
      <c r="XCD216" s="426"/>
      <c r="XCE216" s="426"/>
      <c r="XCF216" s="426"/>
      <c r="XCG216" s="426"/>
      <c r="XCH216" s="426"/>
      <c r="XCI216" s="426"/>
      <c r="XCJ216" s="426"/>
      <c r="XCK216" s="426"/>
      <c r="XCL216" s="426"/>
      <c r="XCM216" s="426"/>
      <c r="XCN216" s="426"/>
      <c r="XCO216" s="426"/>
      <c r="XCP216" s="426"/>
      <c r="XCQ216" s="426"/>
      <c r="XCR216" s="426"/>
      <c r="XCS216" s="426"/>
      <c r="XCT216" s="426"/>
      <c r="XCU216" s="426"/>
      <c r="XCV216" s="426"/>
      <c r="XCW216" s="426"/>
      <c r="XCX216" s="426"/>
      <c r="XCY216" s="426"/>
      <c r="XCZ216" s="426"/>
      <c r="XDA216" s="426"/>
      <c r="XDB216" s="426"/>
      <c r="XDC216" s="426"/>
      <c r="XDD216" s="426"/>
      <c r="XDE216" s="426"/>
      <c r="XDF216" s="426"/>
      <c r="XDG216" s="426"/>
      <c r="XDH216" s="426"/>
      <c r="XDI216" s="426"/>
      <c r="XDJ216" s="426"/>
      <c r="XDK216" s="426"/>
      <c r="XDL216" s="426"/>
      <c r="XDM216" s="426"/>
      <c r="XDN216" s="426"/>
      <c r="XDO216" s="426"/>
      <c r="XDP216" s="426"/>
      <c r="XDQ216" s="426"/>
      <c r="XDR216" s="426"/>
      <c r="XDS216" s="426"/>
      <c r="XDT216" s="426"/>
      <c r="XDU216" s="426"/>
      <c r="XDV216" s="426"/>
      <c r="XDW216" s="426"/>
      <c r="XDX216" s="426"/>
      <c r="XDY216" s="426"/>
      <c r="XDZ216" s="426"/>
      <c r="XEA216" s="426"/>
      <c r="XEB216" s="426"/>
      <c r="XEC216" s="426"/>
      <c r="XED216" s="426"/>
      <c r="XEE216" s="426"/>
      <c r="XEF216" s="426"/>
      <c r="XEG216" s="426"/>
      <c r="XEH216" s="426"/>
      <c r="XEI216" s="426"/>
      <c r="XEJ216" s="426"/>
      <c r="XEK216" s="426"/>
      <c r="XEL216" s="426"/>
      <c r="XEM216" s="426"/>
      <c r="XEN216" s="426"/>
      <c r="XEO216" s="426"/>
      <c r="XEP216" s="426"/>
      <c r="XEQ216" s="426"/>
      <c r="XER216" s="426"/>
      <c r="XES216" s="426"/>
      <c r="XET216" s="426"/>
      <c r="XEU216" s="426"/>
      <c r="XEV216" s="426"/>
      <c r="XEW216" s="426"/>
      <c r="XEX216" s="426"/>
      <c r="XEY216" s="426"/>
      <c r="XEZ216" s="426"/>
      <c r="XFA216" s="426"/>
      <c r="XFB216" s="426"/>
      <c r="XFC216" s="426"/>
      <c r="XFD216" s="426"/>
    </row>
    <row r="217" spans="3:61 14290:16384" x14ac:dyDescent="0.25">
      <c r="C217" s="446" t="s">
        <v>1739</v>
      </c>
      <c r="D217" s="1097" t="s">
        <v>47</v>
      </c>
      <c r="E217" s="426">
        <v>1</v>
      </c>
      <c r="F217" s="573"/>
      <c r="G217" s="574"/>
      <c r="H217" s="575"/>
      <c r="I217" s="576"/>
      <c r="J217" s="526"/>
      <c r="K217" s="447"/>
      <c r="L217" s="527"/>
      <c r="M217" s="528"/>
      <c r="N217" s="453"/>
      <c r="O217" s="527"/>
      <c r="P217" s="528"/>
      <c r="Q217" s="524"/>
      <c r="R217" s="448"/>
      <c r="S217" s="448"/>
      <c r="T217" s="449"/>
      <c r="U217" s="524"/>
      <c r="V217" s="448"/>
      <c r="W217" s="448"/>
      <c r="X217" s="450"/>
      <c r="Y217" s="450"/>
      <c r="Z217" s="533"/>
      <c r="AA217" s="450"/>
      <c r="AB217" s="529"/>
      <c r="AC217" s="529"/>
      <c r="AD217" s="451"/>
      <c r="AE217" s="530"/>
      <c r="AF217" s="451"/>
      <c r="AI217" s="1266" t="s">
        <v>174</v>
      </c>
      <c r="AK217" s="1252"/>
      <c r="AL217" s="575"/>
      <c r="AM217" s="575"/>
      <c r="AN217" s="575"/>
      <c r="AO217" s="575"/>
      <c r="AP217" s="575"/>
      <c r="AQ217" s="535"/>
      <c r="AR217" s="536"/>
      <c r="AS217" s="537"/>
      <c r="AT217" s="533"/>
      <c r="AU217" s="538"/>
      <c r="AV217" s="538"/>
      <c r="AW217" s="539"/>
      <c r="AX217" s="533"/>
      <c r="AY217" s="538"/>
      <c r="AZ217" s="538"/>
      <c r="BA217" s="540"/>
      <c r="BB217" s="540"/>
      <c r="BC217" s="533"/>
      <c r="BD217" s="540"/>
      <c r="BE217" s="541"/>
      <c r="BF217" s="541"/>
      <c r="BG217" s="542"/>
      <c r="BH217" s="543"/>
      <c r="BI217" s="542"/>
    </row>
    <row r="218" spans="3:61 14290:16384" x14ac:dyDescent="0.25">
      <c r="C218" s="446" t="s">
        <v>1739</v>
      </c>
      <c r="D218" s="1097" t="s">
        <v>47</v>
      </c>
      <c r="F218" s="573"/>
      <c r="G218" s="574"/>
      <c r="H218" s="575"/>
      <c r="I218" s="576"/>
      <c r="J218" s="526"/>
      <c r="K218" s="447"/>
      <c r="L218" s="527"/>
      <c r="M218" s="528"/>
      <c r="N218" s="453"/>
      <c r="O218" s="527"/>
      <c r="P218" s="528"/>
      <c r="Q218" s="524"/>
      <c r="R218" s="448"/>
      <c r="S218" s="448"/>
      <c r="T218" s="449"/>
      <c r="U218" s="524"/>
      <c r="V218" s="448"/>
      <c r="W218" s="448"/>
      <c r="X218" s="450"/>
      <c r="Y218" s="450"/>
      <c r="Z218" s="533"/>
      <c r="AA218" s="450"/>
      <c r="AB218" s="529"/>
      <c r="AC218" s="529"/>
      <c r="AD218" s="451"/>
      <c r="AE218" s="530"/>
      <c r="AF218" s="451"/>
      <c r="AI218" s="1266" t="s">
        <v>174</v>
      </c>
      <c r="AK218" s="1252"/>
    </row>
    <row r="219" spans="3:61 14290:16384" x14ac:dyDescent="0.25">
      <c r="C219" s="446" t="s">
        <v>1739</v>
      </c>
      <c r="D219" s="1098" t="s">
        <v>47</v>
      </c>
      <c r="F219" s="573"/>
      <c r="G219" s="574"/>
      <c r="H219" s="575"/>
      <c r="I219" s="576"/>
      <c r="J219" s="526"/>
      <c r="K219" s="447"/>
      <c r="L219" s="527"/>
      <c r="M219" s="528"/>
      <c r="N219" s="453"/>
      <c r="O219" s="527"/>
      <c r="P219" s="528"/>
      <c r="Q219" s="524"/>
      <c r="R219" s="448"/>
      <c r="S219" s="448"/>
      <c r="T219" s="449"/>
      <c r="U219" s="524"/>
      <c r="V219" s="448"/>
      <c r="W219" s="448"/>
      <c r="X219" s="450"/>
      <c r="Y219" s="450"/>
      <c r="Z219" s="524"/>
      <c r="AA219" s="450"/>
      <c r="AB219" s="529"/>
      <c r="AC219" s="529"/>
      <c r="AD219" s="451"/>
      <c r="AE219" s="530"/>
      <c r="AF219" s="451"/>
      <c r="AI219" s="1266" t="s">
        <v>174</v>
      </c>
      <c r="AK219" s="1252"/>
    </row>
    <row r="220" spans="3:61 14290:16384" ht="13" x14ac:dyDescent="0.25">
      <c r="C220" s="446"/>
      <c r="D220" s="525" t="s">
        <v>1988</v>
      </c>
      <c r="E220" s="1009">
        <f ca="1">IF(OR(DODZ!T3=DODZ!T4,WERSJA2!G2="BRAK OFERTY",DODZ!T5=DODZ!T10),0,1)</f>
        <v>1</v>
      </c>
      <c r="F220" s="1010" t="str">
        <f>IF(WERSJA2!J9="ZMIENNE","Zmienne","Stałe")</f>
        <v>Zmienne</v>
      </c>
      <c r="G220" s="574"/>
      <c r="H220" s="1011">
        <f ca="1">WERSJA2!J15*E203</f>
        <v>31000</v>
      </c>
      <c r="I220" s="1012">
        <f ca="1">'DOD1'!H2*E203</f>
        <v>8.4900000000000003E-2</v>
      </c>
      <c r="J220" s="1013">
        <f>'DOD1'!G3</f>
        <v>0</v>
      </c>
      <c r="K220" s="1014">
        <f ca="1">WERSJA2!D18</f>
        <v>46199</v>
      </c>
      <c r="L220" s="1015">
        <f ca="1">RATY_OE!BM3</f>
        <v>47660</v>
      </c>
      <c r="M220" s="1016">
        <f ca="1">WERSJA2!D19</f>
        <v>26</v>
      </c>
      <c r="N220" s="1014">
        <f ca="1">WERSJA2!D18</f>
        <v>46199</v>
      </c>
      <c r="O220" s="1014">
        <f ca="1">WERSJA2!D20</f>
        <v>46229</v>
      </c>
      <c r="P220" s="1020">
        <f>'DOD1'!E8</f>
        <v>48</v>
      </c>
      <c r="Q220" s="1017" t="str">
        <f>IF(WERSJA2!D4="BEZ UBEZPIECZENIA","NieDotyczy",WERSJA2!D12)</f>
        <v>NieDotyczy</v>
      </c>
      <c r="R220" s="472">
        <f>IF(Q220="NieDotyczy",0,1)</f>
        <v>0</v>
      </c>
      <c r="S220" s="472">
        <f>IF(Q220="NIE",0*R220,1*R220)</f>
        <v>0</v>
      </c>
      <c r="T220" s="449">
        <f ca="1">IF(RodzUbezp="Jednorazowe",H220*R220*P220*wsp_ubezp_wybranejOfe,
ROUND(wsp_ubezp_wybranejOfe*H220,2)*P220)</f>
        <v>0</v>
      </c>
      <c r="U220" s="1021" t="str">
        <f>IF(WERSJA2!J4=0,"NieDotyczy",WERSJA2!D10)</f>
        <v>NieDotyczy</v>
      </c>
      <c r="V220" s="448">
        <f t="shared" ref="V220:V221" si="3">IF(U220="NieDotyczy",0,1)</f>
        <v>0</v>
      </c>
      <c r="W220" s="448">
        <f t="shared" ref="W220:W221" si="4">IF(U220="NIE",0*V220,1*V220)</f>
        <v>0</v>
      </c>
      <c r="X220" s="450">
        <f t="shared" ref="X220" ca="1" si="5">(H220+T220*S220)*J220</f>
        <v>0</v>
      </c>
      <c r="Y220" s="450" t="str">
        <f t="shared" ref="Y220:Y221" si="6">IF(AND(Q220&lt;&gt;"TAK",U220&lt;&gt;"TAK"),"NIE","TAK")</f>
        <v>NIE</v>
      </c>
      <c r="Z220" s="467" t="s">
        <v>181</v>
      </c>
      <c r="AA220" s="450">
        <f t="shared" ref="AA220" ca="1" si="7">H220+T220*W220+X220*W220</f>
        <v>31000</v>
      </c>
      <c r="AB220" s="529"/>
      <c r="AC220" s="1027">
        <f ca="1">RATY_OE!BM5</f>
        <v>5676.799999999992</v>
      </c>
      <c r="AD220" s="451">
        <f t="shared" ref="AD220" ca="1" si="8">T220+X220+AC220</f>
        <v>5676.799999999992</v>
      </c>
      <c r="AE220" s="1034">
        <f>RATY_OE!BM6</f>
        <v>8.2410577811416197E-2</v>
      </c>
      <c r="AF220" s="451">
        <f t="shared" ref="AF220" ca="1" si="9">AA220+AD220</f>
        <v>36676.799999999988</v>
      </c>
      <c r="AG220" s="1106"/>
      <c r="AH220" s="451" t="str">
        <f>WERSJA2!D4</f>
        <v>BEZ UBEZPIECZENIA</v>
      </c>
      <c r="AI220" s="451">
        <f>RodzUbezp</f>
        <v>0</v>
      </c>
      <c r="AJ220" s="451" t="str">
        <f>WERSJA2!D6</f>
        <v>MASS</v>
      </c>
      <c r="AK220" s="1255"/>
      <c r="AL220" s="598"/>
    </row>
    <row r="221" spans="3:61 14290:16384" ht="13" x14ac:dyDescent="0.25">
      <c r="C221" s="446"/>
      <c r="D221" s="525" t="s">
        <v>1989</v>
      </c>
      <c r="E221" s="1009">
        <f ca="1">IF(OR(DODZ!T3=DODZ!T4,WERSJA2!G2="BRAK OFERTY",DODZ!T5=DODZ!T10),0,1)</f>
        <v>1</v>
      </c>
      <c r="F221" s="1010" t="str">
        <f>IF(WERSJA2!J9="ZMIENNE","Zmienne","Stałe")</f>
        <v>Zmienne</v>
      </c>
      <c r="G221" s="574"/>
      <c r="H221" s="1011">
        <f>KwNaReke</f>
        <v>31000</v>
      </c>
      <c r="I221" s="1012">
        <f ca="1">'DOD1'!H2*E203</f>
        <v>8.4900000000000003E-2</v>
      </c>
      <c r="J221" s="1013">
        <f>'DOD1'!G3</f>
        <v>0</v>
      </c>
      <c r="K221" s="1014">
        <f ca="1">WERSJA2!D18</f>
        <v>46199</v>
      </c>
      <c r="L221" s="1015">
        <f ca="1">RATY_OE!BL3</f>
        <v>47660</v>
      </c>
      <c r="M221" s="1016">
        <f ca="1">WERSJA2!D19</f>
        <v>26</v>
      </c>
      <c r="N221" s="1014">
        <f ca="1">WERSJA2!D18</f>
        <v>46199</v>
      </c>
      <c r="O221" s="1014">
        <f ca="1">WERSJA2!D20</f>
        <v>46229</v>
      </c>
      <c r="P221" s="1020">
        <f>'DOD1'!E8</f>
        <v>48</v>
      </c>
      <c r="Q221" s="1017" t="str">
        <f>IF(WERSJA2!D4="BEZ UBEZPIECZENIA","NieDotyczy",WERSJA2!D12)</f>
        <v>NieDotyczy</v>
      </c>
      <c r="R221" s="472">
        <f>IF(Q221="NieDotyczy",0,1)</f>
        <v>0</v>
      </c>
      <c r="S221" s="472">
        <f>IF(Q221="NIE",0*R221,1*R221)</f>
        <v>0</v>
      </c>
      <c r="T221" s="449">
        <f ca="1">IF(RodzUbezp="Jednorazowe",H221*R221*P221*wsp_ubezp_wybranejOfe,
ROUND(wsp_ubezp_wybranejOfe*H220,2)*P221)</f>
        <v>0</v>
      </c>
      <c r="U221" s="1021" t="str">
        <f>IF(WERSJA2!J4=0,"NieDotyczy",WERSJA2!D10)</f>
        <v>NieDotyczy</v>
      </c>
      <c r="V221" s="448">
        <f t="shared" si="3"/>
        <v>0</v>
      </c>
      <c r="W221" s="448">
        <f t="shared" si="4"/>
        <v>0</v>
      </c>
      <c r="X221" s="450">
        <f ca="1">(KwNaReke+T221*S221)*J221</f>
        <v>0</v>
      </c>
      <c r="Y221" s="450" t="str">
        <f t="shared" si="6"/>
        <v>NIE</v>
      </c>
      <c r="Z221" s="467" t="s">
        <v>181</v>
      </c>
      <c r="AA221" s="450">
        <f ca="1">H221+T221*W221+X221*W221+IF(prowizja_kredytowana=TRUE,KwNaReke*OPROCENTOWANIE!$J$2,0)</f>
        <v>31000</v>
      </c>
      <c r="AB221" s="529">
        <f ca="1">WERSJA2!J17</f>
        <v>764.1</v>
      </c>
      <c r="AC221" s="1027">
        <f ca="1">RATY_OE!BL5</f>
        <v>5676.7000000000016</v>
      </c>
      <c r="AD221" s="451">
        <f ca="1">T221+X221+AC221</f>
        <v>5676.7000000000016</v>
      </c>
      <c r="AE221" s="1034">
        <f>RATY_OE!BL6</f>
        <v>8.2407822681154569E-2</v>
      </c>
      <c r="AF221" s="451">
        <f ca="1">H221+AD221</f>
        <v>36676.700000000004</v>
      </c>
      <c r="AH221" s="451" t="str">
        <f>WERSJA2!D4</f>
        <v>BEZ UBEZPIECZENIA</v>
      </c>
      <c r="AI221" s="451">
        <f>RodzUbezp</f>
        <v>0</v>
      </c>
      <c r="AJ221" s="451" t="str">
        <f>WERSJA2!D6</f>
        <v>MASS</v>
      </c>
      <c r="AK221" s="1255"/>
    </row>
    <row r="222" spans="3:61 14290:16384" ht="13" x14ac:dyDescent="0.25">
      <c r="C222" s="1039" t="s">
        <v>1996</v>
      </c>
      <c r="D222" s="1040" t="str">
        <f t="shared" ref="D222:AH222" si="10">IF(APLIKACJA="SOWK",D220,D221)</f>
        <v>APLIKACJA_ORANGE</v>
      </c>
      <c r="E222" s="1041">
        <f t="shared" ca="1" si="10"/>
        <v>1</v>
      </c>
      <c r="F222" s="1042" t="str">
        <f t="shared" si="10"/>
        <v>Zmienne</v>
      </c>
      <c r="G222" s="1043">
        <f t="shared" si="10"/>
        <v>0</v>
      </c>
      <c r="H222" s="1044">
        <f t="shared" si="10"/>
        <v>31000</v>
      </c>
      <c r="I222" s="1045">
        <f t="shared" ca="1" si="10"/>
        <v>8.4900000000000003E-2</v>
      </c>
      <c r="J222" s="1046">
        <f t="shared" si="10"/>
        <v>0</v>
      </c>
      <c r="K222" s="1047">
        <f t="shared" ca="1" si="10"/>
        <v>46199</v>
      </c>
      <c r="L222" s="1048">
        <f t="shared" ca="1" si="10"/>
        <v>47660</v>
      </c>
      <c r="M222" s="1049">
        <f t="shared" ca="1" si="10"/>
        <v>26</v>
      </c>
      <c r="N222" s="1047">
        <f t="shared" ca="1" si="10"/>
        <v>46199</v>
      </c>
      <c r="O222" s="1047">
        <f t="shared" ca="1" si="10"/>
        <v>46229</v>
      </c>
      <c r="P222" s="1050">
        <f t="shared" si="10"/>
        <v>48</v>
      </c>
      <c r="Q222" s="1051" t="str">
        <f t="shared" si="10"/>
        <v>NieDotyczy</v>
      </c>
      <c r="R222" s="1052">
        <f t="shared" si="10"/>
        <v>0</v>
      </c>
      <c r="S222" s="1052">
        <f t="shared" si="10"/>
        <v>0</v>
      </c>
      <c r="T222" s="1053">
        <f ca="1">IF(APLIKACJA="SOWK",T220,T221)</f>
        <v>0</v>
      </c>
      <c r="U222" s="1051" t="str">
        <f>IF(APLIKACJA="SOWK",U220,U221)</f>
        <v>NieDotyczy</v>
      </c>
      <c r="V222" s="1054">
        <f t="shared" si="10"/>
        <v>0</v>
      </c>
      <c r="W222" s="1054">
        <f t="shared" si="10"/>
        <v>0</v>
      </c>
      <c r="X222" s="1055">
        <f t="shared" ca="1" si="10"/>
        <v>0</v>
      </c>
      <c r="Y222" s="1055" t="str">
        <f t="shared" si="10"/>
        <v>NIE</v>
      </c>
      <c r="Z222" s="1056" t="str">
        <f t="shared" si="10"/>
        <v>NIE</v>
      </c>
      <c r="AA222" s="1055">
        <f t="shared" ca="1" si="10"/>
        <v>31000</v>
      </c>
      <c r="AB222" s="1057">
        <f t="shared" ca="1" si="10"/>
        <v>764.1</v>
      </c>
      <c r="AC222" s="1057">
        <f t="shared" ca="1" si="10"/>
        <v>5676.7000000000016</v>
      </c>
      <c r="AD222" s="1058">
        <f t="shared" ca="1" si="10"/>
        <v>5676.7000000000016</v>
      </c>
      <c r="AE222" s="1059">
        <f t="shared" si="10"/>
        <v>8.2407822681154569E-2</v>
      </c>
      <c r="AF222" s="1058">
        <f t="shared" ca="1" si="10"/>
        <v>36676.700000000004</v>
      </c>
      <c r="AH222" s="1058" t="str">
        <f t="shared" si="10"/>
        <v>BEZ UBEZPIECZENIA</v>
      </c>
      <c r="AI222" s="1058">
        <f t="shared" ref="AI222:AJ222" si="11">IF(APLIKACJA="SOWK",AI220,AI221)</f>
        <v>0</v>
      </c>
      <c r="AJ222" s="1058" t="str">
        <f t="shared" si="11"/>
        <v>MASS</v>
      </c>
      <c r="AK222" s="1256">
        <f>RATY_OE!C16</f>
        <v>0</v>
      </c>
      <c r="AL222" s="1256">
        <f>AK222*P222</f>
        <v>0</v>
      </c>
    </row>
    <row r="495" spans="3:4" ht="13" x14ac:dyDescent="0.3">
      <c r="C495" s="433" t="s">
        <v>341</v>
      </c>
      <c r="D495" s="434"/>
    </row>
    <row r="496" spans="3:4" x14ac:dyDescent="0.25">
      <c r="C496" s="435" t="s">
        <v>192</v>
      </c>
      <c r="D496" s="436" t="s">
        <v>342</v>
      </c>
    </row>
    <row r="497" spans="1:6" x14ac:dyDescent="0.25">
      <c r="C497" s="435" t="s">
        <v>343</v>
      </c>
      <c r="D497" s="435" t="s">
        <v>344</v>
      </c>
    </row>
    <row r="498" spans="1:6" ht="34.5" x14ac:dyDescent="0.25">
      <c r="C498" s="435" t="s">
        <v>345</v>
      </c>
      <c r="D498" s="437" t="s">
        <v>346</v>
      </c>
    </row>
    <row r="499" spans="1:6" ht="50" x14ac:dyDescent="0.25">
      <c r="C499" s="435" t="s">
        <v>347</v>
      </c>
      <c r="D499" s="436" t="s">
        <v>348</v>
      </c>
    </row>
    <row r="501" spans="1:6" ht="13" x14ac:dyDescent="0.3">
      <c r="C501" s="438" t="s">
        <v>2012</v>
      </c>
      <c r="D501" s="439"/>
      <c r="E501" s="439"/>
      <c r="F501" s="577"/>
    </row>
    <row r="502" spans="1:6" x14ac:dyDescent="0.25">
      <c r="A502" s="577"/>
      <c r="B502" s="577"/>
      <c r="C502" s="577"/>
      <c r="D502" s="577"/>
      <c r="E502" s="577"/>
      <c r="F502" s="577"/>
    </row>
    <row r="503" spans="1:6" x14ac:dyDescent="0.25">
      <c r="A503" s="577"/>
      <c r="B503" s="577"/>
      <c r="C503" s="577"/>
      <c r="D503" s="577"/>
      <c r="E503" s="577" t="s">
        <v>349</v>
      </c>
      <c r="F503" s="577"/>
    </row>
    <row r="504" spans="1:6" ht="83.25" customHeight="1" x14ac:dyDescent="0.25">
      <c r="C504" s="435" t="s">
        <v>350</v>
      </c>
      <c r="D504" s="1263" t="str">
        <f>IF(APLIKACJA="SOWK",D520,D521)</f>
        <v>Wysokość ostatniej raty może ulec zmianie w związku z tym, że termin wypłaty pożyczki przez Bank może być inny niż data zawarcia Umowy lub z dokonanymi przez Pożyczkobiorcę przedterminowymi częściowymi spłatami lub w związku ze zmiana wysokościoprocentowania wskutek zmiany wysokosci odsetek maksymalnych.
- odsetki lub opłaty będą podlegać spłacie w następujący sposób: odsetki spłacane będą  miesięcznie w racie kapitałowo-odsetkowej, prowizja za udzielenie kredytu pobierana jest jednorazowo najpóźniej w dniu uruchomienia kredytu.</v>
      </c>
      <c r="E504" s="435" t="s">
        <v>351</v>
      </c>
      <c r="F504" s="577" t="s">
        <v>352</v>
      </c>
    </row>
    <row r="505" spans="1:6" ht="100" x14ac:dyDescent="0.25">
      <c r="C505" s="435" t="s">
        <v>190</v>
      </c>
      <c r="D505" s="1263" t="str">
        <f>IF(APLIKACJA="SOWK",D523,D524)</f>
        <v>Wysokość ostatniej raty może ulec zmianie w przypadku zmiany stopy procentowej w okresie kredytowania w tym w przypadku zmiany wysokości oprocentowania wskutek zmiany wysokości odsetek maksymalnych lub w związku z tym, że termin wypłaty pożyczki przez Bank może być inny niż data zawarcia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05" s="435" t="s">
        <v>353</v>
      </c>
      <c r="F505" s="577" t="s">
        <v>354</v>
      </c>
    </row>
    <row r="508" spans="1:6" ht="13" x14ac:dyDescent="0.3">
      <c r="C508" s="433" t="s">
        <v>355</v>
      </c>
      <c r="D508" s="433" t="s">
        <v>356</v>
      </c>
    </row>
    <row r="509" spans="1:6" x14ac:dyDescent="0.25">
      <c r="C509" s="435"/>
      <c r="D509" s="435"/>
    </row>
    <row r="510" spans="1:6" ht="13" x14ac:dyDescent="0.3">
      <c r="C510" s="435" t="s">
        <v>357</v>
      </c>
      <c r="D510" s="440" t="s">
        <v>358</v>
      </c>
    </row>
    <row r="511" spans="1:6" ht="37.5" x14ac:dyDescent="0.25">
      <c r="C511" s="522" t="s">
        <v>2046</v>
      </c>
      <c r="D511" s="1264" t="str">
        <f>IF(WERSJA2!D6="Pozyczka PAKIET 5000","","Opłata za udostępnienie ubezpieczenia w ramach Programu ubezpieczeniowego ''Bezpieczna Pożyczka'' płatna będzie jednorazowo najpóźniej w dniu uruchomienia kredytu.")</f>
        <v>Opłata za udostępnienie ubezpieczenia w ramach Programu ubezpieczeniowego ''Bezpieczna Pożyczka'' płatna będzie jednorazowo najpóźniej w dniu uruchomienia kredytu.</v>
      </c>
      <c r="E511" s="598" t="s">
        <v>2130</v>
      </c>
    </row>
    <row r="513" spans="3:6" ht="34.9" customHeight="1" x14ac:dyDescent="0.3">
      <c r="C513" s="433" t="s">
        <v>209</v>
      </c>
      <c r="D513" s="433" t="s">
        <v>2004</v>
      </c>
    </row>
    <row r="514" spans="3:6" ht="42" customHeight="1" x14ac:dyDescent="0.25">
      <c r="C514" s="1095" t="s">
        <v>2329</v>
      </c>
      <c r="D514" s="1096" t="str">
        <f ca="1">"Liczba miesięcznych rat: "&amp;FIXED(G9,0,TRUE)&amp;" w wysokości "&amp;FIXED(I10,2,FALSE)&amp;" zł."</f>
        <v>Liczba miesięcznych rat: 48 w wysokości 764,10 zł.</v>
      </c>
      <c r="E514" s="598"/>
    </row>
    <row r="515" spans="3:6" ht="55.15" customHeight="1" x14ac:dyDescent="0.25">
      <c r="C515" s="1095" t="s">
        <v>2330</v>
      </c>
      <c r="D515" s="1096" t="str">
        <f ca="1">"Liczba miesięcznych rat: 
- "
&amp;FIXED(G9-1,0,TRUE)&amp;" rat/y równych/e w wysokości "&amp;FIXED(I10,2,FALSE)&amp;" zł, "&amp;" płatnych/e każdego "
&amp;CONCATENATE(G8,"-go dnia każdego miesiąca")
&amp;"
- ostatnia "&amp;FIXED(G9,0,TRUE)&amp;" rata w wysokości "&amp;FIXED(RATY_OE!BN8,2,FALSE)&amp;" zł, płatna "&amp;TEXT(G7, "dd-mm-rrrr")&amp;"r."</f>
        <v>Liczba miesięcznych rat: 
- 47 rat/y równych/e w wysokości 764,10 zł,  płatnych/e każdego 26-go dnia każdego miesiąca
- ostatnia 48 rata w wysokości 764,00 zł, płatna 26-06-2030r.</v>
      </c>
      <c r="E515" s="598"/>
    </row>
    <row r="516" spans="3:6" ht="13" x14ac:dyDescent="0.3">
      <c r="C516" s="433"/>
      <c r="D516" s="433"/>
    </row>
    <row r="519" spans="3:6" ht="13" x14ac:dyDescent="0.3">
      <c r="C519" s="433" t="s">
        <v>2011</v>
      </c>
      <c r="D519" s="433"/>
      <c r="E519" s="433" t="s">
        <v>2003</v>
      </c>
    </row>
    <row r="520" spans="3:6" ht="87.5" x14ac:dyDescent="0.25">
      <c r="C520" s="435" t="s">
        <v>350</v>
      </c>
      <c r="D520" s="522" t="s">
        <v>1783</v>
      </c>
      <c r="E520" s="1102" t="s">
        <v>2006</v>
      </c>
    </row>
    <row r="521" spans="3:6" ht="108" customHeight="1" x14ac:dyDescent="0.25">
      <c r="C521" s="1102" t="s">
        <v>350</v>
      </c>
      <c r="D521" s="1766" t="str">
        <f>"Wysokość ostatniej raty może ulec zmianie w związku z tym, że termin wypłaty pożyczki przez Bank może być inny niż data zawarcia Umowy lub z dokonanymi przez Pożyczkobiorcę "&amp;"przedterminowymi częściowymi spłatami lub w związku ze zmiana wysokościoprocentowania wskutek zmiany wysokosci odsetek maksymalnych.
"&amp;"- "&amp;F521</f>
        <v>Wysokość ostatniej raty może ulec zmianie w związku z tym, że termin wypłaty pożyczki przez Bank może być inny niż data zawarcia Umowy lub z dokonanymi przez Pożyczkobiorcę przedterminowymi częściowymi spłatami lub w związku ze zmiana wysokościoprocentowania wskutek zmiany wysokosci odsetek maksymalnych.
- odsetki lub opłaty będą podlegać spłacie w następujący sposób: odsetki spłacane będą  miesięcznie w racie kapitałowo-odsetkowej, prowizja za udzielenie kredytu pobierana jest jednorazowo najpóźniej w dniu uruchomienia kredytu.</v>
      </c>
      <c r="E521" s="1102" t="s">
        <v>2000</v>
      </c>
      <c r="F521" s="562" t="str">
        <f>IF(prowizja_kredytowana=TRUE,"kredytowana prowizja za udzielenie pożyczki pobrana będzie z kwoty pożyczki w dniu jej wypłaty przez Bank","odsetki lub opłaty będą podlegać spłacie w następujący sposób: odsetki spłacane będą  miesięcznie w racie kapitałowo-odsetkowej, prowizja za udzielenie kredytu pobierana jest jednorazowo najpóźniej w dniu uruchomienia kredytu.")</f>
        <v>odsetki lub opłaty będą podlegać spłacie w następujący sposób: odsetki spłacane będą  miesięcznie w racie kapitałowo-odsetkowej, prowizja za udzielenie kredytu pobierana jest jednorazowo najpóźniej w dniu uruchomienia kredytu.</v>
      </c>
    </row>
    <row r="522" spans="3:6" x14ac:dyDescent="0.25">
      <c r="D522" s="1103"/>
    </row>
    <row r="523" spans="3:6" ht="100" x14ac:dyDescent="0.25">
      <c r="C523" s="435" t="s">
        <v>190</v>
      </c>
      <c r="D523" s="436" t="s">
        <v>1755</v>
      </c>
      <c r="E523" s="1102" t="s">
        <v>2006</v>
      </c>
    </row>
    <row r="524" spans="3:6" ht="108" customHeight="1" x14ac:dyDescent="0.25">
      <c r="C524" s="435" t="s">
        <v>190</v>
      </c>
      <c r="D524" s="522" t="str">
        <f>"Wysokość ostatniej raty może ulec zmianie w przypadku zmiany stopy procentowej w okresie kredytowania w tym w przypadku zmiany wysokości oprocentowania wskutek zmiany wysokości"&amp;" odsetek maksymalnych lub w związku z tym, że termin wypłaty pożyczki przez Bank może być inny niż data zawarcia Umowy lub z dokonanymi przez Pożyczkobiorcę przedterminowymi częściowymi spłatami.
- "&amp;F521</f>
        <v>Wysokość ostatniej raty może ulec zmianie w przypadku zmiany stopy procentowej w okresie kredytowania w tym w przypadku zmiany wysokości oprocentowania wskutek zmiany wysokości odsetek maksymalnych lub w związku z tym, że termin wypłaty pożyczki przez Bank może być inny niż data zawarcia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24" s="1102" t="s">
        <v>2000</v>
      </c>
    </row>
    <row r="527" spans="3:6" ht="13" x14ac:dyDescent="0.3">
      <c r="C527" s="433" t="s">
        <v>2005</v>
      </c>
      <c r="D527" s="433"/>
      <c r="E527" s="433" t="s">
        <v>2003</v>
      </c>
    </row>
    <row r="528" spans="3:6" ht="75" x14ac:dyDescent="0.25">
      <c r="C528" s="1102" t="s">
        <v>2305</v>
      </c>
      <c r="D528" s="1264" t="str">
        <f ca="1">"4. kwota pożyczki od której liczone są odsetki zostanie wypłacona przez Bank w dniu " &amp;TEXT(G6, "dd-mm-rrrr")&amp;", zaś spłata rat rat następować będzie w dniu odpowiadającym dniu wypłaty przez Bank pożyczki w formie "&amp;G9&amp;" miesięcznych rat kapitałowo-odsetkowych. "&amp; G9-1 &amp;" miesięczne(ych) rat(y) równe(ych) i ostatnia "&amp;G9&amp;" rata wyrównawcza."&amp;"
5. prowizja za udzielenie pożyczki wyniesie "&amp;FIXED(G4,2,FALSE)&amp;" zł. i pobrana zostanie jednorazowo, w dniu wypłaty pożyczki przez Bank,"</f>
        <v>4. kwota pożyczki od której liczone są odsetki zostanie wypłacona przez Bank w dniu 26-06-2026, zaś spłata rat rat następować będzie w dniu odpowiadającym dniu wypłaty przez Bank pożyczki w formie 48 miesięcznych rat kapitałowo-odsetkowych. 47 miesięczne(ych) rat(y) równe(ych) i ostatnia 48 rata wyrównawcza.
5. prowizja za udzielenie pożyczki wyniesie 0,00 zł. i pobrana zostanie jednorazowo, w dniu wypłaty pożyczki przez Bank,</v>
      </c>
      <c r="E528" s="1102"/>
    </row>
    <row r="529" spans="3:9" ht="62.5" x14ac:dyDescent="0.25">
      <c r="C529" s="1102" t="s">
        <v>2000</v>
      </c>
      <c r="D529" s="1264" t="str">
        <f ca="1">"4. całkowita kwota pożyczki zostanie Pożyczkobiorcy postawiona do dyspozycji w dniu " &amp;TEXT(G6, "dd-mm-rrrr")&amp;", a spłacana będzie wraz z kwotą stanowiącą kredytowaną prowizję za udzielenie pożyczki  w formie "&amp;G9&amp;" miesięcznych rat kapitałowo-odsetkowych. "&amp; G9-1 &amp;" miesięczne(ych) rat(y) równe(ych) i ostatnia "&amp;G9&amp;" rata wyrównawcza. Spłata rat następować będzie w dniu odpowiadającym dniu wypłaty przez Bank pożyczki"</f>
        <v>4. całkowita kwota pożyczki zostanie Pożyczkobiorcy postawiona do dyspozycji w dniu 26-06-2026, a spłacana będzie wraz z kwotą stanowiącą kredytowaną prowizję za udzielenie pożyczki  w formie 48 miesięcznych rat kapitałowo-odsetkowych. 47 miesięczne(ych) rat(y) równe(ych) i ostatnia 48 rata wyrównawcza. Spłata rat następować będzie w dniu odpowiadającym dniu wypłaty przez Bank pożyczki</v>
      </c>
      <c r="E529" s="1102"/>
    </row>
    <row r="531" spans="3:9" ht="13" x14ac:dyDescent="0.3">
      <c r="C531" s="1268" t="s">
        <v>1883</v>
      </c>
      <c r="D531" s="1268" t="s">
        <v>2042</v>
      </c>
      <c r="E531" s="1268" t="s">
        <v>2135</v>
      </c>
    </row>
    <row r="532" spans="3:9" ht="87.5" x14ac:dyDescent="0.25">
      <c r="C532" s="1104" t="s">
        <v>2044</v>
      </c>
      <c r="D532" s="1264" t="str">
        <f ca="1">"Program ubezpieczeniowy Bezpieczna pożyczka - zakres ubezpieczenia:   
- Utrata stałego źródła dochodu przez Ubezpieczonego, 
- Czasowa niezdolność do pracy Ubezpieczonego,
- Zgon Ubezpieczonego,
- Całkowita niezdolności do zarobkowania Ubezpieczonego."&amp;"
Jednorazowa opłata z tytułu udostępnienia ubezpieczenia w ramach programu ubezpieczeniowego Bezpieczna Pożyczka wynosi "
&amp;FIXED(G5,2,FALSE)&amp;" zł."</f>
        <v>Program ubezpieczeniowy Bezpieczna pożyczka - zakres ubezpieczenia:   
- Utrata stałego źródła dochodu przez Ubezpieczonego, 
- Czasowa niezdolność do pracy Ubezpieczonego,
- Zgon Ubezpieczonego,
- Całkowita niezdolności do zarobkowania Ubezpieczonego.
Jednorazowa opłata z tytułu udostępnienia ubezpieczenia w ramach programu ubezpieczeniowego Bezpieczna Pożyczka wynosi 0,00 zł.</v>
      </c>
      <c r="E532" s="1261" t="str">
        <f ca="1">IF(AND(AG200&lt;&gt;"Pozyczka PAKIET 5000",CONCATENATE(AH200)="Z UBEZPIECZENIEM ",AI200="Jednorazowe"),D532,"")</f>
        <v/>
      </c>
    </row>
    <row r="533" spans="3:9" ht="100" x14ac:dyDescent="0.25">
      <c r="C533" s="1105" t="s">
        <v>2045</v>
      </c>
      <c r="D533" s="1265" t="s">
        <v>2060</v>
      </c>
      <c r="E533" s="1260" t="str">
        <f ca="1">IF(AND(AG200="Pozyczka PAKIET 5000",CONCATENATE(AH200)="Z UBEZPIECZENIEM "),D533,"")</f>
        <v/>
      </c>
    </row>
    <row r="534" spans="3:9" ht="200" x14ac:dyDescent="0.25">
      <c r="C534" s="1105" t="s">
        <v>2146</v>
      </c>
      <c r="D534" s="1730" t="str">
        <f ca="1">"Program ubezpieczeniowy Pakiet Złoty obejmuje wypłatę świadczeń w przypadku zajścia następujących zdarzeń:   
1. Śmierć Ubezpieczonego, "&amp;"
2. Poważne Zachorowanie
3. Pobyt w Szpitalu wskutek Nieszczęśliwego Wypadku (po wypłacie świadczenia z tytułu Poważnego Zachorowania)"&amp;"
zzgodnie z definicjami zawartymi w Ogólnych Warunkach Ubezpieczenia na Życie Bezpieczna Pożyczka  -  Ochrona Życia z Allianz Pakiet Złoty dla Pożyczkobiorców ING Banku Śląskiego S.A. "&amp;" oraz Ogólnych Warunków Ubezpieczenia Bezpieczna Pożyczka - Ochrona Spłaty z Nationale-Nederlanden Pakiet Złoty dla Pożyczkobiorców ING Banku Śląskiego S.A.
"&amp;" Jeśli kwota wszystkich ubezpieczonych pożyczek w ramach ubezpieczenia Bezpieczna Pożyczka - Pakiet Złoty z Allianz przekracza 100 tyś, zł "&amp;"to możliwe jest jedynie zawarcie umowy ubezpieczenia Bezpieczna Pożyczka - Pakiet Złoty z Nationale-Nederlanden, o takim samym zakresie ubezpieczenia.
"&amp;" Miesięczna składka ubezpieczeniowa w wysokości "&amp;FIXED(AK200,2,FALSE)&amp;" zł, łącznie "
&amp;FIXED(AL200,2,FALSE)&amp;" w całym okresie, na który zostanie zawarta Umowa."</f>
        <v>Program ubezpieczeniowy Pakiet Złoty obejmuje wypłatę świadczeń w przypadku zajścia następujących zdarzeń:   
1. Śmierć Ubezpieczonego, 
2. Poważne Zachorowanie
3. Pobyt w Szpitalu wskutek Nieszczęśliwego Wypadku (po wypłacie świadczenia z tytułu Poważnego Zachorowania)
zzgodnie z definicjami zawartymi w Ogólnych Warunkach Ubezpieczenia na Życie Bezpieczna Pożyczka  -  Ochrona Życia z Allianz Pakiet Złoty dla Pożyczkobiorców ING Banku Śląskiego S.A.  oraz Ogólnych Warunków Ubezpieczenia Bezpieczna Pożyczka - Ochrona Spłaty z Nationale-Nederlanden Pakiet Złoty dla Pożyczkobiorców ING Banku Śląskiego S.A.
 Jeśli kwota wszystkich ubezpieczonych pożyczek w ramach ubezpieczenia Bezpieczna Pożyczka - Pakiet Złoty z Allianz przekracza 100 tyś, zł to możliwe jest jedynie zawarcie umowy ubezpieczenia Bezpieczna Pożyczka - Pakiet Złoty z Nationale-Nederlanden, o takim samym zakresie ubezpieczenia.
 Miesięczna składka ubezpieczeniowa w wysokości 0,00 zł, łącznie 0,00 w całym okresie, na który zostanie zawarta Umowa.</v>
      </c>
      <c r="E534" s="1260" t="str">
        <f ca="1">IF(AND(AG200&lt;&gt;"Pozyczka PAKIET 5000",CONCATENATE(AH200)="Z UBEZPIECZENIEM ",AI200="GOLD"),D534,"")</f>
        <v/>
      </c>
    </row>
    <row r="535" spans="3:9" ht="234.75" customHeight="1" x14ac:dyDescent="0.25">
      <c r="C535" s="1105" t="s">
        <v>2147</v>
      </c>
      <c r="D535" s="1269" t="str">
        <f ca="1">"Pakiet ubezpieczeniowy na Życie Bezpieczna Pożyczka - Ochrona Życia z Allianz Pakiet Srebrny/Bezpieczna POżyczka - Pakiet Śrebrny z Nationale-Nederlanden obejmuje wypłatę świadczeń w przypadku zajścia następujących zdarzeń:   
1. zgon Ubezpieczonego;"&amp;"
2. Utrata Pracy wraz z ubezpieczeniem Opłat Eksploatacyjnych;"&amp;"
3. Czasowa Niezdolność do Pracy Ubezpieczonego;"&amp;"
4. Pobyt w Szpitalu wskutek Nieszczęśliwego WYpadku (jeśli Ubezpieczony przestał spełniać kryteria ochrony ubezpieczeniowej z tytułu Utraty Pracy oraz Czasowej Niezdolności do Pracy;
5. Czasowa Niezdolność do Pracy Ubezpieczonego;"&amp;"
6. Śmierć Ubezpieczonego w następstwie Nieszczęśliwego WYpadku (jeśli Ubezpieczony wyczerpał limit świadczeń w ubezpieczeniu Pobytu w szpitalu w wyniku NW"&amp;"
zgodnie z definicjami zawartymi w Ogólnych Warunkach Ubezpieczenia na Życie Bezpieczna Pożyczka  -  Ochrona Życia z Allianz Pakiet Srebrny dla Pożyczkobiorców ING Banku Śląskiego S.A. "&amp;" oraz Ogólnych Warunków Ubezpieczenia Bezpieczna Pożyczka - Ochrona Spłaty z Nationale-Nederlanden Pakiet Srebrny dla Pożyczkobiorców ING Banku Śląskiego S.A.
"&amp;" Jeśli kwota wszystkich ubezpieczonych pożyczek w ramach ubezpieczenia Bezpieczna Pożyczka - Pakiet Srebrny z Allianz przekracza 100 tyś, zł "&amp;"to możliwe jest jedynie zawarcie umowy ubezpieczenia Bezpieczna Pożyczka - Pakiet Srebrny z Nationale-Nederlanden, o takim samym zakresie ubezpieczenia.
"&amp;" Miesięczna składka ubezpieczeniowa w wysokości "&amp;FIXED(AK200,2,FALSE)&amp;" zł, łącznie "
&amp;FIXED(AL200,2,FALSE)&amp;" w całym okresie na który zostanie zawarta Umowa. "</f>
        <v xml:space="preserve">Pakiet ubezpieczeniowy na Życie Bezpieczna Pożyczka - Ochrona Życia z Allianz Pakiet Srebrny/Bezpieczna POżyczka - Pakiet Śrebrny z Nationale-Nederlanden obejmuje wypłatę świadczeń w przypadku zajścia następujących zdarzeń:   
1. zgon Ubezpieczonego;
2. Utrata Pracy wraz z ubezpieczeniem Opłat Eksploatacyjnych;
3. Czasowa Niezdolność do Pracy Ubezpieczonego;
4. Pobyt w Szpitalu wskutek Nieszczęśliwego WYpadku (jeśli Ubezpieczony przestał spełniać kryteria ochrony ubezpieczeniowej z tytułu Utraty Pracy oraz Czasowej Niezdolności do Pracy;
5. Czasowa Niezdolność do Pracy Ubezpieczonego;
6. Śmierć Ubezpieczonego w następstwie Nieszczęśliwego WYpadku (jeśli Ubezpieczony wyczerpał limit świadczeń w ubezpieczeniu Pobytu w szpitalu w wyniku NW
zgodnie z definicjami zawartymi w Ogólnych Warunkach Ubezpieczenia na Życie Bezpieczna Pożyczka  -  Ochrona Życia z Allianz Pakiet Srebrny dla Pożyczkobiorców ING Banku Śląskiego S.A.  oraz Ogólnych Warunków Ubezpieczenia Bezpieczna Pożyczka - Ochrona Spłaty z Nationale-Nederlanden Pakiet Srebrny dla Pożyczkobiorców ING Banku Śląskiego S.A.
 Jeśli kwota wszystkich ubezpieczonych pożyczek w ramach ubezpieczenia Bezpieczna Pożyczka - Pakiet Srebrny z Allianz przekracza 100 tyś, zł to możliwe jest jedynie zawarcie umowy ubezpieczenia Bezpieczna Pożyczka - Pakiet Srebrny z Nationale-Nederlanden, o takim samym zakresie ubezpieczenia.
 Miesięczna składka ubezpieczeniowa w wysokości 0,00 zł, łącznie 0,00 w całym okresie na który zostanie zawarta Umowa. </v>
      </c>
      <c r="E535" s="1260" t="str">
        <f ca="1">IF(AND(AG200&lt;&gt;"Pozyczka PAKIET 5000",CONCATENATE(AH200)="Z UBEZPIECZENIEM ",AI200="SILVER"),D535,"")</f>
        <v/>
      </c>
    </row>
    <row r="536" spans="3:9" x14ac:dyDescent="0.25">
      <c r="C536" s="598" t="s">
        <v>2350</v>
      </c>
      <c r="D536" s="1265" t="s">
        <v>2334</v>
      </c>
      <c r="E536" s="1260" t="str">
        <f ca="1">IF(Q200="Niedotyczy",D536,"")</f>
        <v>Nie dotyczy</v>
      </c>
    </row>
    <row r="537" spans="3:9" ht="13" x14ac:dyDescent="0.3">
      <c r="C537" s="433" t="s">
        <v>2138</v>
      </c>
      <c r="D537" s="433" t="s">
        <v>2137</v>
      </c>
      <c r="E537" s="433" t="s">
        <v>2135</v>
      </c>
      <c r="F537" s="433" t="s">
        <v>2132</v>
      </c>
    </row>
    <row r="538" spans="3:9" s="1250" customFormat="1" ht="50" x14ac:dyDescent="0.25">
      <c r="C538" s="1105" t="s">
        <v>2133</v>
      </c>
      <c r="D538" s="1257" t="s">
        <v>2131</v>
      </c>
      <c r="E538" s="1260" t="str">
        <f ca="1">IF(AJ200="Pozyczka PAKIET 5000","",
IF(CONCATENATE(AH200,AI200)="Z UBEZPIECZENIEM Jednorazowe",D538,""))</f>
        <v/>
      </c>
      <c r="F538" s="1258" t="str">
        <f ca="1">CONCATENATE(AH200,AI200,AJ200)</f>
        <v>BEZ UBEZPIECZENIA0MASS</v>
      </c>
      <c r="G538" s="559"/>
      <c r="H538" s="559"/>
      <c r="I538" s="559"/>
    </row>
    <row r="539" spans="3:9" s="1250" customFormat="1" ht="81.75" customHeight="1" x14ac:dyDescent="0.25">
      <c r="C539" s="1105" t="s">
        <v>2134</v>
      </c>
      <c r="D539" s="1257" t="str">
        <f ca="1">"Miesięczna składka ubezpieczeniowa w ramach Programu ubezpieczeniowego 'Bezpieczna Pożyczka "&amp;AI200&amp;" PLUS' pobierana będzie każdego " &amp;CONCATENATE(G8,"-go dnia miesiąca ")&amp;" począwszy od "&amp;TEXT(O200,"dd-mm-rrrr")&amp;" w wysokości "&amp;FIXED(AK200,2,FALSE)&amp;" zł, łącznie "
&amp;FIXED(AL200,2,FALSE)&amp;" zł w całym okresie na który zostanie zawarta Umowa "</f>
        <v xml:space="preserve">Miesięczna składka ubezpieczeniowa w ramach Programu ubezpieczeniowego 'Bezpieczna Pożyczka 0 PLUS' pobierana będzie każdego 26-go dnia miesiąca  począwszy od 26-07-2026 w wysokości 0,00 zł, łącznie 0,00 zł w całym okresie na który zostanie zawarta Umowa </v>
      </c>
      <c r="E539" s="1260" t="str">
        <f ca="1">IF(AJ200="Pozyczka PAKIET 5000","",
IF(AND(CONCATENATE(AH200)="Z UBEZPIECZENIEM ",CONCATENATE(AI200)&lt;&gt;"Jednorazowe"),D539,""))</f>
        <v/>
      </c>
      <c r="F539" s="547"/>
      <c r="G539" s="559"/>
      <c r="H539" s="559"/>
      <c r="I539" s="559"/>
    </row>
    <row r="540" spans="3:9" x14ac:dyDescent="0.25">
      <c r="D540" s="1250"/>
    </row>
    <row r="541" spans="3:9" x14ac:dyDescent="0.25">
      <c r="D541" s="455"/>
    </row>
    <row r="542" spans="3:9" ht="13" x14ac:dyDescent="0.3">
      <c r="C542" s="433" t="s">
        <v>2140</v>
      </c>
      <c r="D542" s="433" t="s">
        <v>2143</v>
      </c>
      <c r="E542" s="433" t="s">
        <v>2144</v>
      </c>
    </row>
    <row r="543" spans="3:9" s="431" customFormat="1" ht="51" customHeight="1" x14ac:dyDescent="0.25">
      <c r="C543" s="1105" t="s">
        <v>2145</v>
      </c>
      <c r="D543" s="1260" t="str">
        <f ca="1">IF(OR(AG200="Pozyczka PAKIET 5000",CONCATENATE(AH200)&lt;&gt;"Z UBEZPIECZENIEM "),
"7. stopa oprocentowania pożyczki oraz opłaty uwzględniane przy ustalaniu RRSO pozostaną niezmienione przez cały czas obowiązywania Umowy","")</f>
        <v>7. stopa oprocentowania pożyczki oraz opłaty uwzględniane przy ustalaniu RRSO pozostaną niezmienione przez cały czas obowiązywania Umowy</v>
      </c>
      <c r="E543" s="1260" t="str">
        <f ca="1">CONCATENATE(D543,D544,D545)</f>
        <v>7. stopa oprocentowania pożyczki oraz opłaty uwzględniane przy ustalaniu RRSO pozostaną niezmienione przez cały czas obowiązywania Umowy</v>
      </c>
      <c r="F543" s="547"/>
      <c r="G543" s="547"/>
      <c r="H543" s="547"/>
      <c r="I543" s="547"/>
    </row>
    <row r="544" spans="3:9" s="431" customFormat="1" ht="75.650000000000006" customHeight="1" x14ac:dyDescent="0.25">
      <c r="C544" s="1105" t="s">
        <v>2141</v>
      </c>
      <c r="D544" s="1261" t="str">
        <f ca="1">IF(AND(CONCATENATE(AI200)="Jednorazowe",CONCATENATE(AH200)="Z UBEZPIECZENIEM ",AG200&lt;&gt;"Pozyczka PAKIET 5000"),
"7. opłata za udostępnienie ubezpieczenia w ramach Programu ubezpieczeniowego Bezpieczna Pożyczka wyniesie "
&amp;FIXED(G5,2,FALSE)&amp;" zł,
8. stopa oprocentowania pożyczki oraz opłaty uwzględniane przy ustalaniu RRSO pozostaną niezmienione przez cały czas obowiązywania Umowy,","")</f>
        <v/>
      </c>
      <c r="F544" s="547"/>
      <c r="G544" s="547"/>
      <c r="H544" s="547"/>
      <c r="I544" s="547"/>
    </row>
    <row r="545" spans="3:110" s="431" customFormat="1" ht="85.15" customHeight="1" x14ac:dyDescent="0.25">
      <c r="C545" s="1105" t="s">
        <v>2142</v>
      </c>
      <c r="D545" s="1261" t="str">
        <f ca="1">IF(AND(CONCATENATE(AI200)&lt;&gt;"Jednorazowe",AG200&lt;&gt;"Pozyczka PAKIET 5000",
CONCATENATE(AH200)="Z UBEZPIECZENIEM "),
IF(prowizja_kredytowana=TRUE,"5.","6.")&amp;" miesięczna składka ubezpieczeniowa w ramach Programu ubezpieczeniowego 'Bezpieczna Pożyczka "&amp;AI200&amp;" PLUS' pobierana  będzie każdego " &amp;CONCATENATE(G8,"-go dnia miesiąca ")&amp;" począwszy od "&amp;TEXT(O200,"dd-mm-rrrr")&amp;" w wysokości "&amp;FIXED(AK200,2,FALSE)&amp;" zł, łącznie "
&amp;FIXED(AL200,2,FALSE)&amp;" w całym okresie na który zostanie zawarta Umowa. 
"&amp;IF(prowizja_kredytowana=TRUE,"6.","7.")&amp;" stopa oprocentowania pożyczki oraz opłaty uwzględniane przy ustalaniu RRSO pozostaną niezmienione przez cały czas obowiązywania Umowy.","")</f>
        <v/>
      </c>
      <c r="E545" s="1105"/>
      <c r="F545" s="547"/>
      <c r="G545" s="547"/>
      <c r="H545" s="547"/>
      <c r="I545" s="547"/>
      <c r="DF545" s="1262"/>
    </row>
    <row r="546" spans="3:110" s="431" customFormat="1" x14ac:dyDescent="0.25">
      <c r="D546" s="1259"/>
      <c r="F546" s="547"/>
      <c r="G546" s="547"/>
      <c r="H546" s="547"/>
      <c r="I546" s="547"/>
    </row>
    <row r="547" spans="3:110" s="431" customFormat="1" x14ac:dyDescent="0.25">
      <c r="C547" s="1104"/>
      <c r="D547" s="1104"/>
      <c r="F547" s="547"/>
      <c r="G547" s="547"/>
      <c r="H547" s="547"/>
      <c r="I547" s="547"/>
    </row>
    <row r="548" spans="3:110" x14ac:dyDescent="0.25">
      <c r="C548" s="598" t="s">
        <v>2224</v>
      </c>
      <c r="E548" s="598" t="s">
        <v>2255</v>
      </c>
    </row>
    <row r="549" spans="3:110" ht="195" customHeight="1" x14ac:dyDescent="0.25">
      <c r="C549" s="598" t="s">
        <v>2225</v>
      </c>
      <c r="D549" s="1524" t="str">
        <f ca="1">FIXED(100*FWartOproc,2,FALSE)&amp;"% w stosunku rocznym."&amp;"
Wysokość oprocentowania pożyczki nie zmieni się w całym okresie obowiązywania Umowy – z jednym zastrzeżeniem, że oprocentowanie pożyczki nie może przekroczyć w stosunku rocznym wysokości odsetek maksymalnych określonych w Kodeksie Cywilnym."&amp;" Na dzień sporządzenia Formularza stanowią one dwukrotność wysokości odsetek ustawowych."&amp;"
Jeśli w wyniku zmiany wysokości odsetek maksymalnych oprocentowanie pożyczki określone w Umowie będzie wyższe niż odsetki maksymalne, Bank będzie naliczał oprocentowanie w wysokości odsetek maksymalnych."&amp;" Zrobi to od dnia wejścia w życie zmienionej wysokości odsetek maksymalnych."&amp;"
Bank powróci do naliczania oprocentowania określonego w Umowie, gdy wysokość odsetek maksymalnych będzie równa oprocentowaniu określonemu w Umowie lub od niego większa,"&amp;"Bank powróci do naliczania oprocentowania określonego w Umowie, gdy wysokość odsetek maksymalnych będzie równa oprocentowaniu określonemu w Umowie lub od niego większa,"&amp;"
W takiej sytuacji Bank bezpłatnie poniformuje Pożyczkobiorcę w sposób określony w Zasdach doręczania korespondencji o zmianie harmonogramu spłaty."&amp;" Zmieniony harmonogram będzie wskazywał nową wysokość raty wyliczoną przy uwzględnieniu liczby rat pozostających do spłaty oraz czasu obowiązywania Umowy."&amp;" Najbliższą ratę po zmianie wysokości odsetek maksymalnych określoną w Kodeksie cywilnym Pożyczkobiorca zapłaci jeszcze w dotychczasowe wysokości, a kolejną już w nowej wysokości."</f>
        <v>8,49% w stosunku rocznym.
Wysokość oprocentowania pożyczki nie zmieni się w całym okresie obowiązywania Umowy – z jednym zastrzeżeniem, że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oprocentowaniu określonemu w Umowie lub od niego większa,Bank powróci do naliczania oprocentowania określonego w Umowie, gdy wysokość odsetek maksymalnych będzie równa oprocentowaniu określonemu w Umowie lub od niego większa,
W takiej sytuacji Bank bezpłatnie poniformuje Pożyczkobiorcę w sposób określony w Zasdach doręczania korespondencji o zmianie harmonogramu spłaty. Zmieniony harmonogram będzie wskazywał nową wysokość raty wyliczoną przy uwzględnieniu liczby rat pozostających do spłaty oraz czasu obowiązywania Umowy. Najbliższą ratę po zmianie wysokości odsetek maksymalnych określoną w Kodeksie cywilnym Pożyczkobiorca zapłaci jeszcze w dotychczasowe wysokości, a kolejną już w nowej wysokości.</v>
      </c>
      <c r="E549" s="1708" t="s">
        <v>2253</v>
      </c>
    </row>
    <row r="550" spans="3:110" ht="130" customHeight="1" x14ac:dyDescent="0.25">
      <c r="C550" s="598" t="s">
        <v>2377</v>
      </c>
      <c r="D550" s="1524" t="str">
        <f ca="1">FIXED(100*FWartOproc,2,FALSE)&amp;"% w stosunku rocznym."&amp;" 
Składniki oprocentowania: 
a) "&amp;E2*100&amp;"% - stopa referencyjna
b) "&amp;E4*100&amp;"% stała marża Banku."</f>
        <v>8,49% w stosunku rocznym. 
Składniki oprocentowania: 
a) 3,75% - stopa referencyjna
b) 4,74% stała marża Banku.</v>
      </c>
      <c r="E550" s="1709" t="s">
        <v>2284</v>
      </c>
    </row>
    <row r="551" spans="3:110" ht="259.5" customHeight="1" x14ac:dyDescent="0.25">
      <c r="C551" s="598" t="s">
        <v>2378</v>
      </c>
      <c r="D551" s="1524" t="s">
        <v>2417</v>
      </c>
    </row>
    <row r="552" spans="3:110" x14ac:dyDescent="0.25">
      <c r="D552" s="1523" t="str">
        <f ca="1">"W dniu "&amp;TEXT(TODAY(),"dd-mm-rrrr")&amp;" stopa referencyjna uchwalona przez Radę Polityki Pieniężnej wynosi "&amp;E2*100&amp;"%."</f>
        <v>W dniu 26-06-2026 stopa referencyjna uchwalona przez Radę Polityki Pieniężnej wynosi 3,75%.</v>
      </c>
    </row>
    <row r="555" spans="3:110" ht="64.5" customHeight="1" x14ac:dyDescent="0.3">
      <c r="C555" s="430" t="s">
        <v>2348</v>
      </c>
      <c r="D555" s="1196" t="str">
        <f>IF(prowizja_kredytowana=FALSE,IF(WERSJA2!D4="Z UBEZPIECZENIEM ",D556,D557),IF(WERSJA2!D4="Z UBEZPIECZENIEM ",FORMULARZ!D558,FORMULARZ!D559))</f>
        <v>6.  prowizja za udzielenie pożyczki zostanie pobrana w dniu jej wypłaty;
7. wysokość oprocentowania, opłat i prowizji, która obowiązuje w dniu zawarcia Umowy, nie zmieni się w trakcie jej obowiązywania.</v>
      </c>
      <c r="E555" s="1103"/>
    </row>
    <row r="556" spans="3:110" ht="50" x14ac:dyDescent="0.25">
      <c r="C556" s="1811" t="s">
        <v>2345</v>
      </c>
      <c r="D556" s="1812" t="s">
        <v>2428</v>
      </c>
    </row>
    <row r="557" spans="3:110" ht="37.5" x14ac:dyDescent="0.25">
      <c r="C557" s="1811" t="s">
        <v>2346</v>
      </c>
      <c r="D557" s="1812" t="s">
        <v>2427</v>
      </c>
    </row>
    <row r="558" spans="3:110" ht="50" x14ac:dyDescent="0.25">
      <c r="C558" s="1811" t="s">
        <v>2344</v>
      </c>
      <c r="D558" s="1812" t="s">
        <v>2430</v>
      </c>
    </row>
    <row r="559" spans="3:110" ht="37.5" x14ac:dyDescent="0.25">
      <c r="C559" s="1811" t="s">
        <v>2347</v>
      </c>
      <c r="D559" s="1812" t="s">
        <v>2431</v>
      </c>
    </row>
    <row r="597" spans="3:12" ht="23" x14ac:dyDescent="0.5">
      <c r="C597" s="428" t="s">
        <v>359</v>
      </c>
      <c r="D597" s="441" t="s">
        <v>360</v>
      </c>
    </row>
    <row r="598" spans="3:12" s="430" customFormat="1" ht="13" x14ac:dyDescent="0.3">
      <c r="C598" s="430" t="s">
        <v>361</v>
      </c>
      <c r="D598" s="430" t="s">
        <v>362</v>
      </c>
      <c r="E598" s="430" t="s">
        <v>363</v>
      </c>
      <c r="F598" s="558" t="s">
        <v>364</v>
      </c>
      <c r="G598" s="558" t="s">
        <v>365</v>
      </c>
      <c r="H598" s="558" t="s">
        <v>366</v>
      </c>
      <c r="I598" s="558" t="s">
        <v>367</v>
      </c>
      <c r="J598" s="430" t="s">
        <v>368</v>
      </c>
      <c r="K598" s="430" t="s">
        <v>369</v>
      </c>
      <c r="L598" s="430" t="s">
        <v>370</v>
      </c>
    </row>
    <row r="599" spans="3:12" x14ac:dyDescent="0.25">
      <c r="C599" s="426">
        <v>10</v>
      </c>
      <c r="D599" s="426" t="s">
        <v>371</v>
      </c>
      <c r="E599" s="426" t="s">
        <v>372</v>
      </c>
      <c r="F599" s="546" t="s">
        <v>373</v>
      </c>
      <c r="G599" s="546" t="s">
        <v>374</v>
      </c>
      <c r="H599" s="546" t="s">
        <v>375</v>
      </c>
    </row>
    <row r="600" spans="3:12" x14ac:dyDescent="0.25">
      <c r="C600" s="426">
        <v>11</v>
      </c>
      <c r="D600" s="426" t="s">
        <v>376</v>
      </c>
      <c r="E600" s="426" t="s">
        <v>372</v>
      </c>
      <c r="F600" s="546" t="s">
        <v>377</v>
      </c>
      <c r="G600" s="546" t="s">
        <v>378</v>
      </c>
      <c r="H600" s="546" t="s">
        <v>379</v>
      </c>
    </row>
    <row r="601" spans="3:12" x14ac:dyDescent="0.25">
      <c r="C601" s="426">
        <v>12</v>
      </c>
      <c r="D601" s="426" t="s">
        <v>380</v>
      </c>
      <c r="E601" s="426" t="s">
        <v>372</v>
      </c>
      <c r="F601" s="546" t="s">
        <v>381</v>
      </c>
      <c r="G601" s="546" t="s">
        <v>382</v>
      </c>
      <c r="H601" s="546" t="s">
        <v>383</v>
      </c>
    </row>
    <row r="602" spans="3:12" x14ac:dyDescent="0.25">
      <c r="C602" s="426">
        <v>13</v>
      </c>
      <c r="D602" s="426" t="s">
        <v>384</v>
      </c>
      <c r="E602" s="426" t="s">
        <v>372</v>
      </c>
      <c r="F602" s="546" t="s">
        <v>385</v>
      </c>
      <c r="G602" s="546" t="s">
        <v>386</v>
      </c>
      <c r="H602" s="546" t="s">
        <v>387</v>
      </c>
    </row>
    <row r="603" spans="3:12" x14ac:dyDescent="0.25">
      <c r="C603" s="426">
        <v>14</v>
      </c>
      <c r="D603" s="426" t="s">
        <v>388</v>
      </c>
      <c r="E603" s="426" t="s">
        <v>372</v>
      </c>
      <c r="F603" s="546" t="s">
        <v>389</v>
      </c>
      <c r="G603" s="546" t="s">
        <v>390</v>
      </c>
      <c r="H603" s="546" t="s">
        <v>391</v>
      </c>
    </row>
    <row r="604" spans="3:12" x14ac:dyDescent="0.25">
      <c r="C604" s="426">
        <v>15</v>
      </c>
      <c r="D604" s="426" t="s">
        <v>392</v>
      </c>
      <c r="E604" s="426" t="s">
        <v>372</v>
      </c>
      <c r="F604" s="546" t="s">
        <v>393</v>
      </c>
      <c r="G604" s="546" t="s">
        <v>394</v>
      </c>
      <c r="H604" s="546" t="s">
        <v>395</v>
      </c>
    </row>
    <row r="605" spans="3:12" x14ac:dyDescent="0.25">
      <c r="C605" s="426">
        <v>16</v>
      </c>
      <c r="D605" s="426" t="s">
        <v>396</v>
      </c>
      <c r="E605" s="426" t="s">
        <v>372</v>
      </c>
      <c r="F605" s="546" t="s">
        <v>397</v>
      </c>
      <c r="G605" s="546" t="s">
        <v>398</v>
      </c>
      <c r="H605" s="546" t="s">
        <v>1932</v>
      </c>
    </row>
    <row r="606" spans="3:12" x14ac:dyDescent="0.25">
      <c r="C606" s="426">
        <v>17</v>
      </c>
      <c r="D606" s="426" t="s">
        <v>399</v>
      </c>
      <c r="E606" s="426" t="s">
        <v>372</v>
      </c>
      <c r="F606" s="546" t="s">
        <v>400</v>
      </c>
      <c r="G606" s="546" t="s">
        <v>401</v>
      </c>
      <c r="H606" s="546" t="s">
        <v>402</v>
      </c>
    </row>
    <row r="607" spans="3:12" x14ac:dyDescent="0.25">
      <c r="C607" s="426">
        <v>18</v>
      </c>
      <c r="D607" s="426" t="s">
        <v>403</v>
      </c>
      <c r="E607" s="426" t="s">
        <v>372</v>
      </c>
      <c r="F607" s="546" t="s">
        <v>404</v>
      </c>
      <c r="G607" s="546" t="s">
        <v>405</v>
      </c>
      <c r="H607" s="546" t="s">
        <v>406</v>
      </c>
    </row>
    <row r="608" spans="3:12" x14ac:dyDescent="0.25">
      <c r="C608" s="426">
        <v>19</v>
      </c>
      <c r="D608" s="426" t="s">
        <v>407</v>
      </c>
      <c r="E608" s="426" t="s">
        <v>372</v>
      </c>
      <c r="F608" s="546" t="s">
        <v>408</v>
      </c>
      <c r="G608" s="546" t="s">
        <v>409</v>
      </c>
      <c r="H608" s="546" t="s">
        <v>410</v>
      </c>
    </row>
    <row r="609" spans="3:8" x14ac:dyDescent="0.25">
      <c r="C609" s="426">
        <v>20</v>
      </c>
      <c r="D609" s="426" t="s">
        <v>411</v>
      </c>
      <c r="E609" s="426" t="s">
        <v>372</v>
      </c>
      <c r="F609" s="546" t="s">
        <v>373</v>
      </c>
      <c r="G609" s="546" t="s">
        <v>412</v>
      </c>
      <c r="H609" s="546" t="s">
        <v>413</v>
      </c>
    </row>
    <row r="610" spans="3:8" x14ac:dyDescent="0.25">
      <c r="C610" s="426">
        <v>21</v>
      </c>
      <c r="D610" s="426" t="s">
        <v>414</v>
      </c>
      <c r="E610" s="426" t="s">
        <v>372</v>
      </c>
      <c r="F610" s="546" t="s">
        <v>373</v>
      </c>
      <c r="G610" s="546" t="s">
        <v>374</v>
      </c>
      <c r="H610" s="546" t="s">
        <v>415</v>
      </c>
    </row>
    <row r="611" spans="3:8" x14ac:dyDescent="0.25">
      <c r="C611" s="426">
        <v>22</v>
      </c>
      <c r="D611" s="426" t="s">
        <v>414</v>
      </c>
      <c r="E611" s="426" t="s">
        <v>372</v>
      </c>
      <c r="F611" s="546" t="s">
        <v>373</v>
      </c>
      <c r="G611" s="546" t="s">
        <v>416</v>
      </c>
      <c r="H611" s="546" t="s">
        <v>417</v>
      </c>
    </row>
    <row r="612" spans="3:8" x14ac:dyDescent="0.25">
      <c r="C612" s="426">
        <v>23</v>
      </c>
      <c r="D612" s="426" t="s">
        <v>418</v>
      </c>
      <c r="E612" s="426" t="s">
        <v>372</v>
      </c>
      <c r="F612" s="546" t="s">
        <v>419</v>
      </c>
      <c r="G612" s="546" t="s">
        <v>420</v>
      </c>
      <c r="H612" s="546" t="s">
        <v>421</v>
      </c>
    </row>
    <row r="613" spans="3:8" x14ac:dyDescent="0.25">
      <c r="C613" s="426">
        <v>24</v>
      </c>
      <c r="D613" s="426" t="s">
        <v>422</v>
      </c>
      <c r="E613" s="426" t="s">
        <v>372</v>
      </c>
      <c r="F613" s="546" t="s">
        <v>423</v>
      </c>
      <c r="G613" s="546" t="s">
        <v>424</v>
      </c>
      <c r="H613" s="546" t="s">
        <v>425</v>
      </c>
    </row>
    <row r="614" spans="3:8" x14ac:dyDescent="0.25">
      <c r="C614" s="426">
        <v>25</v>
      </c>
      <c r="D614" s="426" t="s">
        <v>426</v>
      </c>
      <c r="E614" s="426" t="s">
        <v>372</v>
      </c>
      <c r="F614" s="546" t="s">
        <v>427</v>
      </c>
      <c r="G614" s="546" t="s">
        <v>428</v>
      </c>
      <c r="H614" s="546" t="s">
        <v>429</v>
      </c>
    </row>
    <row r="615" spans="3:8" x14ac:dyDescent="0.25">
      <c r="C615" s="426">
        <v>27</v>
      </c>
      <c r="D615" s="426" t="s">
        <v>430</v>
      </c>
      <c r="E615" s="426" t="s">
        <v>372</v>
      </c>
      <c r="F615" s="546" t="s">
        <v>431</v>
      </c>
      <c r="G615" s="546" t="s">
        <v>432</v>
      </c>
      <c r="H615" s="546" t="s">
        <v>433</v>
      </c>
    </row>
    <row r="616" spans="3:8" x14ac:dyDescent="0.25">
      <c r="C616" s="426">
        <v>28</v>
      </c>
      <c r="D616" s="426" t="s">
        <v>414</v>
      </c>
      <c r="E616" s="426" t="s">
        <v>372</v>
      </c>
      <c r="F616" s="546" t="s">
        <v>373</v>
      </c>
      <c r="G616" s="546" t="s">
        <v>434</v>
      </c>
      <c r="H616" s="546" t="s">
        <v>435</v>
      </c>
    </row>
    <row r="617" spans="3:8" x14ac:dyDescent="0.25">
      <c r="C617" s="426">
        <v>29</v>
      </c>
      <c r="D617" s="426" t="s">
        <v>436</v>
      </c>
      <c r="E617" s="426" t="s">
        <v>372</v>
      </c>
      <c r="F617" s="546" t="s">
        <v>437</v>
      </c>
      <c r="G617" s="546" t="s">
        <v>438</v>
      </c>
      <c r="H617" s="546" t="s">
        <v>439</v>
      </c>
    </row>
    <row r="618" spans="3:8" x14ac:dyDescent="0.25">
      <c r="C618" s="426">
        <v>30</v>
      </c>
      <c r="D618" s="426" t="s">
        <v>440</v>
      </c>
      <c r="E618" s="426" t="s">
        <v>372</v>
      </c>
      <c r="F618" s="546" t="s">
        <v>437</v>
      </c>
      <c r="G618" s="546" t="s">
        <v>438</v>
      </c>
      <c r="H618" s="546" t="s">
        <v>441</v>
      </c>
    </row>
    <row r="619" spans="3:8" x14ac:dyDescent="0.25">
      <c r="C619" s="426">
        <v>31</v>
      </c>
      <c r="D619" s="426" t="s">
        <v>442</v>
      </c>
      <c r="E619" s="426" t="s">
        <v>372</v>
      </c>
      <c r="F619" s="546" t="s">
        <v>443</v>
      </c>
      <c r="G619" s="546" t="s">
        <v>444</v>
      </c>
      <c r="H619" s="546" t="s">
        <v>445</v>
      </c>
    </row>
    <row r="620" spans="3:8" x14ac:dyDescent="0.25">
      <c r="C620" s="426">
        <v>32</v>
      </c>
      <c r="D620" s="426" t="s">
        <v>442</v>
      </c>
      <c r="E620" s="426" t="s">
        <v>372</v>
      </c>
      <c r="F620" s="546" t="s">
        <v>443</v>
      </c>
      <c r="G620" s="546" t="s">
        <v>444</v>
      </c>
      <c r="H620" s="546" t="s">
        <v>446</v>
      </c>
    </row>
    <row r="621" spans="3:8" x14ac:dyDescent="0.25">
      <c r="C621" s="426">
        <v>33</v>
      </c>
      <c r="D621" s="426" t="s">
        <v>447</v>
      </c>
      <c r="E621" s="426" t="s">
        <v>372</v>
      </c>
      <c r="F621" s="546" t="s">
        <v>448</v>
      </c>
      <c r="G621" s="546" t="s">
        <v>449</v>
      </c>
      <c r="H621" s="546" t="s">
        <v>2103</v>
      </c>
    </row>
    <row r="622" spans="3:8" x14ac:dyDescent="0.25">
      <c r="C622" s="426">
        <v>34</v>
      </c>
      <c r="D622" s="426" t="s">
        <v>451</v>
      </c>
      <c r="E622" s="426" t="s">
        <v>372</v>
      </c>
      <c r="F622" s="546" t="s">
        <v>452</v>
      </c>
      <c r="G622" s="546" t="s">
        <v>453</v>
      </c>
      <c r="H622" s="546" t="s">
        <v>454</v>
      </c>
    </row>
    <row r="623" spans="3:8" x14ac:dyDescent="0.25">
      <c r="C623" s="426">
        <v>35</v>
      </c>
      <c r="D623" s="426" t="s">
        <v>455</v>
      </c>
      <c r="E623" s="426" t="s">
        <v>372</v>
      </c>
      <c r="F623" s="546" t="s">
        <v>456</v>
      </c>
      <c r="G623" s="546" t="s">
        <v>457</v>
      </c>
      <c r="H623" s="546" t="s">
        <v>458</v>
      </c>
    </row>
    <row r="624" spans="3:8" x14ac:dyDescent="0.25">
      <c r="C624" s="426">
        <v>36</v>
      </c>
      <c r="D624" s="426" t="s">
        <v>455</v>
      </c>
      <c r="E624" s="426" t="s">
        <v>372</v>
      </c>
      <c r="F624" s="546" t="s">
        <v>456</v>
      </c>
      <c r="G624" s="546" t="s">
        <v>457</v>
      </c>
      <c r="H624" s="546" t="s">
        <v>459</v>
      </c>
    </row>
    <row r="625" spans="3:8" x14ac:dyDescent="0.25">
      <c r="C625" s="426">
        <v>37</v>
      </c>
      <c r="D625" s="426" t="s">
        <v>436</v>
      </c>
      <c r="E625" s="426" t="s">
        <v>372</v>
      </c>
      <c r="F625" s="546" t="s">
        <v>437</v>
      </c>
      <c r="G625" s="546" t="s">
        <v>460</v>
      </c>
      <c r="H625" s="546" t="s">
        <v>461</v>
      </c>
    </row>
    <row r="626" spans="3:8" x14ac:dyDescent="0.25">
      <c r="C626" s="426">
        <v>38</v>
      </c>
      <c r="D626" s="426" t="s">
        <v>436</v>
      </c>
      <c r="E626" s="426" t="s">
        <v>372</v>
      </c>
      <c r="F626" s="546" t="s">
        <v>437</v>
      </c>
      <c r="G626" s="546" t="s">
        <v>462</v>
      </c>
      <c r="H626" s="546" t="s">
        <v>463</v>
      </c>
    </row>
    <row r="627" spans="3:8" x14ac:dyDescent="0.25">
      <c r="C627" s="426">
        <v>40</v>
      </c>
      <c r="D627" s="426" t="s">
        <v>447</v>
      </c>
      <c r="E627" s="426" t="s">
        <v>372</v>
      </c>
      <c r="F627" s="546" t="s">
        <v>448</v>
      </c>
      <c r="G627" s="546" t="s">
        <v>464</v>
      </c>
      <c r="H627" s="546" t="s">
        <v>465</v>
      </c>
    </row>
    <row r="628" spans="3:8" x14ac:dyDescent="0.25">
      <c r="C628" s="426">
        <v>41</v>
      </c>
      <c r="D628" s="426" t="s">
        <v>466</v>
      </c>
      <c r="E628" s="426" t="s">
        <v>372</v>
      </c>
      <c r="F628" s="546" t="s">
        <v>467</v>
      </c>
      <c r="G628" s="546" t="s">
        <v>468</v>
      </c>
      <c r="H628" s="546" t="s">
        <v>469</v>
      </c>
    </row>
    <row r="629" spans="3:8" x14ac:dyDescent="0.25">
      <c r="C629" s="426">
        <v>42</v>
      </c>
      <c r="D629" s="426" t="s">
        <v>470</v>
      </c>
      <c r="E629" s="426" t="s">
        <v>372</v>
      </c>
      <c r="F629" s="546" t="s">
        <v>471</v>
      </c>
      <c r="G629" s="546" t="s">
        <v>472</v>
      </c>
      <c r="H629" s="546" t="s">
        <v>473</v>
      </c>
    </row>
    <row r="630" spans="3:8" x14ac:dyDescent="0.25">
      <c r="C630" s="426">
        <v>44</v>
      </c>
      <c r="D630" s="426" t="s">
        <v>436</v>
      </c>
      <c r="E630" s="426" t="s">
        <v>372</v>
      </c>
      <c r="F630" s="546" t="s">
        <v>437</v>
      </c>
      <c r="G630" s="546" t="s">
        <v>438</v>
      </c>
      <c r="H630" s="546" t="s">
        <v>474</v>
      </c>
    </row>
    <row r="631" spans="3:8" x14ac:dyDescent="0.25">
      <c r="C631" s="426">
        <v>45</v>
      </c>
      <c r="D631" s="426" t="s">
        <v>436</v>
      </c>
      <c r="E631" s="426" t="s">
        <v>372</v>
      </c>
      <c r="F631" s="546" t="s">
        <v>437</v>
      </c>
      <c r="G631" s="546" t="s">
        <v>475</v>
      </c>
      <c r="H631" s="546" t="s">
        <v>476</v>
      </c>
    </row>
    <row r="632" spans="3:8" x14ac:dyDescent="0.25">
      <c r="C632" s="426">
        <v>46</v>
      </c>
      <c r="D632" s="426" t="s">
        <v>477</v>
      </c>
      <c r="E632" s="426" t="s">
        <v>372</v>
      </c>
      <c r="F632" s="546" t="s">
        <v>478</v>
      </c>
      <c r="G632" s="546" t="s">
        <v>479</v>
      </c>
      <c r="H632" s="546" t="s">
        <v>1933</v>
      </c>
    </row>
    <row r="633" spans="3:8" x14ac:dyDescent="0.25">
      <c r="C633" s="426">
        <v>47</v>
      </c>
      <c r="D633" s="426" t="s">
        <v>480</v>
      </c>
      <c r="E633" s="426" t="s">
        <v>372</v>
      </c>
      <c r="F633" s="546" t="s">
        <v>481</v>
      </c>
      <c r="G633" s="546" t="s">
        <v>482</v>
      </c>
      <c r="H633" s="546" t="s">
        <v>483</v>
      </c>
    </row>
    <row r="634" spans="3:8" x14ac:dyDescent="0.25">
      <c r="C634" s="426">
        <v>48</v>
      </c>
      <c r="D634" s="426" t="s">
        <v>484</v>
      </c>
      <c r="E634" s="426" t="s">
        <v>372</v>
      </c>
      <c r="F634" s="546" t="s">
        <v>485</v>
      </c>
      <c r="G634" s="546" t="s">
        <v>486</v>
      </c>
      <c r="H634" s="546" t="s">
        <v>487</v>
      </c>
    </row>
    <row r="635" spans="3:8" x14ac:dyDescent="0.25">
      <c r="C635" s="426">
        <v>49</v>
      </c>
      <c r="D635" s="426" t="s">
        <v>488</v>
      </c>
      <c r="E635" s="426" t="s">
        <v>372</v>
      </c>
      <c r="F635" s="546" t="s">
        <v>489</v>
      </c>
      <c r="G635" s="546" t="s">
        <v>490</v>
      </c>
      <c r="H635" s="546" t="s">
        <v>491</v>
      </c>
    </row>
    <row r="636" spans="3:8" x14ac:dyDescent="0.25">
      <c r="C636" s="426">
        <v>50</v>
      </c>
      <c r="D636" s="426" t="s">
        <v>492</v>
      </c>
      <c r="E636" s="426" t="s">
        <v>372</v>
      </c>
      <c r="F636" s="546" t="s">
        <v>493</v>
      </c>
      <c r="G636" s="546" t="s">
        <v>494</v>
      </c>
      <c r="H636" s="546" t="s">
        <v>495</v>
      </c>
    </row>
    <row r="637" spans="3:8" x14ac:dyDescent="0.25">
      <c r="C637" s="426">
        <v>51</v>
      </c>
      <c r="D637" s="426" t="s">
        <v>496</v>
      </c>
      <c r="E637" s="426" t="s">
        <v>372</v>
      </c>
      <c r="F637" s="546" t="s">
        <v>497</v>
      </c>
      <c r="G637" s="546" t="s">
        <v>498</v>
      </c>
      <c r="H637" s="546" t="s">
        <v>499</v>
      </c>
    </row>
    <row r="638" spans="3:8" x14ac:dyDescent="0.25">
      <c r="C638" s="426">
        <v>52</v>
      </c>
      <c r="D638" s="426" t="s">
        <v>500</v>
      </c>
      <c r="E638" s="426" t="s">
        <v>372</v>
      </c>
      <c r="F638" s="546" t="s">
        <v>501</v>
      </c>
      <c r="G638" s="546" t="s">
        <v>502</v>
      </c>
      <c r="H638" s="546" t="s">
        <v>503</v>
      </c>
    </row>
    <row r="639" spans="3:8" x14ac:dyDescent="0.25">
      <c r="C639" s="426">
        <v>53</v>
      </c>
      <c r="D639" s="426" t="s">
        <v>504</v>
      </c>
      <c r="E639" s="426" t="s">
        <v>372</v>
      </c>
      <c r="F639" s="546" t="s">
        <v>505</v>
      </c>
      <c r="G639" s="546" t="s">
        <v>506</v>
      </c>
      <c r="H639" s="546" t="s">
        <v>507</v>
      </c>
    </row>
    <row r="640" spans="3:8" x14ac:dyDescent="0.25">
      <c r="C640" s="426">
        <v>54</v>
      </c>
      <c r="D640" s="426" t="s">
        <v>508</v>
      </c>
      <c r="E640" s="426" t="s">
        <v>372</v>
      </c>
      <c r="F640" s="546" t="s">
        <v>509</v>
      </c>
      <c r="G640" s="546" t="s">
        <v>510</v>
      </c>
      <c r="H640" s="546" t="s">
        <v>511</v>
      </c>
    </row>
    <row r="641" spans="3:8" x14ac:dyDescent="0.25">
      <c r="C641" s="426">
        <v>55</v>
      </c>
      <c r="D641" s="426" t="s">
        <v>512</v>
      </c>
      <c r="E641" s="426" t="s">
        <v>372</v>
      </c>
      <c r="F641" s="546" t="s">
        <v>513</v>
      </c>
      <c r="G641" s="546" t="s">
        <v>514</v>
      </c>
      <c r="H641" s="546" t="s">
        <v>515</v>
      </c>
    </row>
    <row r="642" spans="3:8" x14ac:dyDescent="0.25">
      <c r="C642" s="426">
        <v>56</v>
      </c>
      <c r="D642" s="426" t="s">
        <v>516</v>
      </c>
      <c r="E642" s="426" t="s">
        <v>372</v>
      </c>
      <c r="F642" s="546" t="s">
        <v>517</v>
      </c>
      <c r="G642" s="546" t="s">
        <v>518</v>
      </c>
      <c r="H642" s="546" t="s">
        <v>519</v>
      </c>
    </row>
    <row r="643" spans="3:8" x14ac:dyDescent="0.25">
      <c r="C643" s="426">
        <v>57</v>
      </c>
      <c r="D643" s="426" t="s">
        <v>520</v>
      </c>
      <c r="E643" s="426" t="s">
        <v>372</v>
      </c>
      <c r="F643" s="546" t="s">
        <v>521</v>
      </c>
      <c r="G643" s="546" t="s">
        <v>522</v>
      </c>
      <c r="H643" s="546" t="s">
        <v>523</v>
      </c>
    </row>
    <row r="644" spans="3:8" x14ac:dyDescent="0.25">
      <c r="C644" s="426">
        <v>58</v>
      </c>
      <c r="D644" s="426" t="s">
        <v>524</v>
      </c>
      <c r="E644" s="426" t="s">
        <v>372</v>
      </c>
      <c r="F644" s="546" t="s">
        <v>525</v>
      </c>
      <c r="G644" s="546" t="s">
        <v>526</v>
      </c>
      <c r="H644" s="546" t="s">
        <v>527</v>
      </c>
    </row>
    <row r="645" spans="3:8" x14ac:dyDescent="0.25">
      <c r="C645" s="426">
        <v>60</v>
      </c>
      <c r="D645" s="426" t="s">
        <v>492</v>
      </c>
      <c r="E645" s="426" t="s">
        <v>372</v>
      </c>
      <c r="F645" s="546" t="s">
        <v>493</v>
      </c>
      <c r="G645" s="546" t="s">
        <v>494</v>
      </c>
      <c r="H645" s="546" t="s">
        <v>528</v>
      </c>
    </row>
    <row r="646" spans="3:8" x14ac:dyDescent="0.25">
      <c r="C646" s="426">
        <v>62</v>
      </c>
      <c r="D646" s="426" t="s">
        <v>492</v>
      </c>
      <c r="E646" s="426" t="s">
        <v>372</v>
      </c>
      <c r="F646" s="546" t="s">
        <v>493</v>
      </c>
      <c r="G646" s="546" t="s">
        <v>494</v>
      </c>
      <c r="H646" s="546" t="s">
        <v>529</v>
      </c>
    </row>
    <row r="647" spans="3:8" x14ac:dyDescent="0.25">
      <c r="C647" s="426">
        <v>63</v>
      </c>
      <c r="D647" s="426" t="s">
        <v>530</v>
      </c>
      <c r="E647" s="426" t="s">
        <v>372</v>
      </c>
      <c r="F647" s="546" t="s">
        <v>493</v>
      </c>
      <c r="G647" s="546" t="s">
        <v>494</v>
      </c>
      <c r="H647" s="546" t="s">
        <v>531</v>
      </c>
    </row>
    <row r="648" spans="3:8" x14ac:dyDescent="0.25">
      <c r="C648" s="426">
        <v>64</v>
      </c>
      <c r="D648" s="426" t="s">
        <v>532</v>
      </c>
      <c r="E648" s="426" t="s">
        <v>372</v>
      </c>
      <c r="F648" s="546" t="s">
        <v>533</v>
      </c>
      <c r="G648" s="546" t="s">
        <v>534</v>
      </c>
      <c r="H648" s="546" t="s">
        <v>535</v>
      </c>
    </row>
    <row r="649" spans="3:8" x14ac:dyDescent="0.25">
      <c r="C649" s="426">
        <v>65</v>
      </c>
      <c r="D649" s="426" t="s">
        <v>532</v>
      </c>
      <c r="E649" s="426" t="s">
        <v>372</v>
      </c>
      <c r="F649" s="546" t="s">
        <v>533</v>
      </c>
      <c r="G649" s="546" t="s">
        <v>536</v>
      </c>
      <c r="H649" s="546" t="s">
        <v>537</v>
      </c>
    </row>
    <row r="650" spans="3:8" x14ac:dyDescent="0.25">
      <c r="C650" s="426">
        <v>68</v>
      </c>
      <c r="D650" s="426" t="s">
        <v>532</v>
      </c>
      <c r="E650" s="426" t="s">
        <v>372</v>
      </c>
      <c r="F650" s="546" t="s">
        <v>533</v>
      </c>
      <c r="G650" s="546" t="s">
        <v>538</v>
      </c>
      <c r="H650" s="546" t="s">
        <v>539</v>
      </c>
    </row>
    <row r="651" spans="3:8" x14ac:dyDescent="0.25">
      <c r="C651" s="426">
        <v>69</v>
      </c>
      <c r="D651" s="426" t="s">
        <v>540</v>
      </c>
      <c r="E651" s="426" t="s">
        <v>372</v>
      </c>
      <c r="F651" s="546" t="s">
        <v>533</v>
      </c>
      <c r="G651" s="546" t="s">
        <v>541</v>
      </c>
      <c r="H651" s="546" t="s">
        <v>2021</v>
      </c>
    </row>
    <row r="652" spans="3:8" x14ac:dyDescent="0.25">
      <c r="C652" s="426">
        <v>70</v>
      </c>
      <c r="D652" s="426" t="s">
        <v>532</v>
      </c>
      <c r="E652" s="426" t="s">
        <v>372</v>
      </c>
      <c r="F652" s="546" t="s">
        <v>533</v>
      </c>
      <c r="G652" s="546" t="s">
        <v>542</v>
      </c>
      <c r="H652" s="546" t="s">
        <v>543</v>
      </c>
    </row>
    <row r="653" spans="3:8" x14ac:dyDescent="0.25">
      <c r="C653" s="426">
        <v>71</v>
      </c>
      <c r="D653" s="426" t="s">
        <v>532</v>
      </c>
      <c r="E653" s="426" t="s">
        <v>372</v>
      </c>
      <c r="F653" s="546" t="s">
        <v>533</v>
      </c>
      <c r="G653" s="546" t="s">
        <v>544</v>
      </c>
      <c r="H653" s="546" t="s">
        <v>545</v>
      </c>
    </row>
    <row r="654" spans="3:8" x14ac:dyDescent="0.25">
      <c r="C654" s="426">
        <v>73</v>
      </c>
      <c r="D654" s="426" t="s">
        <v>546</v>
      </c>
      <c r="E654" s="426" t="s">
        <v>372</v>
      </c>
      <c r="F654" s="546" t="s">
        <v>547</v>
      </c>
      <c r="G654" s="546" t="s">
        <v>548</v>
      </c>
      <c r="H654" s="546" t="s">
        <v>2154</v>
      </c>
    </row>
    <row r="655" spans="3:8" x14ac:dyDescent="0.25">
      <c r="C655" s="426">
        <v>74</v>
      </c>
      <c r="D655" s="426" t="s">
        <v>550</v>
      </c>
      <c r="E655" s="426" t="s">
        <v>372</v>
      </c>
      <c r="F655" s="546" t="s">
        <v>551</v>
      </c>
      <c r="G655" s="546" t="s">
        <v>552</v>
      </c>
      <c r="H655" s="546" t="s">
        <v>553</v>
      </c>
    </row>
    <row r="656" spans="3:8" x14ac:dyDescent="0.25">
      <c r="C656" s="426">
        <v>75</v>
      </c>
      <c r="D656" s="426" t="s">
        <v>554</v>
      </c>
      <c r="E656" s="426" t="s">
        <v>372</v>
      </c>
      <c r="F656" s="546" t="s">
        <v>555</v>
      </c>
      <c r="G656" s="546" t="s">
        <v>556</v>
      </c>
      <c r="H656" s="546" t="s">
        <v>557</v>
      </c>
    </row>
    <row r="657" spans="3:8" x14ac:dyDescent="0.25">
      <c r="C657" s="426">
        <v>76</v>
      </c>
      <c r="D657" s="426" t="s">
        <v>558</v>
      </c>
      <c r="E657" s="426" t="s">
        <v>372</v>
      </c>
      <c r="F657" s="546" t="s">
        <v>559</v>
      </c>
      <c r="G657" s="546" t="s">
        <v>560</v>
      </c>
      <c r="H657" s="546" t="s">
        <v>561</v>
      </c>
    </row>
    <row r="658" spans="3:8" x14ac:dyDescent="0.25">
      <c r="C658" s="426">
        <v>77</v>
      </c>
      <c r="D658" s="426" t="s">
        <v>562</v>
      </c>
      <c r="E658" s="426" t="s">
        <v>372</v>
      </c>
      <c r="F658" s="546" t="s">
        <v>563</v>
      </c>
      <c r="G658" s="546" t="s">
        <v>564</v>
      </c>
      <c r="H658" s="546" t="s">
        <v>565</v>
      </c>
    </row>
    <row r="659" spans="3:8" x14ac:dyDescent="0.25">
      <c r="C659" s="426">
        <v>78</v>
      </c>
      <c r="D659" s="426" t="s">
        <v>566</v>
      </c>
      <c r="E659" s="426" t="s">
        <v>372</v>
      </c>
      <c r="F659" s="546" t="s">
        <v>567</v>
      </c>
      <c r="G659" s="546" t="s">
        <v>568</v>
      </c>
      <c r="H659" s="546" t="s">
        <v>569</v>
      </c>
    </row>
    <row r="660" spans="3:8" x14ac:dyDescent="0.25">
      <c r="C660" s="426">
        <v>79</v>
      </c>
      <c r="D660" s="426" t="s">
        <v>546</v>
      </c>
      <c r="E660" s="426" t="s">
        <v>372</v>
      </c>
      <c r="F660" s="546" t="s">
        <v>547</v>
      </c>
      <c r="G660" s="546" t="s">
        <v>548</v>
      </c>
      <c r="H660" s="546" t="s">
        <v>570</v>
      </c>
    </row>
    <row r="661" spans="3:8" x14ac:dyDescent="0.25">
      <c r="C661" s="426">
        <v>80</v>
      </c>
      <c r="D661" s="426" t="s">
        <v>546</v>
      </c>
      <c r="E661" s="426" t="s">
        <v>372</v>
      </c>
      <c r="F661" s="546" t="s">
        <v>547</v>
      </c>
      <c r="G661" s="546" t="s">
        <v>548</v>
      </c>
      <c r="H661" s="546" t="s">
        <v>571</v>
      </c>
    </row>
    <row r="662" spans="3:8" x14ac:dyDescent="0.25">
      <c r="C662" s="426">
        <v>82</v>
      </c>
      <c r="D662" s="426" t="s">
        <v>546</v>
      </c>
      <c r="E662" s="426" t="s">
        <v>372</v>
      </c>
      <c r="F662" s="546" t="s">
        <v>547</v>
      </c>
      <c r="G662" s="546" t="s">
        <v>548</v>
      </c>
      <c r="H662" s="546" t="s">
        <v>572</v>
      </c>
    </row>
    <row r="663" spans="3:8" x14ac:dyDescent="0.25">
      <c r="C663" s="426">
        <v>83</v>
      </c>
      <c r="D663" s="426" t="s">
        <v>546</v>
      </c>
      <c r="E663" s="426" t="s">
        <v>372</v>
      </c>
      <c r="F663" s="546" t="s">
        <v>547</v>
      </c>
      <c r="G663" s="546" t="s">
        <v>548</v>
      </c>
      <c r="H663" s="546" t="s">
        <v>573</v>
      </c>
    </row>
    <row r="664" spans="3:8" x14ac:dyDescent="0.25">
      <c r="C664" s="426">
        <v>84</v>
      </c>
      <c r="D664" s="426" t="s">
        <v>574</v>
      </c>
      <c r="E664" s="426" t="s">
        <v>372</v>
      </c>
      <c r="F664" s="546" t="s">
        <v>575</v>
      </c>
      <c r="G664" s="546" t="s">
        <v>576</v>
      </c>
      <c r="H664" s="546" t="s">
        <v>577</v>
      </c>
    </row>
    <row r="665" spans="3:8" x14ac:dyDescent="0.25">
      <c r="C665" s="426">
        <v>85</v>
      </c>
      <c r="D665" s="426" t="s">
        <v>574</v>
      </c>
      <c r="E665" s="426" t="s">
        <v>372</v>
      </c>
      <c r="F665" s="546" t="s">
        <v>575</v>
      </c>
      <c r="G665" s="546" t="s">
        <v>578</v>
      </c>
      <c r="H665" s="546" t="s">
        <v>579</v>
      </c>
    </row>
    <row r="666" spans="3:8" x14ac:dyDescent="0.25">
      <c r="C666" s="426">
        <v>86</v>
      </c>
      <c r="D666" s="426" t="s">
        <v>574</v>
      </c>
      <c r="E666" s="426" t="s">
        <v>372</v>
      </c>
      <c r="F666" s="546" t="s">
        <v>575</v>
      </c>
      <c r="G666" s="546" t="s">
        <v>580</v>
      </c>
      <c r="H666" s="546" t="s">
        <v>581</v>
      </c>
    </row>
    <row r="667" spans="3:8" x14ac:dyDescent="0.25">
      <c r="C667" s="426">
        <v>87</v>
      </c>
      <c r="D667" s="426" t="s">
        <v>574</v>
      </c>
      <c r="E667" s="426" t="s">
        <v>372</v>
      </c>
      <c r="F667" s="546" t="s">
        <v>575</v>
      </c>
      <c r="G667" s="546" t="s">
        <v>582</v>
      </c>
      <c r="H667" s="546" t="s">
        <v>583</v>
      </c>
    </row>
    <row r="668" spans="3:8" x14ac:dyDescent="0.25">
      <c r="C668" s="426">
        <v>88</v>
      </c>
      <c r="D668" s="426" t="s">
        <v>584</v>
      </c>
      <c r="E668" s="426" t="s">
        <v>372</v>
      </c>
      <c r="F668" s="546" t="s">
        <v>585</v>
      </c>
      <c r="G668" s="546" t="s">
        <v>586</v>
      </c>
      <c r="H668" s="546" t="s">
        <v>587</v>
      </c>
    </row>
    <row r="669" spans="3:8" x14ac:dyDescent="0.25">
      <c r="C669" s="426">
        <v>89</v>
      </c>
      <c r="D669" s="426" t="s">
        <v>588</v>
      </c>
      <c r="E669" s="426" t="s">
        <v>372</v>
      </c>
      <c r="F669" s="546" t="s">
        <v>589</v>
      </c>
      <c r="G669" s="546" t="s">
        <v>590</v>
      </c>
      <c r="H669" s="546" t="s">
        <v>591</v>
      </c>
    </row>
    <row r="670" spans="3:8" x14ac:dyDescent="0.25">
      <c r="C670" s="426">
        <v>90</v>
      </c>
      <c r="D670" s="426" t="s">
        <v>574</v>
      </c>
      <c r="E670" s="426" t="s">
        <v>372</v>
      </c>
      <c r="F670" s="546" t="s">
        <v>575</v>
      </c>
      <c r="G670" s="546" t="s">
        <v>592</v>
      </c>
      <c r="H670" s="546" t="s">
        <v>593</v>
      </c>
    </row>
    <row r="671" spans="3:8" x14ac:dyDescent="0.25">
      <c r="C671" s="426">
        <v>91</v>
      </c>
      <c r="D671" s="426" t="s">
        <v>594</v>
      </c>
      <c r="E671" s="426" t="s">
        <v>372</v>
      </c>
      <c r="F671" s="546" t="s">
        <v>595</v>
      </c>
      <c r="G671" s="546" t="s">
        <v>596</v>
      </c>
      <c r="H671" s="546" t="s">
        <v>597</v>
      </c>
    </row>
    <row r="672" spans="3:8" x14ac:dyDescent="0.25">
      <c r="C672" s="426">
        <v>92</v>
      </c>
      <c r="D672" s="426" t="s">
        <v>598</v>
      </c>
      <c r="E672" s="426" t="s">
        <v>372</v>
      </c>
      <c r="F672" s="546" t="s">
        <v>599</v>
      </c>
      <c r="G672" s="546" t="s">
        <v>600</v>
      </c>
      <c r="H672" s="546" t="s">
        <v>601</v>
      </c>
    </row>
    <row r="673" spans="3:8" x14ac:dyDescent="0.25">
      <c r="C673" s="426">
        <v>93</v>
      </c>
      <c r="D673" s="426" t="s">
        <v>602</v>
      </c>
      <c r="E673" s="426" t="s">
        <v>372</v>
      </c>
      <c r="F673" s="546" t="s">
        <v>603</v>
      </c>
      <c r="G673" s="546" t="s">
        <v>604</v>
      </c>
      <c r="H673" s="546" t="s">
        <v>605</v>
      </c>
    </row>
    <row r="674" spans="3:8" x14ac:dyDescent="0.25">
      <c r="C674" s="426">
        <v>94</v>
      </c>
      <c r="D674" s="426" t="s">
        <v>606</v>
      </c>
      <c r="E674" s="426" t="s">
        <v>372</v>
      </c>
      <c r="F674" s="546" t="s">
        <v>607</v>
      </c>
      <c r="G674" s="546" t="s">
        <v>608</v>
      </c>
      <c r="H674" s="546" t="s">
        <v>609</v>
      </c>
    </row>
    <row r="675" spans="3:8" x14ac:dyDescent="0.25">
      <c r="C675" s="426">
        <v>95</v>
      </c>
      <c r="D675" s="426" t="s">
        <v>606</v>
      </c>
      <c r="E675" s="426" t="s">
        <v>372</v>
      </c>
      <c r="F675" s="546" t="s">
        <v>607</v>
      </c>
      <c r="G675" s="546" t="s">
        <v>610</v>
      </c>
      <c r="H675" s="546" t="s">
        <v>611</v>
      </c>
    </row>
    <row r="676" spans="3:8" x14ac:dyDescent="0.25">
      <c r="C676" s="426">
        <v>96</v>
      </c>
      <c r="D676" s="426" t="s">
        <v>606</v>
      </c>
      <c r="E676" s="426" t="s">
        <v>372</v>
      </c>
      <c r="F676" s="546" t="s">
        <v>607</v>
      </c>
      <c r="G676" s="546" t="s">
        <v>610</v>
      </c>
      <c r="H676" s="546" t="s">
        <v>612</v>
      </c>
    </row>
    <row r="677" spans="3:8" x14ac:dyDescent="0.25">
      <c r="C677" s="426">
        <v>97</v>
      </c>
      <c r="D677" s="426" t="s">
        <v>613</v>
      </c>
      <c r="E677" s="426" t="s">
        <v>372</v>
      </c>
      <c r="F677" s="546" t="s">
        <v>614</v>
      </c>
      <c r="G677" s="546" t="s">
        <v>615</v>
      </c>
      <c r="H677" s="546" t="s">
        <v>616</v>
      </c>
    </row>
    <row r="678" spans="3:8" x14ac:dyDescent="0.25">
      <c r="C678" s="426">
        <v>98</v>
      </c>
      <c r="D678" s="426" t="s">
        <v>613</v>
      </c>
      <c r="E678" s="426" t="s">
        <v>372</v>
      </c>
      <c r="F678" s="546" t="s">
        <v>614</v>
      </c>
      <c r="G678" s="546" t="s">
        <v>617</v>
      </c>
      <c r="H678" s="546" t="s">
        <v>618</v>
      </c>
    </row>
    <row r="679" spans="3:8" x14ac:dyDescent="0.25">
      <c r="C679" s="426">
        <v>99</v>
      </c>
      <c r="D679" s="426" t="s">
        <v>613</v>
      </c>
      <c r="E679" s="426" t="s">
        <v>372</v>
      </c>
      <c r="F679" s="546" t="s">
        <v>614</v>
      </c>
      <c r="G679" s="546" t="s">
        <v>619</v>
      </c>
      <c r="H679" s="546" t="s">
        <v>620</v>
      </c>
    </row>
    <row r="680" spans="3:8" x14ac:dyDescent="0.25">
      <c r="C680" s="426">
        <v>100</v>
      </c>
      <c r="D680" s="426" t="s">
        <v>606</v>
      </c>
      <c r="E680" s="426" t="s">
        <v>372</v>
      </c>
      <c r="F680" s="546" t="s">
        <v>607</v>
      </c>
      <c r="G680" s="546" t="s">
        <v>608</v>
      </c>
      <c r="H680" s="546" t="s">
        <v>621</v>
      </c>
    </row>
    <row r="681" spans="3:8" x14ac:dyDescent="0.25">
      <c r="C681" s="426">
        <v>104</v>
      </c>
      <c r="D681" s="426" t="s">
        <v>622</v>
      </c>
      <c r="E681" s="426" t="s">
        <v>372</v>
      </c>
      <c r="F681" s="546" t="s">
        <v>623</v>
      </c>
      <c r="G681" s="546" t="s">
        <v>624</v>
      </c>
      <c r="H681" s="546" t="s">
        <v>625</v>
      </c>
    </row>
    <row r="682" spans="3:8" x14ac:dyDescent="0.25">
      <c r="C682" s="426">
        <v>105</v>
      </c>
      <c r="D682" s="426" t="s">
        <v>626</v>
      </c>
      <c r="E682" s="426" t="s">
        <v>372</v>
      </c>
      <c r="F682" s="546" t="s">
        <v>623</v>
      </c>
      <c r="G682" s="546" t="s">
        <v>627</v>
      </c>
      <c r="H682" s="546" t="s">
        <v>628</v>
      </c>
    </row>
    <row r="683" spans="3:8" x14ac:dyDescent="0.25">
      <c r="C683" s="426">
        <v>108</v>
      </c>
      <c r="D683" s="426" t="s">
        <v>629</v>
      </c>
      <c r="E683" s="426" t="s">
        <v>372</v>
      </c>
      <c r="F683" s="546" t="s">
        <v>630</v>
      </c>
      <c r="G683" s="546" t="s">
        <v>631</v>
      </c>
      <c r="H683" s="546" t="s">
        <v>632</v>
      </c>
    </row>
    <row r="684" spans="3:8" x14ac:dyDescent="0.25">
      <c r="C684" s="426">
        <v>109</v>
      </c>
      <c r="D684" s="426" t="s">
        <v>633</v>
      </c>
      <c r="E684" s="426" t="s">
        <v>372</v>
      </c>
      <c r="F684" s="546" t="s">
        <v>634</v>
      </c>
      <c r="G684" s="546" t="s">
        <v>635</v>
      </c>
      <c r="H684" s="546" t="s">
        <v>636</v>
      </c>
    </row>
    <row r="685" spans="3:8" x14ac:dyDescent="0.25">
      <c r="C685" s="426">
        <v>110</v>
      </c>
      <c r="D685" s="426" t="s">
        <v>622</v>
      </c>
      <c r="E685" s="426" t="s">
        <v>372</v>
      </c>
      <c r="F685" s="546" t="s">
        <v>623</v>
      </c>
      <c r="G685" s="546" t="s">
        <v>627</v>
      </c>
      <c r="H685" s="546" t="s">
        <v>637</v>
      </c>
    </row>
    <row r="686" spans="3:8" x14ac:dyDescent="0.25">
      <c r="C686" s="426">
        <v>111</v>
      </c>
      <c r="D686" s="426" t="s">
        <v>638</v>
      </c>
      <c r="E686" s="426" t="s">
        <v>372</v>
      </c>
      <c r="F686" s="546" t="s">
        <v>639</v>
      </c>
      <c r="G686" s="546" t="s">
        <v>640</v>
      </c>
      <c r="H686" s="546" t="s">
        <v>641</v>
      </c>
    </row>
    <row r="687" spans="3:8" x14ac:dyDescent="0.25">
      <c r="C687" s="426">
        <v>112</v>
      </c>
      <c r="D687" s="426" t="s">
        <v>642</v>
      </c>
      <c r="E687" s="426" t="s">
        <v>372</v>
      </c>
      <c r="F687" s="546" t="s">
        <v>643</v>
      </c>
      <c r="G687" s="546" t="s">
        <v>644</v>
      </c>
      <c r="H687" s="546" t="s">
        <v>645</v>
      </c>
    </row>
    <row r="688" spans="3:8" x14ac:dyDescent="0.25">
      <c r="C688" s="426">
        <v>113</v>
      </c>
      <c r="D688" s="426" t="s">
        <v>646</v>
      </c>
      <c r="E688" s="426" t="s">
        <v>372</v>
      </c>
      <c r="F688" s="546" t="s">
        <v>647</v>
      </c>
      <c r="G688" s="546" t="s">
        <v>648</v>
      </c>
      <c r="H688" s="546" t="s">
        <v>649</v>
      </c>
    </row>
    <row r="689" spans="3:8" x14ac:dyDescent="0.25">
      <c r="C689" s="426">
        <v>114</v>
      </c>
      <c r="D689" s="426" t="s">
        <v>646</v>
      </c>
      <c r="E689" s="426" t="s">
        <v>372</v>
      </c>
      <c r="F689" s="546" t="s">
        <v>647</v>
      </c>
      <c r="G689" s="546" t="s">
        <v>648</v>
      </c>
      <c r="H689" s="546" t="s">
        <v>650</v>
      </c>
    </row>
    <row r="690" spans="3:8" x14ac:dyDescent="0.25">
      <c r="C690" s="426">
        <v>116</v>
      </c>
      <c r="D690" s="426" t="s">
        <v>651</v>
      </c>
      <c r="E690" s="426" t="s">
        <v>372</v>
      </c>
      <c r="F690" s="546" t="s">
        <v>652</v>
      </c>
      <c r="G690" s="546" t="s">
        <v>653</v>
      </c>
      <c r="H690" s="546" t="s">
        <v>654</v>
      </c>
    </row>
    <row r="691" spans="3:8" x14ac:dyDescent="0.25">
      <c r="C691" s="426">
        <v>117</v>
      </c>
      <c r="D691" s="426" t="s">
        <v>655</v>
      </c>
      <c r="E691" s="426" t="s">
        <v>372</v>
      </c>
      <c r="F691" s="546" t="s">
        <v>656</v>
      </c>
      <c r="G691" s="546" t="s">
        <v>657</v>
      </c>
      <c r="H691" s="546" t="s">
        <v>658</v>
      </c>
    </row>
    <row r="692" spans="3:8" x14ac:dyDescent="0.25">
      <c r="C692" s="426">
        <v>118</v>
      </c>
      <c r="D692" s="426" t="s">
        <v>659</v>
      </c>
      <c r="E692" s="426" t="s">
        <v>372</v>
      </c>
      <c r="F692" s="546" t="s">
        <v>660</v>
      </c>
      <c r="G692" s="546" t="s">
        <v>661</v>
      </c>
      <c r="H692" s="546" t="s">
        <v>662</v>
      </c>
    </row>
    <row r="693" spans="3:8" x14ac:dyDescent="0.25">
      <c r="C693" s="426">
        <v>119</v>
      </c>
      <c r="D693" s="426" t="s">
        <v>663</v>
      </c>
      <c r="E693" s="426" t="s">
        <v>372</v>
      </c>
      <c r="F693" s="546" t="s">
        <v>664</v>
      </c>
      <c r="G693" s="546" t="s">
        <v>665</v>
      </c>
      <c r="H693" s="546" t="s">
        <v>666</v>
      </c>
    </row>
    <row r="694" spans="3:8" x14ac:dyDescent="0.25">
      <c r="C694" s="426">
        <v>120</v>
      </c>
      <c r="D694" s="426" t="s">
        <v>667</v>
      </c>
      <c r="E694" s="426" t="s">
        <v>372</v>
      </c>
      <c r="F694" s="546" t="s">
        <v>668</v>
      </c>
      <c r="G694" s="546" t="s">
        <v>669</v>
      </c>
      <c r="H694" s="546" t="s">
        <v>670</v>
      </c>
    </row>
    <row r="695" spans="3:8" x14ac:dyDescent="0.25">
      <c r="C695" s="426">
        <v>121</v>
      </c>
      <c r="D695" s="426" t="s">
        <v>671</v>
      </c>
      <c r="E695" s="426" t="s">
        <v>372</v>
      </c>
      <c r="F695" s="546" t="s">
        <v>672</v>
      </c>
      <c r="G695" s="546" t="s">
        <v>673</v>
      </c>
      <c r="H695" s="546" t="s">
        <v>674</v>
      </c>
    </row>
    <row r="696" spans="3:8" x14ac:dyDescent="0.25">
      <c r="C696" s="426">
        <v>122</v>
      </c>
      <c r="D696" s="426" t="s">
        <v>675</v>
      </c>
      <c r="E696" s="426" t="s">
        <v>372</v>
      </c>
      <c r="F696" s="546" t="s">
        <v>676</v>
      </c>
      <c r="G696" s="546" t="s">
        <v>677</v>
      </c>
      <c r="H696" s="546" t="s">
        <v>678</v>
      </c>
    </row>
    <row r="697" spans="3:8" x14ac:dyDescent="0.25">
      <c r="C697" s="426">
        <v>123</v>
      </c>
      <c r="D697" s="426" t="s">
        <v>679</v>
      </c>
      <c r="E697" s="426" t="s">
        <v>372</v>
      </c>
      <c r="F697" s="546" t="s">
        <v>680</v>
      </c>
      <c r="G697" s="546" t="s">
        <v>681</v>
      </c>
      <c r="H697" s="546" t="s">
        <v>682</v>
      </c>
    </row>
    <row r="698" spans="3:8" x14ac:dyDescent="0.25">
      <c r="C698" s="426">
        <v>124</v>
      </c>
      <c r="D698" s="426" t="s">
        <v>638</v>
      </c>
      <c r="E698" s="426" t="s">
        <v>372</v>
      </c>
      <c r="F698" s="546" t="s">
        <v>639</v>
      </c>
      <c r="G698" s="546" t="s">
        <v>683</v>
      </c>
      <c r="H698" s="546" t="s">
        <v>684</v>
      </c>
    </row>
    <row r="699" spans="3:8" x14ac:dyDescent="0.25">
      <c r="C699" s="426">
        <v>129</v>
      </c>
      <c r="D699" s="426" t="s">
        <v>685</v>
      </c>
      <c r="E699" s="426" t="s">
        <v>372</v>
      </c>
      <c r="F699" s="546" t="s">
        <v>686</v>
      </c>
      <c r="G699" s="546" t="s">
        <v>687</v>
      </c>
      <c r="H699" s="546" t="s">
        <v>688</v>
      </c>
    </row>
    <row r="700" spans="3:8" x14ac:dyDescent="0.25">
      <c r="C700" s="426">
        <v>130</v>
      </c>
      <c r="D700" s="426" t="s">
        <v>689</v>
      </c>
      <c r="E700" s="426" t="s">
        <v>372</v>
      </c>
      <c r="F700" s="546" t="s">
        <v>686</v>
      </c>
      <c r="G700" s="546" t="s">
        <v>690</v>
      </c>
      <c r="H700" s="546" t="s">
        <v>691</v>
      </c>
    </row>
    <row r="701" spans="3:8" x14ac:dyDescent="0.25">
      <c r="C701" s="426">
        <v>131</v>
      </c>
      <c r="D701" s="426" t="s">
        <v>692</v>
      </c>
      <c r="E701" s="426" t="s">
        <v>372</v>
      </c>
      <c r="F701" s="546" t="s">
        <v>693</v>
      </c>
      <c r="G701" s="546" t="s">
        <v>694</v>
      </c>
      <c r="H701" s="546" t="s">
        <v>695</v>
      </c>
    </row>
    <row r="702" spans="3:8" x14ac:dyDescent="0.25">
      <c r="C702" s="426">
        <v>132</v>
      </c>
      <c r="D702" s="426" t="s">
        <v>696</v>
      </c>
      <c r="E702" s="426" t="s">
        <v>372</v>
      </c>
      <c r="F702" s="546" t="s">
        <v>697</v>
      </c>
      <c r="G702" s="546" t="s">
        <v>698</v>
      </c>
      <c r="H702" s="546" t="s">
        <v>699</v>
      </c>
    </row>
    <row r="703" spans="3:8" x14ac:dyDescent="0.25">
      <c r="C703" s="426">
        <v>133</v>
      </c>
      <c r="D703" s="426" t="s">
        <v>700</v>
      </c>
      <c r="E703" s="426" t="s">
        <v>372</v>
      </c>
      <c r="F703" s="546" t="s">
        <v>701</v>
      </c>
      <c r="G703" s="546" t="s">
        <v>702</v>
      </c>
      <c r="H703" s="546" t="s">
        <v>703</v>
      </c>
    </row>
    <row r="704" spans="3:8" x14ac:dyDescent="0.25">
      <c r="C704" s="426">
        <v>134</v>
      </c>
      <c r="D704" s="426" t="s">
        <v>704</v>
      </c>
      <c r="E704" s="426" t="s">
        <v>372</v>
      </c>
      <c r="F704" s="546" t="s">
        <v>705</v>
      </c>
      <c r="G704" s="546" t="s">
        <v>706</v>
      </c>
      <c r="H704" s="546" t="s">
        <v>707</v>
      </c>
    </row>
    <row r="705" spans="3:8" x14ac:dyDescent="0.25">
      <c r="C705" s="426">
        <v>135</v>
      </c>
      <c r="D705" s="426" t="s">
        <v>708</v>
      </c>
      <c r="E705" s="426" t="s">
        <v>372</v>
      </c>
      <c r="F705" s="546" t="s">
        <v>693</v>
      </c>
      <c r="G705" s="546" t="s">
        <v>709</v>
      </c>
      <c r="H705" s="546" t="s">
        <v>710</v>
      </c>
    </row>
    <row r="706" spans="3:8" x14ac:dyDescent="0.25">
      <c r="C706" s="426">
        <v>136</v>
      </c>
      <c r="D706" s="426" t="s">
        <v>711</v>
      </c>
      <c r="E706" s="426" t="s">
        <v>372</v>
      </c>
      <c r="F706" s="546" t="s">
        <v>712</v>
      </c>
      <c r="G706" s="546" t="s">
        <v>713</v>
      </c>
      <c r="H706" s="546" t="s">
        <v>714</v>
      </c>
    </row>
    <row r="707" spans="3:8" x14ac:dyDescent="0.25">
      <c r="C707" s="426">
        <v>137</v>
      </c>
      <c r="D707" s="426" t="s">
        <v>715</v>
      </c>
      <c r="E707" s="426" t="s">
        <v>372</v>
      </c>
      <c r="F707" s="546" t="s">
        <v>716</v>
      </c>
      <c r="G707" s="546" t="s">
        <v>717</v>
      </c>
      <c r="H707" s="546" t="s">
        <v>718</v>
      </c>
    </row>
    <row r="708" spans="3:8" x14ac:dyDescent="0.25">
      <c r="C708" s="426">
        <v>139</v>
      </c>
      <c r="D708" s="426" t="s">
        <v>719</v>
      </c>
      <c r="E708" s="426" t="s">
        <v>372</v>
      </c>
      <c r="F708" s="546" t="s">
        <v>720</v>
      </c>
      <c r="G708" s="546" t="s">
        <v>721</v>
      </c>
      <c r="H708" s="546" t="s">
        <v>722</v>
      </c>
    </row>
    <row r="709" spans="3:8" x14ac:dyDescent="0.25">
      <c r="C709" s="426">
        <v>140</v>
      </c>
      <c r="D709" s="426" t="s">
        <v>723</v>
      </c>
      <c r="E709" s="426" t="s">
        <v>372</v>
      </c>
      <c r="F709" s="546" t="s">
        <v>724</v>
      </c>
      <c r="G709" s="546" t="s">
        <v>725</v>
      </c>
      <c r="H709" s="546" t="s">
        <v>726</v>
      </c>
    </row>
    <row r="710" spans="3:8" x14ac:dyDescent="0.25">
      <c r="C710" s="426">
        <v>141</v>
      </c>
      <c r="D710" s="426" t="s">
        <v>727</v>
      </c>
      <c r="E710" s="426" t="s">
        <v>372</v>
      </c>
      <c r="F710" s="546" t="s">
        <v>728</v>
      </c>
      <c r="G710" s="546" t="s">
        <v>729</v>
      </c>
      <c r="H710" s="546" t="s">
        <v>730</v>
      </c>
    </row>
    <row r="711" spans="3:8" x14ac:dyDescent="0.25">
      <c r="C711" s="426">
        <v>142</v>
      </c>
      <c r="D711" s="426" t="s">
        <v>731</v>
      </c>
      <c r="E711" s="426" t="s">
        <v>372</v>
      </c>
      <c r="F711" s="546" t="s">
        <v>732</v>
      </c>
      <c r="G711" s="546" t="s">
        <v>733</v>
      </c>
      <c r="H711" s="546" t="s">
        <v>734</v>
      </c>
    </row>
    <row r="712" spans="3:8" x14ac:dyDescent="0.25">
      <c r="C712" s="426">
        <v>143</v>
      </c>
      <c r="D712" s="426" t="s">
        <v>731</v>
      </c>
      <c r="E712" s="426" t="s">
        <v>372</v>
      </c>
      <c r="F712" s="546" t="s">
        <v>732</v>
      </c>
      <c r="G712" s="546" t="s">
        <v>735</v>
      </c>
      <c r="H712" s="546" t="s">
        <v>736</v>
      </c>
    </row>
    <row r="713" spans="3:8" x14ac:dyDescent="0.25">
      <c r="C713" s="426">
        <v>144</v>
      </c>
      <c r="D713" s="426" t="s">
        <v>731</v>
      </c>
      <c r="E713" s="426" t="s">
        <v>372</v>
      </c>
      <c r="F713" s="546" t="s">
        <v>732</v>
      </c>
      <c r="G713" s="546" t="s">
        <v>737</v>
      </c>
      <c r="H713" s="546" t="s">
        <v>738</v>
      </c>
    </row>
    <row r="714" spans="3:8" x14ac:dyDescent="0.25">
      <c r="C714" s="426">
        <v>145</v>
      </c>
      <c r="D714" s="426" t="s">
        <v>739</v>
      </c>
      <c r="E714" s="426" t="s">
        <v>372</v>
      </c>
      <c r="F714" s="546" t="s">
        <v>740</v>
      </c>
      <c r="G714" s="546" t="s">
        <v>741</v>
      </c>
      <c r="H714" s="546" t="s">
        <v>742</v>
      </c>
    </row>
    <row r="715" spans="3:8" x14ac:dyDescent="0.25">
      <c r="C715" s="426">
        <v>146</v>
      </c>
      <c r="D715" s="426" t="s">
        <v>731</v>
      </c>
      <c r="E715" s="426" t="s">
        <v>372</v>
      </c>
      <c r="F715" s="546" t="s">
        <v>732</v>
      </c>
      <c r="G715" s="546" t="s">
        <v>733</v>
      </c>
      <c r="H715" s="546" t="s">
        <v>743</v>
      </c>
    </row>
    <row r="716" spans="3:8" x14ac:dyDescent="0.25">
      <c r="C716" s="426">
        <v>147</v>
      </c>
      <c r="D716" s="426" t="s">
        <v>731</v>
      </c>
      <c r="E716" s="426" t="s">
        <v>372</v>
      </c>
      <c r="F716" s="546" t="s">
        <v>732</v>
      </c>
      <c r="G716" s="546" t="s">
        <v>744</v>
      </c>
      <c r="H716" s="546" t="s">
        <v>745</v>
      </c>
    </row>
    <row r="717" spans="3:8" x14ac:dyDescent="0.25">
      <c r="C717" s="426">
        <v>148</v>
      </c>
      <c r="D717" s="426" t="s">
        <v>731</v>
      </c>
      <c r="E717" s="426" t="s">
        <v>372</v>
      </c>
      <c r="F717" s="546" t="s">
        <v>732</v>
      </c>
      <c r="G717" s="546" t="s">
        <v>733</v>
      </c>
      <c r="H717" s="546" t="s">
        <v>746</v>
      </c>
    </row>
    <row r="718" spans="3:8" x14ac:dyDescent="0.25">
      <c r="C718" s="426">
        <v>149</v>
      </c>
      <c r="D718" s="426" t="s">
        <v>731</v>
      </c>
      <c r="E718" s="426" t="s">
        <v>372</v>
      </c>
      <c r="F718" s="546" t="s">
        <v>732</v>
      </c>
      <c r="G718" s="546" t="s">
        <v>735</v>
      </c>
      <c r="H718" s="546" t="s">
        <v>747</v>
      </c>
    </row>
    <row r="719" spans="3:8" x14ac:dyDescent="0.25">
      <c r="C719" s="426">
        <v>150</v>
      </c>
      <c r="D719" s="426" t="s">
        <v>731</v>
      </c>
      <c r="E719" s="426" t="s">
        <v>372</v>
      </c>
      <c r="F719" s="546" t="s">
        <v>732</v>
      </c>
      <c r="G719" s="546" t="s">
        <v>733</v>
      </c>
      <c r="H719" s="546" t="s">
        <v>748</v>
      </c>
    </row>
    <row r="720" spans="3:8" x14ac:dyDescent="0.25">
      <c r="C720" s="426">
        <v>151</v>
      </c>
      <c r="D720" s="426" t="s">
        <v>749</v>
      </c>
      <c r="E720" s="426" t="s">
        <v>372</v>
      </c>
      <c r="F720" s="546" t="s">
        <v>750</v>
      </c>
      <c r="G720" s="546" t="s">
        <v>751</v>
      </c>
      <c r="H720" s="546" t="s">
        <v>752</v>
      </c>
    </row>
    <row r="721" spans="3:8" x14ac:dyDescent="0.25">
      <c r="C721" s="426">
        <v>152</v>
      </c>
      <c r="D721" s="426" t="s">
        <v>753</v>
      </c>
      <c r="E721" s="426" t="s">
        <v>372</v>
      </c>
      <c r="F721" s="546" t="s">
        <v>754</v>
      </c>
      <c r="G721" s="546" t="s">
        <v>755</v>
      </c>
      <c r="H721" s="546" t="s">
        <v>756</v>
      </c>
    </row>
    <row r="722" spans="3:8" x14ac:dyDescent="0.25">
      <c r="C722" s="426">
        <v>153</v>
      </c>
      <c r="D722" s="426" t="s">
        <v>757</v>
      </c>
      <c r="E722" s="426" t="s">
        <v>372</v>
      </c>
      <c r="F722" s="546" t="s">
        <v>758</v>
      </c>
      <c r="G722" s="546" t="s">
        <v>759</v>
      </c>
      <c r="H722" s="546" t="s">
        <v>760</v>
      </c>
    </row>
    <row r="723" spans="3:8" x14ac:dyDescent="0.25">
      <c r="C723" s="426">
        <v>154</v>
      </c>
      <c r="D723" s="426" t="s">
        <v>761</v>
      </c>
      <c r="E723" s="426" t="s">
        <v>372</v>
      </c>
      <c r="F723" s="546" t="s">
        <v>762</v>
      </c>
      <c r="G723" s="546" t="s">
        <v>763</v>
      </c>
      <c r="H723" s="546" t="s">
        <v>764</v>
      </c>
    </row>
    <row r="724" spans="3:8" x14ac:dyDescent="0.25">
      <c r="C724" s="426">
        <v>155</v>
      </c>
      <c r="D724" s="426" t="s">
        <v>765</v>
      </c>
      <c r="E724" s="426" t="s">
        <v>372</v>
      </c>
      <c r="F724" s="546" t="s">
        <v>766</v>
      </c>
      <c r="G724" s="546" t="s">
        <v>767</v>
      </c>
      <c r="H724" s="546" t="s">
        <v>768</v>
      </c>
    </row>
    <row r="725" spans="3:8" x14ac:dyDescent="0.25">
      <c r="C725" s="426">
        <v>156</v>
      </c>
      <c r="D725" s="426" t="s">
        <v>769</v>
      </c>
      <c r="E725" s="426" t="s">
        <v>372</v>
      </c>
      <c r="F725" s="546" t="s">
        <v>770</v>
      </c>
      <c r="G725" s="546" t="s">
        <v>771</v>
      </c>
      <c r="H725" s="546" t="s">
        <v>772</v>
      </c>
    </row>
    <row r="726" spans="3:8" x14ac:dyDescent="0.25">
      <c r="C726" s="426">
        <v>157</v>
      </c>
      <c r="D726" s="426" t="s">
        <v>757</v>
      </c>
      <c r="E726" s="426" t="s">
        <v>372</v>
      </c>
      <c r="F726" s="546" t="s">
        <v>758</v>
      </c>
      <c r="G726" s="546" t="s">
        <v>773</v>
      </c>
      <c r="H726" s="546" t="s">
        <v>774</v>
      </c>
    </row>
    <row r="727" spans="3:8" x14ac:dyDescent="0.25">
      <c r="C727" s="426">
        <v>158</v>
      </c>
      <c r="D727" s="426" t="s">
        <v>775</v>
      </c>
      <c r="E727" s="426" t="s">
        <v>372</v>
      </c>
      <c r="F727" s="546" t="s">
        <v>776</v>
      </c>
      <c r="G727" s="546" t="s">
        <v>777</v>
      </c>
      <c r="H727" s="546" t="s">
        <v>778</v>
      </c>
    </row>
    <row r="728" spans="3:8" x14ac:dyDescent="0.25">
      <c r="C728" s="426">
        <v>160</v>
      </c>
      <c r="D728" s="426" t="s">
        <v>779</v>
      </c>
      <c r="E728" s="426" t="s">
        <v>372</v>
      </c>
      <c r="F728" s="546" t="s">
        <v>780</v>
      </c>
      <c r="G728" s="546" t="s">
        <v>781</v>
      </c>
      <c r="H728" s="546" t="s">
        <v>782</v>
      </c>
    </row>
    <row r="729" spans="3:8" x14ac:dyDescent="0.25">
      <c r="C729" s="426">
        <v>163</v>
      </c>
      <c r="D729" s="426" t="s">
        <v>783</v>
      </c>
      <c r="E729" s="426" t="s">
        <v>372</v>
      </c>
      <c r="F729" s="546" t="s">
        <v>784</v>
      </c>
      <c r="G729" s="546" t="s">
        <v>785</v>
      </c>
      <c r="H729" s="546" t="s">
        <v>786</v>
      </c>
    </row>
    <row r="730" spans="3:8" x14ac:dyDescent="0.25">
      <c r="C730" s="426">
        <v>165</v>
      </c>
      <c r="D730" s="426" t="s">
        <v>787</v>
      </c>
      <c r="E730" s="426" t="s">
        <v>372</v>
      </c>
      <c r="F730" s="546" t="s">
        <v>788</v>
      </c>
      <c r="G730" s="546" t="s">
        <v>789</v>
      </c>
      <c r="H730" s="546" t="s">
        <v>790</v>
      </c>
    </row>
    <row r="731" spans="3:8" x14ac:dyDescent="0.25">
      <c r="C731" s="426">
        <v>166</v>
      </c>
      <c r="D731" s="426" t="s">
        <v>787</v>
      </c>
      <c r="E731" s="426" t="s">
        <v>372</v>
      </c>
      <c r="F731" s="546" t="s">
        <v>788</v>
      </c>
      <c r="G731" s="546" t="s">
        <v>791</v>
      </c>
      <c r="H731" s="546" t="s">
        <v>792</v>
      </c>
    </row>
    <row r="732" spans="3:8" x14ac:dyDescent="0.25">
      <c r="C732" s="426">
        <v>167</v>
      </c>
      <c r="D732" s="426" t="s">
        <v>787</v>
      </c>
      <c r="E732" s="426" t="s">
        <v>372</v>
      </c>
      <c r="F732" s="546" t="s">
        <v>788</v>
      </c>
      <c r="G732" s="546" t="s">
        <v>793</v>
      </c>
      <c r="H732" s="546" t="s">
        <v>794</v>
      </c>
    </row>
    <row r="733" spans="3:8" x14ac:dyDescent="0.25">
      <c r="C733" s="426">
        <v>168</v>
      </c>
      <c r="D733" s="426" t="s">
        <v>795</v>
      </c>
      <c r="E733" s="426" t="s">
        <v>372</v>
      </c>
      <c r="F733" s="546" t="s">
        <v>796</v>
      </c>
      <c r="G733" s="546" t="s">
        <v>797</v>
      </c>
      <c r="H733" s="546" t="s">
        <v>798</v>
      </c>
    </row>
    <row r="734" spans="3:8" x14ac:dyDescent="0.25">
      <c r="C734" s="426">
        <v>169</v>
      </c>
      <c r="D734" s="426" t="s">
        <v>799</v>
      </c>
      <c r="E734" s="426" t="s">
        <v>372</v>
      </c>
      <c r="F734" s="546" t="s">
        <v>788</v>
      </c>
      <c r="G734" s="546" t="s">
        <v>800</v>
      </c>
      <c r="H734" s="546" t="s">
        <v>801</v>
      </c>
    </row>
    <row r="735" spans="3:8" x14ac:dyDescent="0.25">
      <c r="C735" s="426">
        <v>170</v>
      </c>
      <c r="D735" s="426" t="s">
        <v>799</v>
      </c>
      <c r="E735" s="426" t="s">
        <v>372</v>
      </c>
      <c r="F735" s="546" t="s">
        <v>788</v>
      </c>
      <c r="G735" s="546" t="s">
        <v>802</v>
      </c>
      <c r="H735" s="546" t="s">
        <v>803</v>
      </c>
    </row>
    <row r="736" spans="3:8" x14ac:dyDescent="0.25">
      <c r="C736" s="426">
        <v>171</v>
      </c>
      <c r="D736" s="426" t="s">
        <v>787</v>
      </c>
      <c r="E736" s="426" t="s">
        <v>372</v>
      </c>
      <c r="F736" s="546" t="s">
        <v>788</v>
      </c>
      <c r="G736" s="546" t="s">
        <v>804</v>
      </c>
      <c r="H736" s="546" t="s">
        <v>805</v>
      </c>
    </row>
    <row r="737" spans="3:8" x14ac:dyDescent="0.25">
      <c r="C737" s="426">
        <v>172</v>
      </c>
      <c r="D737" s="426" t="s">
        <v>787</v>
      </c>
      <c r="E737" s="426" t="s">
        <v>372</v>
      </c>
      <c r="F737" s="546" t="s">
        <v>788</v>
      </c>
      <c r="G737" s="546" t="s">
        <v>806</v>
      </c>
      <c r="H737" s="546" t="s">
        <v>807</v>
      </c>
    </row>
    <row r="738" spans="3:8" x14ac:dyDescent="0.25">
      <c r="C738" s="426">
        <v>173</v>
      </c>
      <c r="D738" s="426" t="s">
        <v>787</v>
      </c>
      <c r="E738" s="426" t="s">
        <v>372</v>
      </c>
      <c r="F738" s="546" t="s">
        <v>788</v>
      </c>
      <c r="G738" s="546" t="s">
        <v>808</v>
      </c>
      <c r="H738" s="546" t="s">
        <v>809</v>
      </c>
    </row>
    <row r="739" spans="3:8" x14ac:dyDescent="0.25">
      <c r="C739" s="426">
        <v>174</v>
      </c>
      <c r="D739" s="426" t="s">
        <v>810</v>
      </c>
      <c r="E739" s="426" t="s">
        <v>372</v>
      </c>
      <c r="F739" s="546" t="s">
        <v>811</v>
      </c>
      <c r="G739" s="546" t="s">
        <v>812</v>
      </c>
      <c r="H739" s="546" t="s">
        <v>813</v>
      </c>
    </row>
    <row r="740" spans="3:8" x14ac:dyDescent="0.25">
      <c r="C740" s="426">
        <v>175</v>
      </c>
      <c r="D740" s="426" t="s">
        <v>810</v>
      </c>
      <c r="E740" s="426" t="s">
        <v>372</v>
      </c>
      <c r="F740" s="546" t="s">
        <v>811</v>
      </c>
      <c r="G740" s="546" t="s">
        <v>812</v>
      </c>
      <c r="H740" s="546" t="s">
        <v>814</v>
      </c>
    </row>
    <row r="741" spans="3:8" x14ac:dyDescent="0.25">
      <c r="C741" s="426">
        <v>176</v>
      </c>
      <c r="D741" s="426" t="s">
        <v>787</v>
      </c>
      <c r="E741" s="426" t="s">
        <v>372</v>
      </c>
      <c r="F741" s="546" t="s">
        <v>788</v>
      </c>
      <c r="G741" s="546" t="s">
        <v>815</v>
      </c>
      <c r="H741" s="546" t="s">
        <v>816</v>
      </c>
    </row>
    <row r="742" spans="3:8" x14ac:dyDescent="0.25">
      <c r="C742" s="426">
        <v>177</v>
      </c>
      <c r="D742" s="426" t="s">
        <v>787</v>
      </c>
      <c r="E742" s="426" t="s">
        <v>372</v>
      </c>
      <c r="F742" s="546" t="s">
        <v>788</v>
      </c>
      <c r="G742" s="546" t="s">
        <v>817</v>
      </c>
      <c r="H742" s="546" t="s">
        <v>818</v>
      </c>
    </row>
    <row r="743" spans="3:8" x14ac:dyDescent="0.25">
      <c r="C743" s="426">
        <v>178</v>
      </c>
      <c r="D743" s="426" t="s">
        <v>799</v>
      </c>
      <c r="E743" s="426" t="s">
        <v>372</v>
      </c>
      <c r="F743" s="546" t="s">
        <v>788</v>
      </c>
      <c r="G743" s="546" t="s">
        <v>819</v>
      </c>
      <c r="H743" s="546" t="s">
        <v>820</v>
      </c>
    </row>
    <row r="744" spans="3:8" x14ac:dyDescent="0.25">
      <c r="C744" s="426">
        <v>179</v>
      </c>
      <c r="D744" s="426" t="s">
        <v>787</v>
      </c>
      <c r="E744" s="426" t="s">
        <v>372</v>
      </c>
      <c r="F744" s="546" t="s">
        <v>788</v>
      </c>
      <c r="G744" s="546" t="s">
        <v>821</v>
      </c>
      <c r="H744" s="546" t="s">
        <v>822</v>
      </c>
    </row>
    <row r="745" spans="3:8" x14ac:dyDescent="0.25">
      <c r="C745" s="426">
        <v>181</v>
      </c>
      <c r="D745" s="426" t="s">
        <v>787</v>
      </c>
      <c r="E745" s="426" t="s">
        <v>372</v>
      </c>
      <c r="F745" s="546" t="s">
        <v>788</v>
      </c>
      <c r="G745" s="546" t="s">
        <v>823</v>
      </c>
      <c r="H745" s="546" t="s">
        <v>824</v>
      </c>
    </row>
    <row r="746" spans="3:8" x14ac:dyDescent="0.25">
      <c r="C746" s="426">
        <v>182</v>
      </c>
      <c r="D746" s="426" t="s">
        <v>799</v>
      </c>
      <c r="E746" s="426" t="s">
        <v>372</v>
      </c>
      <c r="F746" s="546" t="s">
        <v>788</v>
      </c>
      <c r="G746" s="546" t="s">
        <v>825</v>
      </c>
      <c r="H746" s="546" t="s">
        <v>826</v>
      </c>
    </row>
    <row r="747" spans="3:8" x14ac:dyDescent="0.25">
      <c r="C747" s="426">
        <v>183</v>
      </c>
      <c r="D747" s="426" t="s">
        <v>799</v>
      </c>
      <c r="E747" s="426" t="s">
        <v>372</v>
      </c>
      <c r="F747" s="546" t="s">
        <v>788</v>
      </c>
      <c r="G747" s="546" t="s">
        <v>827</v>
      </c>
      <c r="H747" s="546" t="s">
        <v>828</v>
      </c>
    </row>
    <row r="748" spans="3:8" x14ac:dyDescent="0.25">
      <c r="C748" s="426">
        <v>184</v>
      </c>
      <c r="D748" s="426" t="s">
        <v>799</v>
      </c>
      <c r="E748" s="426" t="s">
        <v>372</v>
      </c>
      <c r="F748" s="546" t="s">
        <v>788</v>
      </c>
      <c r="G748" s="546" t="s">
        <v>829</v>
      </c>
      <c r="H748" s="546" t="s">
        <v>830</v>
      </c>
    </row>
    <row r="749" spans="3:8" x14ac:dyDescent="0.25">
      <c r="C749" s="426">
        <v>185</v>
      </c>
      <c r="D749" s="426" t="s">
        <v>787</v>
      </c>
      <c r="E749" s="426" t="s">
        <v>372</v>
      </c>
      <c r="F749" s="546" t="s">
        <v>788</v>
      </c>
      <c r="G749" s="546" t="s">
        <v>831</v>
      </c>
      <c r="H749" s="546" t="s">
        <v>832</v>
      </c>
    </row>
    <row r="750" spans="3:8" x14ac:dyDescent="0.25">
      <c r="C750" s="426">
        <v>186</v>
      </c>
      <c r="D750" s="426" t="s">
        <v>799</v>
      </c>
      <c r="E750" s="426" t="s">
        <v>372</v>
      </c>
      <c r="F750" s="546" t="s">
        <v>788</v>
      </c>
      <c r="G750" s="546" t="s">
        <v>833</v>
      </c>
      <c r="H750" s="546" t="s">
        <v>834</v>
      </c>
    </row>
    <row r="751" spans="3:8" x14ac:dyDescent="0.25">
      <c r="C751" s="426">
        <v>187</v>
      </c>
      <c r="D751" s="426" t="s">
        <v>799</v>
      </c>
      <c r="E751" s="426" t="s">
        <v>372</v>
      </c>
      <c r="F751" s="546" t="s">
        <v>788</v>
      </c>
      <c r="G751" s="546" t="s">
        <v>835</v>
      </c>
      <c r="H751" s="546" t="s">
        <v>836</v>
      </c>
    </row>
    <row r="752" spans="3:8" x14ac:dyDescent="0.25">
      <c r="C752" s="426">
        <v>188</v>
      </c>
      <c r="D752" s="426" t="s">
        <v>799</v>
      </c>
      <c r="E752" s="426" t="s">
        <v>372</v>
      </c>
      <c r="F752" s="546" t="s">
        <v>788</v>
      </c>
      <c r="G752" s="546" t="s">
        <v>837</v>
      </c>
      <c r="H752" s="546" t="s">
        <v>838</v>
      </c>
    </row>
    <row r="753" spans="3:8" x14ac:dyDescent="0.25">
      <c r="C753" s="426">
        <v>189</v>
      </c>
      <c r="D753" s="426" t="s">
        <v>839</v>
      </c>
      <c r="E753" s="426" t="s">
        <v>372</v>
      </c>
      <c r="F753" s="546" t="s">
        <v>840</v>
      </c>
      <c r="G753" s="546" t="s">
        <v>841</v>
      </c>
      <c r="H753" s="546" t="s">
        <v>842</v>
      </c>
    </row>
    <row r="754" spans="3:8" x14ac:dyDescent="0.25">
      <c r="C754" s="426">
        <v>190</v>
      </c>
      <c r="D754" s="426" t="s">
        <v>839</v>
      </c>
      <c r="E754" s="426" t="s">
        <v>372</v>
      </c>
      <c r="F754" s="546" t="s">
        <v>840</v>
      </c>
      <c r="G754" s="546" t="s">
        <v>843</v>
      </c>
      <c r="H754" s="546" t="s">
        <v>844</v>
      </c>
    </row>
    <row r="755" spans="3:8" x14ac:dyDescent="0.25">
      <c r="C755" s="426">
        <v>191</v>
      </c>
      <c r="D755" s="426" t="s">
        <v>845</v>
      </c>
      <c r="E755" s="426" t="s">
        <v>372</v>
      </c>
      <c r="F755" s="546" t="s">
        <v>846</v>
      </c>
      <c r="G755" s="546" t="s">
        <v>847</v>
      </c>
      <c r="H755" s="546" t="s">
        <v>2104</v>
      </c>
    </row>
    <row r="756" spans="3:8" x14ac:dyDescent="0.25">
      <c r="C756" s="426">
        <v>192</v>
      </c>
      <c r="D756" s="426" t="s">
        <v>849</v>
      </c>
      <c r="E756" s="426" t="s">
        <v>372</v>
      </c>
      <c r="F756" s="546" t="s">
        <v>850</v>
      </c>
      <c r="G756" s="546" t="s">
        <v>851</v>
      </c>
      <c r="H756" s="546" t="s">
        <v>852</v>
      </c>
    </row>
    <row r="757" spans="3:8" x14ac:dyDescent="0.25">
      <c r="C757" s="426">
        <v>193</v>
      </c>
      <c r="D757" s="426" t="s">
        <v>853</v>
      </c>
      <c r="E757" s="426" t="s">
        <v>372</v>
      </c>
      <c r="F757" s="546" t="s">
        <v>854</v>
      </c>
      <c r="G757" s="546" t="s">
        <v>855</v>
      </c>
      <c r="H757" s="546" t="s">
        <v>856</v>
      </c>
    </row>
    <row r="758" spans="3:8" x14ac:dyDescent="0.25">
      <c r="C758" s="426">
        <v>194</v>
      </c>
      <c r="D758" s="426" t="s">
        <v>849</v>
      </c>
      <c r="E758" s="426" t="s">
        <v>372</v>
      </c>
      <c r="F758" s="546" t="s">
        <v>850</v>
      </c>
      <c r="G758" s="546" t="s">
        <v>857</v>
      </c>
      <c r="H758" s="546" t="s">
        <v>2022</v>
      </c>
    </row>
    <row r="759" spans="3:8" x14ac:dyDescent="0.25">
      <c r="C759" s="426">
        <v>195</v>
      </c>
      <c r="D759" s="426" t="s">
        <v>849</v>
      </c>
      <c r="E759" s="426" t="s">
        <v>372</v>
      </c>
      <c r="F759" s="546" t="s">
        <v>850</v>
      </c>
      <c r="G759" s="546" t="s">
        <v>858</v>
      </c>
      <c r="H759" s="546" t="s">
        <v>859</v>
      </c>
    </row>
    <row r="760" spans="3:8" x14ac:dyDescent="0.25">
      <c r="C760" s="426">
        <v>196</v>
      </c>
      <c r="D760" s="426" t="s">
        <v>839</v>
      </c>
      <c r="E760" s="426" t="s">
        <v>372</v>
      </c>
      <c r="F760" s="546" t="s">
        <v>840</v>
      </c>
      <c r="G760" s="546" t="s">
        <v>843</v>
      </c>
      <c r="H760" s="546" t="s">
        <v>860</v>
      </c>
    </row>
    <row r="761" spans="3:8" x14ac:dyDescent="0.25">
      <c r="C761" s="426">
        <v>197</v>
      </c>
      <c r="D761" s="426" t="s">
        <v>849</v>
      </c>
      <c r="E761" s="426" t="s">
        <v>372</v>
      </c>
      <c r="F761" s="546" t="s">
        <v>850</v>
      </c>
      <c r="G761" s="546" t="s">
        <v>861</v>
      </c>
      <c r="H761" s="546" t="s">
        <v>862</v>
      </c>
    </row>
    <row r="762" spans="3:8" x14ac:dyDescent="0.25">
      <c r="C762" s="426">
        <v>198</v>
      </c>
      <c r="D762" s="426" t="s">
        <v>863</v>
      </c>
      <c r="E762" s="426" t="s">
        <v>372</v>
      </c>
      <c r="F762" s="546" t="s">
        <v>850</v>
      </c>
      <c r="G762" s="546" t="s">
        <v>864</v>
      </c>
      <c r="H762" s="546" t="s">
        <v>865</v>
      </c>
    </row>
    <row r="763" spans="3:8" x14ac:dyDescent="0.25">
      <c r="C763" s="426">
        <v>200</v>
      </c>
      <c r="D763" s="426" t="s">
        <v>845</v>
      </c>
      <c r="E763" s="426" t="s">
        <v>372</v>
      </c>
      <c r="F763" s="546" t="s">
        <v>846</v>
      </c>
      <c r="G763" s="546" t="s">
        <v>847</v>
      </c>
      <c r="H763" s="546" t="s">
        <v>866</v>
      </c>
    </row>
    <row r="764" spans="3:8" x14ac:dyDescent="0.25">
      <c r="C764" s="426">
        <v>202</v>
      </c>
      <c r="D764" s="426" t="s">
        <v>853</v>
      </c>
      <c r="E764" s="426" t="s">
        <v>372</v>
      </c>
      <c r="F764" s="546" t="s">
        <v>854</v>
      </c>
      <c r="G764" s="546" t="s">
        <v>867</v>
      </c>
      <c r="H764" s="546" t="s">
        <v>868</v>
      </c>
    </row>
    <row r="765" spans="3:8" x14ac:dyDescent="0.25">
      <c r="C765" s="426">
        <v>203</v>
      </c>
      <c r="D765" s="426" t="s">
        <v>863</v>
      </c>
      <c r="E765" s="426" t="s">
        <v>372</v>
      </c>
      <c r="F765" s="546" t="s">
        <v>850</v>
      </c>
      <c r="G765" s="546" t="s">
        <v>869</v>
      </c>
      <c r="H765" s="546" t="s">
        <v>2105</v>
      </c>
    </row>
    <row r="766" spans="3:8" x14ac:dyDescent="0.25">
      <c r="C766" s="426">
        <v>204</v>
      </c>
      <c r="D766" s="426" t="s">
        <v>871</v>
      </c>
      <c r="E766" s="426" t="s">
        <v>372</v>
      </c>
      <c r="F766" s="546" t="s">
        <v>770</v>
      </c>
      <c r="G766" s="546" t="s">
        <v>771</v>
      </c>
      <c r="H766" s="546" t="s">
        <v>872</v>
      </c>
    </row>
    <row r="767" spans="3:8" x14ac:dyDescent="0.25">
      <c r="C767" s="426">
        <v>213</v>
      </c>
      <c r="D767" s="426" t="s">
        <v>873</v>
      </c>
      <c r="E767" s="426" t="s">
        <v>372</v>
      </c>
      <c r="F767" s="546" t="s">
        <v>874</v>
      </c>
      <c r="G767" s="546" t="s">
        <v>875</v>
      </c>
      <c r="H767" s="546" t="s">
        <v>876</v>
      </c>
    </row>
    <row r="768" spans="3:8" x14ac:dyDescent="0.25">
      <c r="C768" s="426">
        <v>214</v>
      </c>
      <c r="D768" s="426" t="s">
        <v>877</v>
      </c>
      <c r="E768" s="426" t="s">
        <v>372</v>
      </c>
      <c r="F768" s="546" t="s">
        <v>874</v>
      </c>
      <c r="G768" s="546" t="s">
        <v>878</v>
      </c>
      <c r="H768" s="546" t="s">
        <v>879</v>
      </c>
    </row>
    <row r="769" spans="3:12" x14ac:dyDescent="0.25">
      <c r="C769" s="426">
        <v>215</v>
      </c>
      <c r="D769" s="426" t="s">
        <v>877</v>
      </c>
      <c r="E769" s="426" t="s">
        <v>372</v>
      </c>
      <c r="F769" s="546" t="s">
        <v>874</v>
      </c>
      <c r="G769" s="546" t="s">
        <v>880</v>
      </c>
      <c r="H769" s="546" t="s">
        <v>881</v>
      </c>
    </row>
    <row r="770" spans="3:12" x14ac:dyDescent="0.25">
      <c r="C770" s="426">
        <v>217</v>
      </c>
      <c r="D770" s="426" t="s">
        <v>877</v>
      </c>
      <c r="E770" s="426" t="s">
        <v>372</v>
      </c>
      <c r="F770" s="546" t="s">
        <v>874</v>
      </c>
      <c r="G770" s="546" t="s">
        <v>882</v>
      </c>
      <c r="H770" s="546" t="s">
        <v>883</v>
      </c>
    </row>
    <row r="771" spans="3:12" x14ac:dyDescent="0.25">
      <c r="C771" s="426">
        <v>218</v>
      </c>
      <c r="D771" s="426" t="s">
        <v>873</v>
      </c>
      <c r="E771" s="426" t="s">
        <v>372</v>
      </c>
      <c r="F771" s="546" t="s">
        <v>874</v>
      </c>
      <c r="G771" s="546" t="s">
        <v>884</v>
      </c>
      <c r="H771" s="546" t="s">
        <v>885</v>
      </c>
    </row>
    <row r="772" spans="3:12" x14ac:dyDescent="0.25">
      <c r="C772" s="426">
        <v>219</v>
      </c>
      <c r="D772" s="426" t="s">
        <v>877</v>
      </c>
      <c r="E772" s="426" t="s">
        <v>372</v>
      </c>
      <c r="F772" s="546" t="s">
        <v>874</v>
      </c>
      <c r="G772" s="546" t="s">
        <v>886</v>
      </c>
      <c r="H772" s="546" t="s">
        <v>887</v>
      </c>
    </row>
    <row r="773" spans="3:12" x14ac:dyDescent="0.25">
      <c r="C773" s="426">
        <v>220</v>
      </c>
      <c r="D773" s="426" t="s">
        <v>877</v>
      </c>
      <c r="E773" s="426" t="s">
        <v>372</v>
      </c>
      <c r="F773" s="546" t="s">
        <v>874</v>
      </c>
      <c r="G773" s="546" t="s">
        <v>888</v>
      </c>
      <c r="H773" s="546" t="s">
        <v>889</v>
      </c>
    </row>
    <row r="774" spans="3:12" x14ac:dyDescent="0.25">
      <c r="C774" s="426">
        <v>221</v>
      </c>
      <c r="D774" s="426" t="s">
        <v>877</v>
      </c>
      <c r="E774" s="426" t="s">
        <v>372</v>
      </c>
      <c r="F774" s="546" t="s">
        <v>874</v>
      </c>
      <c r="G774" s="546" t="s">
        <v>890</v>
      </c>
      <c r="H774" s="546" t="s">
        <v>891</v>
      </c>
    </row>
    <row r="775" spans="3:12" x14ac:dyDescent="0.25">
      <c r="C775" s="426">
        <v>222</v>
      </c>
      <c r="D775" s="426" t="s">
        <v>873</v>
      </c>
      <c r="E775" s="426" t="s">
        <v>372</v>
      </c>
      <c r="F775" s="546" t="s">
        <v>874</v>
      </c>
      <c r="G775" s="546" t="s">
        <v>892</v>
      </c>
      <c r="H775" s="546" t="s">
        <v>893</v>
      </c>
    </row>
    <row r="776" spans="3:12" x14ac:dyDescent="0.25">
      <c r="C776" s="426">
        <v>223</v>
      </c>
      <c r="D776" s="426" t="s">
        <v>873</v>
      </c>
      <c r="E776" s="426" t="s">
        <v>372</v>
      </c>
      <c r="F776" s="546" t="s">
        <v>874</v>
      </c>
      <c r="G776" s="546" t="s">
        <v>894</v>
      </c>
      <c r="H776" s="546" t="s">
        <v>895</v>
      </c>
    </row>
    <row r="777" spans="3:12" x14ac:dyDescent="0.25">
      <c r="C777" s="426">
        <v>224</v>
      </c>
      <c r="D777" s="426" t="s">
        <v>873</v>
      </c>
      <c r="E777" s="426" t="s">
        <v>372</v>
      </c>
      <c r="F777" s="546" t="s">
        <v>874</v>
      </c>
      <c r="G777" s="546" t="s">
        <v>896</v>
      </c>
      <c r="H777" s="546" t="s">
        <v>897</v>
      </c>
    </row>
    <row r="778" spans="3:12" x14ac:dyDescent="0.25">
      <c r="C778" s="426">
        <v>225</v>
      </c>
      <c r="D778" s="426" t="s">
        <v>873</v>
      </c>
      <c r="E778" s="426" t="s">
        <v>372</v>
      </c>
      <c r="F778" s="546" t="s">
        <v>874</v>
      </c>
      <c r="G778" s="546" t="s">
        <v>899</v>
      </c>
      <c r="H778" s="546" t="s">
        <v>900</v>
      </c>
      <c r="I778" s="546" t="s">
        <v>1076</v>
      </c>
      <c r="L778" s="426" t="s">
        <v>174</v>
      </c>
    </row>
    <row r="779" spans="3:12" x14ac:dyDescent="0.25">
      <c r="C779" s="426">
        <v>226</v>
      </c>
      <c r="D779" s="426" t="s">
        <v>873</v>
      </c>
      <c r="E779" s="426" t="s">
        <v>372</v>
      </c>
      <c r="F779" s="546" t="s">
        <v>874</v>
      </c>
      <c r="G779" s="546" t="s">
        <v>904</v>
      </c>
      <c r="H779" s="546" t="s">
        <v>905</v>
      </c>
    </row>
    <row r="780" spans="3:12" x14ac:dyDescent="0.25">
      <c r="C780" s="426">
        <v>227</v>
      </c>
      <c r="D780" s="426" t="s">
        <v>873</v>
      </c>
      <c r="E780" s="426" t="s">
        <v>372</v>
      </c>
      <c r="F780" s="546" t="s">
        <v>874</v>
      </c>
      <c r="G780" s="546" t="s">
        <v>906</v>
      </c>
      <c r="H780" s="546" t="s">
        <v>907</v>
      </c>
    </row>
    <row r="781" spans="3:12" x14ac:dyDescent="0.25">
      <c r="C781" s="426">
        <v>228</v>
      </c>
      <c r="D781" s="426" t="s">
        <v>877</v>
      </c>
      <c r="E781" s="426" t="s">
        <v>372</v>
      </c>
      <c r="F781" s="546" t="s">
        <v>874</v>
      </c>
      <c r="G781" s="546" t="s">
        <v>908</v>
      </c>
      <c r="H781" s="546" t="s">
        <v>909</v>
      </c>
    </row>
    <row r="782" spans="3:12" x14ac:dyDescent="0.25">
      <c r="C782" s="426">
        <v>229</v>
      </c>
      <c r="D782" s="426" t="s">
        <v>873</v>
      </c>
      <c r="E782" s="426" t="s">
        <v>372</v>
      </c>
      <c r="F782" s="546" t="s">
        <v>874</v>
      </c>
      <c r="G782" s="546" t="s">
        <v>910</v>
      </c>
      <c r="H782" s="546" t="s">
        <v>911</v>
      </c>
    </row>
    <row r="783" spans="3:12" x14ac:dyDescent="0.25">
      <c r="C783" s="426">
        <v>230</v>
      </c>
      <c r="D783" s="426" t="s">
        <v>873</v>
      </c>
      <c r="E783" s="426" t="s">
        <v>372</v>
      </c>
      <c r="F783" s="546" t="s">
        <v>874</v>
      </c>
      <c r="G783" s="546" t="s">
        <v>912</v>
      </c>
      <c r="H783" s="546" t="s">
        <v>913</v>
      </c>
    </row>
    <row r="784" spans="3:12" x14ac:dyDescent="0.25">
      <c r="C784" s="426">
        <v>231</v>
      </c>
      <c r="D784" s="426" t="s">
        <v>914</v>
      </c>
      <c r="E784" s="426" t="s">
        <v>372</v>
      </c>
      <c r="F784" s="546" t="s">
        <v>915</v>
      </c>
      <c r="G784" s="546" t="s">
        <v>916</v>
      </c>
      <c r="H784" s="546" t="s">
        <v>917</v>
      </c>
    </row>
    <row r="785" spans="3:8" x14ac:dyDescent="0.25">
      <c r="C785" s="426">
        <v>232</v>
      </c>
      <c r="D785" s="426" t="s">
        <v>918</v>
      </c>
      <c r="E785" s="426" t="s">
        <v>372</v>
      </c>
      <c r="F785" s="546" t="s">
        <v>919</v>
      </c>
      <c r="G785" s="546" t="s">
        <v>920</v>
      </c>
      <c r="H785" s="546" t="s">
        <v>921</v>
      </c>
    </row>
    <row r="786" spans="3:8" x14ac:dyDescent="0.25">
      <c r="C786" s="426">
        <v>233</v>
      </c>
      <c r="D786" s="426" t="s">
        <v>922</v>
      </c>
      <c r="E786" s="426" t="s">
        <v>372</v>
      </c>
      <c r="F786" s="546" t="s">
        <v>923</v>
      </c>
      <c r="G786" s="546" t="s">
        <v>924</v>
      </c>
      <c r="H786" s="546" t="s">
        <v>925</v>
      </c>
    </row>
    <row r="787" spans="3:8" x14ac:dyDescent="0.25">
      <c r="C787" s="426">
        <v>234</v>
      </c>
      <c r="D787" s="426" t="s">
        <v>926</v>
      </c>
      <c r="E787" s="426" t="s">
        <v>372</v>
      </c>
      <c r="F787" s="546" t="s">
        <v>927</v>
      </c>
      <c r="G787" s="546" t="s">
        <v>928</v>
      </c>
      <c r="H787" s="546" t="s">
        <v>2024</v>
      </c>
    </row>
    <row r="788" spans="3:8" x14ac:dyDescent="0.25">
      <c r="C788" s="426">
        <v>235</v>
      </c>
      <c r="D788" s="426" t="s">
        <v>929</v>
      </c>
      <c r="E788" s="426" t="s">
        <v>372</v>
      </c>
      <c r="F788" s="546" t="s">
        <v>930</v>
      </c>
      <c r="G788" s="546" t="s">
        <v>931</v>
      </c>
      <c r="H788" s="546" t="s">
        <v>932</v>
      </c>
    </row>
    <row r="789" spans="3:8" x14ac:dyDescent="0.25">
      <c r="C789" s="426">
        <v>236</v>
      </c>
      <c r="D789" s="426" t="s">
        <v>933</v>
      </c>
      <c r="E789" s="426" t="s">
        <v>372</v>
      </c>
      <c r="F789" s="546" t="s">
        <v>934</v>
      </c>
      <c r="G789" s="546" t="s">
        <v>935</v>
      </c>
      <c r="H789" s="546" t="s">
        <v>936</v>
      </c>
    </row>
    <row r="790" spans="3:8" x14ac:dyDescent="0.25">
      <c r="C790" s="426">
        <v>237</v>
      </c>
      <c r="D790" s="426" t="s">
        <v>937</v>
      </c>
      <c r="E790" s="426" t="s">
        <v>372</v>
      </c>
      <c r="F790" s="546" t="s">
        <v>938</v>
      </c>
      <c r="G790" s="546" t="s">
        <v>939</v>
      </c>
      <c r="H790" s="546" t="s">
        <v>940</v>
      </c>
    </row>
    <row r="791" spans="3:8" x14ac:dyDescent="0.25">
      <c r="C791" s="426">
        <v>238</v>
      </c>
      <c r="D791" s="426" t="s">
        <v>941</v>
      </c>
      <c r="E791" s="426" t="s">
        <v>372</v>
      </c>
      <c r="F791" s="546" t="s">
        <v>923</v>
      </c>
      <c r="G791" s="546" t="s">
        <v>924</v>
      </c>
      <c r="H791" s="546" t="s">
        <v>942</v>
      </c>
    </row>
    <row r="792" spans="3:8" x14ac:dyDescent="0.25">
      <c r="C792" s="426">
        <v>240</v>
      </c>
      <c r="D792" s="426" t="s">
        <v>943</v>
      </c>
      <c r="E792" s="426" t="s">
        <v>372</v>
      </c>
      <c r="F792" s="546" t="s">
        <v>944</v>
      </c>
      <c r="G792" s="546" t="s">
        <v>945</v>
      </c>
      <c r="H792" s="546" t="s">
        <v>946</v>
      </c>
    </row>
    <row r="793" spans="3:8" x14ac:dyDescent="0.25">
      <c r="C793" s="426">
        <v>241</v>
      </c>
      <c r="D793" s="426" t="s">
        <v>947</v>
      </c>
      <c r="E793" s="426" t="s">
        <v>372</v>
      </c>
      <c r="F793" s="546" t="s">
        <v>944</v>
      </c>
      <c r="G793" s="546" t="s">
        <v>948</v>
      </c>
      <c r="H793" s="546" t="s">
        <v>949</v>
      </c>
    </row>
    <row r="794" spans="3:8" x14ac:dyDescent="0.25">
      <c r="C794" s="426">
        <v>242</v>
      </c>
      <c r="D794" s="426" t="s">
        <v>947</v>
      </c>
      <c r="E794" s="426" t="s">
        <v>372</v>
      </c>
      <c r="F794" s="546" t="s">
        <v>944</v>
      </c>
      <c r="G794" s="546" t="s">
        <v>950</v>
      </c>
      <c r="H794" s="546" t="s">
        <v>951</v>
      </c>
    </row>
    <row r="795" spans="3:8" x14ac:dyDescent="0.25">
      <c r="C795" s="426">
        <v>243</v>
      </c>
      <c r="D795" s="426" t="s">
        <v>947</v>
      </c>
      <c r="E795" s="426" t="s">
        <v>372</v>
      </c>
      <c r="F795" s="546" t="s">
        <v>944</v>
      </c>
      <c r="G795" s="546" t="s">
        <v>952</v>
      </c>
      <c r="H795" s="546" t="s">
        <v>953</v>
      </c>
    </row>
    <row r="796" spans="3:8" x14ac:dyDescent="0.25">
      <c r="C796" s="426">
        <v>244</v>
      </c>
      <c r="D796" s="426" t="s">
        <v>947</v>
      </c>
      <c r="E796" s="426" t="s">
        <v>372</v>
      </c>
      <c r="F796" s="546" t="s">
        <v>944</v>
      </c>
      <c r="G796" s="546" t="s">
        <v>954</v>
      </c>
      <c r="H796" s="546" t="s">
        <v>955</v>
      </c>
    </row>
    <row r="797" spans="3:8" x14ac:dyDescent="0.25">
      <c r="C797" s="426">
        <v>247</v>
      </c>
      <c r="D797" s="426" t="s">
        <v>956</v>
      </c>
      <c r="E797" s="426" t="s">
        <v>372</v>
      </c>
      <c r="F797" s="546" t="s">
        <v>957</v>
      </c>
      <c r="G797" s="546" t="s">
        <v>958</v>
      </c>
      <c r="H797" s="546" t="s">
        <v>959</v>
      </c>
    </row>
    <row r="798" spans="3:8" x14ac:dyDescent="0.25">
      <c r="C798" s="426">
        <v>248</v>
      </c>
      <c r="D798" s="426" t="s">
        <v>947</v>
      </c>
      <c r="E798" s="426" t="s">
        <v>372</v>
      </c>
      <c r="F798" s="546" t="s">
        <v>944</v>
      </c>
      <c r="G798" s="546" t="s">
        <v>960</v>
      </c>
      <c r="H798" s="546" t="s">
        <v>961</v>
      </c>
    </row>
    <row r="799" spans="3:8" x14ac:dyDescent="0.25">
      <c r="C799" s="426">
        <v>249</v>
      </c>
      <c r="D799" s="426" t="s">
        <v>962</v>
      </c>
      <c r="E799" s="426" t="s">
        <v>372</v>
      </c>
      <c r="F799" s="546" t="s">
        <v>963</v>
      </c>
      <c r="G799" s="546" t="s">
        <v>964</v>
      </c>
      <c r="H799" s="546" t="s">
        <v>965</v>
      </c>
    </row>
    <row r="800" spans="3:8" x14ac:dyDescent="0.25">
      <c r="C800" s="426">
        <v>250</v>
      </c>
      <c r="D800" s="426" t="s">
        <v>947</v>
      </c>
      <c r="E800" s="426" t="s">
        <v>372</v>
      </c>
      <c r="F800" s="546" t="s">
        <v>944</v>
      </c>
      <c r="G800" s="546" t="s">
        <v>966</v>
      </c>
      <c r="H800" s="546" t="s">
        <v>967</v>
      </c>
    </row>
    <row r="801" spans="3:8" x14ac:dyDescent="0.25">
      <c r="C801" s="426">
        <v>252</v>
      </c>
      <c r="D801" s="426" t="s">
        <v>968</v>
      </c>
      <c r="E801" s="426" t="s">
        <v>372</v>
      </c>
      <c r="F801" s="546" t="s">
        <v>969</v>
      </c>
      <c r="G801" s="546" t="s">
        <v>970</v>
      </c>
      <c r="H801" s="546" t="s">
        <v>971</v>
      </c>
    </row>
    <row r="802" spans="3:8" x14ac:dyDescent="0.25">
      <c r="C802" s="426">
        <v>253</v>
      </c>
      <c r="D802" s="426" t="s">
        <v>947</v>
      </c>
      <c r="E802" s="426" t="s">
        <v>372</v>
      </c>
      <c r="F802" s="546" t="s">
        <v>944</v>
      </c>
      <c r="G802" s="546" t="s">
        <v>972</v>
      </c>
      <c r="H802" s="546" t="s">
        <v>973</v>
      </c>
    </row>
    <row r="803" spans="3:8" x14ac:dyDescent="0.25">
      <c r="C803" s="426">
        <v>255</v>
      </c>
      <c r="D803" s="426" t="s">
        <v>974</v>
      </c>
      <c r="E803" s="426" t="s">
        <v>372</v>
      </c>
      <c r="F803" s="546" t="s">
        <v>975</v>
      </c>
      <c r="G803" s="546" t="s">
        <v>976</v>
      </c>
      <c r="H803" s="546" t="s">
        <v>977</v>
      </c>
    </row>
    <row r="804" spans="3:8" x14ac:dyDescent="0.25">
      <c r="C804" s="426">
        <v>256</v>
      </c>
      <c r="D804" s="426" t="s">
        <v>974</v>
      </c>
      <c r="E804" s="426" t="s">
        <v>372</v>
      </c>
      <c r="F804" s="546" t="s">
        <v>975</v>
      </c>
      <c r="G804" s="546" t="s">
        <v>978</v>
      </c>
      <c r="H804" s="546" t="s">
        <v>979</v>
      </c>
    </row>
    <row r="805" spans="3:8" x14ac:dyDescent="0.25">
      <c r="C805" s="426">
        <v>258</v>
      </c>
      <c r="D805" s="426" t="s">
        <v>980</v>
      </c>
      <c r="E805" s="426" t="s">
        <v>372</v>
      </c>
      <c r="F805" s="546" t="s">
        <v>981</v>
      </c>
      <c r="G805" s="546" t="s">
        <v>982</v>
      </c>
      <c r="H805" s="546" t="s">
        <v>983</v>
      </c>
    </row>
    <row r="806" spans="3:8" x14ac:dyDescent="0.25">
      <c r="C806" s="426">
        <v>259</v>
      </c>
      <c r="D806" s="426" t="s">
        <v>984</v>
      </c>
      <c r="E806" s="426" t="s">
        <v>372</v>
      </c>
      <c r="F806" s="546" t="s">
        <v>985</v>
      </c>
      <c r="G806" s="546" t="s">
        <v>986</v>
      </c>
      <c r="H806" s="546" t="s">
        <v>2155</v>
      </c>
    </row>
    <row r="807" spans="3:8" x14ac:dyDescent="0.25">
      <c r="C807" s="426">
        <v>260</v>
      </c>
      <c r="D807" s="426" t="s">
        <v>987</v>
      </c>
      <c r="E807" s="426" t="s">
        <v>372</v>
      </c>
      <c r="F807" s="546" t="s">
        <v>988</v>
      </c>
      <c r="G807" s="546" t="s">
        <v>989</v>
      </c>
      <c r="H807" s="546" t="s">
        <v>990</v>
      </c>
    </row>
    <row r="808" spans="3:8" x14ac:dyDescent="0.25">
      <c r="C808" s="426">
        <v>262</v>
      </c>
      <c r="D808" s="426" t="s">
        <v>991</v>
      </c>
      <c r="E808" s="426" t="s">
        <v>372</v>
      </c>
      <c r="F808" s="546" t="s">
        <v>992</v>
      </c>
      <c r="G808" s="546" t="s">
        <v>993</v>
      </c>
      <c r="H808" s="546" t="s">
        <v>994</v>
      </c>
    </row>
    <row r="809" spans="3:8" x14ac:dyDescent="0.25">
      <c r="C809" s="426">
        <v>263</v>
      </c>
      <c r="D809" s="426" t="s">
        <v>1787</v>
      </c>
      <c r="E809" s="426" t="s">
        <v>372</v>
      </c>
      <c r="F809" s="546" t="s">
        <v>1788</v>
      </c>
      <c r="G809" s="546" t="s">
        <v>1789</v>
      </c>
      <c r="H809" s="546" t="s">
        <v>1790</v>
      </c>
    </row>
    <row r="810" spans="3:8" x14ac:dyDescent="0.25">
      <c r="C810" s="426">
        <v>264</v>
      </c>
      <c r="D810" s="426" t="s">
        <v>995</v>
      </c>
      <c r="E810" s="426" t="s">
        <v>372</v>
      </c>
      <c r="F810" s="546" t="s">
        <v>996</v>
      </c>
      <c r="G810" s="546" t="s">
        <v>997</v>
      </c>
      <c r="H810" s="546" t="s">
        <v>998</v>
      </c>
    </row>
    <row r="811" spans="3:8" x14ac:dyDescent="0.25">
      <c r="C811" s="426">
        <v>265</v>
      </c>
      <c r="D811" s="426" t="s">
        <v>995</v>
      </c>
      <c r="E811" s="426" t="s">
        <v>372</v>
      </c>
      <c r="F811" s="546" t="s">
        <v>996</v>
      </c>
      <c r="G811" s="546" t="s">
        <v>999</v>
      </c>
      <c r="H811" s="546" t="s">
        <v>1000</v>
      </c>
    </row>
    <row r="812" spans="3:8" x14ac:dyDescent="0.25">
      <c r="C812" s="426">
        <v>266</v>
      </c>
      <c r="D812" s="426" t="s">
        <v>1001</v>
      </c>
      <c r="E812" s="426" t="s">
        <v>372</v>
      </c>
      <c r="F812" s="546" t="s">
        <v>1002</v>
      </c>
      <c r="G812" s="546" t="s">
        <v>1003</v>
      </c>
      <c r="H812" s="546" t="s">
        <v>1004</v>
      </c>
    </row>
    <row r="813" spans="3:8" x14ac:dyDescent="0.25">
      <c r="C813" s="426">
        <v>267</v>
      </c>
      <c r="D813" s="426" t="s">
        <v>1001</v>
      </c>
      <c r="E813" s="426" t="s">
        <v>372</v>
      </c>
      <c r="F813" s="546" t="s">
        <v>1002</v>
      </c>
      <c r="G813" s="546" t="s">
        <v>1003</v>
      </c>
      <c r="H813" s="546" t="s">
        <v>1005</v>
      </c>
    </row>
    <row r="814" spans="3:8" x14ac:dyDescent="0.25">
      <c r="C814" s="426">
        <v>268</v>
      </c>
      <c r="D814" s="426" t="s">
        <v>2025</v>
      </c>
      <c r="E814" s="426" t="s">
        <v>372</v>
      </c>
      <c r="F814" s="546" t="s">
        <v>2026</v>
      </c>
      <c r="G814" s="546" t="s">
        <v>2027</v>
      </c>
      <c r="H814" s="546" t="s">
        <v>2028</v>
      </c>
    </row>
    <row r="815" spans="3:8" x14ac:dyDescent="0.25">
      <c r="C815" s="426">
        <v>270</v>
      </c>
      <c r="D815" s="426" t="s">
        <v>1006</v>
      </c>
      <c r="E815" s="426" t="s">
        <v>372</v>
      </c>
      <c r="F815" s="546" t="s">
        <v>1007</v>
      </c>
      <c r="G815" s="546" t="s">
        <v>1008</v>
      </c>
      <c r="H815" s="546" t="s">
        <v>662</v>
      </c>
    </row>
    <row r="816" spans="3:8" x14ac:dyDescent="0.25">
      <c r="C816" s="426">
        <v>271</v>
      </c>
      <c r="D816" s="426" t="s">
        <v>1009</v>
      </c>
      <c r="E816" s="426" t="s">
        <v>372</v>
      </c>
      <c r="F816" s="546" t="s">
        <v>1010</v>
      </c>
      <c r="G816" s="546" t="s">
        <v>1011</v>
      </c>
      <c r="H816" s="546" t="s">
        <v>1012</v>
      </c>
    </row>
    <row r="817" spans="3:8" x14ac:dyDescent="0.25">
      <c r="C817" s="426">
        <v>273</v>
      </c>
      <c r="D817" s="426" t="s">
        <v>1013</v>
      </c>
      <c r="E817" s="426" t="s">
        <v>372</v>
      </c>
      <c r="F817" s="546" t="s">
        <v>1014</v>
      </c>
      <c r="G817" s="546" t="s">
        <v>1015</v>
      </c>
      <c r="H817" s="546" t="s">
        <v>1016</v>
      </c>
    </row>
    <row r="818" spans="3:8" x14ac:dyDescent="0.25">
      <c r="C818" s="426">
        <v>274</v>
      </c>
      <c r="D818" s="426" t="s">
        <v>1013</v>
      </c>
      <c r="E818" s="426" t="s">
        <v>372</v>
      </c>
      <c r="F818" s="546" t="s">
        <v>1014</v>
      </c>
      <c r="G818" s="546" t="s">
        <v>1017</v>
      </c>
      <c r="H818" s="546" t="s">
        <v>1018</v>
      </c>
    </row>
    <row r="819" spans="3:8" x14ac:dyDescent="0.25">
      <c r="C819" s="426">
        <v>275</v>
      </c>
      <c r="D819" s="426" t="s">
        <v>1019</v>
      </c>
      <c r="E819" s="426" t="s">
        <v>372</v>
      </c>
      <c r="F819" s="546" t="s">
        <v>1020</v>
      </c>
      <c r="G819" s="546" t="s">
        <v>1021</v>
      </c>
      <c r="H819" s="546" t="s">
        <v>1022</v>
      </c>
    </row>
    <row r="820" spans="3:8" x14ac:dyDescent="0.25">
      <c r="C820" s="426">
        <v>276</v>
      </c>
      <c r="D820" s="426" t="s">
        <v>1019</v>
      </c>
      <c r="E820" s="426" t="s">
        <v>372</v>
      </c>
      <c r="F820" s="546" t="s">
        <v>1020</v>
      </c>
      <c r="G820" s="546" t="s">
        <v>1023</v>
      </c>
      <c r="H820" s="546" t="s">
        <v>1024</v>
      </c>
    </row>
    <row r="821" spans="3:8" x14ac:dyDescent="0.25">
      <c r="C821" s="426">
        <v>277</v>
      </c>
      <c r="D821" s="426" t="s">
        <v>1025</v>
      </c>
      <c r="E821" s="426" t="s">
        <v>372</v>
      </c>
      <c r="F821" s="546" t="s">
        <v>1020</v>
      </c>
      <c r="G821" s="546" t="s">
        <v>1026</v>
      </c>
      <c r="H821" s="546" t="s">
        <v>1027</v>
      </c>
    </row>
    <row r="822" spans="3:8" x14ac:dyDescent="0.25">
      <c r="C822" s="426">
        <v>278</v>
      </c>
      <c r="D822" s="426" t="s">
        <v>1013</v>
      </c>
      <c r="E822" s="426" t="s">
        <v>372</v>
      </c>
      <c r="F822" s="546" t="s">
        <v>1014</v>
      </c>
      <c r="G822" s="546" t="s">
        <v>1028</v>
      </c>
      <c r="H822" s="546" t="s">
        <v>1029</v>
      </c>
    </row>
    <row r="823" spans="3:8" x14ac:dyDescent="0.25">
      <c r="C823" s="426">
        <v>279</v>
      </c>
      <c r="D823" s="426" t="s">
        <v>873</v>
      </c>
      <c r="E823" s="426" t="s">
        <v>372</v>
      </c>
      <c r="F823" s="546" t="s">
        <v>874</v>
      </c>
      <c r="G823" s="546" t="s">
        <v>1030</v>
      </c>
      <c r="H823" s="546" t="s">
        <v>1031</v>
      </c>
    </row>
    <row r="824" spans="3:8" x14ac:dyDescent="0.25">
      <c r="C824" s="426">
        <v>280</v>
      </c>
      <c r="D824" s="426" t="s">
        <v>1032</v>
      </c>
      <c r="E824" s="426" t="s">
        <v>372</v>
      </c>
      <c r="F824" s="546" t="s">
        <v>1033</v>
      </c>
      <c r="G824" s="546" t="s">
        <v>1034</v>
      </c>
      <c r="H824" s="546" t="s">
        <v>1035</v>
      </c>
    </row>
    <row r="825" spans="3:8" x14ac:dyDescent="0.25">
      <c r="C825" s="426">
        <v>281</v>
      </c>
      <c r="D825" s="426" t="s">
        <v>1032</v>
      </c>
      <c r="E825" s="426" t="s">
        <v>372</v>
      </c>
      <c r="F825" s="546" t="s">
        <v>1033</v>
      </c>
      <c r="G825" s="546" t="s">
        <v>1034</v>
      </c>
      <c r="H825" s="546" t="s">
        <v>1036</v>
      </c>
    </row>
    <row r="826" spans="3:8" x14ac:dyDescent="0.25">
      <c r="C826" s="426">
        <v>285</v>
      </c>
      <c r="D826" s="426" t="s">
        <v>1037</v>
      </c>
      <c r="E826" s="426" t="s">
        <v>372</v>
      </c>
      <c r="F826" s="546" t="s">
        <v>1038</v>
      </c>
      <c r="G826" s="546" t="s">
        <v>1039</v>
      </c>
      <c r="H826" s="546" t="s">
        <v>1040</v>
      </c>
    </row>
    <row r="827" spans="3:8" x14ac:dyDescent="0.25">
      <c r="C827" s="426">
        <v>286</v>
      </c>
      <c r="D827" s="426" t="s">
        <v>1041</v>
      </c>
      <c r="E827" s="426" t="s">
        <v>372</v>
      </c>
      <c r="F827" s="546" t="s">
        <v>1038</v>
      </c>
      <c r="G827" s="546" t="s">
        <v>1042</v>
      </c>
      <c r="H827" s="546" t="s">
        <v>1043</v>
      </c>
    </row>
    <row r="828" spans="3:8" x14ac:dyDescent="0.25">
      <c r="C828" s="426">
        <v>290</v>
      </c>
      <c r="D828" s="426" t="s">
        <v>1044</v>
      </c>
      <c r="E828" s="426" t="s">
        <v>372</v>
      </c>
      <c r="F828" s="546" t="s">
        <v>1045</v>
      </c>
      <c r="G828" s="546" t="s">
        <v>1046</v>
      </c>
      <c r="H828" s="546" t="s">
        <v>1047</v>
      </c>
    </row>
    <row r="829" spans="3:8" x14ac:dyDescent="0.25">
      <c r="C829" s="426">
        <v>291</v>
      </c>
      <c r="D829" s="426" t="s">
        <v>1048</v>
      </c>
      <c r="E829" s="426" t="s">
        <v>372</v>
      </c>
      <c r="F829" s="546" t="s">
        <v>1045</v>
      </c>
      <c r="G829" s="546" t="s">
        <v>1049</v>
      </c>
      <c r="H829" s="546" t="s">
        <v>1050</v>
      </c>
    </row>
    <row r="830" spans="3:8" x14ac:dyDescent="0.25">
      <c r="C830" s="426">
        <v>294</v>
      </c>
      <c r="D830" s="426" t="s">
        <v>1051</v>
      </c>
      <c r="E830" s="426" t="s">
        <v>372</v>
      </c>
      <c r="F830" s="546" t="s">
        <v>1052</v>
      </c>
      <c r="G830" s="546" t="s">
        <v>1053</v>
      </c>
      <c r="H830" s="546" t="s">
        <v>1054</v>
      </c>
    </row>
    <row r="831" spans="3:8" x14ac:dyDescent="0.25">
      <c r="C831" s="426">
        <v>295</v>
      </c>
      <c r="D831" s="426" t="s">
        <v>1055</v>
      </c>
      <c r="E831" s="426" t="s">
        <v>372</v>
      </c>
      <c r="F831" s="546" t="s">
        <v>1056</v>
      </c>
      <c r="G831" s="546" t="s">
        <v>1057</v>
      </c>
      <c r="H831" s="546" t="s">
        <v>1058</v>
      </c>
    </row>
    <row r="832" spans="3:8" x14ac:dyDescent="0.25">
      <c r="C832" s="426">
        <v>296</v>
      </c>
      <c r="D832" s="426" t="s">
        <v>799</v>
      </c>
      <c r="E832" s="426" t="s">
        <v>372</v>
      </c>
      <c r="F832" s="546" t="s">
        <v>788</v>
      </c>
      <c r="G832" s="546" t="s">
        <v>1059</v>
      </c>
      <c r="H832" s="546" t="s">
        <v>1060</v>
      </c>
    </row>
    <row r="833" spans="3:9" x14ac:dyDescent="0.25">
      <c r="C833" s="426">
        <v>297</v>
      </c>
      <c r="D833" s="426" t="s">
        <v>1061</v>
      </c>
      <c r="E833" s="426" t="s">
        <v>372</v>
      </c>
      <c r="F833" s="546" t="s">
        <v>1062</v>
      </c>
      <c r="G833" s="546" t="s">
        <v>1063</v>
      </c>
      <c r="H833" s="546" t="s">
        <v>1064</v>
      </c>
    </row>
    <row r="834" spans="3:9" x14ac:dyDescent="0.25">
      <c r="C834" s="426">
        <v>298</v>
      </c>
      <c r="D834" s="426" t="s">
        <v>2106</v>
      </c>
      <c r="E834" s="426" t="s">
        <v>372</v>
      </c>
      <c r="F834" s="546" t="s">
        <v>1066</v>
      </c>
      <c r="G834" s="546" t="s">
        <v>1067</v>
      </c>
      <c r="H834" s="546" t="s">
        <v>1068</v>
      </c>
      <c r="I834" s="546" t="s">
        <v>1076</v>
      </c>
    </row>
    <row r="835" spans="3:9" x14ac:dyDescent="0.25">
      <c r="C835" s="426">
        <v>299</v>
      </c>
      <c r="D835" s="426" t="s">
        <v>1072</v>
      </c>
      <c r="E835" s="426" t="s">
        <v>372</v>
      </c>
      <c r="F835" s="546" t="s">
        <v>1073</v>
      </c>
      <c r="G835" s="546" t="s">
        <v>1074</v>
      </c>
      <c r="H835" s="546" t="s">
        <v>1075</v>
      </c>
      <c r="I835" s="546" t="s">
        <v>1076</v>
      </c>
    </row>
    <row r="836" spans="3:9" x14ac:dyDescent="0.25">
      <c r="C836" s="426">
        <v>306</v>
      </c>
      <c r="D836" s="426" t="s">
        <v>1072</v>
      </c>
      <c r="E836" s="426" t="s">
        <v>372</v>
      </c>
      <c r="F836" s="546" t="s">
        <v>1073</v>
      </c>
      <c r="G836" s="546" t="s">
        <v>1077</v>
      </c>
      <c r="H836" s="546" t="s">
        <v>1078</v>
      </c>
    </row>
    <row r="837" spans="3:9" x14ac:dyDescent="0.25">
      <c r="C837" s="426">
        <v>307</v>
      </c>
      <c r="D837" s="426" t="s">
        <v>1079</v>
      </c>
      <c r="E837" s="426" t="s">
        <v>372</v>
      </c>
      <c r="F837" s="546" t="s">
        <v>1080</v>
      </c>
      <c r="G837" s="546" t="s">
        <v>1081</v>
      </c>
      <c r="H837" s="546" t="s">
        <v>1082</v>
      </c>
    </row>
    <row r="838" spans="3:9" x14ac:dyDescent="0.25">
      <c r="C838" s="426">
        <v>308</v>
      </c>
      <c r="D838" s="426" t="s">
        <v>1083</v>
      </c>
      <c r="E838" s="426" t="s">
        <v>372</v>
      </c>
      <c r="F838" s="546" t="s">
        <v>1084</v>
      </c>
      <c r="G838" s="546" t="s">
        <v>1085</v>
      </c>
      <c r="H838" s="546" t="s">
        <v>1086</v>
      </c>
    </row>
    <row r="839" spans="3:9" x14ac:dyDescent="0.25">
      <c r="C839" s="426">
        <v>309</v>
      </c>
      <c r="D839" s="426" t="s">
        <v>1087</v>
      </c>
      <c r="E839" s="426" t="s">
        <v>372</v>
      </c>
      <c r="F839" s="546" t="s">
        <v>1084</v>
      </c>
      <c r="G839" s="546" t="s">
        <v>1088</v>
      </c>
      <c r="H839" s="546" t="s">
        <v>1089</v>
      </c>
    </row>
    <row r="840" spans="3:9" x14ac:dyDescent="0.25">
      <c r="C840" s="426">
        <v>310</v>
      </c>
      <c r="D840" s="426" t="s">
        <v>1087</v>
      </c>
      <c r="E840" s="426" t="s">
        <v>372</v>
      </c>
      <c r="F840" s="546" t="s">
        <v>1084</v>
      </c>
      <c r="G840" s="546" t="s">
        <v>1090</v>
      </c>
      <c r="H840" s="546" t="s">
        <v>1091</v>
      </c>
    </row>
    <row r="841" spans="3:9" x14ac:dyDescent="0.25">
      <c r="C841" s="426">
        <v>311</v>
      </c>
      <c r="D841" s="426" t="s">
        <v>1083</v>
      </c>
      <c r="E841" s="426" t="s">
        <v>372</v>
      </c>
      <c r="F841" s="546" t="s">
        <v>1084</v>
      </c>
      <c r="G841" s="546" t="s">
        <v>1092</v>
      </c>
      <c r="H841" s="546" t="s">
        <v>1093</v>
      </c>
    </row>
    <row r="842" spans="3:9" x14ac:dyDescent="0.25">
      <c r="C842" s="426">
        <v>312</v>
      </c>
      <c r="D842" s="426" t="s">
        <v>1094</v>
      </c>
      <c r="E842" s="426" t="s">
        <v>372</v>
      </c>
      <c r="F842" s="546" t="s">
        <v>1095</v>
      </c>
      <c r="G842" s="546" t="s">
        <v>1096</v>
      </c>
      <c r="H842" s="546" t="s">
        <v>1097</v>
      </c>
    </row>
    <row r="843" spans="3:9" x14ac:dyDescent="0.25">
      <c r="C843" s="426">
        <v>313</v>
      </c>
      <c r="D843" s="426" t="s">
        <v>1098</v>
      </c>
      <c r="E843" s="426" t="s">
        <v>372</v>
      </c>
      <c r="F843" s="546" t="s">
        <v>1084</v>
      </c>
      <c r="G843" s="546" t="s">
        <v>1099</v>
      </c>
      <c r="H843" s="546" t="s">
        <v>1100</v>
      </c>
    </row>
    <row r="844" spans="3:9" x14ac:dyDescent="0.25">
      <c r="C844" s="426">
        <v>314</v>
      </c>
      <c r="D844" s="426" t="s">
        <v>1083</v>
      </c>
      <c r="E844" s="426" t="s">
        <v>372</v>
      </c>
      <c r="F844" s="546" t="s">
        <v>1084</v>
      </c>
      <c r="G844" s="546" t="s">
        <v>1101</v>
      </c>
      <c r="H844" s="546" t="s">
        <v>1102</v>
      </c>
    </row>
    <row r="845" spans="3:9" x14ac:dyDescent="0.25">
      <c r="C845" s="426">
        <v>316</v>
      </c>
      <c r="D845" s="426" t="s">
        <v>1083</v>
      </c>
      <c r="E845" s="426" t="s">
        <v>372</v>
      </c>
      <c r="F845" s="546" t="s">
        <v>1084</v>
      </c>
      <c r="G845" s="546" t="s">
        <v>1103</v>
      </c>
      <c r="H845" s="546" t="s">
        <v>1104</v>
      </c>
    </row>
    <row r="846" spans="3:9" x14ac:dyDescent="0.25">
      <c r="C846" s="426">
        <v>317</v>
      </c>
      <c r="D846" s="426" t="s">
        <v>1083</v>
      </c>
      <c r="E846" s="426" t="s">
        <v>372</v>
      </c>
      <c r="F846" s="546" t="s">
        <v>1084</v>
      </c>
      <c r="G846" s="546" t="s">
        <v>1105</v>
      </c>
      <c r="H846" s="546" t="s">
        <v>1106</v>
      </c>
    </row>
    <row r="847" spans="3:9" x14ac:dyDescent="0.25">
      <c r="C847" s="426">
        <v>318</v>
      </c>
      <c r="D847" s="426" t="s">
        <v>1087</v>
      </c>
      <c r="E847" s="426" t="s">
        <v>372</v>
      </c>
      <c r="F847" s="546" t="s">
        <v>1084</v>
      </c>
      <c r="G847" s="546" t="s">
        <v>1107</v>
      </c>
      <c r="H847" s="546" t="s">
        <v>1108</v>
      </c>
    </row>
    <row r="848" spans="3:9" x14ac:dyDescent="0.25">
      <c r="C848" s="426">
        <v>319</v>
      </c>
      <c r="D848" s="426" t="s">
        <v>1109</v>
      </c>
      <c r="E848" s="426" t="s">
        <v>372</v>
      </c>
      <c r="F848" s="546" t="s">
        <v>1110</v>
      </c>
      <c r="G848" s="546" t="s">
        <v>1111</v>
      </c>
      <c r="H848" s="546" t="s">
        <v>1112</v>
      </c>
    </row>
    <row r="849" spans="3:8" x14ac:dyDescent="0.25">
      <c r="C849" s="426">
        <v>320</v>
      </c>
      <c r="D849" s="426" t="s">
        <v>1113</v>
      </c>
      <c r="E849" s="426" t="s">
        <v>372</v>
      </c>
      <c r="F849" s="546" t="s">
        <v>1114</v>
      </c>
      <c r="G849" s="546" t="s">
        <v>1115</v>
      </c>
      <c r="H849" s="546" t="s">
        <v>1116</v>
      </c>
    </row>
    <row r="850" spans="3:8" x14ac:dyDescent="0.25">
      <c r="C850" s="426">
        <v>321</v>
      </c>
      <c r="D850" s="426" t="s">
        <v>1117</v>
      </c>
      <c r="E850" s="426" t="s">
        <v>372</v>
      </c>
      <c r="F850" s="546" t="s">
        <v>1118</v>
      </c>
      <c r="G850" s="546" t="s">
        <v>1119</v>
      </c>
      <c r="H850" s="546" t="s">
        <v>1120</v>
      </c>
    </row>
    <row r="851" spans="3:8" x14ac:dyDescent="0.25">
      <c r="C851" s="426">
        <v>322</v>
      </c>
      <c r="D851" s="426" t="s">
        <v>1072</v>
      </c>
      <c r="E851" s="426" t="s">
        <v>372</v>
      </c>
      <c r="F851" s="546" t="s">
        <v>1073</v>
      </c>
      <c r="G851" s="546" t="s">
        <v>1121</v>
      </c>
      <c r="H851" s="546" t="s">
        <v>1122</v>
      </c>
    </row>
    <row r="852" spans="3:8" x14ac:dyDescent="0.25">
      <c r="C852" s="426">
        <v>323</v>
      </c>
      <c r="D852" s="426" t="s">
        <v>1072</v>
      </c>
      <c r="E852" s="426" t="s">
        <v>372</v>
      </c>
      <c r="F852" s="546" t="s">
        <v>1073</v>
      </c>
      <c r="G852" s="546" t="s">
        <v>1123</v>
      </c>
      <c r="H852" s="546" t="s">
        <v>1124</v>
      </c>
    </row>
    <row r="853" spans="3:8" x14ac:dyDescent="0.25">
      <c r="C853" s="426">
        <v>324</v>
      </c>
      <c r="D853" s="426" t="s">
        <v>1072</v>
      </c>
      <c r="E853" s="426" t="s">
        <v>372</v>
      </c>
      <c r="F853" s="546" t="s">
        <v>1073</v>
      </c>
      <c r="G853" s="546" t="s">
        <v>1125</v>
      </c>
      <c r="H853" s="546" t="s">
        <v>1126</v>
      </c>
    </row>
    <row r="854" spans="3:8" x14ac:dyDescent="0.25">
      <c r="C854" s="426">
        <v>325</v>
      </c>
      <c r="D854" s="426" t="s">
        <v>1127</v>
      </c>
      <c r="E854" s="426" t="s">
        <v>372</v>
      </c>
      <c r="F854" s="546" t="s">
        <v>1073</v>
      </c>
      <c r="G854" s="546" t="s">
        <v>1128</v>
      </c>
      <c r="H854" s="546" t="s">
        <v>1129</v>
      </c>
    </row>
    <row r="855" spans="3:8" x14ac:dyDescent="0.25">
      <c r="C855" s="426">
        <v>326</v>
      </c>
      <c r="D855" s="426" t="s">
        <v>1072</v>
      </c>
      <c r="E855" s="426" t="s">
        <v>372</v>
      </c>
      <c r="F855" s="546" t="s">
        <v>1073</v>
      </c>
      <c r="G855" s="546" t="s">
        <v>1130</v>
      </c>
      <c r="H855" s="546" t="s">
        <v>1131</v>
      </c>
    </row>
    <row r="856" spans="3:8" x14ac:dyDescent="0.25">
      <c r="C856" s="426">
        <v>327</v>
      </c>
      <c r="D856" s="426" t="s">
        <v>1072</v>
      </c>
      <c r="E856" s="426" t="s">
        <v>372</v>
      </c>
      <c r="F856" s="546" t="s">
        <v>1073</v>
      </c>
      <c r="G856" s="546" t="s">
        <v>1132</v>
      </c>
      <c r="H856" s="546" t="s">
        <v>1133</v>
      </c>
    </row>
    <row r="857" spans="3:8" x14ac:dyDescent="0.25">
      <c r="C857" s="426">
        <v>328</v>
      </c>
      <c r="D857" s="426" t="s">
        <v>1072</v>
      </c>
      <c r="E857" s="426" t="s">
        <v>372</v>
      </c>
      <c r="F857" s="546" t="s">
        <v>1073</v>
      </c>
      <c r="G857" s="546" t="s">
        <v>1134</v>
      </c>
      <c r="H857" s="546" t="s">
        <v>1135</v>
      </c>
    </row>
    <row r="858" spans="3:8" x14ac:dyDescent="0.25">
      <c r="C858" s="426">
        <v>329</v>
      </c>
      <c r="D858" s="426" t="s">
        <v>1072</v>
      </c>
      <c r="E858" s="426" t="s">
        <v>372</v>
      </c>
      <c r="F858" s="546" t="s">
        <v>1073</v>
      </c>
      <c r="G858" s="546" t="s">
        <v>1136</v>
      </c>
      <c r="H858" s="546" t="s">
        <v>1137</v>
      </c>
    </row>
    <row r="859" spans="3:8" x14ac:dyDescent="0.25">
      <c r="C859" s="426">
        <v>330</v>
      </c>
      <c r="D859" s="426" t="s">
        <v>1072</v>
      </c>
      <c r="E859" s="426" t="s">
        <v>372</v>
      </c>
      <c r="F859" s="546" t="s">
        <v>1073</v>
      </c>
      <c r="G859" s="546" t="s">
        <v>1138</v>
      </c>
      <c r="H859" s="546" t="s">
        <v>1139</v>
      </c>
    </row>
    <row r="860" spans="3:8" x14ac:dyDescent="0.25">
      <c r="C860" s="426">
        <v>331</v>
      </c>
      <c r="D860" s="426" t="s">
        <v>1140</v>
      </c>
      <c r="E860" s="426" t="s">
        <v>372</v>
      </c>
      <c r="F860" s="546" t="s">
        <v>1141</v>
      </c>
      <c r="G860" s="546" t="s">
        <v>1142</v>
      </c>
      <c r="H860" s="546" t="s">
        <v>1934</v>
      </c>
    </row>
    <row r="861" spans="3:8" x14ac:dyDescent="0.25">
      <c r="C861" s="426">
        <v>332</v>
      </c>
      <c r="D861" s="426" t="s">
        <v>1143</v>
      </c>
      <c r="E861" s="426" t="s">
        <v>372</v>
      </c>
      <c r="F861" s="546" t="s">
        <v>1144</v>
      </c>
      <c r="G861" s="546" t="s">
        <v>1145</v>
      </c>
      <c r="H861" s="546" t="s">
        <v>1146</v>
      </c>
    </row>
    <row r="862" spans="3:8" x14ac:dyDescent="0.25">
      <c r="C862" s="426">
        <v>333</v>
      </c>
      <c r="D862" s="426" t="s">
        <v>1147</v>
      </c>
      <c r="E862" s="426" t="s">
        <v>372</v>
      </c>
      <c r="F862" s="546" t="s">
        <v>1148</v>
      </c>
      <c r="G862" s="546" t="s">
        <v>1149</v>
      </c>
      <c r="H862" s="546" t="s">
        <v>1150</v>
      </c>
    </row>
    <row r="863" spans="3:8" x14ac:dyDescent="0.25">
      <c r="C863" s="426">
        <v>334</v>
      </c>
      <c r="D863" s="426" t="s">
        <v>1151</v>
      </c>
      <c r="E863" s="426" t="s">
        <v>372</v>
      </c>
      <c r="F863" s="546" t="s">
        <v>1152</v>
      </c>
      <c r="G863" s="546" t="s">
        <v>1153</v>
      </c>
      <c r="H863" s="546" t="s">
        <v>1935</v>
      </c>
    </row>
    <row r="864" spans="3:8" x14ac:dyDescent="0.25">
      <c r="C864" s="426">
        <v>335</v>
      </c>
      <c r="D864" s="426" t="s">
        <v>1154</v>
      </c>
      <c r="E864" s="426" t="s">
        <v>372</v>
      </c>
      <c r="F864" s="546" t="s">
        <v>1155</v>
      </c>
      <c r="G864" s="546" t="s">
        <v>1156</v>
      </c>
      <c r="H864" s="546" t="s">
        <v>1157</v>
      </c>
    </row>
    <row r="865" spans="3:8" x14ac:dyDescent="0.25">
      <c r="C865" s="426">
        <v>336</v>
      </c>
      <c r="D865" s="426" t="s">
        <v>1158</v>
      </c>
      <c r="E865" s="426" t="s">
        <v>372</v>
      </c>
      <c r="F865" s="546" t="s">
        <v>1159</v>
      </c>
      <c r="G865" s="546" t="s">
        <v>1160</v>
      </c>
      <c r="H865" s="546" t="s">
        <v>1161</v>
      </c>
    </row>
    <row r="866" spans="3:8" x14ac:dyDescent="0.25">
      <c r="C866" s="426">
        <v>337</v>
      </c>
      <c r="D866" s="426" t="s">
        <v>1162</v>
      </c>
      <c r="E866" s="426" t="s">
        <v>372</v>
      </c>
      <c r="F866" s="546" t="s">
        <v>1163</v>
      </c>
      <c r="G866" s="546" t="s">
        <v>1164</v>
      </c>
      <c r="H866" s="546" t="s">
        <v>1165</v>
      </c>
    </row>
    <row r="867" spans="3:8" x14ac:dyDescent="0.25">
      <c r="C867" s="426">
        <v>338</v>
      </c>
      <c r="D867" s="426" t="s">
        <v>1166</v>
      </c>
      <c r="E867" s="426" t="s">
        <v>372</v>
      </c>
      <c r="F867" s="546" t="s">
        <v>1167</v>
      </c>
      <c r="G867" s="546" t="s">
        <v>1168</v>
      </c>
      <c r="H867" s="546" t="s">
        <v>1169</v>
      </c>
    </row>
    <row r="868" spans="3:8" x14ac:dyDescent="0.25">
      <c r="C868" s="426">
        <v>339</v>
      </c>
      <c r="D868" s="426" t="s">
        <v>524</v>
      </c>
      <c r="E868" s="426" t="s">
        <v>372</v>
      </c>
      <c r="F868" s="546" t="s">
        <v>525</v>
      </c>
      <c r="G868" s="546" t="s">
        <v>1170</v>
      </c>
      <c r="H868" s="546" t="s">
        <v>1171</v>
      </c>
    </row>
    <row r="869" spans="3:8" x14ac:dyDescent="0.25">
      <c r="C869" s="426">
        <v>340</v>
      </c>
      <c r="D869" s="426" t="s">
        <v>1172</v>
      </c>
      <c r="E869" s="426" t="s">
        <v>372</v>
      </c>
      <c r="F869" s="546" t="s">
        <v>1173</v>
      </c>
      <c r="G869" s="546" t="s">
        <v>1174</v>
      </c>
      <c r="H869" s="546" t="s">
        <v>1175</v>
      </c>
    </row>
    <row r="870" spans="3:8" x14ac:dyDescent="0.25">
      <c r="C870" s="426">
        <v>341</v>
      </c>
      <c r="D870" s="426" t="s">
        <v>1176</v>
      </c>
      <c r="E870" s="426" t="s">
        <v>372</v>
      </c>
      <c r="F870" s="546" t="s">
        <v>1177</v>
      </c>
      <c r="G870" s="546" t="s">
        <v>1178</v>
      </c>
      <c r="H870" s="546" t="s">
        <v>1179</v>
      </c>
    </row>
    <row r="871" spans="3:8" x14ac:dyDescent="0.25">
      <c r="C871" s="426">
        <v>342</v>
      </c>
      <c r="D871" s="426" t="s">
        <v>1180</v>
      </c>
      <c r="E871" s="426" t="s">
        <v>372</v>
      </c>
      <c r="F871" s="546" t="s">
        <v>1181</v>
      </c>
      <c r="G871" s="546" t="s">
        <v>1182</v>
      </c>
      <c r="H871" s="546" t="s">
        <v>1183</v>
      </c>
    </row>
    <row r="872" spans="3:8" x14ac:dyDescent="0.25">
      <c r="C872" s="426">
        <v>343</v>
      </c>
      <c r="D872" s="426" t="s">
        <v>1180</v>
      </c>
      <c r="E872" s="426" t="s">
        <v>372</v>
      </c>
      <c r="F872" s="546" t="s">
        <v>1181</v>
      </c>
      <c r="G872" s="546" t="s">
        <v>1184</v>
      </c>
      <c r="H872" s="546" t="s">
        <v>1185</v>
      </c>
    </row>
    <row r="873" spans="3:8" x14ac:dyDescent="0.25">
      <c r="C873" s="426">
        <v>344</v>
      </c>
      <c r="D873" s="426" t="s">
        <v>1186</v>
      </c>
      <c r="E873" s="426" t="s">
        <v>372</v>
      </c>
      <c r="F873" s="546" t="s">
        <v>1187</v>
      </c>
      <c r="G873" s="546" t="s">
        <v>1188</v>
      </c>
      <c r="H873" s="546" t="s">
        <v>1189</v>
      </c>
    </row>
    <row r="874" spans="3:8" x14ac:dyDescent="0.25">
      <c r="C874" s="426">
        <v>345</v>
      </c>
      <c r="D874" s="426" t="s">
        <v>1190</v>
      </c>
      <c r="E874" s="426" t="s">
        <v>372</v>
      </c>
      <c r="F874" s="546" t="s">
        <v>1191</v>
      </c>
      <c r="G874" s="546" t="s">
        <v>1192</v>
      </c>
      <c r="H874" s="546" t="s">
        <v>1193</v>
      </c>
    </row>
    <row r="875" spans="3:8" x14ac:dyDescent="0.25">
      <c r="C875" s="426">
        <v>346</v>
      </c>
      <c r="D875" s="426" t="s">
        <v>1190</v>
      </c>
      <c r="E875" s="426" t="s">
        <v>372</v>
      </c>
      <c r="F875" s="546" t="s">
        <v>1191</v>
      </c>
      <c r="G875" s="546" t="s">
        <v>1194</v>
      </c>
      <c r="H875" s="546" t="s">
        <v>1195</v>
      </c>
    </row>
    <row r="876" spans="3:8" x14ac:dyDescent="0.25">
      <c r="C876" s="426">
        <v>347</v>
      </c>
      <c r="D876" s="426" t="s">
        <v>1190</v>
      </c>
      <c r="E876" s="426" t="s">
        <v>372</v>
      </c>
      <c r="F876" s="546" t="s">
        <v>1191</v>
      </c>
      <c r="G876" s="546" t="s">
        <v>1196</v>
      </c>
      <c r="H876" s="546" t="s">
        <v>1197</v>
      </c>
    </row>
    <row r="877" spans="3:8" x14ac:dyDescent="0.25">
      <c r="C877" s="426">
        <v>348</v>
      </c>
      <c r="D877" s="426" t="s">
        <v>1198</v>
      </c>
      <c r="E877" s="426" t="s">
        <v>372</v>
      </c>
      <c r="F877" s="546" t="s">
        <v>1191</v>
      </c>
      <c r="G877" s="546" t="s">
        <v>1199</v>
      </c>
      <c r="H877" s="546" t="s">
        <v>1200</v>
      </c>
    </row>
    <row r="878" spans="3:8" x14ac:dyDescent="0.25">
      <c r="C878" s="426">
        <v>349</v>
      </c>
      <c r="D878" s="426" t="s">
        <v>2107</v>
      </c>
      <c r="E878" s="426" t="s">
        <v>372</v>
      </c>
      <c r="F878" s="546" t="s">
        <v>1202</v>
      </c>
      <c r="G878" s="546" t="s">
        <v>1203</v>
      </c>
      <c r="H878" s="546" t="s">
        <v>1204</v>
      </c>
    </row>
    <row r="879" spans="3:8" x14ac:dyDescent="0.25">
      <c r="C879" s="426">
        <v>350</v>
      </c>
      <c r="D879" s="426" t="s">
        <v>1198</v>
      </c>
      <c r="E879" s="426" t="s">
        <v>372</v>
      </c>
      <c r="F879" s="546" t="s">
        <v>1191</v>
      </c>
      <c r="G879" s="546" t="s">
        <v>1205</v>
      </c>
      <c r="H879" s="546" t="s">
        <v>1206</v>
      </c>
    </row>
    <row r="880" spans="3:8" x14ac:dyDescent="0.25">
      <c r="C880" s="426">
        <v>351</v>
      </c>
      <c r="D880" s="426" t="s">
        <v>1180</v>
      </c>
      <c r="E880" s="426" t="s">
        <v>372</v>
      </c>
      <c r="F880" s="546" t="s">
        <v>1181</v>
      </c>
      <c r="G880" s="546" t="s">
        <v>1207</v>
      </c>
      <c r="H880" s="546" t="s">
        <v>1208</v>
      </c>
    </row>
    <row r="881" spans="3:8" x14ac:dyDescent="0.25">
      <c r="C881" s="426">
        <v>352</v>
      </c>
      <c r="D881" s="426" t="s">
        <v>1180</v>
      </c>
      <c r="E881" s="426" t="s">
        <v>372</v>
      </c>
      <c r="F881" s="546" t="s">
        <v>1181</v>
      </c>
      <c r="G881" s="546" t="s">
        <v>1209</v>
      </c>
      <c r="H881" s="546" t="s">
        <v>1210</v>
      </c>
    </row>
    <row r="882" spans="3:8" x14ac:dyDescent="0.25">
      <c r="C882" s="426">
        <v>353</v>
      </c>
      <c r="D882" s="426" t="s">
        <v>1180</v>
      </c>
      <c r="E882" s="426" t="s">
        <v>372</v>
      </c>
      <c r="F882" s="546" t="s">
        <v>1181</v>
      </c>
      <c r="G882" s="546" t="s">
        <v>1211</v>
      </c>
      <c r="H882" s="546" t="s">
        <v>1212</v>
      </c>
    </row>
    <row r="883" spans="3:8" x14ac:dyDescent="0.25">
      <c r="C883" s="426">
        <v>354</v>
      </c>
      <c r="D883" s="426" t="s">
        <v>1213</v>
      </c>
      <c r="E883" s="426" t="s">
        <v>372</v>
      </c>
      <c r="F883" s="546" t="s">
        <v>1214</v>
      </c>
      <c r="G883" s="546" t="s">
        <v>1215</v>
      </c>
      <c r="H883" s="546" t="s">
        <v>1216</v>
      </c>
    </row>
    <row r="884" spans="3:8" x14ac:dyDescent="0.25">
      <c r="C884" s="426">
        <v>355</v>
      </c>
      <c r="D884" s="426" t="s">
        <v>1186</v>
      </c>
      <c r="E884" s="426" t="s">
        <v>372</v>
      </c>
      <c r="F884" s="546" t="s">
        <v>1187</v>
      </c>
      <c r="G884" s="546" t="s">
        <v>1217</v>
      </c>
      <c r="H884" s="546" t="s">
        <v>1218</v>
      </c>
    </row>
    <row r="885" spans="3:8" x14ac:dyDescent="0.25">
      <c r="C885" s="426">
        <v>356</v>
      </c>
      <c r="D885" s="426" t="s">
        <v>1186</v>
      </c>
      <c r="E885" s="426" t="s">
        <v>372</v>
      </c>
      <c r="F885" s="546" t="s">
        <v>1187</v>
      </c>
      <c r="G885" s="546" t="s">
        <v>1219</v>
      </c>
      <c r="H885" s="546" t="s">
        <v>1220</v>
      </c>
    </row>
    <row r="886" spans="3:8" x14ac:dyDescent="0.25">
      <c r="C886" s="426">
        <v>357</v>
      </c>
      <c r="D886" s="426" t="s">
        <v>1186</v>
      </c>
      <c r="E886" s="426" t="s">
        <v>372</v>
      </c>
      <c r="F886" s="546" t="s">
        <v>1187</v>
      </c>
      <c r="G886" s="546" t="s">
        <v>1221</v>
      </c>
      <c r="H886" s="546" t="s">
        <v>1222</v>
      </c>
    </row>
    <row r="887" spans="3:8" x14ac:dyDescent="0.25">
      <c r="C887" s="426">
        <v>358</v>
      </c>
      <c r="D887" s="426" t="s">
        <v>1180</v>
      </c>
      <c r="E887" s="426" t="s">
        <v>372</v>
      </c>
      <c r="F887" s="546" t="s">
        <v>1181</v>
      </c>
      <c r="G887" s="546" t="s">
        <v>1223</v>
      </c>
      <c r="H887" s="546" t="s">
        <v>1224</v>
      </c>
    </row>
    <row r="888" spans="3:8" x14ac:dyDescent="0.25">
      <c r="C888" s="426">
        <v>359</v>
      </c>
      <c r="D888" s="426" t="s">
        <v>1225</v>
      </c>
      <c r="E888" s="426" t="s">
        <v>372</v>
      </c>
      <c r="F888" s="546" t="s">
        <v>1226</v>
      </c>
      <c r="G888" s="546" t="s">
        <v>1227</v>
      </c>
      <c r="H888" s="546" t="s">
        <v>1228</v>
      </c>
    </row>
    <row r="889" spans="3:8" x14ac:dyDescent="0.25">
      <c r="C889" s="426">
        <v>360</v>
      </c>
      <c r="D889" s="426" t="s">
        <v>1229</v>
      </c>
      <c r="E889" s="426" t="s">
        <v>372</v>
      </c>
      <c r="F889" s="546" t="s">
        <v>1230</v>
      </c>
      <c r="G889" s="546" t="s">
        <v>1231</v>
      </c>
      <c r="H889" s="546" t="s">
        <v>1232</v>
      </c>
    </row>
    <row r="890" spans="3:8" x14ac:dyDescent="0.25">
      <c r="C890" s="426">
        <v>361</v>
      </c>
      <c r="D890" s="426" t="s">
        <v>1229</v>
      </c>
      <c r="E890" s="426" t="s">
        <v>372</v>
      </c>
      <c r="F890" s="546" t="s">
        <v>1230</v>
      </c>
      <c r="G890" s="546" t="s">
        <v>1233</v>
      </c>
      <c r="H890" s="546" t="s">
        <v>1234</v>
      </c>
    </row>
    <row r="891" spans="3:8" x14ac:dyDescent="0.25">
      <c r="C891" s="426">
        <v>362</v>
      </c>
      <c r="D891" s="426" t="s">
        <v>1229</v>
      </c>
      <c r="E891" s="426" t="s">
        <v>372</v>
      </c>
      <c r="F891" s="546" t="s">
        <v>1230</v>
      </c>
      <c r="G891" s="546" t="s">
        <v>1235</v>
      </c>
      <c r="H891" s="546" t="s">
        <v>1236</v>
      </c>
    </row>
    <row r="892" spans="3:8" x14ac:dyDescent="0.25">
      <c r="C892" s="426">
        <v>363</v>
      </c>
      <c r="D892" s="426" t="s">
        <v>2108</v>
      </c>
      <c r="E892" s="426" t="s">
        <v>372</v>
      </c>
      <c r="F892" s="546" t="s">
        <v>1230</v>
      </c>
      <c r="G892" s="546" t="s">
        <v>1237</v>
      </c>
      <c r="H892" s="546" t="s">
        <v>1238</v>
      </c>
    </row>
    <row r="893" spans="3:8" x14ac:dyDescent="0.25">
      <c r="C893" s="426">
        <v>364</v>
      </c>
      <c r="D893" s="426" t="s">
        <v>1239</v>
      </c>
      <c r="E893" s="426" t="s">
        <v>372</v>
      </c>
      <c r="F893" s="546" t="s">
        <v>1230</v>
      </c>
      <c r="G893" s="546" t="s">
        <v>1240</v>
      </c>
      <c r="H893" s="546" t="s">
        <v>1241</v>
      </c>
    </row>
    <row r="894" spans="3:8" x14ac:dyDescent="0.25">
      <c r="C894" s="426">
        <v>365</v>
      </c>
      <c r="D894" s="426" t="s">
        <v>1239</v>
      </c>
      <c r="E894" s="426" t="s">
        <v>372</v>
      </c>
      <c r="F894" s="546" t="s">
        <v>1230</v>
      </c>
      <c r="G894" s="546" t="s">
        <v>1242</v>
      </c>
      <c r="H894" s="546" t="s">
        <v>1243</v>
      </c>
    </row>
    <row r="895" spans="3:8" x14ac:dyDescent="0.25">
      <c r="C895" s="426">
        <v>366</v>
      </c>
      <c r="D895" s="426" t="s">
        <v>1229</v>
      </c>
      <c r="E895" s="426" t="s">
        <v>372</v>
      </c>
      <c r="F895" s="546" t="s">
        <v>1230</v>
      </c>
      <c r="G895" s="546" t="s">
        <v>1244</v>
      </c>
      <c r="H895" s="546" t="s">
        <v>1245</v>
      </c>
    </row>
    <row r="896" spans="3:8" x14ac:dyDescent="0.25">
      <c r="C896" s="426">
        <v>367</v>
      </c>
      <c r="D896" s="426" t="s">
        <v>1229</v>
      </c>
      <c r="E896" s="426" t="s">
        <v>372</v>
      </c>
      <c r="F896" s="546" t="s">
        <v>1230</v>
      </c>
      <c r="G896" s="546" t="s">
        <v>1246</v>
      </c>
      <c r="H896" s="546" t="s">
        <v>1247</v>
      </c>
    </row>
    <row r="897" spans="3:9" x14ac:dyDescent="0.25">
      <c r="C897" s="426">
        <v>368</v>
      </c>
      <c r="D897" s="426" t="s">
        <v>1229</v>
      </c>
      <c r="E897" s="426" t="s">
        <v>372</v>
      </c>
      <c r="F897" s="546" t="s">
        <v>1230</v>
      </c>
      <c r="G897" s="546" t="s">
        <v>1248</v>
      </c>
      <c r="H897" s="546" t="s">
        <v>1249</v>
      </c>
    </row>
    <row r="898" spans="3:9" x14ac:dyDescent="0.25">
      <c r="C898" s="426">
        <v>369</v>
      </c>
      <c r="D898" s="426" t="s">
        <v>1229</v>
      </c>
      <c r="E898" s="426" t="s">
        <v>372</v>
      </c>
      <c r="F898" s="546" t="s">
        <v>1230</v>
      </c>
      <c r="G898" s="546" t="s">
        <v>1250</v>
      </c>
      <c r="H898" s="546" t="s">
        <v>1251</v>
      </c>
      <c r="I898" s="546" t="s">
        <v>1076</v>
      </c>
    </row>
    <row r="899" spans="3:9" x14ac:dyDescent="0.25">
      <c r="C899" s="426">
        <v>370</v>
      </c>
      <c r="D899" s="426" t="s">
        <v>1252</v>
      </c>
      <c r="E899" s="426" t="s">
        <v>372</v>
      </c>
      <c r="F899" s="546" t="s">
        <v>1253</v>
      </c>
      <c r="G899" s="546" t="s">
        <v>1254</v>
      </c>
      <c r="H899" s="546" t="s">
        <v>2156</v>
      </c>
    </row>
    <row r="900" spans="3:9" x14ac:dyDescent="0.25">
      <c r="C900" s="426">
        <v>371</v>
      </c>
      <c r="D900" s="426" t="s">
        <v>1252</v>
      </c>
      <c r="E900" s="426" t="s">
        <v>372</v>
      </c>
      <c r="F900" s="546" t="s">
        <v>1253</v>
      </c>
      <c r="G900" s="546" t="s">
        <v>1256</v>
      </c>
      <c r="H900" s="546" t="s">
        <v>1257</v>
      </c>
    </row>
    <row r="901" spans="3:9" x14ac:dyDescent="0.25">
      <c r="C901" s="426">
        <v>375</v>
      </c>
      <c r="D901" s="426" t="s">
        <v>1258</v>
      </c>
      <c r="E901" s="426" t="s">
        <v>372</v>
      </c>
      <c r="F901" s="546" t="s">
        <v>1259</v>
      </c>
      <c r="G901" s="546" t="s">
        <v>1260</v>
      </c>
      <c r="H901" s="546" t="s">
        <v>1261</v>
      </c>
    </row>
    <row r="902" spans="3:9" x14ac:dyDescent="0.25">
      <c r="C902" s="426">
        <v>376</v>
      </c>
      <c r="D902" s="426" t="s">
        <v>1262</v>
      </c>
      <c r="E902" s="426" t="s">
        <v>372</v>
      </c>
      <c r="F902" s="546" t="s">
        <v>1263</v>
      </c>
      <c r="G902" s="546" t="s">
        <v>1264</v>
      </c>
      <c r="H902" s="546" t="s">
        <v>1265</v>
      </c>
    </row>
    <row r="903" spans="3:9" x14ac:dyDescent="0.25">
      <c r="C903" s="426">
        <v>380</v>
      </c>
      <c r="D903" s="426" t="s">
        <v>1266</v>
      </c>
      <c r="E903" s="426" t="s">
        <v>372</v>
      </c>
      <c r="F903" s="546" t="s">
        <v>1267</v>
      </c>
      <c r="G903" s="546" t="s">
        <v>1268</v>
      </c>
      <c r="H903" s="546" t="s">
        <v>1269</v>
      </c>
    </row>
    <row r="904" spans="3:9" x14ac:dyDescent="0.25">
      <c r="C904" s="426">
        <v>385</v>
      </c>
      <c r="D904" s="426" t="s">
        <v>1270</v>
      </c>
      <c r="E904" s="426" t="s">
        <v>372</v>
      </c>
      <c r="F904" s="546" t="s">
        <v>1271</v>
      </c>
      <c r="G904" s="546" t="s">
        <v>1272</v>
      </c>
      <c r="H904" s="546" t="s">
        <v>2157</v>
      </c>
    </row>
    <row r="905" spans="3:9" x14ac:dyDescent="0.25">
      <c r="C905" s="426">
        <v>388</v>
      </c>
      <c r="D905" s="426" t="s">
        <v>442</v>
      </c>
      <c r="E905" s="426" t="s">
        <v>372</v>
      </c>
      <c r="F905" s="546" t="s">
        <v>443</v>
      </c>
      <c r="G905" s="546" t="s">
        <v>1274</v>
      </c>
      <c r="H905" s="546" t="s">
        <v>1275</v>
      </c>
    </row>
    <row r="906" spans="3:9" x14ac:dyDescent="0.25">
      <c r="C906" s="426">
        <v>389</v>
      </c>
      <c r="D906" s="426" t="s">
        <v>1276</v>
      </c>
      <c r="E906" s="426" t="s">
        <v>372</v>
      </c>
      <c r="F906" s="546" t="s">
        <v>443</v>
      </c>
      <c r="G906" s="546" t="s">
        <v>1277</v>
      </c>
      <c r="H906" s="546" t="s">
        <v>1278</v>
      </c>
    </row>
    <row r="907" spans="3:9" x14ac:dyDescent="0.25">
      <c r="C907" s="426">
        <v>390</v>
      </c>
      <c r="D907" s="426" t="s">
        <v>442</v>
      </c>
      <c r="E907" s="426" t="s">
        <v>372</v>
      </c>
      <c r="F907" s="546" t="s">
        <v>443</v>
      </c>
      <c r="G907" s="546" t="s">
        <v>444</v>
      </c>
      <c r="H907" s="546" t="s">
        <v>1279</v>
      </c>
    </row>
    <row r="908" spans="3:9" x14ac:dyDescent="0.25">
      <c r="C908" s="426">
        <v>391</v>
      </c>
      <c r="D908" s="426" t="s">
        <v>442</v>
      </c>
      <c r="E908" s="426" t="s">
        <v>372</v>
      </c>
      <c r="F908" s="546" t="s">
        <v>443</v>
      </c>
      <c r="G908" s="546" t="s">
        <v>444</v>
      </c>
      <c r="H908" s="546" t="s">
        <v>1280</v>
      </c>
    </row>
    <row r="909" spans="3:9" x14ac:dyDescent="0.25">
      <c r="C909" s="426">
        <v>392</v>
      </c>
      <c r="D909" s="426" t="s">
        <v>500</v>
      </c>
      <c r="E909" s="426" t="s">
        <v>372</v>
      </c>
      <c r="F909" s="546" t="s">
        <v>501</v>
      </c>
      <c r="G909" s="546" t="s">
        <v>502</v>
      </c>
      <c r="H909" s="546" t="s">
        <v>1281</v>
      </c>
    </row>
    <row r="910" spans="3:9" x14ac:dyDescent="0.25">
      <c r="C910" s="426">
        <v>393</v>
      </c>
      <c r="D910" s="426" t="s">
        <v>492</v>
      </c>
      <c r="E910" s="426" t="s">
        <v>372</v>
      </c>
      <c r="F910" s="546" t="s">
        <v>493</v>
      </c>
      <c r="G910" s="546" t="s">
        <v>494</v>
      </c>
      <c r="H910" s="546" t="s">
        <v>1282</v>
      </c>
    </row>
    <row r="911" spans="3:9" x14ac:dyDescent="0.25">
      <c r="C911" s="426">
        <v>394</v>
      </c>
      <c r="D911" s="426" t="s">
        <v>492</v>
      </c>
      <c r="E911" s="426" t="s">
        <v>372</v>
      </c>
      <c r="F911" s="546" t="s">
        <v>493</v>
      </c>
      <c r="G911" s="546" t="s">
        <v>494</v>
      </c>
      <c r="H911" s="546" t="s">
        <v>1283</v>
      </c>
    </row>
    <row r="912" spans="3:9" x14ac:dyDescent="0.25">
      <c r="C912" s="426">
        <v>395</v>
      </c>
      <c r="D912" s="426" t="s">
        <v>447</v>
      </c>
      <c r="E912" s="426" t="s">
        <v>372</v>
      </c>
      <c r="F912" s="546" t="s">
        <v>448</v>
      </c>
      <c r="G912" s="546" t="s">
        <v>449</v>
      </c>
      <c r="H912" s="546" t="s">
        <v>1284</v>
      </c>
    </row>
    <row r="913" spans="3:8" x14ac:dyDescent="0.25">
      <c r="C913" s="426">
        <v>398</v>
      </c>
      <c r="D913" s="426" t="s">
        <v>871</v>
      </c>
      <c r="E913" s="426" t="s">
        <v>372</v>
      </c>
      <c r="F913" s="546" t="s">
        <v>770</v>
      </c>
      <c r="G913" s="546" t="s">
        <v>771</v>
      </c>
      <c r="H913" s="546" t="s">
        <v>1285</v>
      </c>
    </row>
    <row r="914" spans="3:8" x14ac:dyDescent="0.25">
      <c r="C914" s="426">
        <v>399</v>
      </c>
      <c r="D914" s="426" t="s">
        <v>1286</v>
      </c>
      <c r="E914" s="426" t="s">
        <v>372</v>
      </c>
      <c r="F914" s="546" t="s">
        <v>1287</v>
      </c>
      <c r="G914" s="546" t="s">
        <v>1288</v>
      </c>
      <c r="H914" s="546" t="s">
        <v>1289</v>
      </c>
    </row>
    <row r="915" spans="3:8" x14ac:dyDescent="0.25">
      <c r="C915" s="426">
        <v>400</v>
      </c>
      <c r="D915" s="426" t="s">
        <v>1290</v>
      </c>
      <c r="E915" s="426" t="s">
        <v>372</v>
      </c>
      <c r="F915" s="546" t="s">
        <v>758</v>
      </c>
      <c r="G915" s="546" t="s">
        <v>759</v>
      </c>
      <c r="H915" s="546" t="s">
        <v>1291</v>
      </c>
    </row>
    <row r="916" spans="3:8" x14ac:dyDescent="0.25">
      <c r="C916" s="426">
        <v>401</v>
      </c>
      <c r="D916" s="426" t="s">
        <v>1290</v>
      </c>
      <c r="E916" s="426" t="s">
        <v>372</v>
      </c>
      <c r="F916" s="546" t="s">
        <v>758</v>
      </c>
      <c r="G916" s="546" t="s">
        <v>1292</v>
      </c>
      <c r="H916" s="546" t="s">
        <v>1293</v>
      </c>
    </row>
    <row r="917" spans="3:8" x14ac:dyDescent="0.25">
      <c r="C917" s="426">
        <v>410</v>
      </c>
      <c r="D917" s="426" t="s">
        <v>532</v>
      </c>
      <c r="E917" s="426" t="s">
        <v>372</v>
      </c>
      <c r="F917" s="546" t="s">
        <v>533</v>
      </c>
      <c r="G917" s="546" t="s">
        <v>1294</v>
      </c>
      <c r="H917" s="546" t="s">
        <v>1295</v>
      </c>
    </row>
    <row r="918" spans="3:8" x14ac:dyDescent="0.25">
      <c r="C918" s="426">
        <v>411</v>
      </c>
      <c r="D918" s="426" t="s">
        <v>532</v>
      </c>
      <c r="E918" s="426" t="s">
        <v>372</v>
      </c>
      <c r="F918" s="546" t="s">
        <v>533</v>
      </c>
      <c r="G918" s="546" t="s">
        <v>1296</v>
      </c>
      <c r="H918" s="546" t="s">
        <v>1297</v>
      </c>
    </row>
    <row r="919" spans="3:8" x14ac:dyDescent="0.25">
      <c r="C919" s="426">
        <v>412</v>
      </c>
      <c r="D919" s="426" t="s">
        <v>532</v>
      </c>
      <c r="E919" s="426" t="s">
        <v>372</v>
      </c>
      <c r="F919" s="546" t="s">
        <v>533</v>
      </c>
      <c r="G919" s="546" t="s">
        <v>1298</v>
      </c>
      <c r="H919" s="546" t="s">
        <v>1299</v>
      </c>
    </row>
    <row r="920" spans="3:8" x14ac:dyDescent="0.25">
      <c r="C920" s="426">
        <v>413</v>
      </c>
      <c r="D920" s="426" t="s">
        <v>532</v>
      </c>
      <c r="E920" s="426" t="s">
        <v>372</v>
      </c>
      <c r="F920" s="546" t="s">
        <v>533</v>
      </c>
      <c r="G920" s="546" t="s">
        <v>1300</v>
      </c>
      <c r="H920" s="546" t="s">
        <v>1301</v>
      </c>
    </row>
    <row r="921" spans="3:8" x14ac:dyDescent="0.25">
      <c r="C921" s="426">
        <v>414</v>
      </c>
      <c r="D921" s="426" t="s">
        <v>532</v>
      </c>
      <c r="E921" s="426" t="s">
        <v>372</v>
      </c>
      <c r="F921" s="546" t="s">
        <v>533</v>
      </c>
      <c r="G921" s="546" t="s">
        <v>1302</v>
      </c>
      <c r="H921" s="546" t="s">
        <v>1303</v>
      </c>
    </row>
    <row r="922" spans="3:8" x14ac:dyDescent="0.25">
      <c r="C922" s="426">
        <v>415</v>
      </c>
      <c r="D922" s="426" t="s">
        <v>532</v>
      </c>
      <c r="E922" s="426" t="s">
        <v>372</v>
      </c>
      <c r="F922" s="546" t="s">
        <v>533</v>
      </c>
      <c r="G922" s="546" t="s">
        <v>1304</v>
      </c>
      <c r="H922" s="546" t="s">
        <v>1305</v>
      </c>
    </row>
    <row r="923" spans="3:8" x14ac:dyDescent="0.25">
      <c r="C923" s="426">
        <v>417</v>
      </c>
      <c r="D923" s="426" t="s">
        <v>540</v>
      </c>
      <c r="E923" s="426" t="s">
        <v>372</v>
      </c>
      <c r="F923" s="546" t="s">
        <v>533</v>
      </c>
      <c r="G923" s="546" t="s">
        <v>1306</v>
      </c>
      <c r="H923" s="546" t="s">
        <v>1307</v>
      </c>
    </row>
    <row r="924" spans="3:8" x14ac:dyDescent="0.25">
      <c r="C924" s="426">
        <v>419</v>
      </c>
      <c r="D924" s="426" t="s">
        <v>1308</v>
      </c>
      <c r="E924" s="426" t="s">
        <v>372</v>
      </c>
      <c r="F924" s="546" t="s">
        <v>1309</v>
      </c>
      <c r="G924" s="546" t="s">
        <v>1310</v>
      </c>
      <c r="H924" s="546" t="s">
        <v>1311</v>
      </c>
    </row>
    <row r="925" spans="3:8" x14ac:dyDescent="0.25">
      <c r="C925" s="426">
        <v>420</v>
      </c>
      <c r="D925" s="426" t="s">
        <v>1312</v>
      </c>
      <c r="E925" s="426" t="s">
        <v>372</v>
      </c>
      <c r="F925" s="546" t="s">
        <v>456</v>
      </c>
      <c r="G925" s="546" t="s">
        <v>457</v>
      </c>
      <c r="H925" s="546" t="s">
        <v>1313</v>
      </c>
    </row>
    <row r="926" spans="3:8" x14ac:dyDescent="0.25">
      <c r="C926" s="426">
        <v>421</v>
      </c>
      <c r="D926" s="426" t="s">
        <v>455</v>
      </c>
      <c r="E926" s="426" t="s">
        <v>372</v>
      </c>
      <c r="F926" s="546" t="s">
        <v>456</v>
      </c>
      <c r="G926" s="546" t="s">
        <v>1314</v>
      </c>
      <c r="H926" s="546" t="s">
        <v>1315</v>
      </c>
    </row>
    <row r="927" spans="3:8" x14ac:dyDescent="0.25">
      <c r="C927" s="426">
        <v>422</v>
      </c>
      <c r="D927" s="426" t="s">
        <v>455</v>
      </c>
      <c r="E927" s="426" t="s">
        <v>372</v>
      </c>
      <c r="F927" s="546" t="s">
        <v>456</v>
      </c>
      <c r="G927" s="546" t="s">
        <v>1316</v>
      </c>
      <c r="H927" s="546" t="s">
        <v>1317</v>
      </c>
    </row>
    <row r="928" spans="3:8" x14ac:dyDescent="0.25">
      <c r="C928" s="426">
        <v>423</v>
      </c>
      <c r="D928" s="426" t="s">
        <v>455</v>
      </c>
      <c r="E928" s="426" t="s">
        <v>372</v>
      </c>
      <c r="F928" s="546" t="s">
        <v>456</v>
      </c>
      <c r="G928" s="546" t="s">
        <v>457</v>
      </c>
      <c r="H928" s="546" t="s">
        <v>1318</v>
      </c>
    </row>
    <row r="929" spans="3:9" x14ac:dyDescent="0.25">
      <c r="C929" s="426">
        <v>424</v>
      </c>
      <c r="D929" s="426" t="s">
        <v>1087</v>
      </c>
      <c r="E929" s="426" t="s">
        <v>372</v>
      </c>
      <c r="F929" s="546" t="s">
        <v>1084</v>
      </c>
      <c r="G929" s="546" t="s">
        <v>1319</v>
      </c>
      <c r="H929" s="546" t="s">
        <v>1320</v>
      </c>
    </row>
    <row r="930" spans="3:9" x14ac:dyDescent="0.25">
      <c r="C930" s="426">
        <v>425</v>
      </c>
      <c r="D930" s="426" t="s">
        <v>704</v>
      </c>
      <c r="E930" s="426" t="s">
        <v>372</v>
      </c>
      <c r="F930" s="546" t="s">
        <v>705</v>
      </c>
      <c r="G930" s="546" t="s">
        <v>1321</v>
      </c>
      <c r="H930" s="546" t="s">
        <v>1322</v>
      </c>
    </row>
    <row r="931" spans="3:9" x14ac:dyDescent="0.25">
      <c r="C931" s="426">
        <v>426</v>
      </c>
      <c r="D931" s="426" t="s">
        <v>492</v>
      </c>
      <c r="E931" s="426" t="s">
        <v>372</v>
      </c>
      <c r="F931" s="546" t="s">
        <v>493</v>
      </c>
      <c r="G931" s="546" t="s">
        <v>494</v>
      </c>
      <c r="H931" s="546" t="s">
        <v>1323</v>
      </c>
    </row>
    <row r="932" spans="3:9" x14ac:dyDescent="0.25">
      <c r="C932" s="426">
        <v>435</v>
      </c>
      <c r="D932" s="426" t="s">
        <v>761</v>
      </c>
      <c r="E932" s="426" t="s">
        <v>372</v>
      </c>
      <c r="F932" s="546" t="s">
        <v>762</v>
      </c>
      <c r="G932" s="546" t="s">
        <v>763</v>
      </c>
      <c r="H932" s="546" t="s">
        <v>1324</v>
      </c>
    </row>
    <row r="933" spans="3:9" x14ac:dyDescent="0.25">
      <c r="C933" s="426">
        <v>445</v>
      </c>
      <c r="D933" s="426" t="s">
        <v>414</v>
      </c>
      <c r="E933" s="426" t="s">
        <v>372</v>
      </c>
      <c r="F933" s="546" t="s">
        <v>373</v>
      </c>
      <c r="G933" s="546" t="s">
        <v>1325</v>
      </c>
      <c r="H933" s="546" t="s">
        <v>1326</v>
      </c>
    </row>
    <row r="934" spans="3:9" x14ac:dyDescent="0.25">
      <c r="C934" s="426">
        <v>450</v>
      </c>
      <c r="D934" s="426" t="s">
        <v>914</v>
      </c>
      <c r="E934" s="426" t="s">
        <v>372</v>
      </c>
      <c r="F934" s="546" t="s">
        <v>915</v>
      </c>
      <c r="G934" s="546" t="s">
        <v>916</v>
      </c>
      <c r="H934" s="546" t="s">
        <v>1327</v>
      </c>
    </row>
    <row r="935" spans="3:9" x14ac:dyDescent="0.25">
      <c r="C935" s="426">
        <v>451</v>
      </c>
      <c r="D935" s="426" t="s">
        <v>947</v>
      </c>
      <c r="E935" s="426" t="s">
        <v>372</v>
      </c>
      <c r="F935" s="546" t="s">
        <v>944</v>
      </c>
      <c r="G935" s="546" t="s">
        <v>1328</v>
      </c>
      <c r="H935" s="546" t="s">
        <v>1329</v>
      </c>
    </row>
    <row r="936" spans="3:9" x14ac:dyDescent="0.25">
      <c r="C936" s="426">
        <v>452</v>
      </c>
      <c r="D936" s="426" t="s">
        <v>1330</v>
      </c>
      <c r="E936" s="426" t="s">
        <v>372</v>
      </c>
      <c r="F936" s="546" t="s">
        <v>1331</v>
      </c>
      <c r="G936" s="546" t="s">
        <v>1332</v>
      </c>
      <c r="H936" s="546" t="s">
        <v>1333</v>
      </c>
    </row>
    <row r="937" spans="3:9" x14ac:dyDescent="0.25">
      <c r="C937" s="426">
        <v>462</v>
      </c>
      <c r="D937" s="426" t="s">
        <v>799</v>
      </c>
      <c r="E937" s="426" t="s">
        <v>372</v>
      </c>
      <c r="F937" s="546" t="s">
        <v>788</v>
      </c>
      <c r="G937" s="546" t="s">
        <v>1334</v>
      </c>
      <c r="H937" s="546" t="s">
        <v>1335</v>
      </c>
    </row>
    <row r="938" spans="3:9" x14ac:dyDescent="0.25">
      <c r="C938" s="426">
        <v>463</v>
      </c>
      <c r="D938" s="426" t="s">
        <v>799</v>
      </c>
      <c r="E938" s="426" t="s">
        <v>372</v>
      </c>
      <c r="F938" s="546" t="s">
        <v>788</v>
      </c>
      <c r="G938" s="546" t="s">
        <v>1336</v>
      </c>
      <c r="H938" s="546" t="s">
        <v>1337</v>
      </c>
      <c r="I938" s="546" t="s">
        <v>1076</v>
      </c>
    </row>
    <row r="939" spans="3:9" x14ac:dyDescent="0.25">
      <c r="C939" s="426">
        <v>464</v>
      </c>
      <c r="D939" s="426" t="s">
        <v>799</v>
      </c>
      <c r="E939" s="426" t="s">
        <v>372</v>
      </c>
      <c r="F939" s="546" t="s">
        <v>788</v>
      </c>
      <c r="G939" s="546" t="s">
        <v>1338</v>
      </c>
      <c r="H939" s="546" t="s">
        <v>1339</v>
      </c>
      <c r="I939" s="546" t="s">
        <v>1076</v>
      </c>
    </row>
    <row r="940" spans="3:9" x14ac:dyDescent="0.25">
      <c r="C940" s="426">
        <v>465</v>
      </c>
      <c r="D940" s="426" t="s">
        <v>1032</v>
      </c>
      <c r="E940" s="426" t="s">
        <v>372</v>
      </c>
      <c r="F940" s="546" t="s">
        <v>1033</v>
      </c>
      <c r="G940" s="546" t="s">
        <v>1340</v>
      </c>
      <c r="H940" s="546" t="s">
        <v>1341</v>
      </c>
    </row>
    <row r="941" spans="3:9" x14ac:dyDescent="0.25">
      <c r="C941" s="426">
        <v>470</v>
      </c>
      <c r="D941" s="426" t="s">
        <v>1342</v>
      </c>
      <c r="E941" s="426" t="s">
        <v>372</v>
      </c>
      <c r="F941" s="546" t="s">
        <v>1343</v>
      </c>
      <c r="G941" s="546" t="s">
        <v>1344</v>
      </c>
      <c r="H941" s="546" t="s">
        <v>1345</v>
      </c>
    </row>
    <row r="942" spans="3:9" x14ac:dyDescent="0.25">
      <c r="C942" s="426">
        <v>471</v>
      </c>
      <c r="D942" s="426" t="s">
        <v>1342</v>
      </c>
      <c r="E942" s="426" t="s">
        <v>372</v>
      </c>
      <c r="F942" s="546" t="s">
        <v>1343</v>
      </c>
      <c r="G942" s="546" t="s">
        <v>1344</v>
      </c>
      <c r="H942" s="546" t="s">
        <v>1346</v>
      </c>
    </row>
    <row r="943" spans="3:9" x14ac:dyDescent="0.25">
      <c r="C943" s="426">
        <v>472</v>
      </c>
      <c r="D943" s="426" t="s">
        <v>1055</v>
      </c>
      <c r="E943" s="426" t="s">
        <v>372</v>
      </c>
      <c r="F943" s="546" t="s">
        <v>1056</v>
      </c>
      <c r="G943" s="546" t="s">
        <v>1057</v>
      </c>
      <c r="H943" s="546" t="s">
        <v>1347</v>
      </c>
      <c r="I943" s="546" t="s">
        <v>1076</v>
      </c>
    </row>
    <row r="944" spans="3:9" x14ac:dyDescent="0.25">
      <c r="C944" s="426">
        <v>473</v>
      </c>
      <c r="D944" s="426" t="s">
        <v>2029</v>
      </c>
      <c r="E944" s="426" t="s">
        <v>372</v>
      </c>
      <c r="F944" s="546" t="s">
        <v>1348</v>
      </c>
      <c r="G944" s="546" t="s">
        <v>1349</v>
      </c>
      <c r="H944" s="546" t="s">
        <v>1350</v>
      </c>
      <c r="I944" s="546" t="s">
        <v>1076</v>
      </c>
    </row>
    <row r="945" spans="3:12" x14ac:dyDescent="0.25">
      <c r="C945" s="426">
        <v>474</v>
      </c>
      <c r="D945" s="426" t="s">
        <v>2109</v>
      </c>
      <c r="E945" s="426" t="s">
        <v>372</v>
      </c>
      <c r="F945" s="546" t="s">
        <v>1352</v>
      </c>
      <c r="G945" s="546" t="s">
        <v>1353</v>
      </c>
      <c r="H945" s="546" t="s">
        <v>1354</v>
      </c>
      <c r="I945" s="546" t="s">
        <v>1076</v>
      </c>
    </row>
    <row r="946" spans="3:12" x14ac:dyDescent="0.25">
      <c r="C946" s="426">
        <v>475</v>
      </c>
      <c r="D946" s="426" t="s">
        <v>1358</v>
      </c>
      <c r="E946" s="426" t="s">
        <v>372</v>
      </c>
      <c r="F946" s="546" t="s">
        <v>1359</v>
      </c>
      <c r="G946" s="546" t="s">
        <v>1360</v>
      </c>
      <c r="H946" s="546" t="s">
        <v>1361</v>
      </c>
    </row>
    <row r="947" spans="3:12" s="599" customFormat="1" x14ac:dyDescent="0.25">
      <c r="C947" s="599">
        <v>476</v>
      </c>
      <c r="D947" s="599" t="s">
        <v>2110</v>
      </c>
      <c r="E947" s="599" t="s">
        <v>372</v>
      </c>
      <c r="F947" s="907" t="s">
        <v>1363</v>
      </c>
      <c r="G947" s="907" t="s">
        <v>1364</v>
      </c>
      <c r="H947" s="907" t="s">
        <v>1365</v>
      </c>
      <c r="I947" s="907" t="s">
        <v>1076</v>
      </c>
    </row>
    <row r="948" spans="3:12" x14ac:dyDescent="0.25">
      <c r="C948" s="426">
        <v>477</v>
      </c>
      <c r="D948" s="426" t="s">
        <v>799</v>
      </c>
      <c r="E948" s="426" t="s">
        <v>372</v>
      </c>
      <c r="F948" s="546" t="s">
        <v>788</v>
      </c>
      <c r="G948" s="546" t="s">
        <v>1369</v>
      </c>
      <c r="H948" s="546" t="s">
        <v>1370</v>
      </c>
      <c r="I948" s="546" t="s">
        <v>1076</v>
      </c>
    </row>
    <row r="949" spans="3:12" s="599" customFormat="1" x14ac:dyDescent="0.25">
      <c r="C949" s="599">
        <v>478</v>
      </c>
      <c r="D949" s="599" t="s">
        <v>1936</v>
      </c>
      <c r="E949" s="599" t="s">
        <v>372</v>
      </c>
      <c r="F949" s="907" t="s">
        <v>1371</v>
      </c>
      <c r="G949" s="907" t="s">
        <v>1372</v>
      </c>
      <c r="H949" s="907" t="s">
        <v>1373</v>
      </c>
      <c r="I949" s="907" t="s">
        <v>1076</v>
      </c>
      <c r="J949" s="908"/>
      <c r="K949" s="908"/>
      <c r="L949" s="908"/>
    </row>
    <row r="950" spans="3:12" x14ac:dyDescent="0.25">
      <c r="C950" s="426">
        <v>479</v>
      </c>
      <c r="D950" s="426" t="s">
        <v>1940</v>
      </c>
      <c r="E950" s="426" t="s">
        <v>372</v>
      </c>
      <c r="F950" s="546" t="s">
        <v>1374</v>
      </c>
      <c r="G950" s="546" t="s">
        <v>1375</v>
      </c>
      <c r="H950" s="546" t="s">
        <v>1376</v>
      </c>
      <c r="I950" s="546" t="s">
        <v>1076</v>
      </c>
    </row>
    <row r="951" spans="3:12" x14ac:dyDescent="0.25">
      <c r="C951" s="426">
        <v>480</v>
      </c>
      <c r="D951" s="426" t="s">
        <v>1377</v>
      </c>
      <c r="E951" s="426" t="s">
        <v>372</v>
      </c>
      <c r="F951" s="546" t="s">
        <v>1378</v>
      </c>
      <c r="G951" s="546" t="s">
        <v>1379</v>
      </c>
      <c r="H951" s="546" t="s">
        <v>1380</v>
      </c>
      <c r="I951" s="546" t="s">
        <v>1381</v>
      </c>
      <c r="J951" s="426" t="s">
        <v>1076</v>
      </c>
      <c r="K951" s="426" t="s">
        <v>1381</v>
      </c>
    </row>
    <row r="952" spans="3:12" x14ac:dyDescent="0.25">
      <c r="C952" s="426">
        <v>481</v>
      </c>
      <c r="D952" s="426" t="s">
        <v>1072</v>
      </c>
      <c r="E952" s="426" t="s">
        <v>372</v>
      </c>
      <c r="F952" s="546" t="s">
        <v>1073</v>
      </c>
      <c r="G952" s="546" t="s">
        <v>1382</v>
      </c>
      <c r="H952" s="546" t="s">
        <v>1383</v>
      </c>
      <c r="I952" s="546" t="s">
        <v>1076</v>
      </c>
    </row>
    <row r="953" spans="3:12" x14ac:dyDescent="0.25">
      <c r="C953" s="426">
        <v>482</v>
      </c>
      <c r="D953" s="426" t="s">
        <v>442</v>
      </c>
      <c r="E953" s="426" t="s">
        <v>372</v>
      </c>
      <c r="F953" s="546" t="s">
        <v>443</v>
      </c>
      <c r="G953" s="546" t="s">
        <v>1384</v>
      </c>
      <c r="H953" s="546" t="s">
        <v>1385</v>
      </c>
    </row>
    <row r="954" spans="3:12" x14ac:dyDescent="0.25">
      <c r="C954" s="426">
        <v>483</v>
      </c>
      <c r="D954" s="426" t="s">
        <v>1087</v>
      </c>
      <c r="E954" s="426" t="s">
        <v>372</v>
      </c>
      <c r="F954" s="546" t="s">
        <v>1084</v>
      </c>
      <c r="G954" s="546" t="s">
        <v>1387</v>
      </c>
      <c r="H954" s="546" t="s">
        <v>1388</v>
      </c>
      <c r="I954" s="546" t="s">
        <v>1076</v>
      </c>
    </row>
    <row r="955" spans="3:12" x14ac:dyDescent="0.25">
      <c r="C955" s="426">
        <v>484</v>
      </c>
      <c r="D955" s="426" t="s">
        <v>1087</v>
      </c>
      <c r="E955" s="426" t="s">
        <v>372</v>
      </c>
      <c r="F955" s="546" t="s">
        <v>1084</v>
      </c>
      <c r="G955" s="546" t="s">
        <v>1390</v>
      </c>
      <c r="H955" s="546" t="s">
        <v>1391</v>
      </c>
    </row>
    <row r="956" spans="3:12" x14ac:dyDescent="0.25">
      <c r="C956" s="426">
        <v>485</v>
      </c>
      <c r="D956" s="426" t="s">
        <v>1791</v>
      </c>
      <c r="E956" s="426" t="s">
        <v>372</v>
      </c>
      <c r="F956" s="546" t="s">
        <v>1392</v>
      </c>
      <c r="G956" s="546" t="s">
        <v>1393</v>
      </c>
      <c r="H956" s="546" t="s">
        <v>1394</v>
      </c>
      <c r="I956" s="546" t="s">
        <v>1381</v>
      </c>
    </row>
    <row r="957" spans="3:12" x14ac:dyDescent="0.25">
      <c r="C957" s="426">
        <v>486</v>
      </c>
      <c r="D957" s="426" t="s">
        <v>1072</v>
      </c>
      <c r="E957" s="426" t="s">
        <v>372</v>
      </c>
      <c r="F957" s="546" t="s">
        <v>1073</v>
      </c>
      <c r="G957" s="546" t="s">
        <v>1395</v>
      </c>
      <c r="H957" s="546" t="s">
        <v>1396</v>
      </c>
    </row>
    <row r="958" spans="3:12" x14ac:dyDescent="0.25">
      <c r="C958" s="426">
        <v>487</v>
      </c>
      <c r="D958" s="426" t="s">
        <v>2111</v>
      </c>
      <c r="E958" s="426" t="s">
        <v>372</v>
      </c>
      <c r="F958" s="546" t="s">
        <v>1398</v>
      </c>
      <c r="G958" s="546" t="s">
        <v>1399</v>
      </c>
      <c r="H958" s="546" t="s">
        <v>1400</v>
      </c>
      <c r="I958" s="546" t="s">
        <v>1076</v>
      </c>
    </row>
    <row r="959" spans="3:12" x14ac:dyDescent="0.25">
      <c r="C959" s="426">
        <v>488</v>
      </c>
      <c r="D959" s="426" t="s">
        <v>799</v>
      </c>
      <c r="E959" s="426" t="s">
        <v>372</v>
      </c>
      <c r="F959" s="546" t="s">
        <v>788</v>
      </c>
      <c r="G959" s="546" t="s">
        <v>1404</v>
      </c>
      <c r="H959" s="546" t="s">
        <v>1405</v>
      </c>
      <c r="I959" s="546" t="s">
        <v>1076</v>
      </c>
    </row>
    <row r="960" spans="3:12" x14ac:dyDescent="0.25">
      <c r="C960" s="426">
        <v>489</v>
      </c>
      <c r="D960" s="426" t="s">
        <v>1406</v>
      </c>
      <c r="E960" s="426" t="s">
        <v>372</v>
      </c>
      <c r="F960" s="546" t="s">
        <v>788</v>
      </c>
      <c r="G960" s="546" t="s">
        <v>1407</v>
      </c>
      <c r="H960" s="546" t="s">
        <v>1408</v>
      </c>
      <c r="I960" s="546" t="s">
        <v>1076</v>
      </c>
    </row>
    <row r="961" spans="3:12" x14ac:dyDescent="0.25">
      <c r="C961" s="426">
        <v>490</v>
      </c>
      <c r="D961" s="426" t="s">
        <v>455</v>
      </c>
      <c r="E961" s="426" t="s">
        <v>372</v>
      </c>
      <c r="F961" s="546" t="s">
        <v>456</v>
      </c>
      <c r="G961" s="546" t="s">
        <v>457</v>
      </c>
      <c r="H961" s="546" t="s">
        <v>1409</v>
      </c>
      <c r="I961" s="546" t="s">
        <v>1076</v>
      </c>
    </row>
    <row r="962" spans="3:12" x14ac:dyDescent="0.25">
      <c r="C962" s="426">
        <v>491</v>
      </c>
      <c r="D962" s="426" t="s">
        <v>1410</v>
      </c>
      <c r="E962" s="426" t="s">
        <v>372</v>
      </c>
      <c r="F962" s="546" t="s">
        <v>944</v>
      </c>
      <c r="G962" s="546" t="s">
        <v>1411</v>
      </c>
      <c r="H962" s="546" t="s">
        <v>1412</v>
      </c>
    </row>
    <row r="963" spans="3:12" x14ac:dyDescent="0.25">
      <c r="C963" s="426">
        <v>492</v>
      </c>
      <c r="D963" s="426" t="s">
        <v>1413</v>
      </c>
      <c r="E963" s="426" t="s">
        <v>372</v>
      </c>
      <c r="F963" s="546" t="s">
        <v>1414</v>
      </c>
      <c r="G963" s="546" t="s">
        <v>1415</v>
      </c>
      <c r="H963" s="546" t="s">
        <v>1416</v>
      </c>
      <c r="L963" s="599"/>
    </row>
    <row r="964" spans="3:12" x14ac:dyDescent="0.25">
      <c r="C964" s="426">
        <v>493</v>
      </c>
      <c r="D964" s="426" t="s">
        <v>1417</v>
      </c>
      <c r="E964" s="426" t="s">
        <v>372</v>
      </c>
      <c r="F964" s="546" t="s">
        <v>1418</v>
      </c>
      <c r="G964" s="546" t="s">
        <v>1419</v>
      </c>
      <c r="H964" s="546" t="s">
        <v>1420</v>
      </c>
      <c r="I964" s="546" t="s">
        <v>1076</v>
      </c>
    </row>
    <row r="965" spans="3:12" x14ac:dyDescent="0.25">
      <c r="C965" s="426">
        <v>494</v>
      </c>
      <c r="D965" s="426" t="s">
        <v>689</v>
      </c>
      <c r="E965" s="426" t="s">
        <v>372</v>
      </c>
      <c r="F965" s="546" t="s">
        <v>686</v>
      </c>
      <c r="G965" s="546" t="s">
        <v>690</v>
      </c>
      <c r="H965" s="546" t="s">
        <v>1421</v>
      </c>
      <c r="I965" s="546" t="s">
        <v>1381</v>
      </c>
    </row>
    <row r="966" spans="3:12" x14ac:dyDescent="0.25">
      <c r="C966" s="426">
        <v>495</v>
      </c>
      <c r="D966" s="426" t="s">
        <v>1422</v>
      </c>
      <c r="E966" s="426" t="s">
        <v>372</v>
      </c>
      <c r="F966" s="546" t="s">
        <v>1423</v>
      </c>
      <c r="G966" s="546" t="s">
        <v>1424</v>
      </c>
      <c r="H966" s="546" t="s">
        <v>1425</v>
      </c>
    </row>
    <row r="967" spans="3:12" x14ac:dyDescent="0.25">
      <c r="C967" s="426">
        <v>496</v>
      </c>
      <c r="D967" s="426" t="s">
        <v>1180</v>
      </c>
      <c r="E967" s="426" t="s">
        <v>372</v>
      </c>
      <c r="F967" s="546" t="s">
        <v>1181</v>
      </c>
      <c r="G967" s="546" t="s">
        <v>1426</v>
      </c>
      <c r="H967" s="546" t="s">
        <v>1427</v>
      </c>
      <c r="I967" s="546" t="s">
        <v>1076</v>
      </c>
    </row>
    <row r="968" spans="3:12" x14ac:dyDescent="0.25">
      <c r="C968" s="426">
        <v>497</v>
      </c>
      <c r="D968" s="426" t="s">
        <v>1072</v>
      </c>
      <c r="E968" s="426" t="s">
        <v>372</v>
      </c>
      <c r="F968" s="546" t="s">
        <v>1073</v>
      </c>
      <c r="G968" s="546" t="s">
        <v>1428</v>
      </c>
      <c r="H968" s="546" t="s">
        <v>1429</v>
      </c>
      <c r="I968" s="546" t="s">
        <v>1076</v>
      </c>
      <c r="L968" s="599"/>
    </row>
    <row r="969" spans="3:12" x14ac:dyDescent="0.25">
      <c r="C969" s="426">
        <v>498</v>
      </c>
      <c r="D969" s="426" t="s">
        <v>2112</v>
      </c>
      <c r="E969" s="426" t="s">
        <v>372</v>
      </c>
      <c r="F969" s="546" t="s">
        <v>1431</v>
      </c>
      <c r="G969" s="546" t="s">
        <v>1432</v>
      </c>
      <c r="H969" s="546" t="s">
        <v>1433</v>
      </c>
      <c r="I969" s="546" t="s">
        <v>1076</v>
      </c>
      <c r="L969" s="598"/>
    </row>
    <row r="970" spans="3:12" x14ac:dyDescent="0.25">
      <c r="C970" s="426">
        <v>499</v>
      </c>
      <c r="D970" s="426" t="s">
        <v>947</v>
      </c>
      <c r="E970" s="426" t="s">
        <v>372</v>
      </c>
      <c r="F970" s="546" t="s">
        <v>944</v>
      </c>
      <c r="G970" s="546" t="s">
        <v>1438</v>
      </c>
      <c r="H970" s="546" t="s">
        <v>1439</v>
      </c>
      <c r="I970" s="546" t="s">
        <v>1076</v>
      </c>
    </row>
    <row r="971" spans="3:12" x14ac:dyDescent="0.25">
      <c r="C971" s="426">
        <v>500</v>
      </c>
      <c r="D971" s="426" t="s">
        <v>1172</v>
      </c>
      <c r="E971" s="426" t="s">
        <v>372</v>
      </c>
      <c r="F971" s="546" t="s">
        <v>1173</v>
      </c>
      <c r="G971" s="546" t="s">
        <v>1174</v>
      </c>
      <c r="H971" s="546" t="s">
        <v>1443</v>
      </c>
    </row>
    <row r="972" spans="3:12" x14ac:dyDescent="0.25">
      <c r="C972" s="426">
        <v>501</v>
      </c>
      <c r="D972" s="426" t="s">
        <v>1198</v>
      </c>
      <c r="E972" s="426" t="s">
        <v>372</v>
      </c>
      <c r="F972" s="546" t="s">
        <v>1191</v>
      </c>
      <c r="G972" s="546" t="s">
        <v>1444</v>
      </c>
      <c r="H972" s="546" t="s">
        <v>1445</v>
      </c>
    </row>
    <row r="973" spans="3:12" x14ac:dyDescent="0.25">
      <c r="C973" s="426">
        <v>502</v>
      </c>
      <c r="D973" s="426" t="s">
        <v>1446</v>
      </c>
      <c r="E973" s="426" t="s">
        <v>372</v>
      </c>
      <c r="F973" s="546" t="s">
        <v>1447</v>
      </c>
      <c r="G973" s="546" t="s">
        <v>1448</v>
      </c>
      <c r="H973" s="546" t="s">
        <v>1449</v>
      </c>
    </row>
    <row r="974" spans="3:12" x14ac:dyDescent="0.25">
      <c r="C974" s="426">
        <v>504</v>
      </c>
      <c r="D974" s="426" t="s">
        <v>1450</v>
      </c>
      <c r="E974" s="426" t="s">
        <v>372</v>
      </c>
      <c r="F974" s="546" t="s">
        <v>1451</v>
      </c>
      <c r="G974" s="546" t="s">
        <v>1452</v>
      </c>
      <c r="H974" s="546" t="s">
        <v>1453</v>
      </c>
    </row>
    <row r="975" spans="3:12" x14ac:dyDescent="0.25">
      <c r="C975" s="426">
        <v>505</v>
      </c>
      <c r="D975" s="426" t="s">
        <v>1454</v>
      </c>
      <c r="E975" s="426" t="s">
        <v>372</v>
      </c>
      <c r="F975" s="546" t="s">
        <v>1455</v>
      </c>
      <c r="G975" s="546" t="s">
        <v>1456</v>
      </c>
      <c r="H975" s="546" t="s">
        <v>1457</v>
      </c>
    </row>
    <row r="976" spans="3:12" x14ac:dyDescent="0.25">
      <c r="C976" s="426">
        <v>508</v>
      </c>
      <c r="D976" s="426" t="s">
        <v>799</v>
      </c>
      <c r="E976" s="426" t="s">
        <v>372</v>
      </c>
      <c r="F976" s="546" t="s">
        <v>788</v>
      </c>
      <c r="G976" s="546" t="s">
        <v>1458</v>
      </c>
      <c r="H976" s="546" t="s">
        <v>1459</v>
      </c>
    </row>
    <row r="977" spans="3:9" x14ac:dyDescent="0.25">
      <c r="C977" s="426">
        <v>509</v>
      </c>
      <c r="D977" s="426" t="s">
        <v>799</v>
      </c>
      <c r="E977" s="426" t="s">
        <v>372</v>
      </c>
      <c r="F977" s="546" t="s">
        <v>788</v>
      </c>
      <c r="G977" s="546" t="s">
        <v>1460</v>
      </c>
      <c r="H977" s="546" t="s">
        <v>1461</v>
      </c>
    </row>
    <row r="978" spans="3:9" x14ac:dyDescent="0.25">
      <c r="C978" s="426">
        <v>510</v>
      </c>
      <c r="D978" s="426" t="s">
        <v>799</v>
      </c>
      <c r="E978" s="426" t="s">
        <v>372</v>
      </c>
      <c r="F978" s="546" t="s">
        <v>788</v>
      </c>
      <c r="G978" s="546" t="s">
        <v>1462</v>
      </c>
      <c r="H978" s="546" t="s">
        <v>1463</v>
      </c>
    </row>
    <row r="979" spans="3:9" x14ac:dyDescent="0.25">
      <c r="C979" s="426">
        <v>511</v>
      </c>
      <c r="D979" s="426" t="s">
        <v>799</v>
      </c>
      <c r="E979" s="426" t="s">
        <v>372</v>
      </c>
      <c r="F979" s="546" t="s">
        <v>788</v>
      </c>
      <c r="G979" s="546" t="s">
        <v>1464</v>
      </c>
      <c r="H979" s="546" t="s">
        <v>1465</v>
      </c>
    </row>
    <row r="980" spans="3:9" x14ac:dyDescent="0.25">
      <c r="C980" s="426">
        <v>512</v>
      </c>
      <c r="D980" s="426" t="s">
        <v>799</v>
      </c>
      <c r="E980" s="426" t="s">
        <v>372</v>
      </c>
      <c r="F980" s="546" t="s">
        <v>788</v>
      </c>
      <c r="G980" s="546" t="s">
        <v>1466</v>
      </c>
      <c r="H980" s="546" t="s">
        <v>1467</v>
      </c>
    </row>
    <row r="981" spans="3:9" x14ac:dyDescent="0.25">
      <c r="C981" s="426">
        <v>513</v>
      </c>
      <c r="D981" s="426" t="s">
        <v>799</v>
      </c>
      <c r="E981" s="426" t="s">
        <v>372</v>
      </c>
      <c r="F981" s="546" t="s">
        <v>788</v>
      </c>
      <c r="G981" s="546" t="s">
        <v>1468</v>
      </c>
      <c r="H981" s="546" t="s">
        <v>1469</v>
      </c>
    </row>
    <row r="982" spans="3:9" x14ac:dyDescent="0.25">
      <c r="C982" s="426">
        <v>514</v>
      </c>
      <c r="D982" s="426" t="s">
        <v>799</v>
      </c>
      <c r="E982" s="426" t="s">
        <v>372</v>
      </c>
      <c r="F982" s="546" t="s">
        <v>788</v>
      </c>
      <c r="G982" s="546" t="s">
        <v>1470</v>
      </c>
      <c r="H982" s="546" t="s">
        <v>1471</v>
      </c>
    </row>
    <row r="983" spans="3:9" x14ac:dyDescent="0.25">
      <c r="C983" s="426">
        <v>515</v>
      </c>
      <c r="D983" s="426" t="s">
        <v>799</v>
      </c>
      <c r="E983" s="426" t="s">
        <v>372</v>
      </c>
      <c r="F983" s="546" t="s">
        <v>788</v>
      </c>
      <c r="G983" s="546" t="s">
        <v>1472</v>
      </c>
      <c r="H983" s="546" t="s">
        <v>1473</v>
      </c>
      <c r="I983" s="546" t="s">
        <v>1076</v>
      </c>
    </row>
    <row r="984" spans="3:9" x14ac:dyDescent="0.25">
      <c r="C984" s="426">
        <v>516</v>
      </c>
      <c r="D984" s="426" t="s">
        <v>799</v>
      </c>
      <c r="E984" s="426" t="s">
        <v>372</v>
      </c>
      <c r="F984" s="546" t="s">
        <v>788</v>
      </c>
      <c r="G984" s="546" t="s">
        <v>1474</v>
      </c>
      <c r="H984" s="546" t="s">
        <v>1475</v>
      </c>
    </row>
    <row r="985" spans="3:9" x14ac:dyDescent="0.25">
      <c r="C985" s="426">
        <v>517</v>
      </c>
      <c r="D985" s="426" t="s">
        <v>1342</v>
      </c>
      <c r="E985" s="426" t="s">
        <v>372</v>
      </c>
      <c r="F985" s="546" t="s">
        <v>1343</v>
      </c>
      <c r="G985" s="546" t="s">
        <v>1344</v>
      </c>
      <c r="H985" s="546" t="s">
        <v>1476</v>
      </c>
      <c r="I985" s="546" t="s">
        <v>1076</v>
      </c>
    </row>
    <row r="986" spans="3:9" x14ac:dyDescent="0.25">
      <c r="C986" s="426">
        <v>518</v>
      </c>
      <c r="D986" s="426" t="s">
        <v>1477</v>
      </c>
      <c r="E986" s="426" t="s">
        <v>372</v>
      </c>
      <c r="F986" s="546" t="s">
        <v>1478</v>
      </c>
      <c r="G986" s="546" t="s">
        <v>1479</v>
      </c>
      <c r="H986" s="546" t="s">
        <v>1480</v>
      </c>
      <c r="I986" s="546" t="s">
        <v>1381</v>
      </c>
    </row>
    <row r="987" spans="3:9" x14ac:dyDescent="0.25">
      <c r="C987" s="426">
        <v>519</v>
      </c>
      <c r="D987" s="426" t="s">
        <v>1001</v>
      </c>
      <c r="E987" s="426" t="s">
        <v>372</v>
      </c>
      <c r="F987" s="546" t="s">
        <v>1002</v>
      </c>
      <c r="G987" s="546" t="s">
        <v>1003</v>
      </c>
      <c r="H987" s="546" t="s">
        <v>1481</v>
      </c>
      <c r="I987" s="546" t="s">
        <v>1381</v>
      </c>
    </row>
    <row r="988" spans="3:9" x14ac:dyDescent="0.25">
      <c r="C988" s="426">
        <v>520</v>
      </c>
      <c r="D988" s="426" t="s">
        <v>1180</v>
      </c>
      <c r="E988" s="426" t="s">
        <v>372</v>
      </c>
      <c r="F988" s="546" t="s">
        <v>1181</v>
      </c>
      <c r="G988" s="546" t="s">
        <v>1482</v>
      </c>
      <c r="H988" s="546" t="s">
        <v>1483</v>
      </c>
      <c r="I988" s="546" t="s">
        <v>1381</v>
      </c>
    </row>
    <row r="989" spans="3:9" x14ac:dyDescent="0.25">
      <c r="C989" s="426">
        <v>521</v>
      </c>
      <c r="D989" s="426" t="s">
        <v>873</v>
      </c>
      <c r="E989" s="426" t="s">
        <v>372</v>
      </c>
      <c r="F989" s="546" t="s">
        <v>874</v>
      </c>
      <c r="G989" s="546" t="s">
        <v>1484</v>
      </c>
      <c r="H989" s="546" t="s">
        <v>1485</v>
      </c>
    </row>
    <row r="990" spans="3:9" x14ac:dyDescent="0.25">
      <c r="C990" s="426">
        <v>525</v>
      </c>
      <c r="D990" s="426" t="s">
        <v>1486</v>
      </c>
      <c r="E990" s="426" t="s">
        <v>372</v>
      </c>
      <c r="F990" s="546" t="s">
        <v>1487</v>
      </c>
      <c r="G990" s="546" t="s">
        <v>1488</v>
      </c>
      <c r="H990" s="546" t="s">
        <v>1489</v>
      </c>
    </row>
    <row r="991" spans="3:9" x14ac:dyDescent="0.25">
      <c r="C991" s="426">
        <v>526</v>
      </c>
      <c r="D991" s="426" t="s">
        <v>2158</v>
      </c>
      <c r="E991" s="426" t="s">
        <v>372</v>
      </c>
      <c r="F991" s="546" t="s">
        <v>1491</v>
      </c>
      <c r="G991" s="546" t="s">
        <v>1492</v>
      </c>
      <c r="H991" s="546" t="s">
        <v>1493</v>
      </c>
      <c r="I991" s="546" t="s">
        <v>1076</v>
      </c>
    </row>
    <row r="992" spans="3:9" x14ac:dyDescent="0.25">
      <c r="C992" s="426">
        <v>530</v>
      </c>
      <c r="D992" s="426" t="s">
        <v>1072</v>
      </c>
      <c r="E992" s="426" t="s">
        <v>372</v>
      </c>
      <c r="F992" s="546" t="s">
        <v>1073</v>
      </c>
      <c r="G992" s="546" t="s">
        <v>1074</v>
      </c>
      <c r="H992" s="546" t="s">
        <v>1497</v>
      </c>
    </row>
    <row r="993" spans="3:11" x14ac:dyDescent="0.25">
      <c r="C993" s="426">
        <v>531</v>
      </c>
      <c r="D993" s="426" t="s">
        <v>1498</v>
      </c>
      <c r="E993" s="426" t="s">
        <v>372</v>
      </c>
      <c r="F993" s="546" t="s">
        <v>1499</v>
      </c>
      <c r="G993" s="546" t="s">
        <v>1500</v>
      </c>
      <c r="H993" s="546" t="s">
        <v>1501</v>
      </c>
      <c r="I993" s="546" t="s">
        <v>1076</v>
      </c>
    </row>
    <row r="994" spans="3:11" x14ac:dyDescent="0.25">
      <c r="C994" s="426">
        <v>532</v>
      </c>
      <c r="D994" s="426" t="s">
        <v>947</v>
      </c>
      <c r="E994" s="426" t="s">
        <v>372</v>
      </c>
      <c r="F994" s="546" t="s">
        <v>944</v>
      </c>
      <c r="G994" s="546" t="s">
        <v>1502</v>
      </c>
      <c r="H994" s="546" t="s">
        <v>1503</v>
      </c>
      <c r="I994" s="546" t="s">
        <v>1076</v>
      </c>
    </row>
    <row r="995" spans="3:11" x14ac:dyDescent="0.25">
      <c r="C995" s="426">
        <v>533</v>
      </c>
      <c r="D995" s="426" t="s">
        <v>1072</v>
      </c>
      <c r="E995" s="426" t="s">
        <v>372</v>
      </c>
      <c r="F995" s="546" t="s">
        <v>1073</v>
      </c>
      <c r="G995" s="546" t="s">
        <v>1504</v>
      </c>
      <c r="H995" s="546" t="s">
        <v>1505</v>
      </c>
    </row>
    <row r="996" spans="3:11" x14ac:dyDescent="0.25">
      <c r="C996" s="426">
        <v>534</v>
      </c>
      <c r="D996" s="426" t="s">
        <v>2113</v>
      </c>
      <c r="E996" s="426" t="s">
        <v>372</v>
      </c>
      <c r="F996" s="546" t="s">
        <v>1507</v>
      </c>
      <c r="G996" s="546" t="s">
        <v>1508</v>
      </c>
      <c r="H996" s="546" t="s">
        <v>1509</v>
      </c>
      <c r="I996" s="546" t="s">
        <v>1076</v>
      </c>
    </row>
    <row r="997" spans="3:11" x14ac:dyDescent="0.25">
      <c r="C997" s="426">
        <v>535</v>
      </c>
      <c r="D997" s="426" t="s">
        <v>1180</v>
      </c>
      <c r="E997" s="426" t="s">
        <v>372</v>
      </c>
      <c r="F997" s="546" t="s">
        <v>1181</v>
      </c>
      <c r="G997" s="546" t="s">
        <v>1513</v>
      </c>
      <c r="H997" s="546" t="s">
        <v>1514</v>
      </c>
      <c r="I997" s="546" t="s">
        <v>1076</v>
      </c>
    </row>
    <row r="998" spans="3:11" x14ac:dyDescent="0.25">
      <c r="C998" s="426">
        <v>536</v>
      </c>
      <c r="D998" s="426" t="s">
        <v>1186</v>
      </c>
      <c r="E998" s="426" t="s">
        <v>372</v>
      </c>
      <c r="F998" s="546" t="s">
        <v>1187</v>
      </c>
      <c r="G998" s="546" t="s">
        <v>1515</v>
      </c>
      <c r="H998" s="546" t="s">
        <v>1516</v>
      </c>
      <c r="I998" s="546" t="s">
        <v>1076</v>
      </c>
    </row>
    <row r="999" spans="3:11" x14ac:dyDescent="0.25">
      <c r="C999" s="426">
        <v>537</v>
      </c>
      <c r="D999" s="426" t="s">
        <v>1517</v>
      </c>
      <c r="E999" s="426" t="s">
        <v>372</v>
      </c>
      <c r="F999" s="546" t="s">
        <v>1518</v>
      </c>
      <c r="G999" s="546" t="s">
        <v>2030</v>
      </c>
      <c r="H999" s="546" t="s">
        <v>2031</v>
      </c>
      <c r="I999" s="546" t="s">
        <v>1076</v>
      </c>
    </row>
    <row r="1000" spans="3:11" x14ac:dyDescent="0.25">
      <c r="C1000" s="426">
        <v>538</v>
      </c>
      <c r="D1000" s="426" t="s">
        <v>1774</v>
      </c>
      <c r="E1000" s="426" t="s">
        <v>372</v>
      </c>
      <c r="F1000" s="546" t="s">
        <v>1519</v>
      </c>
      <c r="G1000" s="546" t="s">
        <v>1520</v>
      </c>
      <c r="H1000" s="546" t="s">
        <v>1521</v>
      </c>
      <c r="I1000" s="546" t="s">
        <v>1076</v>
      </c>
    </row>
    <row r="1001" spans="3:11" x14ac:dyDescent="0.25">
      <c r="C1001" s="426">
        <v>539</v>
      </c>
      <c r="D1001" s="426" t="s">
        <v>1522</v>
      </c>
      <c r="E1001" s="426" t="s">
        <v>372</v>
      </c>
      <c r="F1001" s="546" t="s">
        <v>1523</v>
      </c>
      <c r="G1001" s="546" t="s">
        <v>1524</v>
      </c>
      <c r="H1001" s="546" t="s">
        <v>1525</v>
      </c>
      <c r="I1001" s="546" t="s">
        <v>1076</v>
      </c>
    </row>
    <row r="1002" spans="3:11" x14ac:dyDescent="0.25">
      <c r="C1002" s="426">
        <v>540</v>
      </c>
      <c r="D1002" s="426" t="s">
        <v>2159</v>
      </c>
      <c r="E1002" s="426" t="s">
        <v>372</v>
      </c>
      <c r="F1002" s="546" t="s">
        <v>1527</v>
      </c>
      <c r="G1002" s="546" t="s">
        <v>1528</v>
      </c>
      <c r="H1002" s="546" t="s">
        <v>1529</v>
      </c>
      <c r="I1002" s="546" t="s">
        <v>1076</v>
      </c>
    </row>
    <row r="1003" spans="3:11" x14ac:dyDescent="0.25">
      <c r="C1003" s="426">
        <v>541</v>
      </c>
      <c r="D1003" s="426" t="s">
        <v>1533</v>
      </c>
      <c r="E1003" s="426" t="s">
        <v>372</v>
      </c>
      <c r="F1003" s="546" t="s">
        <v>1534</v>
      </c>
      <c r="G1003" s="546" t="s">
        <v>1535</v>
      </c>
      <c r="H1003" s="546" t="s">
        <v>1536</v>
      </c>
      <c r="I1003" s="546" t="s">
        <v>1076</v>
      </c>
    </row>
    <row r="1004" spans="3:11" x14ac:dyDescent="0.25">
      <c r="C1004" s="426">
        <v>542</v>
      </c>
      <c r="D1004" s="426" t="s">
        <v>1937</v>
      </c>
      <c r="E1004" s="426" t="s">
        <v>372</v>
      </c>
      <c r="F1004" s="546" t="s">
        <v>1537</v>
      </c>
      <c r="G1004" s="546" t="s">
        <v>1538</v>
      </c>
      <c r="H1004" s="546" t="s">
        <v>1539</v>
      </c>
      <c r="I1004" s="546" t="s">
        <v>1076</v>
      </c>
    </row>
    <row r="1005" spans="3:11" x14ac:dyDescent="0.25">
      <c r="C1005" s="426">
        <v>543</v>
      </c>
      <c r="D1005" s="426" t="s">
        <v>1087</v>
      </c>
      <c r="E1005" s="426" t="s">
        <v>372</v>
      </c>
      <c r="F1005" s="546" t="s">
        <v>1084</v>
      </c>
      <c r="G1005" s="546" t="s">
        <v>1540</v>
      </c>
      <c r="H1005" s="546" t="s">
        <v>1541</v>
      </c>
      <c r="I1005" s="546" t="s">
        <v>1076</v>
      </c>
    </row>
    <row r="1006" spans="3:11" x14ac:dyDescent="0.25">
      <c r="C1006" s="426">
        <v>544</v>
      </c>
      <c r="D1006" s="426" t="s">
        <v>1542</v>
      </c>
      <c r="E1006" s="426" t="s">
        <v>372</v>
      </c>
      <c r="F1006" s="546" t="s">
        <v>1543</v>
      </c>
      <c r="G1006" s="546" t="s">
        <v>1544</v>
      </c>
      <c r="H1006" s="546" t="s">
        <v>1545</v>
      </c>
      <c r="I1006" s="546" t="s">
        <v>1076</v>
      </c>
    </row>
    <row r="1007" spans="3:11" x14ac:dyDescent="0.25">
      <c r="C1007" s="426">
        <v>545</v>
      </c>
      <c r="D1007" s="426" t="s">
        <v>1546</v>
      </c>
      <c r="E1007" s="426" t="s">
        <v>372</v>
      </c>
      <c r="F1007" s="546" t="s">
        <v>1547</v>
      </c>
      <c r="G1007" s="546" t="s">
        <v>1548</v>
      </c>
      <c r="H1007" s="546" t="s">
        <v>1549</v>
      </c>
      <c r="I1007" s="546" t="s">
        <v>1550</v>
      </c>
    </row>
    <row r="1008" spans="3:11" x14ac:dyDescent="0.25">
      <c r="C1008" s="426">
        <v>546</v>
      </c>
      <c r="D1008" s="426" t="s">
        <v>613</v>
      </c>
      <c r="E1008" s="426" t="s">
        <v>372</v>
      </c>
      <c r="F1008" s="546" t="s">
        <v>614</v>
      </c>
      <c r="G1008" s="546" t="s">
        <v>1551</v>
      </c>
      <c r="H1008" s="546" t="s">
        <v>1552</v>
      </c>
      <c r="I1008" s="546" t="s">
        <v>1076</v>
      </c>
      <c r="K1008" s="426" t="s">
        <v>174</v>
      </c>
    </row>
    <row r="1009" spans="3:11" x14ac:dyDescent="0.25">
      <c r="C1009" s="426">
        <v>547</v>
      </c>
      <c r="D1009" s="426" t="s">
        <v>799</v>
      </c>
      <c r="E1009" s="426" t="s">
        <v>372</v>
      </c>
      <c r="F1009" s="546" t="s">
        <v>788</v>
      </c>
      <c r="G1009" s="546" t="s">
        <v>1553</v>
      </c>
      <c r="H1009" s="546" t="s">
        <v>1554</v>
      </c>
      <c r="I1009" s="546" t="s">
        <v>1076</v>
      </c>
    </row>
    <row r="1010" spans="3:11" x14ac:dyDescent="0.25">
      <c r="C1010" s="426">
        <v>548</v>
      </c>
      <c r="D1010" s="426" t="s">
        <v>1555</v>
      </c>
      <c r="E1010" s="426" t="s">
        <v>372</v>
      </c>
      <c r="F1010" s="546" t="s">
        <v>1084</v>
      </c>
      <c r="G1010" s="546" t="s">
        <v>1556</v>
      </c>
      <c r="H1010" s="546" t="s">
        <v>1557</v>
      </c>
      <c r="I1010" s="546" t="s">
        <v>1076</v>
      </c>
    </row>
    <row r="1011" spans="3:11" x14ac:dyDescent="0.25">
      <c r="C1011" s="426">
        <v>549</v>
      </c>
      <c r="D1011" s="426" t="s">
        <v>799</v>
      </c>
      <c r="E1011" s="426" t="s">
        <v>372</v>
      </c>
      <c r="F1011" s="546" t="s">
        <v>788</v>
      </c>
      <c r="G1011" s="546" t="s">
        <v>1558</v>
      </c>
      <c r="H1011" s="546" t="s">
        <v>1559</v>
      </c>
    </row>
    <row r="1012" spans="3:11" x14ac:dyDescent="0.25">
      <c r="C1012" s="426">
        <v>550</v>
      </c>
      <c r="D1012" s="426" t="s">
        <v>1560</v>
      </c>
      <c r="E1012" s="426" t="s">
        <v>372</v>
      </c>
      <c r="F1012" s="546" t="s">
        <v>1561</v>
      </c>
      <c r="G1012" s="546" t="s">
        <v>1562</v>
      </c>
      <c r="H1012" s="546" t="s">
        <v>1563</v>
      </c>
      <c r="I1012" s="546" t="s">
        <v>1381</v>
      </c>
    </row>
    <row r="1013" spans="3:11" x14ac:dyDescent="0.25">
      <c r="C1013" s="426">
        <v>551</v>
      </c>
      <c r="D1013" s="426" t="s">
        <v>1564</v>
      </c>
      <c r="E1013" s="426" t="s">
        <v>372</v>
      </c>
      <c r="F1013" s="546" t="s">
        <v>1565</v>
      </c>
      <c r="G1013" s="546" t="s">
        <v>1566</v>
      </c>
      <c r="H1013" s="546" t="s">
        <v>1567</v>
      </c>
    </row>
    <row r="1014" spans="3:11" x14ac:dyDescent="0.25">
      <c r="C1014" s="426">
        <v>552</v>
      </c>
      <c r="D1014" s="426" t="s">
        <v>1568</v>
      </c>
      <c r="E1014" s="426" t="s">
        <v>372</v>
      </c>
      <c r="F1014" s="546" t="s">
        <v>1226</v>
      </c>
      <c r="G1014" s="546" t="s">
        <v>1227</v>
      </c>
      <c r="H1014" s="546" t="s">
        <v>1569</v>
      </c>
      <c r="I1014" s="546" t="s">
        <v>1076</v>
      </c>
    </row>
    <row r="1015" spans="3:11" x14ac:dyDescent="0.25">
      <c r="C1015" s="426">
        <v>553</v>
      </c>
      <c r="D1015" s="426" t="s">
        <v>1570</v>
      </c>
      <c r="E1015" s="426" t="s">
        <v>372</v>
      </c>
      <c r="F1015" s="546" t="s">
        <v>1571</v>
      </c>
      <c r="G1015" s="546" t="s">
        <v>1572</v>
      </c>
      <c r="H1015" s="546" t="s">
        <v>1573</v>
      </c>
      <c r="I1015" s="546" t="s">
        <v>1381</v>
      </c>
    </row>
    <row r="1016" spans="3:11" x14ac:dyDescent="0.25">
      <c r="C1016" s="426">
        <v>554</v>
      </c>
      <c r="D1016" s="426" t="s">
        <v>1406</v>
      </c>
      <c r="E1016" s="426" t="s">
        <v>372</v>
      </c>
      <c r="F1016" s="546" t="s">
        <v>788</v>
      </c>
      <c r="G1016" s="546" t="s">
        <v>1574</v>
      </c>
      <c r="H1016" s="546" t="s">
        <v>1575</v>
      </c>
      <c r="I1016" s="546" t="s">
        <v>1381</v>
      </c>
      <c r="K1016" s="426" t="s">
        <v>174</v>
      </c>
    </row>
    <row r="1017" spans="3:11" x14ac:dyDescent="0.25">
      <c r="C1017" s="426">
        <v>556</v>
      </c>
      <c r="D1017" s="426" t="s">
        <v>799</v>
      </c>
      <c r="E1017" s="426" t="s">
        <v>372</v>
      </c>
      <c r="F1017" s="546" t="s">
        <v>788</v>
      </c>
      <c r="G1017" s="546" t="s">
        <v>1576</v>
      </c>
      <c r="H1017" s="546" t="s">
        <v>1577</v>
      </c>
      <c r="I1017" s="546" t="s">
        <v>1381</v>
      </c>
    </row>
    <row r="1018" spans="3:11" x14ac:dyDescent="0.25">
      <c r="C1018" s="426">
        <v>557</v>
      </c>
      <c r="D1018" s="426" t="s">
        <v>947</v>
      </c>
      <c r="E1018" s="426" t="s">
        <v>372</v>
      </c>
      <c r="F1018" s="546" t="s">
        <v>944</v>
      </c>
      <c r="G1018" s="546" t="s">
        <v>1578</v>
      </c>
      <c r="H1018" s="546" t="s">
        <v>1579</v>
      </c>
    </row>
    <row r="1019" spans="3:11" x14ac:dyDescent="0.25">
      <c r="C1019" s="426">
        <v>558</v>
      </c>
      <c r="D1019" s="426" t="s">
        <v>1580</v>
      </c>
      <c r="E1019" s="426" t="s">
        <v>372</v>
      </c>
      <c r="F1019" s="546" t="s">
        <v>1581</v>
      </c>
      <c r="G1019" s="546" t="s">
        <v>1582</v>
      </c>
      <c r="H1019" s="546" t="s">
        <v>1583</v>
      </c>
      <c r="I1019" s="546" t="s">
        <v>1076</v>
      </c>
    </row>
    <row r="1020" spans="3:11" x14ac:dyDescent="0.25">
      <c r="C1020" s="426">
        <v>559</v>
      </c>
      <c r="D1020" s="426" t="s">
        <v>1266</v>
      </c>
      <c r="E1020" s="426" t="s">
        <v>372</v>
      </c>
      <c r="F1020" s="546" t="s">
        <v>1267</v>
      </c>
      <c r="G1020" s="546" t="s">
        <v>1584</v>
      </c>
      <c r="H1020" s="546" t="s">
        <v>1585</v>
      </c>
      <c r="I1020" s="546" t="s">
        <v>1076</v>
      </c>
    </row>
    <row r="1021" spans="3:11" x14ac:dyDescent="0.25">
      <c r="C1021" s="426">
        <v>560</v>
      </c>
      <c r="D1021" s="426" t="s">
        <v>1037</v>
      </c>
      <c r="E1021" s="426" t="s">
        <v>372</v>
      </c>
      <c r="F1021" s="546" t="s">
        <v>1038</v>
      </c>
      <c r="G1021" s="546" t="s">
        <v>1586</v>
      </c>
      <c r="H1021" s="546" t="s">
        <v>1587</v>
      </c>
      <c r="I1021" s="546" t="s">
        <v>1381</v>
      </c>
    </row>
    <row r="1022" spans="3:11" x14ac:dyDescent="0.25">
      <c r="C1022" s="426">
        <v>561</v>
      </c>
      <c r="D1022" s="426" t="s">
        <v>1087</v>
      </c>
      <c r="E1022" s="426" t="s">
        <v>372</v>
      </c>
      <c r="F1022" s="546" t="s">
        <v>1084</v>
      </c>
      <c r="G1022" s="546" t="s">
        <v>1588</v>
      </c>
      <c r="H1022" s="546" t="s">
        <v>1589</v>
      </c>
      <c r="I1022" s="546" t="s">
        <v>1076</v>
      </c>
    </row>
    <row r="1023" spans="3:11" x14ac:dyDescent="0.25">
      <c r="C1023" s="426">
        <v>562</v>
      </c>
      <c r="D1023" s="426" t="s">
        <v>1186</v>
      </c>
      <c r="E1023" s="426" t="s">
        <v>372</v>
      </c>
      <c r="F1023" s="546" t="s">
        <v>1187</v>
      </c>
      <c r="G1023" s="546" t="s">
        <v>1590</v>
      </c>
      <c r="H1023" s="546" t="s">
        <v>1591</v>
      </c>
    </row>
    <row r="1024" spans="3:11" x14ac:dyDescent="0.25">
      <c r="C1024" s="426">
        <v>563</v>
      </c>
      <c r="D1024" s="426" t="s">
        <v>1592</v>
      </c>
      <c r="E1024" s="426" t="s">
        <v>372</v>
      </c>
      <c r="F1024" s="546" t="s">
        <v>1593</v>
      </c>
      <c r="G1024" s="546" t="s">
        <v>1594</v>
      </c>
      <c r="H1024" s="546" t="s">
        <v>1595</v>
      </c>
      <c r="I1024" s="546" t="s">
        <v>1076</v>
      </c>
    </row>
    <row r="1025" spans="3:10" x14ac:dyDescent="0.25">
      <c r="C1025" s="426">
        <v>564</v>
      </c>
      <c r="D1025" s="426" t="s">
        <v>1229</v>
      </c>
      <c r="E1025" s="426" t="s">
        <v>372</v>
      </c>
      <c r="F1025" s="546" t="s">
        <v>1230</v>
      </c>
      <c r="G1025" s="546" t="s">
        <v>1596</v>
      </c>
      <c r="H1025" s="546" t="s">
        <v>1597</v>
      </c>
      <c r="I1025" s="546" t="s">
        <v>1381</v>
      </c>
    </row>
    <row r="1026" spans="3:10" x14ac:dyDescent="0.25">
      <c r="C1026" s="426">
        <v>565</v>
      </c>
      <c r="D1026" s="426" t="s">
        <v>2032</v>
      </c>
      <c r="E1026" s="426" t="s">
        <v>372</v>
      </c>
      <c r="F1026" s="546" t="s">
        <v>1073</v>
      </c>
      <c r="G1026" s="546" t="s">
        <v>1601</v>
      </c>
      <c r="H1026" s="546" t="s">
        <v>1602</v>
      </c>
      <c r="I1026" s="546" t="s">
        <v>1076</v>
      </c>
    </row>
    <row r="1027" spans="3:10" x14ac:dyDescent="0.25">
      <c r="C1027" s="426">
        <v>566</v>
      </c>
      <c r="D1027" s="426" t="s">
        <v>1410</v>
      </c>
      <c r="E1027" s="426" t="s">
        <v>372</v>
      </c>
      <c r="F1027" s="546" t="s">
        <v>944</v>
      </c>
      <c r="G1027" s="546" t="s">
        <v>1603</v>
      </c>
      <c r="H1027" s="546" t="s">
        <v>1604</v>
      </c>
      <c r="I1027" s="546" t="s">
        <v>1076</v>
      </c>
    </row>
    <row r="1028" spans="3:10" x14ac:dyDescent="0.25">
      <c r="C1028" s="426">
        <v>567</v>
      </c>
      <c r="D1028" s="426" t="s">
        <v>1938</v>
      </c>
      <c r="E1028" s="426" t="s">
        <v>372</v>
      </c>
      <c r="F1028" s="546" t="s">
        <v>1605</v>
      </c>
      <c r="G1028" s="546" t="s">
        <v>1606</v>
      </c>
      <c r="H1028" s="546" t="s">
        <v>1607</v>
      </c>
      <c r="I1028" s="546" t="s">
        <v>1381</v>
      </c>
    </row>
    <row r="1029" spans="3:10" x14ac:dyDescent="0.25">
      <c r="C1029" s="426">
        <v>568</v>
      </c>
      <c r="D1029" s="426" t="s">
        <v>2033</v>
      </c>
      <c r="E1029" s="426" t="s">
        <v>372</v>
      </c>
      <c r="F1029" s="546" t="s">
        <v>1608</v>
      </c>
      <c r="G1029" s="546" t="s">
        <v>1609</v>
      </c>
      <c r="H1029" s="546" t="s">
        <v>1610</v>
      </c>
      <c r="I1029" s="546" t="s">
        <v>1076</v>
      </c>
    </row>
    <row r="1030" spans="3:10" x14ac:dyDescent="0.25">
      <c r="C1030" s="426">
        <v>569</v>
      </c>
      <c r="D1030" s="426" t="s">
        <v>1611</v>
      </c>
      <c r="E1030" s="426" t="s">
        <v>372</v>
      </c>
      <c r="F1030" s="546" t="s">
        <v>1612</v>
      </c>
      <c r="G1030" s="546" t="s">
        <v>1613</v>
      </c>
      <c r="H1030" s="546" t="s">
        <v>1614</v>
      </c>
      <c r="I1030" s="546" t="s">
        <v>1076</v>
      </c>
    </row>
    <row r="1031" spans="3:10" x14ac:dyDescent="0.25">
      <c r="C1031" s="426">
        <v>570</v>
      </c>
      <c r="D1031" s="426" t="s">
        <v>2034</v>
      </c>
      <c r="E1031" s="426" t="s">
        <v>372</v>
      </c>
      <c r="F1031" s="546" t="s">
        <v>1615</v>
      </c>
      <c r="G1031" s="546" t="s">
        <v>1616</v>
      </c>
      <c r="H1031" s="546" t="s">
        <v>1617</v>
      </c>
      <c r="I1031" s="546" t="s">
        <v>1076</v>
      </c>
    </row>
    <row r="1032" spans="3:10" x14ac:dyDescent="0.25">
      <c r="C1032" s="426">
        <v>571</v>
      </c>
      <c r="D1032" s="426" t="s">
        <v>2035</v>
      </c>
      <c r="E1032" s="426" t="s">
        <v>372</v>
      </c>
      <c r="F1032" s="546" t="s">
        <v>1618</v>
      </c>
      <c r="G1032" s="546" t="s">
        <v>1619</v>
      </c>
      <c r="H1032" s="546" t="s">
        <v>1620</v>
      </c>
      <c r="I1032" s="546" t="s">
        <v>1076</v>
      </c>
      <c r="J1032" s="426" t="s">
        <v>174</v>
      </c>
    </row>
    <row r="1033" spans="3:10" x14ac:dyDescent="0.25">
      <c r="C1033" s="426">
        <v>572</v>
      </c>
      <c r="D1033" s="426" t="s">
        <v>532</v>
      </c>
      <c r="E1033" s="426" t="s">
        <v>372</v>
      </c>
      <c r="F1033" s="546" t="s">
        <v>533</v>
      </c>
      <c r="G1033" s="546" t="s">
        <v>1621</v>
      </c>
      <c r="H1033" s="546" t="s">
        <v>1622</v>
      </c>
    </row>
    <row r="1034" spans="3:10" x14ac:dyDescent="0.25">
      <c r="C1034" s="426">
        <v>573</v>
      </c>
      <c r="D1034" s="426" t="s">
        <v>799</v>
      </c>
      <c r="E1034" s="426" t="s">
        <v>372</v>
      </c>
      <c r="F1034" s="546" t="s">
        <v>788</v>
      </c>
      <c r="G1034" s="546" t="s">
        <v>1623</v>
      </c>
      <c r="H1034" s="546" t="s">
        <v>1624</v>
      </c>
      <c r="I1034" s="546" t="s">
        <v>1076</v>
      </c>
    </row>
    <row r="1035" spans="3:10" x14ac:dyDescent="0.25">
      <c r="C1035" s="426">
        <v>574</v>
      </c>
      <c r="D1035" s="426" t="s">
        <v>1625</v>
      </c>
      <c r="E1035" s="426" t="s">
        <v>372</v>
      </c>
      <c r="F1035" s="546" t="s">
        <v>1626</v>
      </c>
      <c r="G1035" s="546" t="s">
        <v>1627</v>
      </c>
      <c r="H1035" s="546" t="s">
        <v>1628</v>
      </c>
      <c r="I1035" s="546" t="s">
        <v>1076</v>
      </c>
    </row>
    <row r="1036" spans="3:10" x14ac:dyDescent="0.25">
      <c r="C1036" s="426">
        <v>575</v>
      </c>
      <c r="D1036" s="426" t="s">
        <v>1025</v>
      </c>
      <c r="E1036" s="426" t="s">
        <v>372</v>
      </c>
      <c r="F1036" s="546" t="s">
        <v>1020</v>
      </c>
      <c r="G1036" s="546" t="s">
        <v>1630</v>
      </c>
      <c r="H1036" s="546" t="s">
        <v>1631</v>
      </c>
      <c r="I1036" s="546" t="s">
        <v>1076</v>
      </c>
    </row>
    <row r="1037" spans="3:10" x14ac:dyDescent="0.25">
      <c r="C1037" s="426">
        <v>576</v>
      </c>
      <c r="D1037" s="426" t="s">
        <v>1635</v>
      </c>
      <c r="E1037" s="426" t="s">
        <v>372</v>
      </c>
      <c r="F1037" s="546" t="s">
        <v>1636</v>
      </c>
      <c r="G1037" s="546" t="s">
        <v>1637</v>
      </c>
      <c r="H1037" s="546" t="s">
        <v>1638</v>
      </c>
      <c r="I1037" s="546" t="s">
        <v>1076</v>
      </c>
    </row>
    <row r="1038" spans="3:10" x14ac:dyDescent="0.25">
      <c r="C1038" s="426">
        <v>577</v>
      </c>
      <c r="D1038" s="426" t="s">
        <v>2036</v>
      </c>
      <c r="E1038" s="426" t="s">
        <v>372</v>
      </c>
      <c r="F1038" s="546" t="s">
        <v>1639</v>
      </c>
      <c r="G1038" s="546" t="s">
        <v>1640</v>
      </c>
      <c r="H1038" s="546" t="s">
        <v>1641</v>
      </c>
      <c r="I1038" s="546" t="s">
        <v>1076</v>
      </c>
    </row>
    <row r="1039" spans="3:10" x14ac:dyDescent="0.25">
      <c r="C1039" s="426">
        <v>578</v>
      </c>
      <c r="D1039" s="426" t="s">
        <v>2114</v>
      </c>
      <c r="E1039" s="426" t="s">
        <v>372</v>
      </c>
      <c r="F1039" s="546" t="s">
        <v>1643</v>
      </c>
      <c r="G1039" s="546" t="s">
        <v>1644</v>
      </c>
      <c r="H1039" s="546" t="s">
        <v>1645</v>
      </c>
      <c r="I1039" s="546" t="s">
        <v>1076</v>
      </c>
    </row>
    <row r="1040" spans="3:10" x14ac:dyDescent="0.25">
      <c r="C1040" s="426">
        <v>579</v>
      </c>
      <c r="D1040" s="426" t="s">
        <v>1087</v>
      </c>
      <c r="E1040" s="426" t="s">
        <v>372</v>
      </c>
      <c r="F1040" s="546" t="s">
        <v>1084</v>
      </c>
      <c r="G1040" s="546" t="s">
        <v>1647</v>
      </c>
      <c r="H1040" s="546" t="s">
        <v>1648</v>
      </c>
      <c r="I1040" s="546" t="s">
        <v>1076</v>
      </c>
    </row>
    <row r="1041" spans="3:9" x14ac:dyDescent="0.25">
      <c r="C1041" s="426">
        <v>580</v>
      </c>
      <c r="D1041" s="426" t="s">
        <v>1649</v>
      </c>
      <c r="E1041" s="426" t="s">
        <v>372</v>
      </c>
      <c r="F1041" s="546" t="s">
        <v>1650</v>
      </c>
      <c r="G1041" s="546" t="s">
        <v>1651</v>
      </c>
      <c r="H1041" s="546" t="s">
        <v>1652</v>
      </c>
      <c r="I1041" s="546" t="s">
        <v>1076</v>
      </c>
    </row>
    <row r="1042" spans="3:9" x14ac:dyDescent="0.25">
      <c r="C1042" s="426">
        <v>581</v>
      </c>
      <c r="D1042" s="426" t="s">
        <v>613</v>
      </c>
      <c r="E1042" s="426" t="s">
        <v>372</v>
      </c>
      <c r="F1042" s="546" t="s">
        <v>614</v>
      </c>
      <c r="G1042" s="546" t="s">
        <v>1653</v>
      </c>
      <c r="H1042" s="546" t="s">
        <v>1654</v>
      </c>
      <c r="I1042" s="546" t="s">
        <v>1381</v>
      </c>
    </row>
    <row r="1043" spans="3:9" x14ac:dyDescent="0.25">
      <c r="C1043" s="426">
        <v>582</v>
      </c>
      <c r="D1043" s="426" t="s">
        <v>574</v>
      </c>
      <c r="E1043" s="426" t="s">
        <v>372</v>
      </c>
      <c r="F1043" s="546" t="s">
        <v>575</v>
      </c>
      <c r="G1043" s="546" t="s">
        <v>1656</v>
      </c>
      <c r="H1043" s="546" t="s">
        <v>1657</v>
      </c>
      <c r="I1043" s="546" t="s">
        <v>1076</v>
      </c>
    </row>
    <row r="1044" spans="3:9" x14ac:dyDescent="0.25">
      <c r="C1044" s="426">
        <v>583</v>
      </c>
      <c r="D1044" s="426" t="s">
        <v>1147</v>
      </c>
      <c r="E1044" s="426" t="s">
        <v>372</v>
      </c>
      <c r="F1044" s="546" t="s">
        <v>1148</v>
      </c>
      <c r="G1044" s="546" t="s">
        <v>1149</v>
      </c>
      <c r="H1044" s="546" t="s">
        <v>1659</v>
      </c>
      <c r="I1044" s="546" t="s">
        <v>1381</v>
      </c>
    </row>
    <row r="1045" spans="3:9" x14ac:dyDescent="0.25">
      <c r="C1045" s="426">
        <v>584</v>
      </c>
      <c r="D1045" s="426" t="s">
        <v>947</v>
      </c>
      <c r="E1045" s="426" t="s">
        <v>372</v>
      </c>
      <c r="F1045" s="546" t="s">
        <v>944</v>
      </c>
      <c r="G1045" s="546" t="s">
        <v>1660</v>
      </c>
      <c r="H1045" s="546" t="s">
        <v>1661</v>
      </c>
      <c r="I1045" s="546" t="s">
        <v>1076</v>
      </c>
    </row>
    <row r="1046" spans="3:9" x14ac:dyDescent="0.25">
      <c r="C1046" s="426">
        <v>585</v>
      </c>
      <c r="D1046" s="426" t="s">
        <v>1662</v>
      </c>
      <c r="E1046" s="426" t="s">
        <v>372</v>
      </c>
      <c r="F1046" s="546" t="s">
        <v>1663</v>
      </c>
      <c r="G1046" s="546" t="s">
        <v>1664</v>
      </c>
      <c r="H1046" s="546" t="s">
        <v>1665</v>
      </c>
      <c r="I1046" s="546" t="s">
        <v>1076</v>
      </c>
    </row>
    <row r="1047" spans="3:9" x14ac:dyDescent="0.25">
      <c r="C1047" s="426">
        <v>586</v>
      </c>
      <c r="D1047" s="426" t="s">
        <v>1666</v>
      </c>
      <c r="E1047" s="426" t="s">
        <v>372</v>
      </c>
      <c r="F1047" s="546" t="s">
        <v>1667</v>
      </c>
      <c r="G1047" s="546" t="s">
        <v>1668</v>
      </c>
      <c r="H1047" s="546" t="s">
        <v>1669</v>
      </c>
    </row>
    <row r="1048" spans="3:9" x14ac:dyDescent="0.25">
      <c r="C1048" s="426">
        <v>587</v>
      </c>
      <c r="D1048" s="426" t="s">
        <v>2115</v>
      </c>
      <c r="E1048" s="426" t="s">
        <v>372</v>
      </c>
      <c r="F1048" s="546" t="s">
        <v>1487</v>
      </c>
      <c r="G1048" s="546" t="s">
        <v>1671</v>
      </c>
      <c r="H1048" s="546" t="s">
        <v>1672</v>
      </c>
      <c r="I1048" s="546" t="s">
        <v>1076</v>
      </c>
    </row>
    <row r="1049" spans="3:9" x14ac:dyDescent="0.25">
      <c r="C1049" s="426">
        <v>588</v>
      </c>
      <c r="D1049" s="426" t="s">
        <v>2116</v>
      </c>
      <c r="E1049" s="426" t="s">
        <v>372</v>
      </c>
      <c r="F1049" s="546" t="s">
        <v>1674</v>
      </c>
      <c r="G1049" s="546" t="s">
        <v>1675</v>
      </c>
      <c r="H1049" s="546" t="s">
        <v>1676</v>
      </c>
      <c r="I1049" s="546" t="s">
        <v>1076</v>
      </c>
    </row>
    <row r="1050" spans="3:9" x14ac:dyDescent="0.25">
      <c r="C1050" s="426">
        <v>589</v>
      </c>
      <c r="D1050" s="426" t="s">
        <v>1072</v>
      </c>
      <c r="E1050" s="426" t="s">
        <v>372</v>
      </c>
      <c r="F1050" s="546" t="s">
        <v>1073</v>
      </c>
      <c r="G1050" s="546" t="s">
        <v>1680</v>
      </c>
      <c r="H1050" s="546" t="s">
        <v>1681</v>
      </c>
      <c r="I1050" s="546" t="s">
        <v>1076</v>
      </c>
    </row>
    <row r="1051" spans="3:9" x14ac:dyDescent="0.25">
      <c r="C1051" s="426">
        <v>590</v>
      </c>
      <c r="D1051" s="426" t="s">
        <v>2160</v>
      </c>
      <c r="E1051" s="426" t="s">
        <v>372</v>
      </c>
      <c r="F1051" s="546" t="s">
        <v>1455</v>
      </c>
      <c r="G1051" s="546" t="s">
        <v>1683</v>
      </c>
      <c r="H1051" s="546" t="s">
        <v>1684</v>
      </c>
      <c r="I1051" s="546" t="s">
        <v>1076</v>
      </c>
    </row>
    <row r="1052" spans="3:9" x14ac:dyDescent="0.25">
      <c r="C1052" s="426">
        <v>591</v>
      </c>
      <c r="D1052" s="426" t="s">
        <v>2117</v>
      </c>
      <c r="E1052" s="426" t="s">
        <v>372</v>
      </c>
      <c r="F1052" s="546" t="s">
        <v>1689</v>
      </c>
      <c r="G1052" s="546" t="s">
        <v>1690</v>
      </c>
      <c r="H1052" s="546" t="s">
        <v>1691</v>
      </c>
      <c r="I1052" s="546" t="s">
        <v>1076</v>
      </c>
    </row>
    <row r="1053" spans="3:9" x14ac:dyDescent="0.25">
      <c r="C1053" s="426">
        <v>592</v>
      </c>
      <c r="D1053" s="426" t="s">
        <v>1692</v>
      </c>
      <c r="E1053" s="426" t="s">
        <v>372</v>
      </c>
      <c r="F1053" s="546" t="s">
        <v>1693</v>
      </c>
      <c r="G1053" s="546" t="s">
        <v>1694</v>
      </c>
      <c r="H1053" s="546" t="s">
        <v>1695</v>
      </c>
      <c r="I1053" s="546" t="s">
        <v>1381</v>
      </c>
    </row>
    <row r="1054" spans="3:9" x14ac:dyDescent="0.25">
      <c r="C1054" s="426">
        <v>593</v>
      </c>
      <c r="D1054" s="426" t="s">
        <v>2037</v>
      </c>
      <c r="E1054" s="426" t="s">
        <v>372</v>
      </c>
      <c r="F1054" s="546" t="s">
        <v>1696</v>
      </c>
      <c r="G1054" s="546" t="s">
        <v>1697</v>
      </c>
      <c r="H1054" s="546" t="s">
        <v>1698</v>
      </c>
      <c r="I1054" s="546" t="s">
        <v>1076</v>
      </c>
    </row>
    <row r="1055" spans="3:9" x14ac:dyDescent="0.25">
      <c r="C1055" s="426">
        <v>594</v>
      </c>
      <c r="D1055" s="426" t="s">
        <v>1180</v>
      </c>
      <c r="E1055" s="426" t="s">
        <v>372</v>
      </c>
      <c r="F1055" s="546" t="s">
        <v>1181</v>
      </c>
      <c r="G1055" s="546" t="s">
        <v>1700</v>
      </c>
      <c r="H1055" s="546" t="s">
        <v>1701</v>
      </c>
      <c r="I1055" s="546" t="s">
        <v>1076</v>
      </c>
    </row>
    <row r="1056" spans="3:9" x14ac:dyDescent="0.25">
      <c r="C1056" s="426">
        <v>595</v>
      </c>
      <c r="D1056" s="426" t="s">
        <v>2118</v>
      </c>
      <c r="E1056" s="426" t="s">
        <v>372</v>
      </c>
      <c r="F1056" s="546" t="s">
        <v>1706</v>
      </c>
      <c r="G1056" s="546" t="s">
        <v>1707</v>
      </c>
      <c r="H1056" s="546" t="s">
        <v>662</v>
      </c>
      <c r="I1056" s="546" t="s">
        <v>1076</v>
      </c>
    </row>
    <row r="1057" spans="3:11" x14ac:dyDescent="0.25">
      <c r="C1057" s="426">
        <v>596</v>
      </c>
      <c r="D1057" s="426" t="s">
        <v>1792</v>
      </c>
      <c r="E1057" s="426" t="s">
        <v>372</v>
      </c>
      <c r="F1057" s="546" t="s">
        <v>1709</v>
      </c>
      <c r="G1057" s="546" t="s">
        <v>1710</v>
      </c>
      <c r="H1057" s="546" t="s">
        <v>1711</v>
      </c>
      <c r="I1057" s="546" t="s">
        <v>1381</v>
      </c>
      <c r="J1057" s="426" t="s">
        <v>1381</v>
      </c>
      <c r="K1057" s="426" t="s">
        <v>1381</v>
      </c>
    </row>
    <row r="1059" spans="3:11" x14ac:dyDescent="0.25">
      <c r="C1059" s="426">
        <v>999</v>
      </c>
      <c r="D1059" s="598"/>
      <c r="E1059" s="598" t="s">
        <v>174</v>
      </c>
      <c r="F1059" s="546" t="s">
        <v>533</v>
      </c>
      <c r="G1059" s="546" t="s">
        <v>1302</v>
      </c>
      <c r="H1059" s="546" t="s">
        <v>1303</v>
      </c>
      <c r="I1059" s="546" t="s">
        <v>174</v>
      </c>
      <c r="J1059" s="598" t="s">
        <v>174</v>
      </c>
      <c r="K1059" s="598" t="s">
        <v>174</v>
      </c>
    </row>
  </sheetData>
  <mergeCells count="4">
    <mergeCell ref="C140:D140"/>
    <mergeCell ref="C141:D141"/>
    <mergeCell ref="C80:C91"/>
    <mergeCell ref="D78:D79"/>
  </mergeCells>
  <conditionalFormatting sqref="A1:B1 D1:G1 A2:E2 H2:I2 H7:I9 G9 A11:E12 H12:I12 I10 E6:I6 C202:D202 F202:AF202 A6:B10 E7:E10 C8:D10 A3:I5">
    <cfRule type="notContainsBlanks" dxfId="34" priority="106" stopIfTrue="1">
      <formula>LEN(TRIM(A1))&gt;0</formula>
    </cfRule>
  </conditionalFormatting>
  <conditionalFormatting sqref="C2">
    <cfRule type="containsText" dxfId="33" priority="105" stopIfTrue="1" operator="containsText" text="Placówka Partnerska">
      <formula>NOT(ISERROR(SEARCH("Placówka Partnerska",C2)))</formula>
    </cfRule>
  </conditionalFormatting>
  <conditionalFormatting sqref="C1">
    <cfRule type="notContainsBlanks" dxfId="32" priority="104" stopIfTrue="1">
      <formula>LEN(TRIM(C1))&gt;0</formula>
    </cfRule>
  </conditionalFormatting>
  <conditionalFormatting sqref="F7:G7">
    <cfRule type="notContainsBlanks" dxfId="31" priority="103" stopIfTrue="1">
      <formula>LEN(TRIM(F7))&gt;0</formula>
    </cfRule>
  </conditionalFormatting>
  <conditionalFormatting sqref="H10">
    <cfRule type="notContainsBlanks" dxfId="30" priority="102" stopIfTrue="1">
      <formula>LEN(TRIM(H10))&gt;0</formula>
    </cfRule>
  </conditionalFormatting>
  <conditionalFormatting sqref="F9">
    <cfRule type="notContainsBlanks" dxfId="29" priority="101" stopIfTrue="1">
      <formula>LEN(TRIM(F9))&gt;0</formula>
    </cfRule>
  </conditionalFormatting>
  <conditionalFormatting sqref="I11">
    <cfRule type="notContainsBlanks" dxfId="28" priority="100" stopIfTrue="1">
      <formula>LEN(TRIM(I11))&gt;0</formula>
    </cfRule>
  </conditionalFormatting>
  <conditionalFormatting sqref="H1:I1">
    <cfRule type="notContainsBlanks" dxfId="27" priority="99" stopIfTrue="1">
      <formula>LEN(TRIM(H1))&gt;0</formula>
    </cfRule>
  </conditionalFormatting>
  <conditionalFormatting sqref="F10">
    <cfRule type="notContainsBlanks" dxfId="26" priority="98" stopIfTrue="1">
      <formula>LEN(TRIM(F10))&gt;0</formula>
    </cfRule>
  </conditionalFormatting>
  <conditionalFormatting sqref="F11">
    <cfRule type="notContainsBlanks" dxfId="25" priority="97" stopIfTrue="1">
      <formula>LEN(TRIM(F11))&gt;0</formula>
    </cfRule>
  </conditionalFormatting>
  <conditionalFormatting sqref="G10:G11">
    <cfRule type="notContainsBlanks" dxfId="24" priority="96" stopIfTrue="1">
      <formula>LEN(TRIM(G10))&gt;0</formula>
    </cfRule>
  </conditionalFormatting>
  <conditionalFormatting sqref="D9:D10">
    <cfRule type="cellIs" dxfId="23" priority="95" stopIfTrue="1" operator="equal">
      <formula>0</formula>
    </cfRule>
  </conditionalFormatting>
  <conditionalFormatting sqref="D7">
    <cfRule type="containsText" dxfId="22" priority="50" operator="containsText" text="MOŻESZ DRUKOWAĆ TYLKO REPREZENTATYWNE PRZYKŁADY">
      <formula>NOT(ISERROR(SEARCH("MOŻESZ DRUKOWAĆ TYLKO REPREZENTATYWNE PRZYKŁADY",D7)))</formula>
    </cfRule>
  </conditionalFormatting>
  <conditionalFormatting sqref="AG202">
    <cfRule type="notContainsBlanks" dxfId="21" priority="4" stopIfTrue="1">
      <formula>LEN(TRIM(AG202))&gt;0</formula>
    </cfRule>
  </conditionalFormatting>
  <conditionalFormatting sqref="AH202">
    <cfRule type="notContainsBlanks" dxfId="20" priority="3" stopIfTrue="1">
      <formula>LEN(TRIM(AH202))&gt;0</formula>
    </cfRule>
  </conditionalFormatting>
  <conditionalFormatting sqref="AI202">
    <cfRule type="notContainsBlanks" dxfId="19" priority="2" stopIfTrue="1">
      <formula>LEN(TRIM(AI202))&gt;0</formula>
    </cfRule>
  </conditionalFormatting>
  <conditionalFormatting sqref="AJ202">
    <cfRule type="notContainsBlanks" dxfId="18" priority="1" stopIfTrue="1">
      <formula>LEN(TRIM(AJ202))&gt;0</formula>
    </cfRule>
  </conditionalFormatting>
  <dataValidations count="7">
    <dataValidation type="list" allowBlank="1" showInputMessage="1" showErrorMessage="1" sqref="D1" xr:uid="{00000000-0002-0000-1B00-000000000000}">
      <formula1>$C$599:$C$1059</formula1>
    </dataValidation>
    <dataValidation type="list" allowBlank="1" showInputMessage="1" showErrorMessage="1" sqref="D5" xr:uid="{00000000-0002-0000-1B00-000001000000}">
      <formula1>"1.Oferty dla Klienta,2.Reprezentatywnego Przykładu"</formula1>
    </dataValidation>
    <dataValidation type="list" allowBlank="1" showInputMessage="1" showErrorMessage="1" sqref="I7 Z203:Z221" xr:uid="{00000000-0002-0000-1B00-000002000000}">
      <formula1>"TAK,NIE"</formula1>
    </dataValidation>
    <dataValidation type="list" allowBlank="1" showInputMessage="1" showErrorMessage="1" sqref="I2 F204:F219" xr:uid="{00000000-0002-0000-1B00-000003000000}">
      <formula1>"Stałe,Zmienne"</formula1>
    </dataValidation>
    <dataValidation type="list" allowBlank="1" showInputMessage="1" showErrorMessage="1" sqref="I4:I5 Q204:Q219 U204:U219" xr:uid="{00000000-0002-0000-1B00-000004000000}">
      <formula1>"TAK,NIE,NieDotyczy"</formula1>
    </dataValidation>
    <dataValidation type="list" allowBlank="1" showInputMessage="1" showErrorMessage="1" sqref="C203" xr:uid="{00000000-0002-0000-1B00-000005000000}">
      <formula1>"1.Oferty dla Klienta"</formula1>
    </dataValidation>
    <dataValidation type="list" allowBlank="1" showInputMessage="1" showErrorMessage="1" sqref="C204:C221" xr:uid="{00000000-0002-0000-1B00-000006000000}">
      <formula1>"2.Reprezentatywnego Przykładu"</formula1>
    </dataValidation>
  </dataValidations>
  <hyperlinks>
    <hyperlink ref="D37" r:id="rId1" xr:uid="{00000000-0004-0000-1B00-000000000000}"/>
  </hyperlinks>
  <printOptions horizontalCentered="1"/>
  <pageMargins left="0.47244094488188981" right="0.39370078740157483" top="0.78740157480314965" bottom="0.78740157480314965" header="0" footer="0.31496062992125984"/>
  <pageSetup paperSize="9" scale="76" fitToHeight="0" orientation="portrait" blackAndWhite="1" r:id="rId2"/>
  <headerFooter>
    <oddFooter>&amp;CStrona &amp;P z &amp;N</oddFooter>
  </headerFooter>
  <rowBreaks count="3" manualBreakCount="3">
    <brk id="74" min="2" max="3" man="1"/>
    <brk id="102" min="2" max="3" man="1"/>
    <brk id="137" min="2" max="3" man="1"/>
  </rowBreaks>
  <drawing r:id="rId3"/>
  <legacyDrawing r:id="rId4"/>
  <mc:AlternateContent xmlns:mc="http://schemas.openxmlformats.org/markup-compatibility/2006">
    <mc:Choice Requires="x14">
      <controls>
        <mc:AlternateContent xmlns:mc="http://schemas.openxmlformats.org/markup-compatibility/2006">
          <mc:Choice Requires="x14">
            <control shapeId="23586" r:id="rId5" name="Button 34">
              <controlPr defaultSize="0" print="0" autoFill="0" autoPict="0" macro="[0]!PRZYCISKPowrotDoGlownegoARK" altText="POWRÓT">
                <anchor moveWithCells="1" sizeWithCells="1">
                  <from>
                    <xdr:col>3</xdr:col>
                    <xdr:colOff>850900</xdr:colOff>
                    <xdr:row>8</xdr:row>
                    <xdr:rowOff>146050</xdr:rowOff>
                  </from>
                  <to>
                    <xdr:col>3</xdr:col>
                    <xdr:colOff>3041650</xdr:colOff>
                    <xdr:row>11</xdr:row>
                    <xdr:rowOff>171450</xdr:rowOff>
                  </to>
                </anchor>
              </controlPr>
            </control>
          </mc:Choice>
        </mc:AlternateContent>
        <mc:AlternateContent xmlns:mc="http://schemas.openxmlformats.org/markup-compatibility/2006">
          <mc:Choice Requires="x14">
            <control shapeId="23590" r:id="rId6" name="Button 38">
              <controlPr defaultSize="0" print="0" autoFill="0" autoPict="0" macro="[0]!PrzyciskArkFormularzWydruk">
                <anchor moveWithCells="1" sizeWithCells="1">
                  <from>
                    <xdr:col>2</xdr:col>
                    <xdr:colOff>323850</xdr:colOff>
                    <xdr:row>8</xdr:row>
                    <xdr:rowOff>152400</xdr:rowOff>
                  </from>
                  <to>
                    <xdr:col>3</xdr:col>
                    <xdr:colOff>133350</xdr:colOff>
                    <xdr:row>12</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Arkusz32">
    <pageSetUpPr fitToPage="1"/>
  </sheetPr>
  <dimension ref="A2:D175"/>
  <sheetViews>
    <sheetView topLeftCell="A145" zoomScaleNormal="100" workbookViewId="0">
      <selection activeCell="C145" sqref="C145"/>
    </sheetView>
  </sheetViews>
  <sheetFormatPr defaultRowHeight="12.5" x14ac:dyDescent="0.25"/>
  <cols>
    <col min="1" max="1" width="38.453125" customWidth="1"/>
    <col min="2" max="2" width="83.1796875" customWidth="1"/>
  </cols>
  <sheetData>
    <row r="2" spans="1:2" x14ac:dyDescent="0.25">
      <c r="A2" s="1809"/>
      <c r="B2" s="1809"/>
    </row>
    <row r="3" spans="1:2" ht="151.5" customHeight="1" x14ac:dyDescent="0.4">
      <c r="A3" s="1810"/>
      <c r="B3" s="1823" t="s">
        <v>2319</v>
      </c>
    </row>
    <row r="4" spans="1:2" ht="16" x14ac:dyDescent="0.25">
      <c r="A4" s="1959" t="s">
        <v>219</v>
      </c>
      <c r="B4" s="1959"/>
    </row>
    <row r="5" spans="1:2" ht="21" customHeight="1" x14ac:dyDescent="0.25">
      <c r="A5" s="1818" t="s">
        <v>2265</v>
      </c>
      <c r="B5" s="1819" t="s">
        <v>221</v>
      </c>
    </row>
    <row r="6" spans="1:2" ht="41.15" customHeight="1" x14ac:dyDescent="0.25">
      <c r="A6" s="1827"/>
      <c r="B6" s="1863" t="s">
        <v>2320</v>
      </c>
    </row>
    <row r="7" spans="1:2" ht="21" customHeight="1" x14ac:dyDescent="0.25">
      <c r="A7" s="1827"/>
      <c r="B7" s="1820" t="s">
        <v>2321</v>
      </c>
    </row>
    <row r="8" spans="1:2" ht="29.15" customHeight="1" x14ac:dyDescent="0.25">
      <c r="A8" s="1827"/>
      <c r="B8" s="1863" t="s">
        <v>2322</v>
      </c>
    </row>
    <row r="9" spans="1:2" ht="18" customHeight="1" x14ac:dyDescent="0.25">
      <c r="A9" s="1828" t="s">
        <v>320</v>
      </c>
      <c r="B9" s="1828" t="s">
        <v>2323</v>
      </c>
    </row>
    <row r="10" spans="1:2" ht="18" customHeight="1" x14ac:dyDescent="0.25">
      <c r="A10" s="1804" t="s">
        <v>238</v>
      </c>
      <c r="B10" s="1804" t="s">
        <v>241</v>
      </c>
    </row>
    <row r="11" spans="1:2" ht="18" customHeight="1" x14ac:dyDescent="0.25">
      <c r="A11" s="1804" t="s">
        <v>240</v>
      </c>
      <c r="B11" s="1804"/>
    </row>
    <row r="12" spans="1:2" ht="31" customHeight="1" x14ac:dyDescent="0.25">
      <c r="A12" s="1806" t="s">
        <v>242</v>
      </c>
      <c r="B12" s="1861" t="s">
        <v>2419</v>
      </c>
    </row>
    <row r="13" spans="1:2" ht="31" customHeight="1" x14ac:dyDescent="0.25">
      <c r="A13" s="1802" t="s">
        <v>243</v>
      </c>
      <c r="B13" s="1815" t="s">
        <v>2324</v>
      </c>
    </row>
    <row r="14" spans="1:2" ht="55" customHeight="1" x14ac:dyDescent="0.25">
      <c r="A14" s="1806" t="s">
        <v>244</v>
      </c>
      <c r="B14" s="1860" t="s">
        <v>2418</v>
      </c>
    </row>
    <row r="15" spans="1:2" ht="21" customHeight="1" x14ac:dyDescent="0.25">
      <c r="A15" s="1818" t="s">
        <v>2325</v>
      </c>
      <c r="B15" s="1819" t="s">
        <v>247</v>
      </c>
    </row>
    <row r="16" spans="1:2" ht="18" customHeight="1" x14ac:dyDescent="0.25">
      <c r="A16" s="1804"/>
      <c r="B16" s="1864" t="s">
        <v>2263</v>
      </c>
    </row>
    <row r="17" spans="1:4" ht="18" customHeight="1" x14ac:dyDescent="0.25">
      <c r="A17" s="1804"/>
      <c r="B17" s="1804">
        <f>nazwa_posrednika</f>
        <v>0</v>
      </c>
    </row>
    <row r="18" spans="1:4" ht="21" customHeight="1" x14ac:dyDescent="0.25">
      <c r="A18" s="1804"/>
      <c r="B18" s="1819" t="s">
        <v>2321</v>
      </c>
    </row>
    <row r="19" spans="1:4" ht="18" customHeight="1" x14ac:dyDescent="0.25">
      <c r="A19" s="1804"/>
      <c r="B19" s="1804">
        <f>adres_siedziby_posrednika</f>
        <v>0</v>
      </c>
    </row>
    <row r="20" spans="1:4" ht="18" customHeight="1" x14ac:dyDescent="0.25">
      <c r="A20" s="1814" t="s">
        <v>251</v>
      </c>
      <c r="B20" s="1814" t="str">
        <f>nazwa_posrednika&amp;", "&amp;adres_siedziby_posrednika</f>
        <v xml:space="preserve">, </v>
      </c>
    </row>
    <row r="21" spans="1:4" ht="31" customHeight="1" x14ac:dyDescent="0.25">
      <c r="A21" s="1802" t="s">
        <v>252</v>
      </c>
      <c r="B21" s="1804" t="str">
        <f>IF(FRodzajPlacowki="Placówka Partnerska",#REF!,"-")</f>
        <v>-</v>
      </c>
    </row>
    <row r="22" spans="1:4" ht="31" customHeight="1" x14ac:dyDescent="0.25">
      <c r="A22" s="1806" t="s">
        <v>243</v>
      </c>
      <c r="B22" s="1814" t="str">
        <f>IF(FRodzajPlacowki="Placówka Partnerska",#REF!,"-")</f>
        <v>-</v>
      </c>
    </row>
    <row r="23" spans="1:4" ht="31" customHeight="1" x14ac:dyDescent="0.25">
      <c r="A23" s="1802" t="s">
        <v>242</v>
      </c>
      <c r="B23" s="1804" t="str">
        <f>IF(FRodzajPlacowki="Placówka Partnerska",B1,"-")</f>
        <v>-</v>
      </c>
    </row>
    <row r="24" spans="1:4" ht="31" customHeight="1" x14ac:dyDescent="0.25">
      <c r="A24" s="1966" t="s">
        <v>244</v>
      </c>
      <c r="B24" s="1806" t="s">
        <v>2420</v>
      </c>
    </row>
    <row r="25" spans="1:4" ht="18" customHeight="1" x14ac:dyDescent="0.25">
      <c r="A25" s="1966"/>
      <c r="B25" s="1806">
        <f>WERSJA2!D34</f>
        <v>0</v>
      </c>
    </row>
    <row r="26" spans="1:4" ht="21" customHeight="1" x14ac:dyDescent="0.25">
      <c r="A26" s="1960" t="s">
        <v>253</v>
      </c>
      <c r="B26" s="1960"/>
    </row>
    <row r="27" spans="1:4" ht="21" customHeight="1" x14ac:dyDescent="0.25">
      <c r="A27" s="1818" t="s">
        <v>254</v>
      </c>
      <c r="B27" s="1804" t="s">
        <v>255</v>
      </c>
    </row>
    <row r="28" spans="1:4" ht="47.15" customHeight="1" x14ac:dyDescent="0.25">
      <c r="A28" s="1806" t="s">
        <v>2365</v>
      </c>
      <c r="B28" s="1862" t="str">
        <f>IF(prowizja_kredytowana=TRUE,
"Całkowita kwota pożyczki: "&amp;FIXED(KwNaReke,2,FALSE) &amp;" - kwota ta nie uwzględnia kredytowanej prowizji za udzielenie pożyczki. ","Całkowita kwota pożyczki: "&amp;FIXED(KwNaReke,2,FALSE)&amp;" zł")</f>
        <v>Całkowita kwota pożyczki: 31 000,00 zł</v>
      </c>
    </row>
    <row r="29" spans="1:4" ht="53.15" customHeight="1" x14ac:dyDescent="0.25">
      <c r="A29" s="1802" t="s">
        <v>2366</v>
      </c>
      <c r="B29" s="1864" t="str">
        <f>"Kwota pożyczki "&amp;IF(prowizja_kredytowana=FALSE,"(równa całkowitej kwocie pożyczki)","(równa całkowitej kwocie pożyczki wraz z kwotą kredytowanej prowizji)")&amp;" w wysokości "&amp;IF(prowizja_kredytowana=TRUE,
FIXED(WERSJA2!J15,2,FALSE),FIXED(KwNaReke,2,FALSE)) &amp;" zostanie wypłacona na rachunek do spłaty rat do 4 dni od daty zawarcia Umowy"&amp;". 
Ewentualne dyspozycje Pożyczkobiorcy dotyczące wykorzystania pożyczki, wskazane w Umowie, zostaną wykonane przez Bank najpóźniej w następnym dniu roboczym po wypłacie pożyczki."</f>
        <v>Kwota pożyczki (równa całkowitej kwocie pożyczki wraz z kwotą kredytowanej prowizji) w wysokości 31 000,00 zostanie wypłacona na rachunek do spłaty rat do 4 dni od daty zawarcia Umowy. 
Ewentualne dyspozycje Pożyczkobiorcy dotyczące wykorzystania pożyczki, wskazane w Umowie, zostaną wykonane przez Bank najpóźniej w następnym dniu roboczym po wypłacie pożyczki.</v>
      </c>
      <c r="D29" s="609"/>
    </row>
    <row r="30" spans="1:4" ht="21" customHeight="1" x14ac:dyDescent="0.25">
      <c r="A30" s="1829" t="s">
        <v>258</v>
      </c>
      <c r="B30" s="1865" t="str">
        <f ca="1">"Od "&amp;TEXT(FORMULARZ!G6, "dd-mm-rrrr")&amp;" do "&amp;TEXT(FORMULARZ!G7, "dd-mm-rrrr")</f>
        <v>Od 26-06-2026 do 26-06-2030</v>
      </c>
    </row>
    <row r="31" spans="1:4" ht="21" customHeight="1" x14ac:dyDescent="0.25">
      <c r="A31" s="1818" t="s">
        <v>259</v>
      </c>
      <c r="B31" s="1816" t="s">
        <v>2326</v>
      </c>
    </row>
    <row r="32" spans="1:4" ht="18" customHeight="1" x14ac:dyDescent="0.25">
      <c r="A32" s="1804"/>
      <c r="B32" s="1864" t="s">
        <v>2327</v>
      </c>
    </row>
    <row r="33" spans="1:2" ht="19.5" customHeight="1" x14ac:dyDescent="0.25">
      <c r="A33" s="1804"/>
      <c r="B33" s="1817" t="s">
        <v>2328</v>
      </c>
    </row>
    <row r="34" spans="1:2" ht="41.15" customHeight="1" x14ac:dyDescent="0.25">
      <c r="A34" s="1804"/>
      <c r="B34" s="1864" t="str">
        <f ca="1">FORMULARZ!D55</f>
        <v>Liczba miesięcznych rat: 
- 47 rat/y równych/e w wysokości 764,10 zł,  płatnych/e każdego 26-go dnia każdego miesiąca
- ostatnia 48 rata w wysokości 764,00 zł, płatna 26-06-2030r.</v>
      </c>
    </row>
    <row r="35" spans="1:2" ht="19.5" customHeight="1" x14ac:dyDescent="0.25">
      <c r="A35" s="1804"/>
      <c r="B35" s="1817" t="s">
        <v>2331</v>
      </c>
    </row>
    <row r="36" spans="1:2" ht="18" customHeight="1" x14ac:dyDescent="0.25">
      <c r="A36" s="1804"/>
      <c r="B36" s="1866" t="s">
        <v>2416</v>
      </c>
    </row>
    <row r="37" spans="1:2" ht="18" customHeight="1" x14ac:dyDescent="0.25">
      <c r="A37" s="1804"/>
      <c r="B37" s="1802"/>
    </row>
    <row r="38" spans="1:2" ht="29.15" customHeight="1" x14ac:dyDescent="0.25">
      <c r="A38" s="1804"/>
      <c r="B38" s="1864" t="s">
        <v>2332</v>
      </c>
    </row>
    <row r="39" spans="1:2" ht="18" customHeight="1" x14ac:dyDescent="0.25">
      <c r="A39" s="1804"/>
      <c r="B39" s="1867" t="s">
        <v>2432</v>
      </c>
    </row>
    <row r="40" spans="1:2" ht="18" customHeight="1" x14ac:dyDescent="0.25">
      <c r="A40" s="1804"/>
      <c r="B40" s="1867" t="s">
        <v>2433</v>
      </c>
    </row>
    <row r="41" spans="1:2" ht="18" customHeight="1" x14ac:dyDescent="0.25">
      <c r="A41" s="1804"/>
      <c r="B41" s="1868" t="s">
        <v>2434</v>
      </c>
    </row>
    <row r="42" spans="1:2" ht="18" customHeight="1" x14ac:dyDescent="0.25">
      <c r="A42" s="1804"/>
      <c r="B42" s="1868" t="s">
        <v>2435</v>
      </c>
    </row>
    <row r="43" spans="1:2" ht="18" customHeight="1" x14ac:dyDescent="0.25">
      <c r="A43" s="1804"/>
      <c r="B43" s="1868" t="s">
        <v>2436</v>
      </c>
    </row>
    <row r="44" spans="1:2" ht="18" customHeight="1" x14ac:dyDescent="0.25">
      <c r="A44" s="1804"/>
      <c r="B44" s="1864" t="s">
        <v>2437</v>
      </c>
    </row>
    <row r="45" spans="1:2" ht="18" customHeight="1" x14ac:dyDescent="0.25">
      <c r="A45" s="1804"/>
      <c r="B45" s="1868" t="s">
        <v>2333</v>
      </c>
    </row>
    <row r="46" spans="1:2" ht="18" customHeight="1" x14ac:dyDescent="0.25">
      <c r="A46" s="1804"/>
      <c r="B46" s="1868" t="s">
        <v>270</v>
      </c>
    </row>
    <row r="47" spans="1:2" ht="102" customHeight="1" x14ac:dyDescent="0.25">
      <c r="A47" s="1806" t="s">
        <v>2367</v>
      </c>
      <c r="B47" s="1862" t="str">
        <f ca="1">"(suma całkowitego kosztu kredytu i całkowitej kwoty kredytu)
"
&amp;FIXED(FORMULARZ!I9,2,FALSE)&amp;" zł"</f>
        <v>(suma całkowitego kosztu kredytu i całkowitej kwoty kredytu)
36 676,70 zł</v>
      </c>
    </row>
    <row r="48" spans="1:2" ht="63" customHeight="1" x14ac:dyDescent="0.25">
      <c r="A48" s="1802" t="s">
        <v>2368</v>
      </c>
      <c r="B48" s="1804" t="s">
        <v>2334</v>
      </c>
    </row>
    <row r="49" spans="1:2" ht="91.5" customHeight="1" x14ac:dyDescent="0.25">
      <c r="A49" s="1806" t="s">
        <v>2369</v>
      </c>
      <c r="B49" s="1821" t="s">
        <v>2438</v>
      </c>
    </row>
    <row r="50" spans="1:2" ht="69" customHeight="1" x14ac:dyDescent="0.25">
      <c r="A50" s="1822" t="s">
        <v>276</v>
      </c>
      <c r="B50" s="1804" t="s">
        <v>2334</v>
      </c>
    </row>
    <row r="51" spans="1:2" ht="135" customHeight="1" x14ac:dyDescent="0.25">
      <c r="A51" s="1802" t="s">
        <v>2335</v>
      </c>
      <c r="B51" s="1804"/>
    </row>
    <row r="52" spans="1:2" ht="21" customHeight="1" x14ac:dyDescent="0.25">
      <c r="A52" s="1961" t="s">
        <v>278</v>
      </c>
      <c r="B52" s="1961"/>
    </row>
    <row r="53" spans="1:2" ht="37" customHeight="1" x14ac:dyDescent="0.35">
      <c r="A53" s="1822" t="s">
        <v>2337</v>
      </c>
      <c r="B53" s="1833" t="s">
        <v>2336</v>
      </c>
    </row>
    <row r="54" spans="1:2" ht="19.5" customHeight="1" x14ac:dyDescent="0.25">
      <c r="A54" s="1805"/>
      <c r="B54" s="1955" t="str">
        <f ca="1">IF(FORMULARZ!I2="stałe",FORMULARZ!D549,FORMULARZ!D550)</f>
        <v>8,49% w stosunku rocznym. 
Składniki oprocentowania: 
a) 3,75% - stopa referencyjna
b) 4,74% stała marża Banku.</v>
      </c>
    </row>
    <row r="55" spans="1:2" ht="19.5" customHeight="1" x14ac:dyDescent="0.25">
      <c r="A55" s="1805"/>
      <c r="B55" s="1955"/>
    </row>
    <row r="56" spans="1:2" ht="19.5" customHeight="1" x14ac:dyDescent="0.25">
      <c r="A56" s="1805"/>
      <c r="B56" s="1955"/>
    </row>
    <row r="57" spans="1:2" ht="19.5" customHeight="1" x14ac:dyDescent="0.25">
      <c r="A57" s="1805"/>
      <c r="B57" s="1955"/>
    </row>
    <row r="58" spans="1:2" ht="19.5" customHeight="1" x14ac:dyDescent="0.25">
      <c r="A58" s="1805"/>
      <c r="B58" s="1955"/>
    </row>
    <row r="59" spans="1:2" ht="19.5" customHeight="1" x14ac:dyDescent="0.25">
      <c r="A59" s="1805"/>
      <c r="B59" s="1955"/>
    </row>
    <row r="60" spans="1:2" ht="19.5" customHeight="1" x14ac:dyDescent="0.25">
      <c r="A60" s="1805"/>
      <c r="B60" s="1955"/>
    </row>
    <row r="61" spans="1:2" ht="19.5" customHeight="1" x14ac:dyDescent="0.25">
      <c r="A61" s="1805"/>
      <c r="B61" s="1955"/>
    </row>
    <row r="62" spans="1:2" ht="19.5" customHeight="1" x14ac:dyDescent="0.25">
      <c r="A62" s="1805"/>
      <c r="B62" s="1955"/>
    </row>
    <row r="63" spans="1:2" ht="19.5" customHeight="1" x14ac:dyDescent="0.25">
      <c r="A63" s="1805"/>
      <c r="B63" s="1955"/>
    </row>
    <row r="64" spans="1:2" ht="19.5" customHeight="1" x14ac:dyDescent="0.25">
      <c r="A64" s="1805"/>
      <c r="B64" s="1955"/>
    </row>
    <row r="65" spans="1:2" ht="19.5" customHeight="1" x14ac:dyDescent="0.25">
      <c r="A65" s="1805"/>
      <c r="B65" s="1955"/>
    </row>
    <row r="66" spans="1:2" ht="19.5" customHeight="1" x14ac:dyDescent="0.25">
      <c r="A66" s="1805"/>
      <c r="B66" s="1956" t="str">
        <f ca="1">IF(FORMULARZ!I2="stałe","",FORMULARZ!D551)</f>
        <v>Wysokość oprocentowania pożyczki może się zmienić w okresie obowiązywania Umowy. Może to wystąpić, jeżeli zmieni się wysokość stopy referencyjnej. Zmiana wysokości stopy referencyjnej spowoduje zmianę wysokości oprocentowania pożyczki o taką liczbę punktów procentowych, o jaką zmieniona została stopa referencyjna. Zmiana ta nastąpi w dniu wejścia w życie nowej wartości stopy referencyjnej. Jeśli stopa referencyjna przyjmie wartość '0' (zero) lub ujemną – oprocentowanie pożyczki będzie równe marży Banku. Zmiana oprocentowania pożyczki wywołana zmianą stopy referencyjnej nie wymaga aneksu ani wypowiedzenia Umowy. O zmianie stopy referencyjnej Bank poinformuje komunikatem w oddziałach Banku oraz na stronie www.ing.pl.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lub większa od oprocentowania określonego w Umowie.</v>
      </c>
    </row>
    <row r="67" spans="1:2" ht="19.5" customHeight="1" x14ac:dyDescent="0.25">
      <c r="A67" s="1805"/>
      <c r="B67" s="1956"/>
    </row>
    <row r="68" spans="1:2" ht="19.5" customHeight="1" x14ac:dyDescent="0.25">
      <c r="A68" s="1805"/>
      <c r="B68" s="1956"/>
    </row>
    <row r="69" spans="1:2" ht="19.5" customHeight="1" x14ac:dyDescent="0.25">
      <c r="A69" s="1805"/>
      <c r="B69" s="1956"/>
    </row>
    <row r="70" spans="1:2" ht="19.5" customHeight="1" x14ac:dyDescent="0.25">
      <c r="A70" s="1805"/>
      <c r="B70" s="1956"/>
    </row>
    <row r="71" spans="1:2" ht="19.5" customHeight="1" x14ac:dyDescent="0.25">
      <c r="A71" s="1805"/>
      <c r="B71" s="1956"/>
    </row>
    <row r="72" spans="1:2" ht="19.5" customHeight="1" x14ac:dyDescent="0.25">
      <c r="A72" s="1805"/>
      <c r="B72" s="1956"/>
    </row>
    <row r="73" spans="1:2" ht="19.5" customHeight="1" x14ac:dyDescent="0.25">
      <c r="A73" s="1805"/>
      <c r="B73" s="1956"/>
    </row>
    <row r="74" spans="1:2" ht="19.5" customHeight="1" x14ac:dyDescent="0.25">
      <c r="A74" s="1805"/>
      <c r="B74" s="1956"/>
    </row>
    <row r="75" spans="1:2" ht="19.5" customHeight="1" x14ac:dyDescent="0.25">
      <c r="A75" s="1805"/>
      <c r="B75" s="1956"/>
    </row>
    <row r="76" spans="1:2" ht="19.5" customHeight="1" x14ac:dyDescent="0.25">
      <c r="A76" s="1805"/>
      <c r="B76" s="1956"/>
    </row>
    <row r="77" spans="1:2" ht="19.5" customHeight="1" x14ac:dyDescent="0.25">
      <c r="A77" s="1805"/>
      <c r="B77" s="1956"/>
    </row>
    <row r="78" spans="1:2" ht="18" customHeight="1" x14ac:dyDescent="0.25">
      <c r="A78" s="1804"/>
      <c r="B78" s="1967" t="str">
        <f ca="1">FORMULARZ!D78</f>
        <v xml:space="preserve">– stopa stała lub zmienna z podaniem stopy referencyjnej mającej zastosowanie do pierwotnej stopy oprocentowania:                                                                                                                                                              W dniu 26-06-2026 stopa referencyjna uchwalona przez Radę Polityki Pieniężnej wynosi 3,75%.
- wszystkie stosowane stopy procentowe w czasie obowiązywania umowy:
Jeżeli zmienna stopa - w okresach, w których stopa referencyjna NBP przymuje wartość ujemną, oprocentowanie będzie równe stałej marży Banku.
Jeżeli stała stopa  - umowa nie przewiduje stosowanie różnych stóp oprocentowania w różnych okresach jej obowiązywania. </v>
      </c>
    </row>
    <row r="79" spans="1:2" ht="18" customHeight="1" x14ac:dyDescent="0.25">
      <c r="A79" s="1804"/>
      <c r="B79" s="1967"/>
    </row>
    <row r="80" spans="1:2" ht="18" customHeight="1" x14ac:dyDescent="0.25">
      <c r="A80" s="1804"/>
      <c r="B80" s="1967"/>
    </row>
    <row r="81" spans="1:2" ht="18" customHeight="1" x14ac:dyDescent="0.25">
      <c r="A81" s="1804"/>
      <c r="B81" s="1967"/>
    </row>
    <row r="82" spans="1:2" ht="18" customHeight="1" x14ac:dyDescent="0.25">
      <c r="A82" s="1804"/>
      <c r="B82" s="1967"/>
    </row>
    <row r="83" spans="1:2" ht="18" customHeight="1" x14ac:dyDescent="0.25">
      <c r="A83" s="1804"/>
      <c r="B83" s="1967"/>
    </row>
    <row r="84" spans="1:2" ht="18" customHeight="1" x14ac:dyDescent="0.25">
      <c r="A84" s="1804"/>
      <c r="B84" s="1967"/>
    </row>
    <row r="85" spans="1:2" ht="18" customHeight="1" x14ac:dyDescent="0.25">
      <c r="A85" s="1804"/>
      <c r="B85" s="1967"/>
    </row>
    <row r="86" spans="1:2" ht="18" customHeight="1" x14ac:dyDescent="0.25">
      <c r="A86" s="1804"/>
      <c r="B86" s="1967"/>
    </row>
    <row r="87" spans="1:2" ht="18" customHeight="1" x14ac:dyDescent="0.25">
      <c r="A87" s="1804"/>
      <c r="B87" s="1967"/>
    </row>
    <row r="88" spans="1:2" ht="18" customHeight="1" x14ac:dyDescent="0.25">
      <c r="A88" s="1804"/>
      <c r="B88" s="1967"/>
    </row>
    <row r="89" spans="1:2" ht="18" customHeight="1" x14ac:dyDescent="0.25">
      <c r="A89" s="1804"/>
      <c r="B89" s="1967"/>
    </row>
    <row r="90" spans="1:2" ht="18" customHeight="1" x14ac:dyDescent="0.25">
      <c r="A90" s="1804"/>
      <c r="B90" s="1967"/>
    </row>
    <row r="91" spans="1:2" ht="18" customHeight="1" x14ac:dyDescent="0.25">
      <c r="A91" s="1804"/>
      <c r="B91" s="1967"/>
    </row>
    <row r="92" spans="1:2" ht="18" customHeight="1" x14ac:dyDescent="0.25">
      <c r="A92" s="1804"/>
      <c r="B92" s="1967"/>
    </row>
    <row r="93" spans="1:2" ht="18" customHeight="1" x14ac:dyDescent="0.25">
      <c r="A93" s="1804"/>
      <c r="B93" s="1967"/>
    </row>
    <row r="94" spans="1:2" ht="18" customHeight="1" x14ac:dyDescent="0.25">
      <c r="A94" s="1804"/>
      <c r="B94" s="1967"/>
    </row>
    <row r="95" spans="1:2" ht="18" customHeight="1" x14ac:dyDescent="0.25">
      <c r="A95" s="1804"/>
      <c r="B95" s="1967"/>
    </row>
    <row r="96" spans="1:2" ht="18" customHeight="1" x14ac:dyDescent="0.25">
      <c r="A96" s="1804"/>
      <c r="B96" s="1967"/>
    </row>
    <row r="97" spans="1:4" ht="18" customHeight="1" x14ac:dyDescent="0.25">
      <c r="A97" s="1804"/>
      <c r="B97" s="1967"/>
    </row>
    <row r="98" spans="1:4" ht="37" customHeight="1" x14ac:dyDescent="0.35">
      <c r="A98" s="1824" t="s">
        <v>2339</v>
      </c>
      <c r="B98" s="1832" t="str">
        <f ca="1">"– rzeczywista roczna stopa oprocentowania: "&amp;FIXED(100*FWartRRSO,2,FALSE)&amp;"%."</f>
        <v>– rzeczywista roczna stopa oprocentowania: 8,24%.</v>
      </c>
    </row>
    <row r="99" spans="1:4" ht="19.5" customHeight="1" x14ac:dyDescent="0.25">
      <c r="A99" s="1962" t="s">
        <v>2338</v>
      </c>
      <c r="B99" s="1831" t="s">
        <v>2340</v>
      </c>
    </row>
    <row r="100" spans="1:4" ht="44.15" customHeight="1" x14ac:dyDescent="0.25">
      <c r="A100" s="1962"/>
      <c r="B100" s="1806" t="s">
        <v>2421</v>
      </c>
    </row>
    <row r="101" spans="1:4" ht="19.5" customHeight="1" x14ac:dyDescent="0.3">
      <c r="A101" s="1962"/>
      <c r="B101" s="1807" t="s">
        <v>283</v>
      </c>
      <c r="C101" s="1800"/>
    </row>
    <row r="102" spans="1:4" ht="29.15" customHeight="1" x14ac:dyDescent="0.25">
      <c r="A102" s="1962"/>
      <c r="B102" s="1862" t="s">
        <v>2341</v>
      </c>
      <c r="D102" s="609"/>
    </row>
    <row r="103" spans="1:4" ht="17.5" customHeight="1" x14ac:dyDescent="0.25">
      <c r="A103" s="1962"/>
      <c r="B103" s="1869" t="s">
        <v>2342</v>
      </c>
    </row>
    <row r="104" spans="1:4" ht="29.15" customHeight="1" x14ac:dyDescent="0.3">
      <c r="A104" s="1962"/>
      <c r="B104" s="1862" t="str">
        <f ca="1">"3. Bank wypłaci Kwotę pożyczki w dniu "&amp;TEXT(FORMULARZ!N200, "dd-mm-rrrr")&amp;", a Pożyczkobiorca będzie ją spłacał zgodnie ze wskazanymi w Formularzu Zasadami i terminami spłaty kredytu;"</f>
        <v>3. Bank wypłaci Kwotę pożyczki w dniu 26-06-2026, a Pożyczkobiorca będzie ją spłacał zgodnie ze wskazanymi w Formularzu Zasadami i terminami spłaty kredytu;</v>
      </c>
      <c r="C104" s="1800"/>
    </row>
    <row r="105" spans="1:4" ht="29.15" customHeight="1" x14ac:dyDescent="0.25">
      <c r="A105" s="1962"/>
      <c r="B105" s="1862" t="s">
        <v>2343</v>
      </c>
    </row>
    <row r="106" spans="1:4" ht="41.15" customHeight="1" x14ac:dyDescent="0.25">
      <c r="A106" s="1806"/>
      <c r="B106" s="1862" t="s">
        <v>2429</v>
      </c>
    </row>
    <row r="107" spans="1:4" ht="41.15" customHeight="1" x14ac:dyDescent="0.25">
      <c r="A107" s="1814"/>
      <c r="B107" s="1862" t="str">
        <f>FORMULARZ!D555</f>
        <v>6.  prowizja za udzielenie pożyczki zostanie pobrana w dniu jej wypłaty;
7. wysokość oprocentowania, opłat i prowizji, która obowiązuje w dniu zawarcia Umowy, nie zmieni się w trakcie jej obowiązywania.</v>
      </c>
    </row>
    <row r="108" spans="1:4" ht="37" customHeight="1" x14ac:dyDescent="0.25">
      <c r="A108" s="1822" t="s">
        <v>2349</v>
      </c>
      <c r="B108" s="1805" t="s">
        <v>1750</v>
      </c>
    </row>
    <row r="109" spans="1:4" ht="17.5" customHeight="1" x14ac:dyDescent="0.25">
      <c r="A109" s="1958" t="s">
        <v>174</v>
      </c>
      <c r="B109" s="1864" t="str">
        <f>IF(WERSJA2!D4="Z UBEZPIECZENIEM ","Tak","Nie")</f>
        <v>Nie</v>
      </c>
    </row>
    <row r="110" spans="1:4" ht="19.5" customHeight="1" x14ac:dyDescent="0.25">
      <c r="A110" s="1958"/>
      <c r="B110" s="1805" t="s">
        <v>292</v>
      </c>
    </row>
    <row r="111" spans="1:4" ht="17.5" customHeight="1" x14ac:dyDescent="0.25">
      <c r="A111" s="1958"/>
      <c r="B111" s="1956" t="str">
        <f>IF(WERSJA2!D4="Z ubezpieczeniem ",IF(FORMULARZ!AI200="Pakiet Złoty",FORMULARZ!D534,FORMULARZ!D535),FORMULARZ!D536)</f>
        <v>Nie dotyczy</v>
      </c>
    </row>
    <row r="112" spans="1:4" ht="17.5" customHeight="1" x14ac:dyDescent="0.25">
      <c r="A112" s="1958"/>
      <c r="B112" s="1956"/>
    </row>
    <row r="113" spans="1:2" ht="17.5" customHeight="1" x14ac:dyDescent="0.25">
      <c r="A113" s="1958"/>
      <c r="B113" s="1956"/>
    </row>
    <row r="114" spans="1:2" ht="17.5" customHeight="1" x14ac:dyDescent="0.25">
      <c r="A114" s="1958"/>
      <c r="B114" s="1956"/>
    </row>
    <row r="115" spans="1:2" ht="17.5" customHeight="1" x14ac:dyDescent="0.25">
      <c r="A115" s="1958"/>
      <c r="B115" s="1956"/>
    </row>
    <row r="116" spans="1:2" ht="17.5" customHeight="1" x14ac:dyDescent="0.25">
      <c r="A116" s="1958"/>
      <c r="B116" s="1956"/>
    </row>
    <row r="117" spans="1:2" ht="17.5" customHeight="1" x14ac:dyDescent="0.25">
      <c r="A117" s="1958"/>
      <c r="B117" s="1956"/>
    </row>
    <row r="118" spans="1:2" ht="17.5" customHeight="1" x14ac:dyDescent="0.25">
      <c r="A118" s="1958"/>
      <c r="B118" s="1956"/>
    </row>
    <row r="119" spans="1:2" ht="17.5" customHeight="1" x14ac:dyDescent="0.25">
      <c r="A119" s="1958"/>
      <c r="B119" s="1956"/>
    </row>
    <row r="120" spans="1:2" ht="17.5" customHeight="1" x14ac:dyDescent="0.25">
      <c r="A120" s="1958"/>
      <c r="B120" s="1956"/>
    </row>
    <row r="121" spans="1:2" ht="17.5" customHeight="1" x14ac:dyDescent="0.25">
      <c r="A121" s="1958"/>
      <c r="B121" s="1956"/>
    </row>
    <row r="122" spans="1:2" ht="17.5" customHeight="1" x14ac:dyDescent="0.25">
      <c r="A122" s="1958"/>
      <c r="B122" s="1956"/>
    </row>
    <row r="123" spans="1:2" ht="17.5" customHeight="1" x14ac:dyDescent="0.25">
      <c r="A123" s="1958"/>
      <c r="B123" s="1956"/>
    </row>
    <row r="124" spans="1:2" ht="17.5" customHeight="1" x14ac:dyDescent="0.25">
      <c r="A124" s="1958"/>
      <c r="B124" s="1956"/>
    </row>
    <row r="125" spans="1:2" ht="17.5" customHeight="1" x14ac:dyDescent="0.25">
      <c r="A125" s="1958"/>
      <c r="B125" s="1956"/>
    </row>
    <row r="126" spans="1:2" ht="17.5" customHeight="1" x14ac:dyDescent="0.25">
      <c r="A126" s="1958"/>
      <c r="B126" s="1956"/>
    </row>
    <row r="127" spans="1:2" ht="17.5" customHeight="1" x14ac:dyDescent="0.25">
      <c r="A127" s="1958"/>
      <c r="B127" s="1956"/>
    </row>
    <row r="128" spans="1:2" ht="17.5" customHeight="1" x14ac:dyDescent="0.25">
      <c r="A128" s="1958"/>
      <c r="B128" s="1956"/>
    </row>
    <row r="129" spans="1:4" ht="17.5" customHeight="1" x14ac:dyDescent="0.25">
      <c r="A129" s="1958"/>
      <c r="B129" s="1956"/>
    </row>
    <row r="130" spans="1:4" ht="17.5" customHeight="1" x14ac:dyDescent="0.25">
      <c r="A130" s="1958"/>
      <c r="B130" s="1956"/>
    </row>
    <row r="131" spans="1:4" ht="17.5" customHeight="1" x14ac:dyDescent="0.25">
      <c r="A131" s="1958"/>
      <c r="B131" s="1956"/>
    </row>
    <row r="132" spans="1:4" ht="17.5" customHeight="1" x14ac:dyDescent="0.25">
      <c r="A132" s="1958"/>
      <c r="B132" s="1956"/>
    </row>
    <row r="133" spans="1:4" ht="19.5" customHeight="1" x14ac:dyDescent="0.25">
      <c r="A133" s="1958"/>
      <c r="B133" s="1817" t="s">
        <v>2352</v>
      </c>
    </row>
    <row r="134" spans="1:4" ht="18" customHeight="1" x14ac:dyDescent="0.25">
      <c r="A134" s="1802"/>
      <c r="B134" s="1864" t="s">
        <v>2351</v>
      </c>
    </row>
    <row r="135" spans="1:4" ht="19.5" customHeight="1" x14ac:dyDescent="0.25">
      <c r="A135" s="1802"/>
      <c r="B135" s="1817" t="s">
        <v>2353</v>
      </c>
    </row>
    <row r="136" spans="1:4" ht="18" customHeight="1" x14ac:dyDescent="0.25">
      <c r="A136" s="1802"/>
      <c r="B136" s="1802" t="s">
        <v>2334</v>
      </c>
    </row>
    <row r="137" spans="1:4" ht="53.15" customHeight="1" x14ac:dyDescent="0.25">
      <c r="A137" s="1824" t="s">
        <v>294</v>
      </c>
      <c r="B137" s="1806"/>
    </row>
    <row r="138" spans="1:4" ht="44.15" customHeight="1" x14ac:dyDescent="0.25">
      <c r="A138" s="1802" t="s">
        <v>295</v>
      </c>
      <c r="B138" s="1802" t="s">
        <v>2334</v>
      </c>
    </row>
    <row r="139" spans="1:4" ht="18" customHeight="1" x14ac:dyDescent="0.25">
      <c r="A139" s="1806" t="s">
        <v>296</v>
      </c>
      <c r="B139" s="1806" t="s">
        <v>2334</v>
      </c>
    </row>
    <row r="140" spans="1:4" ht="31" customHeight="1" x14ac:dyDescent="0.25">
      <c r="A140" s="1802" t="s">
        <v>297</v>
      </c>
      <c r="B140" s="1864" t="str">
        <f ca="1">IF(prowizja_kredytowana=TRUE,"Kredytowana prowizja za udzielenie pożyczki w wysokości "&amp;FIXED(FORMULARZ!G4,2,FALSE)&amp;" zł","Prowizja za udzielenie pożyczki w wysokości "&amp;FIXED(FORMULARZ!G4,2,FALSE)&amp;" zł")</f>
        <v>Prowizja za udzielenie pożyczki w wysokości 0,00 zł</v>
      </c>
    </row>
    <row r="141" spans="1:4" ht="29.15" customHeight="1" x14ac:dyDescent="0.25">
      <c r="A141" s="1802"/>
      <c r="B141" s="1864" t="str">
        <f>("Opłata za prowadzenie rachunku oszczędnościowo-rozliczeniowego w wysokości "&amp;FIXED(WERSJA2!D11)&amp;" zł dzięki czemu prowizja za udzielenie pożyczki lub oprocentowanie posiada wysokość określoną w Umowie.")</f>
        <v>Opłata za prowadzenie rachunku oszczędnościowo-rozliczeniowego w wysokości 0,00 zł dzięki czemu prowizja za udzielenie pożyczki lub oprocentowanie posiada wysokość określoną w Umowie.</v>
      </c>
      <c r="C141" s="609"/>
      <c r="D141" s="73"/>
    </row>
    <row r="142" spans="1:4" ht="31" customHeight="1" x14ac:dyDescent="0.25">
      <c r="A142" s="1806" t="s">
        <v>298</v>
      </c>
      <c r="B142" s="1806" t="s">
        <v>2354</v>
      </c>
    </row>
    <row r="143" spans="1:4" ht="18" customHeight="1" x14ac:dyDescent="0.25">
      <c r="A143" s="1802" t="s">
        <v>300</v>
      </c>
      <c r="B143" s="1802" t="s">
        <v>2334</v>
      </c>
    </row>
    <row r="144" spans="1:4" ht="250" customHeight="1" x14ac:dyDescent="0.25">
      <c r="A144" s="1806" t="s">
        <v>2370</v>
      </c>
      <c r="B144" s="1806" t="s">
        <v>2439</v>
      </c>
    </row>
    <row r="145" spans="1:2" ht="201.65" customHeight="1" x14ac:dyDescent="0.3">
      <c r="A145" s="1808"/>
      <c r="B145" s="1806" t="s">
        <v>2453</v>
      </c>
    </row>
    <row r="146" spans="1:2" ht="21" customHeight="1" x14ac:dyDescent="0.25">
      <c r="A146" s="1825" t="s">
        <v>305</v>
      </c>
      <c r="B146" s="1806"/>
    </row>
    <row r="147" spans="1:2" ht="92.5" customHeight="1" x14ac:dyDescent="0.25">
      <c r="A147" s="1802" t="s">
        <v>2371</v>
      </c>
      <c r="B147" s="1802" t="s">
        <v>2440</v>
      </c>
    </row>
    <row r="148" spans="1:2" ht="115" customHeight="1" x14ac:dyDescent="0.25">
      <c r="A148" s="1806" t="s">
        <v>2372</v>
      </c>
      <c r="B148" s="1806" t="s">
        <v>2441</v>
      </c>
    </row>
    <row r="149" spans="1:2" ht="73" customHeight="1" x14ac:dyDescent="0.25">
      <c r="A149" s="1822" t="s">
        <v>310</v>
      </c>
      <c r="B149" s="1802" t="s">
        <v>2355</v>
      </c>
    </row>
    <row r="150" spans="1:2" ht="125.15" customHeight="1" x14ac:dyDescent="0.25">
      <c r="A150" s="1806" t="s">
        <v>2373</v>
      </c>
      <c r="B150" s="1807" t="s">
        <v>2442</v>
      </c>
    </row>
    <row r="151" spans="1:2" ht="115" customHeight="1" x14ac:dyDescent="0.25">
      <c r="A151" s="1802" t="s">
        <v>2374</v>
      </c>
      <c r="B151" s="1802" t="s">
        <v>2443</v>
      </c>
    </row>
    <row r="152" spans="1:2" ht="65.150000000000006" customHeight="1" x14ac:dyDescent="0.25">
      <c r="A152" s="1826" t="s">
        <v>315</v>
      </c>
      <c r="B152" s="1862" t="str">
        <f ca="1">"Niniejsza informacja zachowuje ważność od "&amp;TEXT(TODAY(),"dd-mm-rrrr")&amp;" do dnia "&amp;TEXT(TODAY()+3,"dd-mm-rrrr")
&amp;" z następującymi zastrzeżeniami:
Bank podaje w Formularzu informacje aktualne na dzień jego sporządzenia, według danych wskazanych przez Panią/Pana we wniosku."&amp;" Jeżeli zawarcie Umowy nastąpi w innym dniu niż dzień sporządzenia Formularza, informacje te mogą stać się nieaktualne."&amp;" Formularz nie jest ofertą w rozumieniu przepisów Kodeksu cywilnego ani zobowiązaniem do udzielenia pożyczki."</f>
        <v>Niniejsza informacja zachowuje ważność od 26-06-2026 do dnia 29-06-2026 z następującymi zastrzeżeniami:
Bank podaje w Formularzu informacje aktualne na dzień jego sporządzenia, według danych wskazanych przez Panią/Pana we wniosku. Jeżeli zawarcie Umowy nastąpi w innym dniu niż dzień sporządzenia Formularza, informacje te mogą stać się nieaktualne. Formularz nie jest ofertą w rozumieniu przepisów Kodeksu cywilnego ani zobowiązaniem do udzielenia pożyczki.</v>
      </c>
    </row>
    <row r="153" spans="1:2" ht="21" customHeight="1" x14ac:dyDescent="0.25">
      <c r="A153" s="1963" t="s">
        <v>2357</v>
      </c>
      <c r="B153" s="1963"/>
    </row>
    <row r="154" spans="1:2" ht="19.5" customHeight="1" x14ac:dyDescent="0.25">
      <c r="A154" s="1813" t="s">
        <v>2356</v>
      </c>
      <c r="B154" s="1814"/>
    </row>
    <row r="155" spans="1:2" ht="61.5" customHeight="1" x14ac:dyDescent="0.25">
      <c r="A155" s="1818" t="s">
        <v>318</v>
      </c>
      <c r="B155" s="1805" t="s">
        <v>2358</v>
      </c>
    </row>
    <row r="156" spans="1:2" ht="18" customHeight="1" x14ac:dyDescent="0.25">
      <c r="A156" s="1814" t="s">
        <v>320</v>
      </c>
      <c r="B156" s="1814" t="s">
        <v>273</v>
      </c>
    </row>
    <row r="157" spans="1:2" ht="30" customHeight="1" x14ac:dyDescent="0.25">
      <c r="A157" s="1802" t="s">
        <v>2359</v>
      </c>
      <c r="B157" s="1804" t="s">
        <v>273</v>
      </c>
    </row>
    <row r="158" spans="1:2" ht="30" customHeight="1" x14ac:dyDescent="0.25">
      <c r="A158" s="1806" t="s">
        <v>2360</v>
      </c>
      <c r="B158" s="1814" t="s">
        <v>273</v>
      </c>
    </row>
    <row r="159" spans="1:2" ht="30" customHeight="1" x14ac:dyDescent="0.25">
      <c r="A159" s="1802" t="s">
        <v>2361</v>
      </c>
      <c r="B159" s="1804" t="s">
        <v>273</v>
      </c>
    </row>
    <row r="160" spans="1:2" ht="30" customHeight="1" x14ac:dyDescent="0.25">
      <c r="A160" s="1806" t="s">
        <v>2362</v>
      </c>
      <c r="B160" s="1814" t="s">
        <v>273</v>
      </c>
    </row>
    <row r="161" spans="1:2" ht="47.15" customHeight="1" x14ac:dyDescent="0.25">
      <c r="A161" s="1818" t="s">
        <v>325</v>
      </c>
      <c r="B161" s="1802" t="s">
        <v>2376</v>
      </c>
    </row>
    <row r="162" spans="1:2" ht="21" customHeight="1" x14ac:dyDescent="0.25">
      <c r="A162" s="1826" t="s">
        <v>327</v>
      </c>
      <c r="B162" s="1814" t="s">
        <v>273</v>
      </c>
    </row>
    <row r="163" spans="1:2" ht="19.5" customHeight="1" x14ac:dyDescent="0.25">
      <c r="A163" s="1803" t="s">
        <v>328</v>
      </c>
      <c r="B163" s="1804"/>
    </row>
    <row r="164" spans="1:2" ht="293.14999999999998" customHeight="1" x14ac:dyDescent="0.25">
      <c r="A164" s="1824" t="s">
        <v>329</v>
      </c>
      <c r="B164" s="1968" t="s">
        <v>2422</v>
      </c>
    </row>
    <row r="165" spans="1:2" ht="28" customHeight="1" x14ac:dyDescent="0.25">
      <c r="A165" s="1824"/>
      <c r="B165" s="1968"/>
    </row>
    <row r="166" spans="1:2" ht="45" customHeight="1" x14ac:dyDescent="0.3">
      <c r="A166" s="1801" t="s">
        <v>2375</v>
      </c>
      <c r="B166" s="1864" t="s">
        <v>2423</v>
      </c>
    </row>
    <row r="167" spans="1:2" ht="50.15" customHeight="1" x14ac:dyDescent="0.3">
      <c r="A167" s="1808" t="s">
        <v>331</v>
      </c>
      <c r="B167" s="1862" t="s">
        <v>2424</v>
      </c>
    </row>
    <row r="168" spans="1:2" ht="64" customHeight="1" x14ac:dyDescent="0.25">
      <c r="A168" s="1822" t="s">
        <v>2425</v>
      </c>
      <c r="B168" s="1862" t="s">
        <v>2426</v>
      </c>
    </row>
    <row r="169" spans="1:2" ht="47.15" customHeight="1" x14ac:dyDescent="0.25">
      <c r="A169" s="1822" t="s">
        <v>333</v>
      </c>
      <c r="B169" s="1805" t="s">
        <v>2444</v>
      </c>
    </row>
    <row r="170" spans="1:2" ht="14.5" x14ac:dyDescent="0.35">
      <c r="A170" s="1830" t="s">
        <v>335</v>
      </c>
      <c r="B170" s="1806"/>
    </row>
    <row r="171" spans="1:2" ht="392.5" customHeight="1" x14ac:dyDescent="0.25">
      <c r="A171" s="1822" t="s">
        <v>336</v>
      </c>
      <c r="B171" s="1802" t="s">
        <v>2445</v>
      </c>
    </row>
    <row r="172" spans="1:2" ht="16" x14ac:dyDescent="0.25">
      <c r="A172" s="1822"/>
      <c r="B172" s="1802"/>
    </row>
    <row r="173" spans="1:2" ht="29.25" customHeight="1" x14ac:dyDescent="0.25">
      <c r="A173" s="1964" t="s">
        <v>337</v>
      </c>
      <c r="B173" s="1964"/>
    </row>
    <row r="174" spans="1:2" ht="18" customHeight="1" x14ac:dyDescent="0.25">
      <c r="A174" s="1965" t="s">
        <v>2364</v>
      </c>
      <c r="B174" s="1965"/>
    </row>
    <row r="175" spans="1:2" ht="13" x14ac:dyDescent="0.25">
      <c r="A175" s="1957" t="str">
        <f ca="1">"Sporządzono w "&amp;FORMULARZ!D8&amp;" dnia "
&amp;TEXT(TODAY(),"dd-mm-rrrr")</f>
        <v>Sporządzono w Katowice dnia 26-06-2026</v>
      </c>
      <c r="B175" s="1957"/>
    </row>
  </sheetData>
  <mergeCells count="15">
    <mergeCell ref="B54:B65"/>
    <mergeCell ref="B111:B132"/>
    <mergeCell ref="A175:B175"/>
    <mergeCell ref="A109:A133"/>
    <mergeCell ref="A4:B4"/>
    <mergeCell ref="A26:B26"/>
    <mergeCell ref="A52:B52"/>
    <mergeCell ref="A99:A105"/>
    <mergeCell ref="A153:B153"/>
    <mergeCell ref="A173:B173"/>
    <mergeCell ref="A174:B174"/>
    <mergeCell ref="A24:A25"/>
    <mergeCell ref="B78:B97"/>
    <mergeCell ref="B164:B165"/>
    <mergeCell ref="B66:B77"/>
  </mergeCells>
  <hyperlinks>
    <hyperlink ref="B12" r:id="rId1" xr:uid="{00000000-0004-0000-1C00-000000000000}"/>
    <hyperlink ref="B14" r:id="rId2" xr:uid="{00000000-0004-0000-1C00-000001000000}"/>
  </hyperlinks>
  <pageMargins left="0.70866141732283472" right="0.70866141732283472" top="0.94488188976377963" bottom="0.94488188976377963" header="0.31496062992125984" footer="0.31496062992125984"/>
  <pageSetup paperSize="9" scale="73" fitToHeight="0" orientation="portrait" r:id="rId3"/>
  <headerFooter>
    <oddHeader>&amp;R&amp;G
&amp;9ING BANK Śląski S.A.
ul. Sokolska 34, 40-086 Katowice
www.ing.pl</oddHeader>
    <oddFooter>&amp;R&amp;"ING Me,Standardowy"&amp;K00-034&amp;P/&amp;N</oddFooter>
  </headerFooter>
  <drawing r:id="rId4"/>
  <legacyDrawingHF r:id="rId5"/>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Arkusz18">
    <pageSetUpPr fitToPage="1"/>
  </sheetPr>
  <dimension ref="A1:XFD1058"/>
  <sheetViews>
    <sheetView topLeftCell="C4" zoomScaleNormal="100" zoomScaleSheetLayoutView="100" workbookViewId="0">
      <pane xSplit="2" ySplit="9" topLeftCell="E13" activePane="bottomRight" state="frozen"/>
      <selection activeCell="A2" sqref="A2"/>
      <selection pane="topRight" activeCell="A2" sqref="A2"/>
      <selection pane="bottomLeft" activeCell="A2" sqref="A2"/>
      <selection pane="bottomRight" activeCell="D1" sqref="D1"/>
    </sheetView>
  </sheetViews>
  <sheetFormatPr defaultColWidth="8.81640625" defaultRowHeight="12.5" x14ac:dyDescent="0.25"/>
  <cols>
    <col min="1" max="1" width="3.81640625" style="426" hidden="1" customWidth="1"/>
    <col min="2" max="2" width="4.26953125" style="426" hidden="1" customWidth="1"/>
    <col min="3" max="3" width="36.1796875" style="426" customWidth="1"/>
    <col min="4" max="4" width="74.453125" style="1103" customWidth="1"/>
    <col min="5" max="5" width="100.7265625" style="426" customWidth="1"/>
    <col min="6" max="6" width="18.453125" style="546" customWidth="1"/>
    <col min="7" max="7" width="15.26953125" style="546" customWidth="1"/>
    <col min="8" max="8" width="19" style="546" customWidth="1"/>
    <col min="9" max="9" width="13.7265625" style="546" customWidth="1"/>
    <col min="10" max="10" width="14.26953125" style="426" customWidth="1"/>
    <col min="11" max="11" width="18.453125" style="426" customWidth="1"/>
    <col min="12" max="12" width="18.81640625" style="426" customWidth="1"/>
    <col min="13" max="13" width="9" style="426" bestFit="1" customWidth="1"/>
    <col min="14" max="15" width="10.1796875" style="426" bestFit="1" customWidth="1"/>
    <col min="16" max="16" width="9" style="426" bestFit="1" customWidth="1"/>
    <col min="17" max="17" width="19.26953125" style="426" customWidth="1"/>
    <col min="18" max="19" width="9" style="426" bestFit="1" customWidth="1"/>
    <col min="20" max="20" width="13.54296875" style="426" customWidth="1"/>
    <col min="21" max="21" width="8.81640625" style="426"/>
    <col min="22" max="23" width="9" style="426" bestFit="1" customWidth="1"/>
    <col min="24" max="24" width="18.26953125" style="426" customWidth="1"/>
    <col min="25" max="26" width="8.81640625" style="426"/>
    <col min="27" max="27" width="16" style="426" customWidth="1"/>
    <col min="28" max="29" width="17.54296875" style="426" customWidth="1"/>
    <col min="30" max="30" width="22.26953125" style="426" bestFit="1" customWidth="1"/>
    <col min="31" max="31" width="9" style="426" bestFit="1" customWidth="1"/>
    <col min="32" max="32" width="20.7265625" style="426" bestFit="1" customWidth="1"/>
    <col min="33" max="127" width="8.81640625" style="426"/>
    <col min="128" max="128" width="9.54296875" style="426" bestFit="1" customWidth="1"/>
    <col min="129" max="16384" width="8.81640625" style="426"/>
  </cols>
  <sheetData>
    <row r="1" spans="1:128" ht="13" x14ac:dyDescent="0.3">
      <c r="C1" s="473" t="s">
        <v>186</v>
      </c>
      <c r="D1" s="1149">
        <v>999</v>
      </c>
      <c r="F1" s="544" t="s">
        <v>187</v>
      </c>
      <c r="G1" s="545" t="e">
        <f ca="1">H199</f>
        <v>#N/A</v>
      </c>
      <c r="H1" s="544" t="s">
        <v>188</v>
      </c>
      <c r="I1" s="545" t="e">
        <f ca="1">AA199</f>
        <v>#N/A</v>
      </c>
      <c r="DX1" s="426" t="e">
        <f>o Activesheet.name</f>
        <v>#NAME?</v>
      </c>
    </row>
    <row r="2" spans="1:128" x14ac:dyDescent="0.25">
      <c r="C2" s="427" t="str">
        <f>VLOOKUP(D1,C598:E1062,3,FALSE)</f>
        <v xml:space="preserve">  </v>
      </c>
      <c r="D2" s="1103" t="str">
        <f>VLOOKUP(D1,C598:D1062,2,FALSE)</f>
        <v xml:space="preserve">  </v>
      </c>
      <c r="H2" s="544" t="s">
        <v>189</v>
      </c>
      <c r="I2" s="547" t="e">
        <f ca="1">F199</f>
        <v>#N/A</v>
      </c>
    </row>
    <row r="3" spans="1:128" x14ac:dyDescent="0.25">
      <c r="C3" s="427" t="str">
        <f>VLOOKUP(D1,C598:G1062,5,FALSE)</f>
        <v>40-086 Katowice</v>
      </c>
      <c r="D3" s="1103" t="str">
        <f>VLOOKUP(D1,C598:H1062,6,FALSE)</f>
        <v>Sokolska 34</v>
      </c>
      <c r="F3" s="544" t="s">
        <v>191</v>
      </c>
      <c r="G3" s="548" t="e">
        <f ca="1">J199</f>
        <v>#N/A</v>
      </c>
      <c r="H3" s="544" t="s">
        <v>5</v>
      </c>
      <c r="I3" s="548" t="e">
        <f ca="1">I199</f>
        <v>#N/A</v>
      </c>
    </row>
    <row r="4" spans="1:128" ht="13" x14ac:dyDescent="0.3">
      <c r="C4" s="474"/>
      <c r="D4" s="1150"/>
      <c r="F4" s="544" t="s">
        <v>193</v>
      </c>
      <c r="G4" s="545" t="e">
        <f ca="1">X199</f>
        <v>#N/A</v>
      </c>
      <c r="H4" s="549" t="s">
        <v>194</v>
      </c>
      <c r="I4" s="548" t="e">
        <f ca="1">U199</f>
        <v>#N/A</v>
      </c>
    </row>
    <row r="5" spans="1:128" ht="25" x14ac:dyDescent="0.25">
      <c r="C5" s="475" t="s">
        <v>196</v>
      </c>
      <c r="D5" s="1151" t="s">
        <v>1739</v>
      </c>
      <c r="F5" s="550" t="s">
        <v>198</v>
      </c>
      <c r="G5" s="545" t="e">
        <f ca="1">T199</f>
        <v>#N/A</v>
      </c>
      <c r="H5" s="551" t="s">
        <v>199</v>
      </c>
      <c r="I5" s="548" t="e">
        <f ca="1">Q199</f>
        <v>#N/A</v>
      </c>
    </row>
    <row r="6" spans="1:128" ht="21" customHeight="1" x14ac:dyDescent="0.25">
      <c r="C6" s="458" t="str">
        <f>IF(D5="1.Oferty dla Klienta","","WYBIERZ z listy reprezentatywny przykład")</f>
        <v>WYBIERZ z listy reprezentatywny przykład</v>
      </c>
      <c r="D6" s="1152" t="s">
        <v>2163</v>
      </c>
      <c r="F6" s="544" t="s">
        <v>1764</v>
      </c>
      <c r="G6" s="552" t="e">
        <f ca="1">K199</f>
        <v>#N/A</v>
      </c>
      <c r="H6" s="553" t="s">
        <v>201</v>
      </c>
      <c r="I6" s="554" t="e">
        <f ca="1">Y199</f>
        <v>#N/A</v>
      </c>
    </row>
    <row r="7" spans="1:128" ht="42" customHeight="1" x14ac:dyDescent="0.25">
      <c r="C7" s="457" t="s">
        <v>1740</v>
      </c>
      <c r="D7" s="517" t="str">
        <f>IF(D6="",D202,D6)</f>
        <v>IBOL Pożyczka 0% prowizji, stopa stała z ubezpieczeniem SILVER</v>
      </c>
      <c r="F7" s="544" t="s">
        <v>203</v>
      </c>
      <c r="G7" s="552" t="e">
        <f ca="1">L199</f>
        <v>#N/A</v>
      </c>
      <c r="H7" s="544" t="s">
        <v>204</v>
      </c>
      <c r="I7" s="548" t="e">
        <f ca="1">Z199</f>
        <v>#N/A</v>
      </c>
    </row>
    <row r="8" spans="1:128" x14ac:dyDescent="0.25">
      <c r="C8" s="429" t="s">
        <v>202</v>
      </c>
      <c r="D8" s="1103" t="str">
        <f>VLOOKUP(D1,C598:F1062,4,FALSE)</f>
        <v>Katowice</v>
      </c>
      <c r="F8" s="544" t="s">
        <v>206</v>
      </c>
      <c r="G8" s="555" t="e">
        <f ca="1">M199</f>
        <v>#N/A</v>
      </c>
      <c r="H8" s="556" t="s">
        <v>207</v>
      </c>
      <c r="I8" s="596" t="e">
        <f ca="1">AE199</f>
        <v>#N/A</v>
      </c>
    </row>
    <row r="9" spans="1:128" x14ac:dyDescent="0.25">
      <c r="C9" s="429" t="s">
        <v>205</v>
      </c>
      <c r="D9" s="1153" t="str">
        <f>VLOOKUP(D1,C598:I1062,7,FALSE)</f>
        <v xml:space="preserve"> </v>
      </c>
      <c r="F9" s="544" t="s">
        <v>209</v>
      </c>
      <c r="G9" s="555" t="e">
        <f ca="1">P199</f>
        <v>#N/A</v>
      </c>
      <c r="H9" s="557" t="s">
        <v>1744</v>
      </c>
      <c r="I9" s="545" t="e">
        <f ca="1">AF199</f>
        <v>#N/A</v>
      </c>
    </row>
    <row r="10" spans="1:128" x14ac:dyDescent="0.25">
      <c r="C10" s="429" t="s">
        <v>208</v>
      </c>
      <c r="D10" s="1153">
        <f>VLOOKUP(D1,C598:L1062,10,FALSE)</f>
        <v>0</v>
      </c>
      <c r="F10" s="544" t="s">
        <v>211</v>
      </c>
      <c r="G10" s="552" t="e">
        <f ca="1">N199</f>
        <v>#N/A</v>
      </c>
      <c r="H10" s="544" t="s">
        <v>212</v>
      </c>
      <c r="I10" s="545" t="e">
        <f ca="1">AB199</f>
        <v>#N/A</v>
      </c>
    </row>
    <row r="11" spans="1:128" x14ac:dyDescent="0.25">
      <c r="F11" s="544" t="s">
        <v>213</v>
      </c>
      <c r="G11" s="552" t="e">
        <f ca="1">O199</f>
        <v>#N/A</v>
      </c>
      <c r="H11" s="544" t="s">
        <v>214</v>
      </c>
      <c r="I11" s="545" t="e">
        <f ca="1">AC199</f>
        <v>#N/A</v>
      </c>
    </row>
    <row r="12" spans="1:128" ht="15.65" customHeight="1" x14ac:dyDescent="0.25">
      <c r="H12" s="544" t="s">
        <v>215</v>
      </c>
      <c r="I12" s="545" t="e">
        <f ca="1">AD199</f>
        <v>#N/A</v>
      </c>
    </row>
    <row r="13" spans="1:128" ht="409.6" customHeight="1" x14ac:dyDescent="0.25"/>
    <row r="14" spans="1:128" ht="13" x14ac:dyDescent="0.25">
      <c r="C14" s="1970" t="s">
        <v>216</v>
      </c>
      <c r="D14" s="1970"/>
    </row>
    <row r="15" spans="1:128" ht="9.65" customHeight="1" x14ac:dyDescent="0.25">
      <c r="C15" s="476"/>
      <c r="D15" s="1154"/>
    </row>
    <row r="16" spans="1:128" ht="26.5" customHeight="1" x14ac:dyDescent="0.25">
      <c r="A16" s="428" t="s">
        <v>217</v>
      </c>
      <c r="B16" s="428" t="s">
        <v>218</v>
      </c>
      <c r="C16" s="1971" t="s">
        <v>219</v>
      </c>
      <c r="D16" s="1972"/>
      <c r="F16" s="601" t="s">
        <v>1793</v>
      </c>
    </row>
    <row r="17" spans="2:4" ht="13" x14ac:dyDescent="0.25">
      <c r="C17" s="1973" t="s">
        <v>220</v>
      </c>
      <c r="D17" s="1155" t="s">
        <v>221</v>
      </c>
    </row>
    <row r="18" spans="2:4" ht="13" x14ac:dyDescent="0.25">
      <c r="C18" s="1974"/>
      <c r="D18" s="1156" t="s">
        <v>222</v>
      </c>
    </row>
    <row r="19" spans="2:4" ht="13" x14ac:dyDescent="0.25">
      <c r="C19" s="1974"/>
      <c r="D19" s="1156" t="s">
        <v>223</v>
      </c>
    </row>
    <row r="20" spans="2:4" ht="13" x14ac:dyDescent="0.25">
      <c r="C20" s="1974"/>
      <c r="D20" s="1156" t="s">
        <v>224</v>
      </c>
    </row>
    <row r="21" spans="2:4" ht="13" x14ac:dyDescent="0.25">
      <c r="C21" s="1974"/>
      <c r="D21" s="1156" t="s">
        <v>225</v>
      </c>
    </row>
    <row r="22" spans="2:4" ht="13" x14ac:dyDescent="0.25">
      <c r="C22" s="1974"/>
      <c r="D22" s="1156" t="s">
        <v>226</v>
      </c>
    </row>
    <row r="23" spans="2:4" ht="13" x14ac:dyDescent="0.25">
      <c r="C23" s="1974"/>
      <c r="D23" s="1156" t="s">
        <v>227</v>
      </c>
    </row>
    <row r="24" spans="2:4" ht="13" x14ac:dyDescent="0.25">
      <c r="C24" s="1974"/>
      <c r="D24" s="1156" t="s">
        <v>228</v>
      </c>
    </row>
    <row r="25" spans="2:4" ht="13" x14ac:dyDescent="0.25">
      <c r="B25" s="428"/>
      <c r="C25" s="1974"/>
      <c r="D25" s="1157" t="s">
        <v>229</v>
      </c>
    </row>
    <row r="26" spans="2:4" ht="13" x14ac:dyDescent="0.25">
      <c r="C26" s="1974"/>
      <c r="D26" s="1156" t="s">
        <v>230</v>
      </c>
    </row>
    <row r="27" spans="2:4" ht="13" x14ac:dyDescent="0.25">
      <c r="B27" s="428" t="s">
        <v>231</v>
      </c>
      <c r="C27" s="1974"/>
      <c r="D27" s="1156" t="str">
        <f>D2</f>
        <v xml:space="preserve">  </v>
      </c>
    </row>
    <row r="28" spans="2:4" ht="13" x14ac:dyDescent="0.25">
      <c r="B28" s="428" t="s">
        <v>232</v>
      </c>
      <c r="C28" s="1974"/>
      <c r="D28" s="1158" t="str">
        <f>D3</f>
        <v>Sokolska 34</v>
      </c>
    </row>
    <row r="29" spans="2:4" ht="13" x14ac:dyDescent="0.25">
      <c r="B29" s="428" t="s">
        <v>233</v>
      </c>
      <c r="C29" s="1975"/>
      <c r="D29" s="1159" t="str">
        <f>C3</f>
        <v>40-086 Katowice</v>
      </c>
    </row>
    <row r="30" spans="2:4" ht="13" x14ac:dyDescent="0.25">
      <c r="C30" s="1976" t="s">
        <v>234</v>
      </c>
      <c r="D30" s="1160" t="s">
        <v>235</v>
      </c>
    </row>
    <row r="31" spans="2:4" ht="13" x14ac:dyDescent="0.25">
      <c r="C31" s="1977"/>
      <c r="D31" s="1156" t="s">
        <v>236</v>
      </c>
    </row>
    <row r="32" spans="2:4" ht="13" x14ac:dyDescent="0.25">
      <c r="C32" s="1978"/>
      <c r="D32" s="1161" t="s">
        <v>237</v>
      </c>
    </row>
    <row r="33" spans="2:9" ht="17.5" customHeight="1" x14ac:dyDescent="0.25">
      <c r="C33" s="1145" t="s">
        <v>238</v>
      </c>
      <c r="D33" s="1160" t="s">
        <v>239</v>
      </c>
    </row>
    <row r="34" spans="2:9" ht="17.5" customHeight="1" x14ac:dyDescent="0.25">
      <c r="C34" s="482" t="s">
        <v>240</v>
      </c>
      <c r="D34" s="1161" t="s">
        <v>241</v>
      </c>
    </row>
    <row r="35" spans="2:9" s="431" customFormat="1" ht="31.9" customHeight="1" x14ac:dyDescent="0.25">
      <c r="C35" s="483" t="s">
        <v>242</v>
      </c>
      <c r="D35" s="1162"/>
      <c r="F35" s="547"/>
      <c r="G35" s="547"/>
      <c r="H35" s="547"/>
      <c r="I35" s="547"/>
    </row>
    <row r="36" spans="2:9" ht="30" customHeight="1" x14ac:dyDescent="0.25">
      <c r="C36" s="483" t="s">
        <v>243</v>
      </c>
      <c r="D36" s="512"/>
    </row>
    <row r="37" spans="2:9" ht="30" customHeight="1" x14ac:dyDescent="0.25">
      <c r="C37" s="483" t="s">
        <v>244</v>
      </c>
      <c r="D37" s="1162" t="s">
        <v>245</v>
      </c>
    </row>
    <row r="38" spans="2:9" ht="18" customHeight="1" x14ac:dyDescent="0.25">
      <c r="C38" s="1951" t="s">
        <v>246</v>
      </c>
      <c r="D38" s="1157" t="s">
        <v>247</v>
      </c>
    </row>
    <row r="39" spans="2:9" ht="13" x14ac:dyDescent="0.25">
      <c r="B39" s="428" t="s">
        <v>218</v>
      </c>
      <c r="C39" s="1979"/>
      <c r="D39" s="1156" t="str">
        <f>IF(FRodzajPlacowki="Oddział","Nie dotyczy",D9)</f>
        <v xml:space="preserve"> </v>
      </c>
    </row>
    <row r="40" spans="2:9" ht="13" x14ac:dyDescent="0.25">
      <c r="B40" s="428" t="s">
        <v>218</v>
      </c>
      <c r="C40" s="1979"/>
      <c r="D40" s="1157" t="s">
        <v>248</v>
      </c>
    </row>
    <row r="41" spans="2:9" ht="16.149999999999999" customHeight="1" x14ac:dyDescent="0.25">
      <c r="B41" s="428" t="s">
        <v>218</v>
      </c>
      <c r="C41" s="1979"/>
      <c r="D41" s="1157" t="str">
        <f>IF(FRodzajPlacowki="Placówka Partnerska",D2,"Nie dotyczy")</f>
        <v>Nie dotyczy</v>
      </c>
      <c r="F41" s="558" t="s">
        <v>249</v>
      </c>
    </row>
    <row r="42" spans="2:9" ht="16.899999999999999" customHeight="1" x14ac:dyDescent="0.25">
      <c r="B42" s="428" t="s">
        <v>218</v>
      </c>
      <c r="C42" s="1979"/>
      <c r="D42" s="1156" t="str">
        <f>IF(FRodzajPlacowki="Placówka Partnerska",D3&amp;", "&amp;C3,"")</f>
        <v/>
      </c>
      <c r="F42" s="546" t="s">
        <v>250</v>
      </c>
    </row>
    <row r="43" spans="2:9" ht="26" x14ac:dyDescent="0.25">
      <c r="B43" s="428" t="s">
        <v>218</v>
      </c>
      <c r="C43" s="483" t="s">
        <v>251</v>
      </c>
      <c r="D43" s="1163" t="str">
        <f>IF(FRodzajPlacowki="Placówka Partnerska",D10,"nie dotyczy")</f>
        <v>nie dotyczy</v>
      </c>
    </row>
    <row r="44" spans="2:9" ht="30.65" customHeight="1" x14ac:dyDescent="0.25">
      <c r="C44" s="483" t="s">
        <v>252</v>
      </c>
      <c r="D44" s="1164"/>
    </row>
    <row r="45" spans="2:9" ht="30" customHeight="1" x14ac:dyDescent="0.25">
      <c r="C45" s="483" t="s">
        <v>243</v>
      </c>
      <c r="D45" s="1164"/>
    </row>
    <row r="46" spans="2:9" ht="30" customHeight="1" x14ac:dyDescent="0.25">
      <c r="C46" s="483" t="s">
        <v>242</v>
      </c>
      <c r="D46" s="1164"/>
    </row>
    <row r="47" spans="2:9" ht="30" customHeight="1" x14ac:dyDescent="0.25">
      <c r="C47" s="483" t="s">
        <v>244</v>
      </c>
      <c r="D47" s="1164"/>
    </row>
    <row r="48" spans="2:9" ht="29.5" customHeight="1" x14ac:dyDescent="0.25">
      <c r="C48" s="488" t="s">
        <v>253</v>
      </c>
      <c r="D48" s="1165"/>
    </row>
    <row r="49" spans="3:7" ht="20.5" customHeight="1" x14ac:dyDescent="0.25">
      <c r="C49" s="489" t="s">
        <v>254</v>
      </c>
      <c r="D49" s="512" t="s">
        <v>255</v>
      </c>
    </row>
    <row r="50" spans="3:7" ht="13" x14ac:dyDescent="0.3">
      <c r="C50" s="1980" t="s">
        <v>256</v>
      </c>
      <c r="D50" s="1166" t="e">
        <f ca="1">"Łączna kwota kredytu (pożyczki) w wysokości "&amp;FIXED(I1,2,FALSE)&amp;" zł, stanowiąca całkowitą kwotę kredytu (pożyczki)"</f>
        <v>#N/A</v>
      </c>
    </row>
    <row r="51" spans="3:7" ht="21" customHeight="1" x14ac:dyDescent="0.25">
      <c r="C51" s="1981"/>
      <c r="D51" s="490"/>
    </row>
    <row r="52" spans="3:7" ht="102.65" customHeight="1" x14ac:dyDescent="0.25">
      <c r="C52" s="491" t="s">
        <v>257</v>
      </c>
      <c r="D52" s="1167" t="str">
        <f>"Wypłata kredytu może mieć miejsce na :
1) rachunek oszczędnościowo rozliczeniowy Pożyczkobiorcy lub 
2) gotówką  w kasie Banku."&amp;"
Wypłata kredytu nastąpi w dniu wskazanym w umowie , a w przypadku braku wskazania daty do czterech dni roboczych od dnia zawarcia umowy. "&amp;"W przypadku, gdy umowa kredytu przewidywać będzie warunki uruchomienia kredytu wówczas uruchomienie  nastąpi po spełnieniu tych warunków przez Pożyczkobiorcę. "</f>
        <v xml:space="preserve">Wypłata kredytu może mieć miejsce na :
1) rachunek oszczędnościowo rozliczeniowy Pożyczkobiorcy lub 
2) gotówką  w kasie Banku.
Wypłata kredytu nastąpi w dniu wskazanym w umowie , a w przypadku braku wskazania daty do czterech dni roboczych od dnia zawarcia umowy. W przypadku, gdy umowa kredytu przewidywać będzie warunki uruchomienia kredytu wówczas uruchomienie  nastąpi po spełnieniu tych warunków przez Pożyczkobiorcę. </v>
      </c>
      <c r="F52" s="559" t="str">
        <f>"Źródło: "&amp;C4</f>
        <v xml:space="preserve">Źródło: </v>
      </c>
    </row>
    <row r="53" spans="3:7" ht="23.5" customHeight="1" thickBot="1" x14ac:dyDescent="0.3">
      <c r="C53" s="492" t="s">
        <v>258</v>
      </c>
      <c r="D53" s="1168" t="e">
        <f ca="1">TEXT(G7, "dd-mm-rrrr")</f>
        <v>#N/A</v>
      </c>
      <c r="F53" s="560" t="s">
        <v>1760</v>
      </c>
    </row>
    <row r="54" spans="3:7" ht="39.5" thickTop="1" x14ac:dyDescent="0.25">
      <c r="C54" s="1982" t="s">
        <v>259</v>
      </c>
      <c r="D54" s="1157" t="str">
        <f>"- będzie Pan/Pani musiał/a dokonać spłaty na następujących warunkach: 
spłata w formie rat kapitałowo-odsetkowych płatnych miesięcznie
- kwota, liczba i częstotliwość płatności rat kredytu konsumenckiego:"</f>
        <v>- będzie Pan/Pani musiał/a dokonać spłaty na następujących warunkach: 
spłata w formie rat kapitałowo-odsetkowych płatnych miesięcznie
- kwota, liczba i częstotliwość płatności rat kredytu konsumenckiego:</v>
      </c>
    </row>
    <row r="55" spans="3:7" ht="13" x14ac:dyDescent="0.25">
      <c r="C55" s="1982"/>
      <c r="D55" s="1157" t="e">
        <f ca="1">IF(APLIKACJA="SOWK",D513,D514)</f>
        <v>#N/A</v>
      </c>
      <c r="F55" s="559" t="s">
        <v>260</v>
      </c>
      <c r="G55" s="559"/>
    </row>
    <row r="56" spans="3:7" ht="13" x14ac:dyDescent="0.25">
      <c r="C56" s="1982"/>
      <c r="D56" s="1157" t="e">
        <f ca="1">VLOOKUP(I2,'FORMULARZ (2)'!C503:D504,2,FALSE)</f>
        <v>#N/A</v>
      </c>
      <c r="F56" s="559" t="e">
        <f ca="1">"wart zmienia się w zależn od Źródło (I1) "&amp;H2
&amp;", teraz wybrano: "&amp;I2</f>
        <v>#N/A</v>
      </c>
      <c r="G56" s="559"/>
    </row>
    <row r="57" spans="3:7" ht="63.75" customHeight="1" x14ac:dyDescent="0.25">
      <c r="C57" s="1982"/>
      <c r="D57" s="1271" t="str">
        <f ca="1">FORMULARZ!D57</f>
        <v/>
      </c>
      <c r="E57" s="1104" t="s">
        <v>2048</v>
      </c>
      <c r="F57" s="559" t="str">
        <f>"wiersz odkrywa się gdy "&amp;H5&amp;" (J3)=  'NieDotyczy' " &amp;"                      w makrze wiersz do ukrycia 57"</f>
        <v>wiersz odkrywa się gdy Ubezpieczenie kredytowane (dla Całkowitej Kwoty Ubezpiecz): (J3)=  'NieDotyczy'                       w makrze wiersz do ukrycia 57</v>
      </c>
    </row>
    <row r="58" spans="3:7" ht="31.15" customHeight="1" x14ac:dyDescent="0.25">
      <c r="C58" s="1982"/>
      <c r="D58" s="1157" t="s">
        <v>261</v>
      </c>
    </row>
    <row r="59" spans="3:7" ht="16.149999999999999" customHeight="1" x14ac:dyDescent="0.25">
      <c r="C59" s="1982"/>
      <c r="D59" s="1157" t="s">
        <v>262</v>
      </c>
    </row>
    <row r="60" spans="3:7" ht="13" x14ac:dyDescent="0.25">
      <c r="C60" s="1982"/>
      <c r="D60" s="1157" t="s">
        <v>263</v>
      </c>
    </row>
    <row r="61" spans="3:7" ht="13" x14ac:dyDescent="0.25">
      <c r="C61" s="1982"/>
      <c r="D61" s="1157" t="s">
        <v>264</v>
      </c>
    </row>
    <row r="62" spans="3:7" ht="13" x14ac:dyDescent="0.25">
      <c r="C62" s="1982"/>
      <c r="D62" s="1157" t="s">
        <v>265</v>
      </c>
    </row>
    <row r="63" spans="3:7" ht="13" x14ac:dyDescent="0.25">
      <c r="C63" s="1982"/>
      <c r="D63" s="1157" t="s">
        <v>266</v>
      </c>
    </row>
    <row r="64" spans="3:7" ht="13" x14ac:dyDescent="0.25">
      <c r="C64" s="1982"/>
      <c r="D64" s="1157" t="s">
        <v>267</v>
      </c>
    </row>
    <row r="65" spans="3:10" ht="13" x14ac:dyDescent="0.25">
      <c r="C65" s="1982"/>
      <c r="D65" s="1157" t="s">
        <v>268</v>
      </c>
    </row>
    <row r="66" spans="3:10" ht="13" x14ac:dyDescent="0.25">
      <c r="C66" s="1982"/>
      <c r="D66" s="1157" t="s">
        <v>269</v>
      </c>
    </row>
    <row r="67" spans="3:10" ht="13" x14ac:dyDescent="0.25">
      <c r="C67" s="1982"/>
      <c r="D67" s="1157" t="s">
        <v>270</v>
      </c>
    </row>
    <row r="68" spans="3:10" ht="52" x14ac:dyDescent="0.25">
      <c r="C68" s="1982"/>
      <c r="D68" s="1169" t="str">
        <f>"Jeżeli Pożyczkobiorca zalegał będzie  ze spłatą więcej niż jednej raty pożyczki, wierzytelności Banku zaspakajane będą według dat wymagalności kolejnych niespłaconych rat począwszy od raty najdawniej wymagalnej, "&amp;"przy zachowaniu zasady pierwszeństwa zaspokajania związanych z daną ratą należności przeterminowanych według kolejności określonej w pkt 3."</f>
        <v>Jeżeli Pożyczkobiorca zalegał będzie  ze spłatą więcej niż jednej raty pożyczki, wierzytelności Banku zaspakajane będą według dat wymagalności kolejnych niespłaconych rat począwszy od raty najdawniej wymagalnej, przy zachowaniu zasady pierwszeństwa zaspokajania związanych z daną ratą należności przeterminowanych według kolejności określonej w pkt 3.</v>
      </c>
    </row>
    <row r="69" spans="3:10" ht="91" x14ac:dyDescent="0.25">
      <c r="C69" s="494" t="s">
        <v>271</v>
      </c>
      <c r="D69" s="1170" t="e">
        <f ca="1">FIXED(I9,2,FALSE)&amp;" zł, na którą składają się:
1. całkowita kwota kredytu (pożyczki) "&amp;FIXED(I1,2,FALSE)&amp;" zł,  
2. całkowity koszt kredytu (pożyczki) "&amp;FIXED(I12,2,FALSE)&amp;" zł. "</f>
        <v>#N/A</v>
      </c>
    </row>
    <row r="70" spans="3:10" ht="52" x14ac:dyDescent="0.25">
      <c r="C70" s="483" t="s">
        <v>272</v>
      </c>
      <c r="D70" s="1171" t="s">
        <v>273</v>
      </c>
      <c r="F70" s="561"/>
    </row>
    <row r="71" spans="3:10" ht="13" x14ac:dyDescent="0.25">
      <c r="C71" s="496" t="s">
        <v>274</v>
      </c>
      <c r="D71" s="1172" t="str">
        <f>"- rodzaj zabezpieczenia kredytu:"</f>
        <v>- rodzaj zabezpieczenia kredytu:</v>
      </c>
      <c r="F71" s="546" t="s">
        <v>1759</v>
      </c>
      <c r="G71" s="562"/>
      <c r="J71" s="531"/>
    </row>
    <row r="72" spans="3:10" ht="52" x14ac:dyDescent="0.25">
      <c r="C72" s="498" t="s">
        <v>275</v>
      </c>
      <c r="D72" s="1173" t="e">
        <f ca="1">IF(FWymagZabezpiecz="NIE","nie dotyczy","1. Kaucja pieniężna w ING Banku Śląskim S.A. lub
2. Przelew praw /wierzytelności z tytuły przystąpienia do Umowy grupowego ubezpieczenia na życie i dożycie 'Inwestycyjna Lokata Ubezpieczeniowa' lub"&amp;"
3 .Przelew praw /wierzytelności z tytuły przystąpienia do Umowy grupowego ubezpieczenia na życie i dożycie 'Inwestycyjny Plan Ubezpieczeniowy'
")</f>
        <v>#N/A</v>
      </c>
      <c r="F72" s="561"/>
    </row>
    <row r="73" spans="3:10" ht="39" x14ac:dyDescent="0.25">
      <c r="C73" s="499" t="s">
        <v>276</v>
      </c>
      <c r="D73" s="1169" t="s">
        <v>273</v>
      </c>
    </row>
    <row r="74" spans="3:10" ht="143" x14ac:dyDescent="0.25">
      <c r="C74" s="500" t="s">
        <v>277</v>
      </c>
      <c r="D74" s="1174"/>
    </row>
    <row r="75" spans="3:10" ht="29.5" customHeight="1" x14ac:dyDescent="0.25">
      <c r="C75" s="488" t="s">
        <v>278</v>
      </c>
      <c r="D75" s="1165"/>
    </row>
    <row r="76" spans="3:10" ht="26" x14ac:dyDescent="0.25">
      <c r="C76" s="502" t="s">
        <v>279</v>
      </c>
      <c r="D76" s="1155" t="e">
        <f ca="1">"– stopa oprocentowania kredytu: "&amp;"
Oprocentowanie kredytu wynosiło będzie "&amp;FIXED(100*FWartOproc,2,FALSE)&amp;"%  w stosunku rocznym według "&amp;VLOOKUP(I2,'FORMULARZ (2)'!C503:E504,3,FALSE)&amp;" stopy procentowej."</f>
        <v>#N/A</v>
      </c>
    </row>
    <row r="77" spans="3:10" ht="299" hidden="1" x14ac:dyDescent="0.25">
      <c r="C77" s="503"/>
      <c r="D77" s="1169" t="s">
        <v>280</v>
      </c>
      <c r="F77" s="561" t="s">
        <v>1761</v>
      </c>
    </row>
    <row r="78" spans="3:10" ht="128.5" customHeight="1" x14ac:dyDescent="0.25">
      <c r="C78" s="503"/>
      <c r="D78" s="1169" t="str">
        <f>"– stopa stała lub zmienna z podaniem stopy referencyjnej mającej zastosowanie do pierwotnej stopy oprocentowania: 
Nie stosuje się konstrukcji oprocentowania opartej o stawki referencyjne"&amp;" (nie dotyczy odsetek podwyższonych określonych w części Skutki  braku płatności niniejszego  formularza)."&amp;"
- wszystkie stosowane stopy procentowe w czasie obowiązywania umowy:
(Jeżeli umowa o kredyt przewiduje różne stopy oprocentowania w danych okresach obowiązywania umowy)
Nie stosuje się różnych stóp oprocentowania w okresie obowiązywania umowy."</f>
        <v>– stopa stała lub zmienna z podaniem stopy referencyjnej mającej zastosowanie do pierwotnej stopy oprocentowania: 
Nie stosuje się konstrukcji oprocentowania opartej o stawki referencyjne (nie dotyczy odsetek podwyższonych określonych w części Skutki  braku płatności niniejszego  formularza).
- wszystkie stosowane stopy procentowe w czasie obowiązywania umowy:
(Jeżeli umowa o kredyt przewiduje różne stopy oprocentowania w danych okresach obowiązywania umowy)
Nie stosuje się różnych stóp oprocentowania w okresie obowiązywania umowy.</v>
      </c>
      <c r="F78" s="561"/>
    </row>
    <row r="79" spans="3:10" ht="91" x14ac:dyDescent="0.25">
      <c r="C79" s="1144" t="s">
        <v>1756</v>
      </c>
      <c r="D79" s="1175" t="e">
        <f ca="1">"– rzeczywista roczna stopa oprocentowania:
Rzeczywista Roczna Stopa Oprocentowania (RRSO) wynosi "&amp;FIXED(100*FWartRRSO,2,FALSE)&amp;"%.
– reprezentatywny przykład:
"</f>
        <v>#N/A</v>
      </c>
    </row>
    <row r="80" spans="3:10" ht="43.15" hidden="1" customHeight="1" x14ac:dyDescent="0.25">
      <c r="C80" s="1143"/>
      <c r="D80" s="1169" t="s">
        <v>281</v>
      </c>
      <c r="F80" s="559" t="s">
        <v>282</v>
      </c>
    </row>
    <row r="81" spans="3:6" ht="26" x14ac:dyDescent="0.25">
      <c r="C81" s="1143"/>
      <c r="D81" s="1290" t="str">
        <f ca="1">FORMULARZ!D82</f>
        <v xml:space="preserve">Pożyczka pieniężna ze zmienną stopą procentową w wysokości 31 000,00zł,
 na okres 48 miesięcznych rat, </v>
      </c>
      <c r="E81" s="598" t="s">
        <v>2152</v>
      </c>
      <c r="F81" s="546" t="s">
        <v>1758</v>
      </c>
    </row>
    <row r="82" spans="3:6" ht="15.65" hidden="1" customHeight="1" x14ac:dyDescent="0.25">
      <c r="C82" s="1143"/>
      <c r="D82" s="1169"/>
      <c r="F82" s="546" t="s">
        <v>1757</v>
      </c>
    </row>
    <row r="83" spans="3:6" ht="13" hidden="1" x14ac:dyDescent="0.25">
      <c r="C83" s="1143"/>
      <c r="D83" s="1169"/>
      <c r="F83" s="546" t="s">
        <v>1757</v>
      </c>
    </row>
    <row r="84" spans="3:6" ht="13" x14ac:dyDescent="0.3">
      <c r="C84" s="1143"/>
      <c r="D84" s="1176" t="s">
        <v>283</v>
      </c>
    </row>
    <row r="85" spans="3:6" ht="54.65" customHeight="1" x14ac:dyDescent="0.25">
      <c r="C85" s="1143"/>
      <c r="D85" s="1169" t="s">
        <v>284</v>
      </c>
      <c r="F85" s="559" t="s">
        <v>285</v>
      </c>
    </row>
    <row r="86" spans="3:6" ht="40.9" customHeight="1" x14ac:dyDescent="0.25">
      <c r="C86" s="1143"/>
      <c r="D86" s="1169" t="e">
        <f ca="1">"3. umowa pożyczki zostanie zawarta na okres od dnia "
&amp;TEXT(G6, "dd-mm-rrrr")&amp;" do dnia "&amp;TEXT(G7, "dd-mm-rrrr")
&amp;", zaś obie strony wypełnią w całości i w terminie wynikające z niej zobowiązania (w przypadku ich naruszenia powstać mogą dodatkowe zobowiązania wskazane w niniejszej Umowie),"</f>
        <v>#N/A</v>
      </c>
    </row>
    <row r="87" spans="3:6" ht="13" x14ac:dyDescent="0.25">
      <c r="C87" s="1143"/>
      <c r="D87" s="1169" t="e">
        <f ca="1">IF(APLIKACJA="SOWK",D527,D528)</f>
        <v>#N/A</v>
      </c>
    </row>
    <row r="88" spans="3:6" ht="63" customHeight="1" x14ac:dyDescent="0.25">
      <c r="C88" s="1143"/>
      <c r="D88" s="1169" t="e">
        <f ca="1">"5. łączna kwota pożyczki, od której liczone są odsetki zostanie uruchomiona w dniu 
"&amp;TEXT(G6,"dd-mm-rrrr")&amp;" zaś spłata rat następować będzie co miesiąc każdego  "&amp;CONCATENATE(G8,"-go dnia miesiąca, przy czym jeżeli termin ten nie występuje w danym miesiącu, termin zapłaty raty przypada w ostatnim dniu roboczym tego miesiąca, ")
&amp;"pierwsza rata płatna będzie do dnia "&amp;TEXT(G11,"dd-mm-rrrr")&amp;","</f>
        <v>#N/A</v>
      </c>
      <c r="F88" s="546" t="s">
        <v>286</v>
      </c>
    </row>
    <row r="89" spans="3:6" ht="13" x14ac:dyDescent="0.25">
      <c r="C89" s="1143"/>
      <c r="D89" s="1169" t="e">
        <f ca="1">"6. prowizja za udzielenie pożyczki wyniesie "&amp;FIXED(G4,2,FALSE)&amp;" zł. i pobrana zostanie jednorazowo, najpóźniej w dniu uruchomienia pożyczki,"</f>
        <v>#N/A</v>
      </c>
    </row>
    <row r="90" spans="3:6" ht="26" x14ac:dyDescent="0.25">
      <c r="C90" s="1143"/>
      <c r="D90" s="1272" t="str">
        <f ca="1">FORMULARZ!D91</f>
        <v>7. stopa oprocentowania pożyczki oraz opłaty uwzględniane przy ustalaniu RRSO pozostaną niezmienione przez cały czas obowiązywania Umowy</v>
      </c>
      <c r="E90" s="1104"/>
      <c r="F90" s="559" t="s">
        <v>287</v>
      </c>
    </row>
    <row r="91" spans="3:6" ht="13" hidden="1" x14ac:dyDescent="0.25">
      <c r="C91" s="506"/>
      <c r="D91" s="1177"/>
      <c r="F91" s="559" t="s">
        <v>288</v>
      </c>
    </row>
    <row r="92" spans="3:6" ht="31.15" customHeight="1" x14ac:dyDescent="0.25">
      <c r="C92" s="1951" t="s">
        <v>289</v>
      </c>
      <c r="D92" s="1175" t="s">
        <v>1750</v>
      </c>
      <c r="F92" s="559" t="s">
        <v>290</v>
      </c>
    </row>
    <row r="93" spans="3:6" ht="22.15" customHeight="1" x14ac:dyDescent="0.25">
      <c r="C93" s="1952"/>
      <c r="D93" s="1178" t="e">
        <f ca="1">IF(FkredytowaneUbezpiecz="NieDotyczy","nie","tak")</f>
        <v>#N/A</v>
      </c>
      <c r="F93" s="559" t="s">
        <v>291</v>
      </c>
    </row>
    <row r="94" spans="3:6" ht="27" customHeight="1" x14ac:dyDescent="0.3">
      <c r="C94" s="1952"/>
      <c r="D94" s="1179" t="s">
        <v>292</v>
      </c>
    </row>
    <row r="95" spans="3:6" ht="13" x14ac:dyDescent="0.25">
      <c r="C95" s="1143"/>
      <c r="D95" s="1272" t="str">
        <f ca="1">FORMULARZ!D96</f>
        <v>Nie dotyczy</v>
      </c>
      <c r="E95" s="1104" t="s">
        <v>2048</v>
      </c>
      <c r="F95" s="559" t="s">
        <v>1762</v>
      </c>
    </row>
    <row r="96" spans="3:6" ht="13" hidden="1" x14ac:dyDescent="0.25">
      <c r="C96" s="1143"/>
      <c r="D96" s="1180" t="s">
        <v>273</v>
      </c>
      <c r="F96" s="559" t="s">
        <v>1763</v>
      </c>
    </row>
    <row r="97" spans="3:6" ht="73.150000000000006" customHeight="1" x14ac:dyDescent="0.25">
      <c r="C97" s="1143"/>
      <c r="D97" s="1180" t="s">
        <v>293</v>
      </c>
    </row>
    <row r="98" spans="3:6" ht="6" customHeight="1" x14ac:dyDescent="0.25">
      <c r="C98" s="1143"/>
      <c r="D98" s="1180"/>
    </row>
    <row r="99" spans="3:6" ht="30" customHeight="1" x14ac:dyDescent="0.25">
      <c r="C99" s="491" t="s">
        <v>294</v>
      </c>
      <c r="D99" s="1181"/>
    </row>
    <row r="100" spans="3:6" ht="39" x14ac:dyDescent="0.25">
      <c r="C100" s="510" t="s">
        <v>295</v>
      </c>
      <c r="D100" s="1181" t="s">
        <v>273</v>
      </c>
    </row>
    <row r="101" spans="3:6" ht="13" x14ac:dyDescent="0.25">
      <c r="C101" s="510" t="s">
        <v>296</v>
      </c>
      <c r="D101" s="1181" t="s">
        <v>273</v>
      </c>
    </row>
    <row r="102" spans="3:6" ht="26" x14ac:dyDescent="0.25">
      <c r="C102" s="510" t="s">
        <v>297</v>
      </c>
      <c r="D102" s="1181" t="e">
        <f ca="1">"Prowizja za udzielenie pożyczki w wysokości  "&amp;FIXED(G4,2,FALSE)&amp;" zł"</f>
        <v>#N/A</v>
      </c>
    </row>
    <row r="103" spans="3:6" ht="83.5" customHeight="1" x14ac:dyDescent="0.25">
      <c r="C103" s="511" t="s">
        <v>298</v>
      </c>
      <c r="D103" s="1180" t="s">
        <v>1752</v>
      </c>
    </row>
    <row r="104" spans="3:6" ht="72.650000000000006" customHeight="1" x14ac:dyDescent="0.25">
      <c r="C104" s="1143"/>
      <c r="D104" s="1180" t="s">
        <v>1753</v>
      </c>
    </row>
    <row r="105" spans="3:6" ht="105" customHeight="1" x14ac:dyDescent="0.25">
      <c r="C105" s="1143"/>
      <c r="D105" s="1182" t="s">
        <v>1754</v>
      </c>
    </row>
    <row r="106" spans="3:6" ht="73.150000000000006" customHeight="1" x14ac:dyDescent="0.25">
      <c r="C106" s="506"/>
      <c r="D106" s="1177" t="s">
        <v>299</v>
      </c>
    </row>
    <row r="107" spans="3:6" ht="19.149999999999999" customHeight="1" x14ac:dyDescent="0.25">
      <c r="C107" s="492" t="s">
        <v>300</v>
      </c>
      <c r="D107" s="512" t="s">
        <v>273</v>
      </c>
    </row>
    <row r="108" spans="3:6" ht="114.65" customHeight="1" x14ac:dyDescent="0.25">
      <c r="C108" s="1143" t="s">
        <v>301</v>
      </c>
      <c r="D108" s="1180" t="s">
        <v>1751</v>
      </c>
    </row>
    <row r="109" spans="3:6" ht="100.15" customHeight="1" x14ac:dyDescent="0.25">
      <c r="C109" s="1143"/>
      <c r="D109" s="1182" t="s">
        <v>302</v>
      </c>
    </row>
    <row r="110" spans="3:6" ht="26" x14ac:dyDescent="0.25">
      <c r="C110" s="1143"/>
      <c r="D110" s="1272" t="str">
        <f>FORMULARZ!D111</f>
        <v>Wysokość odsetek podwyższonych na dzień sporządzenia niniejszego formularza wynosi 14,00%.</v>
      </c>
      <c r="F110" s="546" t="s">
        <v>303</v>
      </c>
    </row>
    <row r="111" spans="3:6" ht="127.9" customHeight="1" x14ac:dyDescent="0.25">
      <c r="C111" s="506"/>
      <c r="D111" s="1177" t="s">
        <v>304</v>
      </c>
    </row>
    <row r="112" spans="3:6" ht="31.9" customHeight="1" x14ac:dyDescent="0.25">
      <c r="C112" s="488" t="s">
        <v>305</v>
      </c>
      <c r="D112" s="1165"/>
    </row>
    <row r="113" spans="3:6" ht="44.5" customHeight="1" x14ac:dyDescent="0.25">
      <c r="C113" s="491" t="s">
        <v>306</v>
      </c>
      <c r="D113" s="1181" t="s">
        <v>307</v>
      </c>
    </row>
    <row r="114" spans="3:6" ht="65" x14ac:dyDescent="0.25">
      <c r="C114" s="491" t="s">
        <v>308</v>
      </c>
      <c r="D114" s="1181" t="s">
        <v>309</v>
      </c>
    </row>
    <row r="115" spans="3:6" ht="42" customHeight="1" x14ac:dyDescent="0.25">
      <c r="C115" s="491" t="s">
        <v>310</v>
      </c>
      <c r="D115" s="1181" t="s">
        <v>311</v>
      </c>
    </row>
    <row r="116" spans="3:6" ht="117" x14ac:dyDescent="0.25">
      <c r="C116" s="513" t="s">
        <v>312</v>
      </c>
      <c r="D116" s="512" t="s">
        <v>1785</v>
      </c>
    </row>
    <row r="117" spans="3:6" ht="99.65" customHeight="1" x14ac:dyDescent="0.25">
      <c r="C117" s="491" t="s">
        <v>313</v>
      </c>
      <c r="D117" s="1181" t="s">
        <v>314</v>
      </c>
    </row>
    <row r="118" spans="3:6" ht="25.15" customHeight="1" x14ac:dyDescent="0.25">
      <c r="C118" s="492" t="s">
        <v>315</v>
      </c>
      <c r="D118" s="512" t="str">
        <f ca="1">"Niniejsza informacja zachowuje ważność od "&amp;TEXT(TODAY(),"dd-mm-rrrr")&amp;" do "
&amp;TEXT(TODAY(),"dd-mm-rrrr")</f>
        <v>Niniejsza informacja zachowuje ważność od 26-06-2026 do 26-06-2026</v>
      </c>
      <c r="F118" s="546" t="s">
        <v>316</v>
      </c>
    </row>
    <row r="119" spans="3:6" ht="85.15" customHeight="1" x14ac:dyDescent="0.25">
      <c r="C119" s="1983" t="s">
        <v>317</v>
      </c>
      <c r="D119" s="1983"/>
    </row>
    <row r="120" spans="3:6" ht="183.75" customHeight="1" x14ac:dyDescent="0.25">
      <c r="C120" s="491" t="s">
        <v>2093</v>
      </c>
      <c r="D120" s="512" t="s">
        <v>2092</v>
      </c>
    </row>
    <row r="121" spans="3:6" ht="39" x14ac:dyDescent="0.25">
      <c r="C121" s="491" t="s">
        <v>320</v>
      </c>
      <c r="D121" s="1181" t="s">
        <v>2094</v>
      </c>
    </row>
    <row r="122" spans="3:6" ht="31.15" customHeight="1" x14ac:dyDescent="0.25">
      <c r="C122" s="492" t="s">
        <v>321</v>
      </c>
      <c r="D122" s="1181" t="s">
        <v>2095</v>
      </c>
    </row>
    <row r="123" spans="3:6" ht="26" x14ac:dyDescent="0.25">
      <c r="C123" s="492" t="s">
        <v>322</v>
      </c>
      <c r="D123" s="1181" t="s">
        <v>273</v>
      </c>
    </row>
    <row r="124" spans="3:6" ht="26" x14ac:dyDescent="0.25">
      <c r="C124" s="492" t="s">
        <v>323</v>
      </c>
      <c r="D124" s="1181" t="s">
        <v>273</v>
      </c>
    </row>
    <row r="125" spans="3:6" ht="26" x14ac:dyDescent="0.25">
      <c r="C125" s="492" t="s">
        <v>324</v>
      </c>
      <c r="D125" s="1183" t="s">
        <v>245</v>
      </c>
    </row>
    <row r="126" spans="3:6" ht="68.25" customHeight="1" x14ac:dyDescent="0.25">
      <c r="C126" s="491" t="s">
        <v>325</v>
      </c>
      <c r="D126" s="1181" t="s">
        <v>2119</v>
      </c>
    </row>
    <row r="127" spans="3:6" ht="69" customHeight="1" x14ac:dyDescent="0.25">
      <c r="C127" s="491" t="s">
        <v>327</v>
      </c>
      <c r="D127" s="1181" t="s">
        <v>2096</v>
      </c>
    </row>
    <row r="128" spans="3:6" ht="40.15" customHeight="1" x14ac:dyDescent="0.25">
      <c r="C128" s="1984" t="s">
        <v>328</v>
      </c>
      <c r="D128" s="1984"/>
    </row>
    <row r="129" spans="3:4" ht="184.5" customHeight="1" x14ac:dyDescent="0.25">
      <c r="C129" s="491" t="s">
        <v>329</v>
      </c>
      <c r="D129" s="1181" t="s">
        <v>2101</v>
      </c>
    </row>
    <row r="130" spans="3:4" ht="39" x14ac:dyDescent="0.25">
      <c r="C130" s="491" t="s">
        <v>330</v>
      </c>
      <c r="D130" s="1181" t="s">
        <v>2097</v>
      </c>
    </row>
    <row r="131" spans="3:4" ht="68.25" customHeight="1" x14ac:dyDescent="0.25">
      <c r="C131" s="491" t="s">
        <v>331</v>
      </c>
      <c r="D131" s="1181" t="s">
        <v>2099</v>
      </c>
    </row>
    <row r="132" spans="3:4" ht="26" x14ac:dyDescent="0.25">
      <c r="C132" s="491" t="s">
        <v>333</v>
      </c>
      <c r="D132" s="1181" t="s">
        <v>2098</v>
      </c>
    </row>
    <row r="133" spans="3:4" ht="34.15" customHeight="1" x14ac:dyDescent="0.25">
      <c r="C133" s="1984" t="s">
        <v>335</v>
      </c>
      <c r="D133" s="1984"/>
    </row>
    <row r="134" spans="3:4" ht="130" x14ac:dyDescent="0.25">
      <c r="C134" s="491" t="s">
        <v>336</v>
      </c>
      <c r="D134" s="1181" t="s">
        <v>2100</v>
      </c>
    </row>
    <row r="135" spans="3:4" ht="80.5" customHeight="1" x14ac:dyDescent="0.25">
      <c r="C135" s="523" t="s">
        <v>337</v>
      </c>
      <c r="D135" s="1184"/>
    </row>
    <row r="136" spans="3:4" ht="56.5" customHeight="1" x14ac:dyDescent="0.25">
      <c r="C136" s="1969" t="s">
        <v>338</v>
      </c>
      <c r="D136" s="1969"/>
    </row>
    <row r="137" spans="3:4" ht="24.65" customHeight="1" x14ac:dyDescent="0.25">
      <c r="C137" s="1969"/>
      <c r="D137" s="1969"/>
    </row>
    <row r="138" spans="3:4" ht="37.15" customHeight="1" x14ac:dyDescent="0.25">
      <c r="C138" s="1985" t="s">
        <v>1786</v>
      </c>
      <c r="D138" s="1985"/>
    </row>
    <row r="139" spans="3:4" ht="59.5" customHeight="1" x14ac:dyDescent="0.25">
      <c r="C139" s="1986" t="s">
        <v>339</v>
      </c>
      <c r="D139" s="1986"/>
    </row>
    <row r="140" spans="3:4" ht="148.15" customHeight="1" x14ac:dyDescent="0.25">
      <c r="C140" s="1987" t="s">
        <v>340</v>
      </c>
      <c r="D140" s="1987"/>
    </row>
    <row r="141" spans="3:4" ht="38.5" customHeight="1" x14ac:dyDescent="0.25">
      <c r="C141" s="1988" t="str">
        <f ca="1">"
Sporządzono w "&amp;D8&amp;" dnia "
&amp;TEXT(TODAY(),"dd-mm-rrrr")</f>
        <v xml:space="preserve">
Sporządzono w Katowice dnia 26-06-2026</v>
      </c>
      <c r="D141" s="1988"/>
    </row>
    <row r="195" spans="3:45" x14ac:dyDescent="0.25">
      <c r="C195" s="598" t="s">
        <v>1795</v>
      </c>
    </row>
    <row r="196" spans="3:45" x14ac:dyDescent="0.25">
      <c r="C196" s="600">
        <f>IF(OR(DODZ!T3=DODZ!T4),0,1)</f>
        <v>1</v>
      </c>
    </row>
    <row r="197" spans="3:45" x14ac:dyDescent="0.25">
      <c r="C197" s="598" t="s">
        <v>1794</v>
      </c>
    </row>
    <row r="198" spans="3:45" ht="20.5" thickBot="1" x14ac:dyDescent="0.45">
      <c r="C198" s="456" t="s">
        <v>1987</v>
      </c>
      <c r="F198" s="546">
        <f>COLUMN()-3</f>
        <v>3</v>
      </c>
    </row>
    <row r="199" spans="3:45" ht="27" thickTop="1" thickBot="1" x14ac:dyDescent="0.3">
      <c r="C199" s="459" t="s">
        <v>1741</v>
      </c>
      <c r="D199" s="1185" t="str">
        <f>D7</f>
        <v>IBOL Pożyczka 0% prowizji, stopa stała z ubezpieczeniem SILVER</v>
      </c>
      <c r="E199" s="563" t="e">
        <f ca="1">VLOOKUP($D$199,$D$202:E220,COLUMN()-3,FALSE)</f>
        <v>#N/A</v>
      </c>
      <c r="F199" s="563" t="e">
        <f ca="1">VLOOKUP($D$199,$D$202:F220,COLUMN()-3,FALSE)</f>
        <v>#N/A</v>
      </c>
      <c r="G199" s="563" t="e">
        <f ca="1">VLOOKUP($D$199,$D$202:G220,COLUMN()-3,FALSE)</f>
        <v>#N/A</v>
      </c>
      <c r="H199" s="564" t="e">
        <f ca="1">VLOOKUP($D$199,$D$202:H220,COLUMN()-3,FALSE)</f>
        <v>#N/A</v>
      </c>
      <c r="I199" s="565" t="e">
        <f ca="1">VLOOKUP($D$199,$D$202:I220,COLUMN()-3,FALSE)</f>
        <v>#N/A</v>
      </c>
      <c r="J199" s="462" t="e">
        <f ca="1">VLOOKUP($D$199,$D$202:J220,COLUMN()-3,FALSE)</f>
        <v>#N/A</v>
      </c>
      <c r="K199" s="463" t="e">
        <f ca="1">VLOOKUP($D$199,$D$202:K220,COLUMN()-3,FALSE)</f>
        <v>#N/A</v>
      </c>
      <c r="L199" s="463" t="e">
        <f ca="1">VLOOKUP($D$199,$D$202:L220,COLUMN()-3,FALSE)</f>
        <v>#N/A</v>
      </c>
      <c r="M199" s="461" t="e">
        <f ca="1">VLOOKUP($D$199,$D$202:M220,COLUMN()-3,FALSE)</f>
        <v>#N/A</v>
      </c>
      <c r="N199" s="463" t="e">
        <f ca="1">VLOOKUP($D$199,$D$202:N220,COLUMN()-3,FALSE)</f>
        <v>#N/A</v>
      </c>
      <c r="O199" s="463" t="e">
        <f ca="1">VLOOKUP($D$199,$D$202:O220,COLUMN()-3,FALSE)</f>
        <v>#N/A</v>
      </c>
      <c r="P199" s="461" t="e">
        <f ca="1">VLOOKUP($D$199,$D$202:P220,COLUMN()-3,FALSE)</f>
        <v>#N/A</v>
      </c>
      <c r="Q199" s="462" t="e">
        <f ca="1">VLOOKUP($D$199,$D$202:Q220,COLUMN()-3,FALSE)</f>
        <v>#N/A</v>
      </c>
      <c r="R199" s="461" t="e">
        <f ca="1">VLOOKUP($D$199,$D$202:R220,COLUMN()-3,FALSE)</f>
        <v>#N/A</v>
      </c>
      <c r="S199" s="461" t="e">
        <f ca="1">VLOOKUP($D$199,$D$202:S220,COLUMN()-3,FALSE)</f>
        <v>#N/A</v>
      </c>
      <c r="T199" s="461" t="e">
        <f ca="1">VLOOKUP($D$199,$D$202:T220,COLUMN()-3,FALSE)</f>
        <v>#N/A</v>
      </c>
      <c r="U199" s="462" t="e">
        <f ca="1">VLOOKUP($D$199,$D$202:U220,COLUMN()-3,FALSE)</f>
        <v>#N/A</v>
      </c>
      <c r="V199" s="461" t="e">
        <f ca="1">VLOOKUP($D$199,$D$202:V220,COLUMN()-3,FALSE)</f>
        <v>#N/A</v>
      </c>
      <c r="W199" s="461" t="e">
        <f ca="1">VLOOKUP($D$199,$D$202:W220,COLUMN()-3,FALSE)</f>
        <v>#N/A</v>
      </c>
      <c r="X199" s="461" t="e">
        <f ca="1">VLOOKUP($D$199,$D$202:X220,COLUMN()-3,FALSE)</f>
        <v>#N/A</v>
      </c>
      <c r="Y199" s="462" t="e">
        <f ca="1">VLOOKUP($D$199,$D$202:Y220,COLUMN()-3,FALSE)</f>
        <v>#N/A</v>
      </c>
      <c r="Z199" s="462" t="e">
        <f ca="1">VLOOKUP($D$199,$D$202:Z220,COLUMN()-3,FALSE)</f>
        <v>#N/A</v>
      </c>
      <c r="AA199" s="461" t="e">
        <f ca="1">VLOOKUP($D$199,$D$202:AA220,COLUMN()-3,FALSE)</f>
        <v>#N/A</v>
      </c>
      <c r="AB199" s="461" t="e">
        <f ca="1">VLOOKUP($D$199,$D$202:AB220,COLUMN()-3,FALSE)</f>
        <v>#N/A</v>
      </c>
      <c r="AC199" s="461" t="e">
        <f ca="1">VLOOKUP($D$199,$D$202:AC220,COLUMN()-3,FALSE)</f>
        <v>#N/A</v>
      </c>
      <c r="AD199" s="461" t="e">
        <f ca="1">VLOOKUP($D$199,$D$202:AD220,COLUMN()-3,FALSE)</f>
        <v>#N/A</v>
      </c>
      <c r="AE199" s="462" t="e">
        <f ca="1">VLOOKUP($D$199,$D$202:AE220,COLUMN()-3,FALSE)</f>
        <v>#N/A</v>
      </c>
      <c r="AF199" s="464" t="e">
        <f ca="1">VLOOKUP($D$199,$D$202:AF220,COLUMN()-3,FALSE)</f>
        <v>#N/A</v>
      </c>
      <c r="AG199" s="464" t="e">
        <f ca="1">VLOOKUP($D$199,$D$202:AG220,COLUMN()-3,FALSE)</f>
        <v>#N/A</v>
      </c>
    </row>
    <row r="200" spans="3:45" ht="13.5" thickTop="1" x14ac:dyDescent="0.25">
      <c r="C200" s="442" t="s">
        <v>1712</v>
      </c>
      <c r="D200" s="1186"/>
      <c r="F200" s="566" t="s">
        <v>1713</v>
      </c>
      <c r="G200" s="566"/>
      <c r="H200" s="566" t="s">
        <v>1714</v>
      </c>
      <c r="I200" s="567" t="s">
        <v>1715</v>
      </c>
      <c r="J200" s="442" t="s">
        <v>1716</v>
      </c>
      <c r="K200" s="466" t="s">
        <v>1717</v>
      </c>
      <c r="L200" s="466" t="s">
        <v>1718</v>
      </c>
      <c r="M200" s="465" t="s">
        <v>1719</v>
      </c>
      <c r="N200" s="466" t="s">
        <v>1720</v>
      </c>
      <c r="O200" s="466" t="s">
        <v>1721</v>
      </c>
      <c r="P200" s="465" t="s">
        <v>1722</v>
      </c>
      <c r="Q200" s="465" t="s">
        <v>1723</v>
      </c>
      <c r="R200" s="442"/>
      <c r="S200" s="442"/>
      <c r="T200" s="465" t="s">
        <v>1742</v>
      </c>
      <c r="U200" s="465" t="s">
        <v>1743</v>
      </c>
      <c r="V200" s="442"/>
      <c r="W200" s="442"/>
      <c r="X200" s="442" t="s">
        <v>1724</v>
      </c>
      <c r="Y200" s="442"/>
      <c r="Z200" s="442" t="s">
        <v>1725</v>
      </c>
      <c r="AA200" s="442" t="s">
        <v>1726</v>
      </c>
      <c r="AB200" s="443"/>
      <c r="AC200" s="465" t="s">
        <v>1748</v>
      </c>
      <c r="AD200" s="465" t="s">
        <v>1747</v>
      </c>
      <c r="AE200" s="465" t="s">
        <v>1745</v>
      </c>
      <c r="AF200" s="442" t="s">
        <v>1746</v>
      </c>
      <c r="AG200" s="598" t="s">
        <v>1883</v>
      </c>
    </row>
    <row r="201" spans="3:45" s="455" customFormat="1" ht="52" x14ac:dyDescent="0.25">
      <c r="C201" s="444" t="s">
        <v>1727</v>
      </c>
      <c r="D201" s="445" t="s">
        <v>1728</v>
      </c>
      <c r="E201" s="432"/>
      <c r="F201" s="568" t="s">
        <v>1729</v>
      </c>
      <c r="G201" s="568" t="s">
        <v>1730</v>
      </c>
      <c r="H201" s="569" t="s">
        <v>187</v>
      </c>
      <c r="I201" s="570" t="s">
        <v>5</v>
      </c>
      <c r="J201" s="468" t="s">
        <v>191</v>
      </c>
      <c r="K201" s="469" t="s">
        <v>200</v>
      </c>
      <c r="L201" s="469" t="s">
        <v>203</v>
      </c>
      <c r="M201" s="468" t="s">
        <v>206</v>
      </c>
      <c r="N201" s="469" t="s">
        <v>1731</v>
      </c>
      <c r="O201" s="469" t="s">
        <v>1732</v>
      </c>
      <c r="P201" s="468" t="s">
        <v>209</v>
      </c>
      <c r="Q201" s="468" t="s">
        <v>199</v>
      </c>
      <c r="R201" s="470" t="s">
        <v>1733</v>
      </c>
      <c r="S201" s="470" t="s">
        <v>1734</v>
      </c>
      <c r="T201" s="468" t="s">
        <v>198</v>
      </c>
      <c r="U201" s="468" t="s">
        <v>194</v>
      </c>
      <c r="V201" s="470" t="s">
        <v>1735</v>
      </c>
      <c r="W201" s="470" t="s">
        <v>1736</v>
      </c>
      <c r="X201" s="468" t="s">
        <v>193</v>
      </c>
      <c r="Y201" s="468" t="s">
        <v>1737</v>
      </c>
      <c r="Z201" s="468" t="s">
        <v>204</v>
      </c>
      <c r="AA201" s="468" t="s">
        <v>188</v>
      </c>
      <c r="AB201" s="468" t="s">
        <v>212</v>
      </c>
      <c r="AC201" s="468" t="s">
        <v>1749</v>
      </c>
      <c r="AD201" s="468" t="s">
        <v>215</v>
      </c>
      <c r="AE201" s="471" t="s">
        <v>1738</v>
      </c>
      <c r="AF201" s="468" t="s">
        <v>210</v>
      </c>
      <c r="AG201" s="468" t="s">
        <v>210</v>
      </c>
    </row>
    <row r="202" spans="3:45" ht="13" x14ac:dyDescent="0.3">
      <c r="C202" s="467" t="s">
        <v>197</v>
      </c>
      <c r="D202" s="1187" t="str">
        <f ca="1">IF(E202=0,"MOŻESZ DRUKOWAĆ TYLKO REPREZENTATYWNE PRZYKŁADY 
w Kalkulatorze nie ma oferty dla klienta albo zdolność pozwala na udzielenie niższej kwoty niż wnioskowana kwota pożyczki.","Oferta obliczona dla klienta")</f>
        <v>Oferta obliczona dla klienta</v>
      </c>
      <c r="E202" s="516">
        <f ca="1">IF(OR(DODZ!T3=DODZ!T4,WERSJA2!G2="BRAK OFERTY",DODZ!T5=DODZ!T10),0,1)</f>
        <v>1</v>
      </c>
      <c r="F202" s="571" t="str">
        <f>IF(WERSJA2!J9="ZMIENNE","Zmienne","Stałe")</f>
        <v>Zmienne</v>
      </c>
      <c r="G202" s="572"/>
      <c r="H202" s="1060">
        <f ca="1">H221</f>
        <v>31000</v>
      </c>
      <c r="I202" s="1061">
        <f t="shared" ref="I202:AF202" ca="1" si="0">I221</f>
        <v>8.4900000000000003E-2</v>
      </c>
      <c r="J202" s="1062">
        <f t="shared" si="0"/>
        <v>0</v>
      </c>
      <c r="K202" s="1063">
        <f t="shared" ca="1" si="0"/>
        <v>46199</v>
      </c>
      <c r="L202" s="1064">
        <f t="shared" ca="1" si="0"/>
        <v>47660</v>
      </c>
      <c r="M202" s="1065">
        <f t="shared" ca="1" si="0"/>
        <v>26</v>
      </c>
      <c r="N202" s="1064">
        <f t="shared" ca="1" si="0"/>
        <v>46199</v>
      </c>
      <c r="O202" s="1064">
        <f t="shared" ca="1" si="0"/>
        <v>46229</v>
      </c>
      <c r="P202" s="1066">
        <f t="shared" si="0"/>
        <v>48</v>
      </c>
      <c r="Q202" s="1067" t="str">
        <f t="shared" si="0"/>
        <v>NieDotyczy</v>
      </c>
      <c r="R202" s="1068">
        <f t="shared" si="0"/>
        <v>0</v>
      </c>
      <c r="S202" s="1068">
        <f t="shared" si="0"/>
        <v>0</v>
      </c>
      <c r="T202" s="1069">
        <f t="shared" ca="1" si="0"/>
        <v>0</v>
      </c>
      <c r="U202" s="1067" t="str">
        <f t="shared" si="0"/>
        <v>NieDotyczy</v>
      </c>
      <c r="V202" s="1070">
        <f t="shared" si="0"/>
        <v>0</v>
      </c>
      <c r="W202" s="1070">
        <f t="shared" si="0"/>
        <v>0</v>
      </c>
      <c r="X202" s="1071">
        <f t="shared" ca="1" si="0"/>
        <v>0</v>
      </c>
      <c r="Y202" s="1072" t="str">
        <f t="shared" si="0"/>
        <v>NIE</v>
      </c>
      <c r="Z202" s="1073" t="str">
        <f t="shared" si="0"/>
        <v>NIE</v>
      </c>
      <c r="AA202" s="1071">
        <f t="shared" ca="1" si="0"/>
        <v>31000</v>
      </c>
      <c r="AB202" s="1072">
        <f t="shared" ca="1" si="0"/>
        <v>764.1</v>
      </c>
      <c r="AC202" s="1072">
        <f t="shared" ca="1" si="0"/>
        <v>5676.7000000000016</v>
      </c>
      <c r="AD202" s="1074">
        <f t="shared" ca="1" si="0"/>
        <v>5676.7000000000016</v>
      </c>
      <c r="AE202" s="1062">
        <f t="shared" si="0"/>
        <v>8.2407822681154569E-2</v>
      </c>
      <c r="AF202" s="1075">
        <f t="shared" ca="1" si="0"/>
        <v>36676.700000000004</v>
      </c>
      <c r="AG202" s="426" t="str">
        <f>WERSJA2!D6</f>
        <v>MASS</v>
      </c>
      <c r="AH202" s="598"/>
    </row>
    <row r="203" spans="3:45" x14ac:dyDescent="0.25">
      <c r="C203" s="446" t="s">
        <v>1739</v>
      </c>
      <c r="D203" s="1284" t="str">
        <f>FORMULARZ!D204</f>
        <v>Pakiet Srebrny, Klient Stały, do 36 msc. rat</v>
      </c>
      <c r="E203" s="426">
        <f>FORMULARZ!E204</f>
        <v>1</v>
      </c>
      <c r="F203" s="1099" t="str">
        <f>FORMULARZ!F204</f>
        <v>Stałe</v>
      </c>
      <c r="G203" s="572">
        <f>FORMULARZ!G204</f>
        <v>0</v>
      </c>
      <c r="H203" s="1100">
        <f>FORMULARZ!H204</f>
        <v>2392</v>
      </c>
      <c r="I203" s="1101">
        <f>FORMULARZ!I204</f>
        <v>0.14000000000000001</v>
      </c>
      <c r="J203" s="526">
        <f>FORMULARZ!J204</f>
        <v>0.03</v>
      </c>
      <c r="K203" s="453">
        <f>FORMULARZ!K204</f>
        <v>41456</v>
      </c>
      <c r="L203" s="453">
        <f>FORMULARZ!L204</f>
        <v>42186</v>
      </c>
      <c r="M203" s="454">
        <f>FORMULARZ!M204</f>
        <v>1</v>
      </c>
      <c r="N203" s="453">
        <f>FORMULARZ!N204</f>
        <v>41456</v>
      </c>
      <c r="O203" s="453">
        <f>FORMULARZ!O204</f>
        <v>41487</v>
      </c>
      <c r="P203" s="454">
        <f>FORMULARZ!P204</f>
        <v>24</v>
      </c>
      <c r="Q203" s="452" t="str">
        <f>FORMULARZ!Q204</f>
        <v>NIE</v>
      </c>
      <c r="R203" s="448">
        <f>FORMULARZ!R204</f>
        <v>1</v>
      </c>
      <c r="S203" s="448">
        <f>FORMULARZ!S204</f>
        <v>0</v>
      </c>
      <c r="T203" s="449">
        <f>FORMULARZ!T204</f>
        <v>155.04</v>
      </c>
      <c r="U203" s="452" t="str">
        <f>FORMULARZ!U204</f>
        <v>NIE</v>
      </c>
      <c r="V203" s="448">
        <f>FORMULARZ!V204</f>
        <v>1</v>
      </c>
      <c r="W203" s="448">
        <f>FORMULARZ!W204</f>
        <v>0</v>
      </c>
      <c r="X203" s="450">
        <f>FORMULARZ!X204</f>
        <v>71.759999999999991</v>
      </c>
      <c r="Y203" s="450" t="str">
        <f>FORMULARZ!Y204</f>
        <v>NIE</v>
      </c>
      <c r="Z203" s="452" t="str">
        <f>FORMULARZ!Z204</f>
        <v>NIE</v>
      </c>
      <c r="AA203" s="450">
        <f>FORMULARZ!AA204</f>
        <v>2392</v>
      </c>
      <c r="AB203" s="520">
        <f>FORMULARZ!AB204</f>
        <v>114.88</v>
      </c>
      <c r="AC203" s="520">
        <f>FORMULARZ!AC204</f>
        <v>365.11999999999983</v>
      </c>
      <c r="AD203" s="451">
        <f>FORMULARZ!AD204</f>
        <v>591.91999999999985</v>
      </c>
      <c r="AE203" s="521">
        <f>FORMULARZ!AE204</f>
        <v>0.25335075817936342</v>
      </c>
      <c r="AF203" s="451">
        <f>FORMULARZ!AF204</f>
        <v>2983.92</v>
      </c>
      <c r="AG203" s="426" t="str">
        <f>FORMULARZ!AG204</f>
        <v>STANDARDOWA</v>
      </c>
      <c r="AH203" s="426" t="str">
        <f>FORMULARZ!AH204</f>
        <v xml:space="preserve">Z UBEZPIECZENIEM </v>
      </c>
      <c r="AI203" s="426" t="str">
        <f>FORMULARZ!AI204</f>
        <v>SILVER</v>
      </c>
      <c r="AJ203" s="426" t="str">
        <f>FORMULARZ!AJ204</f>
        <v>STANDARDOWA</v>
      </c>
      <c r="AK203" s="426">
        <f>FORMULARZ!AK204</f>
        <v>6.46</v>
      </c>
      <c r="AL203" s="426">
        <f>FORMULARZ!AL204</f>
        <v>155.04</v>
      </c>
      <c r="AM203" s="426">
        <f>FORMULARZ!AM204</f>
        <v>0</v>
      </c>
      <c r="AN203" s="426">
        <f>FORMULARZ!AN204</f>
        <v>0</v>
      </c>
      <c r="AO203" s="426">
        <f>FORMULARZ!AO204</f>
        <v>0</v>
      </c>
      <c r="AP203" s="426">
        <f>FORMULARZ!AP204</f>
        <v>0</v>
      </c>
      <c r="AQ203" s="426">
        <f>FORMULARZ!AQ204</f>
        <v>0</v>
      </c>
      <c r="AR203" s="426">
        <f>FORMULARZ!AR204</f>
        <v>0</v>
      </c>
      <c r="AS203" s="426">
        <f>FORMULARZ!AS204</f>
        <v>0</v>
      </c>
    </row>
    <row r="204" spans="3:45" x14ac:dyDescent="0.25">
      <c r="C204" s="446" t="s">
        <v>1739</v>
      </c>
      <c r="D204" s="525" t="str">
        <f>FORMULARZ!D205</f>
        <v>MEGApożyczka, 0% prowizji, poniżej  50 000 PLN stopa zmienna</v>
      </c>
      <c r="E204" s="426">
        <f>FORMULARZ!E205</f>
        <v>1</v>
      </c>
      <c r="F204" s="1099" t="str">
        <f>FORMULARZ!F205</f>
        <v>Stałe</v>
      </c>
      <c r="G204" s="572">
        <f>FORMULARZ!G205</f>
        <v>0</v>
      </c>
      <c r="H204" s="1100">
        <f>FORMULARZ!H205</f>
        <v>34198.82</v>
      </c>
      <c r="I204" s="1101">
        <f>FORMULARZ!I205</f>
        <v>0.123</v>
      </c>
      <c r="J204" s="526">
        <f>FORMULARZ!J205</f>
        <v>0</v>
      </c>
      <c r="K204" s="453">
        <f>FORMULARZ!K205</f>
        <v>41456</v>
      </c>
      <c r="L204" s="453">
        <f>FORMULARZ!L205</f>
        <v>43405</v>
      </c>
      <c r="M204" s="454">
        <f>FORMULARZ!M205</f>
        <v>1</v>
      </c>
      <c r="N204" s="453">
        <f>FORMULARZ!N205</f>
        <v>41456</v>
      </c>
      <c r="O204" s="453">
        <f>FORMULARZ!O205</f>
        <v>41487</v>
      </c>
      <c r="P204" s="454">
        <f>FORMULARZ!P205</f>
        <v>64</v>
      </c>
      <c r="Q204" s="452" t="str">
        <f>FORMULARZ!Q205</f>
        <v>NieDotyczy</v>
      </c>
      <c r="R204" s="448">
        <f>FORMULARZ!R205</f>
        <v>0</v>
      </c>
      <c r="S204" s="448">
        <f>FORMULARZ!S205</f>
        <v>0</v>
      </c>
      <c r="T204" s="449">
        <f>FORMULARZ!T205</f>
        <v>0</v>
      </c>
      <c r="U204" s="452" t="str">
        <f>FORMULARZ!U205</f>
        <v>NieDotyczy</v>
      </c>
      <c r="V204" s="448">
        <f>FORMULARZ!V205</f>
        <v>0</v>
      </c>
      <c r="W204" s="448">
        <f>FORMULARZ!W205</f>
        <v>0</v>
      </c>
      <c r="X204" s="450">
        <f>FORMULARZ!X205</f>
        <v>0</v>
      </c>
      <c r="Y204" s="450" t="str">
        <f>FORMULARZ!Y205</f>
        <v>NIE</v>
      </c>
      <c r="Z204" s="452" t="str">
        <f>FORMULARZ!Z205</f>
        <v>NIE</v>
      </c>
      <c r="AA204" s="450">
        <f>FORMULARZ!AA205</f>
        <v>34198.82</v>
      </c>
      <c r="AB204" s="518">
        <f>FORMULARZ!AB205</f>
        <v>731.57</v>
      </c>
      <c r="AC204" s="518">
        <f>FORMULARZ!AC205</f>
        <v>12622.019999999999</v>
      </c>
      <c r="AD204" s="451">
        <f>FORMULARZ!AD205</f>
        <v>12622.019999999999</v>
      </c>
      <c r="AE204" s="519">
        <f>FORMULARZ!AE205</f>
        <v>0.13023247760563225</v>
      </c>
      <c r="AF204" s="451">
        <f>FORMULARZ!AF205</f>
        <v>46820.84</v>
      </c>
      <c r="AG204" s="426">
        <f>FORMULARZ!AG205</f>
        <v>0</v>
      </c>
      <c r="AH204" s="426" t="str">
        <f>FORMULARZ!AH205</f>
        <v>BEZ UBEZPIECZENIA</v>
      </c>
      <c r="AI204" s="426" t="str">
        <f>FORMULARZ!AI205</f>
        <v>Jednorazowe</v>
      </c>
      <c r="AJ204" s="426" t="str">
        <f>FORMULARZ!AJ205</f>
        <v>0%_MEGA_POŻYCZKA</v>
      </c>
      <c r="AK204" s="426">
        <f>FORMULARZ!AK205</f>
        <v>0</v>
      </c>
      <c r="AL204" s="426">
        <f>FORMULARZ!AL205</f>
        <v>0</v>
      </c>
      <c r="AM204" s="426">
        <f>FORMULARZ!AM205</f>
        <v>0</v>
      </c>
      <c r="AN204" s="426">
        <f>FORMULARZ!AN205</f>
        <v>0</v>
      </c>
      <c r="AO204" s="426">
        <f>FORMULARZ!AO205</f>
        <v>0</v>
      </c>
      <c r="AP204" s="426">
        <f>FORMULARZ!AP205</f>
        <v>0</v>
      </c>
      <c r="AQ204" s="426">
        <f>FORMULARZ!AQ205</f>
        <v>0</v>
      </c>
      <c r="AR204" s="426">
        <f>FORMULARZ!AR205</f>
        <v>0</v>
      </c>
      <c r="AS204" s="426">
        <f>FORMULARZ!AS205</f>
        <v>0</v>
      </c>
    </row>
    <row r="205" spans="3:45" x14ac:dyDescent="0.25">
      <c r="C205" s="446" t="s">
        <v>1739</v>
      </c>
      <c r="D205" s="602" t="str">
        <f>FORMULARZ!D206</f>
        <v>Pożyczka z zabezpieczeniem, 0% prowizji, Klient Stały</v>
      </c>
      <c r="E205" s="426">
        <f>FORMULARZ!E206</f>
        <v>1</v>
      </c>
      <c r="F205" s="1099" t="str">
        <f>FORMULARZ!F206</f>
        <v>Stałe</v>
      </c>
      <c r="G205" s="572">
        <f>FORMULARZ!G206</f>
        <v>0</v>
      </c>
      <c r="H205" s="1100">
        <f>FORMULARZ!H206</f>
        <v>157947</v>
      </c>
      <c r="I205" s="1101">
        <f>FORMULARZ!I206</f>
        <v>0.115</v>
      </c>
      <c r="J205" s="526">
        <f>FORMULARZ!J206</f>
        <v>1.4999999999999999E-2</v>
      </c>
      <c r="K205" s="453">
        <f>FORMULARZ!K206</f>
        <v>41445</v>
      </c>
      <c r="L205" s="527">
        <f>FORMULARZ!L206</f>
        <v>42055</v>
      </c>
      <c r="M205" s="528">
        <f>FORMULARZ!M206</f>
        <v>20</v>
      </c>
      <c r="N205" s="453">
        <f>FORMULARZ!N206</f>
        <v>41445</v>
      </c>
      <c r="O205" s="527">
        <f>FORMULARZ!O206</f>
        <v>41475</v>
      </c>
      <c r="P205" s="528">
        <f>FORMULARZ!P206</f>
        <v>20</v>
      </c>
      <c r="Q205" s="524" t="str">
        <f>FORMULARZ!Q206</f>
        <v>NieDotyczy</v>
      </c>
      <c r="R205" s="448">
        <f>FORMULARZ!R206</f>
        <v>0</v>
      </c>
      <c r="S205" s="448">
        <f>FORMULARZ!S206</f>
        <v>0</v>
      </c>
      <c r="T205" s="449">
        <f>FORMULARZ!T206</f>
        <v>0</v>
      </c>
      <c r="U205" s="524" t="str">
        <f>FORMULARZ!U206</f>
        <v>NieDotyczy</v>
      </c>
      <c r="V205" s="448">
        <f>FORMULARZ!V206</f>
        <v>1</v>
      </c>
      <c r="W205" s="448">
        <f>FORMULARZ!W206</f>
        <v>0</v>
      </c>
      <c r="X205" s="450">
        <f>FORMULARZ!X206</f>
        <v>2369.2049999999999</v>
      </c>
      <c r="Y205" s="450" t="str">
        <f>FORMULARZ!Y206</f>
        <v>NIE</v>
      </c>
      <c r="Z205" s="524" t="str">
        <f>FORMULARZ!Z206</f>
        <v>NIE</v>
      </c>
      <c r="AA205" s="450">
        <f>FORMULARZ!AA206</f>
        <v>157947</v>
      </c>
      <c r="AB205" s="532">
        <f>FORMULARZ!AB206</f>
        <v>8717.14</v>
      </c>
      <c r="AC205" s="529">
        <f>FORMULARZ!AC206</f>
        <v>16395.799999999988</v>
      </c>
      <c r="AD205" s="451">
        <f>FORMULARZ!AD206</f>
        <v>18765.00499999999</v>
      </c>
      <c r="AE205" s="530">
        <f>FORMULARZ!AE206</f>
        <v>0.14143031030359993</v>
      </c>
      <c r="AF205" s="451">
        <f>FORMULARZ!AF206</f>
        <v>176712.005</v>
      </c>
      <c r="AG205" s="426">
        <f>FORMULARZ!AG206</f>
        <v>0</v>
      </c>
      <c r="AH205" s="426" t="str">
        <f>FORMULARZ!AH206</f>
        <v>BEZ UBEZPIECZENIA</v>
      </c>
      <c r="AI205" s="426" t="str">
        <f>FORMULARZ!AI206</f>
        <v>Jednorazowe</v>
      </c>
      <c r="AJ205" s="426" t="str">
        <f>FORMULARZ!AJ206</f>
        <v>STANDARDOWA</v>
      </c>
      <c r="AK205" s="426">
        <f>FORMULARZ!AK206</f>
        <v>0</v>
      </c>
      <c r="AL205" s="426">
        <f>FORMULARZ!AL206</f>
        <v>0</v>
      </c>
      <c r="AM205" s="426">
        <f>FORMULARZ!AM206</f>
        <v>0</v>
      </c>
      <c r="AN205" s="426">
        <f>FORMULARZ!AN206</f>
        <v>0</v>
      </c>
      <c r="AO205" s="426">
        <f>FORMULARZ!AO206</f>
        <v>0</v>
      </c>
      <c r="AP205" s="426">
        <f>FORMULARZ!AP206</f>
        <v>0</v>
      </c>
      <c r="AQ205" s="426">
        <f>FORMULARZ!AQ206</f>
        <v>0</v>
      </c>
      <c r="AR205" s="426">
        <f>FORMULARZ!AR206</f>
        <v>0</v>
      </c>
      <c r="AS205" s="426">
        <f>FORMULARZ!AS206</f>
        <v>0</v>
      </c>
    </row>
    <row r="206" spans="3:45" x14ac:dyDescent="0.25">
      <c r="C206" s="446" t="s">
        <v>1739</v>
      </c>
      <c r="D206" s="525" t="str">
        <f>FORMULARZ!D207</f>
        <v>Pakiet Zloty, Klient Stały, do 36 msc. rat</v>
      </c>
      <c r="E206" s="426">
        <f>FORMULARZ!E207</f>
        <v>1</v>
      </c>
      <c r="F206" s="1099" t="str">
        <f>FORMULARZ!F207</f>
        <v>Stałe</v>
      </c>
      <c r="G206" s="572">
        <f>FORMULARZ!G207</f>
        <v>0</v>
      </c>
      <c r="H206" s="1100">
        <f>FORMULARZ!H207</f>
        <v>2392</v>
      </c>
      <c r="I206" s="1101">
        <f>FORMULARZ!I207</f>
        <v>0.14000000000000001</v>
      </c>
      <c r="J206" s="526">
        <f>FORMULARZ!J207</f>
        <v>0.03</v>
      </c>
      <c r="K206" s="453">
        <f>FORMULARZ!K207</f>
        <v>41456</v>
      </c>
      <c r="L206" s="527">
        <f>FORMULARZ!L207</f>
        <v>42186</v>
      </c>
      <c r="M206" s="528">
        <f>FORMULARZ!M207</f>
        <v>1</v>
      </c>
      <c r="N206" s="453">
        <f>FORMULARZ!N207</f>
        <v>41456</v>
      </c>
      <c r="O206" s="453">
        <f>FORMULARZ!O207</f>
        <v>41487</v>
      </c>
      <c r="P206" s="528">
        <f>FORMULARZ!P207</f>
        <v>24</v>
      </c>
      <c r="Q206" s="524" t="str">
        <f>FORMULARZ!Q207</f>
        <v>NIE</v>
      </c>
      <c r="R206" s="448">
        <f>FORMULARZ!R207</f>
        <v>1</v>
      </c>
      <c r="S206" s="448">
        <f>FORMULARZ!S207</f>
        <v>0</v>
      </c>
      <c r="T206" s="449">
        <f>FORMULARZ!T207</f>
        <v>155.04</v>
      </c>
      <c r="U206" s="524" t="str">
        <f>FORMULARZ!U207</f>
        <v>NIE</v>
      </c>
      <c r="V206" s="448">
        <f>FORMULARZ!V207</f>
        <v>1</v>
      </c>
      <c r="W206" s="448">
        <f>FORMULARZ!W207</f>
        <v>0</v>
      </c>
      <c r="X206" s="450">
        <f>FORMULARZ!X207</f>
        <v>71.759999999999991</v>
      </c>
      <c r="Y206" s="450" t="str">
        <f>FORMULARZ!Y207</f>
        <v>NIE</v>
      </c>
      <c r="Z206" s="524" t="str">
        <f>FORMULARZ!Z207</f>
        <v>NIE</v>
      </c>
      <c r="AA206" s="450">
        <f>FORMULARZ!AA207</f>
        <v>2392</v>
      </c>
      <c r="AB206" s="520">
        <f>FORMULARZ!AB207</f>
        <v>114.88</v>
      </c>
      <c r="AC206" s="520">
        <f>FORMULARZ!AC207</f>
        <v>365.11999999999983</v>
      </c>
      <c r="AD206" s="451">
        <f>FORMULARZ!AD207</f>
        <v>591.91999999999985</v>
      </c>
      <c r="AE206" s="1146">
        <f>FORMULARZ!AE207</f>
        <v>0.25335075817936342</v>
      </c>
      <c r="AF206" s="451">
        <f>FORMULARZ!AF207</f>
        <v>2983.92</v>
      </c>
      <c r="AG206" s="426" t="str">
        <f>FORMULARZ!AG207</f>
        <v>STANDARDOWA</v>
      </c>
      <c r="AH206" s="426" t="str">
        <f>FORMULARZ!AH207</f>
        <v xml:space="preserve">Z UBEZPIECZENIEM </v>
      </c>
      <c r="AI206" s="426" t="str">
        <f>FORMULARZ!AI207</f>
        <v>GOLD</v>
      </c>
      <c r="AJ206" s="426" t="str">
        <f>FORMULARZ!AJ207</f>
        <v>STANDARDOWA</v>
      </c>
      <c r="AK206" s="426">
        <f>FORMULARZ!AK207</f>
        <v>6.46</v>
      </c>
      <c r="AL206" s="426">
        <f>FORMULARZ!AL207</f>
        <v>155.04</v>
      </c>
      <c r="AM206" s="426">
        <f>FORMULARZ!AM207</f>
        <v>0</v>
      </c>
      <c r="AN206" s="426">
        <f>FORMULARZ!AN207</f>
        <v>0</v>
      </c>
      <c r="AO206" s="426">
        <f>FORMULARZ!AO207</f>
        <v>0</v>
      </c>
      <c r="AP206" s="426">
        <f>FORMULARZ!AP207</f>
        <v>0</v>
      </c>
      <c r="AQ206" s="426">
        <f>FORMULARZ!AQ207</f>
        <v>0</v>
      </c>
      <c r="AR206" s="426">
        <f>FORMULARZ!AR207</f>
        <v>0</v>
      </c>
      <c r="AS206" s="426">
        <f>FORMULARZ!AS207</f>
        <v>0</v>
      </c>
    </row>
    <row r="207" spans="3:45" s="1307" customFormat="1" x14ac:dyDescent="0.25">
      <c r="C207" s="1297"/>
      <c r="D207" s="1298"/>
      <c r="F207" s="1308"/>
      <c r="G207" s="1309"/>
      <c r="H207" s="1299"/>
      <c r="I207" s="1300"/>
      <c r="J207" s="1146"/>
      <c r="K207" s="1301"/>
      <c r="L207" s="1302"/>
      <c r="M207" s="1310"/>
      <c r="N207" s="1301"/>
      <c r="O207" s="1301"/>
      <c r="P207" s="1310"/>
      <c r="Q207" s="1298"/>
      <c r="R207" s="1303"/>
      <c r="S207" s="1303"/>
      <c r="T207" s="1311"/>
      <c r="U207" s="1298"/>
      <c r="V207" s="1303"/>
      <c r="W207" s="1303"/>
      <c r="X207" s="1304"/>
      <c r="Y207" s="1304"/>
      <c r="Z207" s="1298"/>
      <c r="AA207" s="1304"/>
      <c r="AB207" s="520"/>
      <c r="AC207" s="520"/>
      <c r="AD207" s="1305"/>
      <c r="AE207" s="1146"/>
      <c r="AF207" s="1305"/>
    </row>
    <row r="208" spans="3:45" s="1312" customFormat="1" ht="13" x14ac:dyDescent="0.3">
      <c r="C208" s="1306"/>
      <c r="D208" s="1298"/>
      <c r="F208" s="1308"/>
      <c r="G208" s="1313"/>
      <c r="H208" s="1314"/>
      <c r="I208" s="1315"/>
      <c r="J208" s="1316"/>
      <c r="K208" s="1317"/>
      <c r="L208" s="1318"/>
      <c r="M208" s="1319"/>
      <c r="N208" s="1320"/>
      <c r="O208" s="1318"/>
      <c r="P208" s="1319"/>
      <c r="Q208" s="1321"/>
      <c r="R208" s="1322"/>
      <c r="S208" s="1322"/>
      <c r="T208" s="1323"/>
      <c r="U208" s="1321"/>
      <c r="V208" s="1322"/>
      <c r="W208" s="1322"/>
      <c r="X208" s="1324"/>
      <c r="Y208" s="1324"/>
      <c r="Z208" s="1321"/>
      <c r="AA208" s="1324"/>
      <c r="AB208" s="1325"/>
      <c r="AC208" s="1325"/>
      <c r="AD208" s="1326"/>
      <c r="AE208" s="1316"/>
      <c r="AF208" s="1326"/>
    </row>
    <row r="209" spans="3:61 14290:16384" s="430" customFormat="1" ht="13" x14ac:dyDescent="0.3">
      <c r="C209" s="579" t="s">
        <v>1739</v>
      </c>
      <c r="D209" s="1097" t="str">
        <f>FORMULARZ!D210</f>
        <v>IBOL Pożyczka 0% prowizji, stopa stała z ubezpieczeniem PAKIET SREBRNY</v>
      </c>
      <c r="E209" s="430">
        <f>FORMULARZ!E210</f>
        <v>1</v>
      </c>
      <c r="F209" s="581" t="str">
        <f>FORMULARZ!F210</f>
        <v>Stałe</v>
      </c>
      <c r="G209" s="571">
        <f>FORMULARZ!G210</f>
        <v>0</v>
      </c>
      <c r="H209" s="583">
        <f>FORMULARZ!H210</f>
        <v>4797</v>
      </c>
      <c r="I209" s="584">
        <f>FORMULARZ!I210</f>
        <v>0.12</v>
      </c>
      <c r="J209" s="585">
        <f>FORMULARZ!J210</f>
        <v>0</v>
      </c>
      <c r="K209" s="586">
        <f>FORMULARZ!K210</f>
        <v>41456</v>
      </c>
      <c r="L209" s="587">
        <f>FORMULARZ!L210</f>
        <v>42430</v>
      </c>
      <c r="M209" s="588">
        <f>FORMULARZ!M210</f>
        <v>1</v>
      </c>
      <c r="N209" s="589">
        <f>FORMULARZ!N210</f>
        <v>41456</v>
      </c>
      <c r="O209" s="587">
        <f>FORMULARZ!O210</f>
        <v>41487</v>
      </c>
      <c r="P209" s="588">
        <f>FORMULARZ!P210</f>
        <v>32</v>
      </c>
      <c r="Q209" s="580" t="str">
        <f>FORMULARZ!Q210</f>
        <v>NIE</v>
      </c>
      <c r="R209" s="590">
        <f>FORMULARZ!R210</f>
        <v>1</v>
      </c>
      <c r="S209" s="590">
        <f>FORMULARZ!S210</f>
        <v>0</v>
      </c>
      <c r="T209" s="591">
        <f>FORMULARZ!T210</f>
        <v>414.4</v>
      </c>
      <c r="U209" s="580" t="str">
        <f>FORMULARZ!U210</f>
        <v>NieDotyczy</v>
      </c>
      <c r="V209" s="590">
        <f>FORMULARZ!V210</f>
        <v>0</v>
      </c>
      <c r="W209" s="590">
        <f>FORMULARZ!W210</f>
        <v>0</v>
      </c>
      <c r="X209" s="592">
        <f>FORMULARZ!X210</f>
        <v>0</v>
      </c>
      <c r="Y209" s="592" t="str">
        <f>FORMULARZ!Y210</f>
        <v>NIE</v>
      </c>
      <c r="Z209" s="580" t="str">
        <f>FORMULARZ!Z210</f>
        <v>NIE</v>
      </c>
      <c r="AA209" s="592">
        <f>FORMULARZ!AA210</f>
        <v>4797</v>
      </c>
      <c r="AB209" s="593">
        <f>FORMULARZ!AB210</f>
        <v>175.96</v>
      </c>
      <c r="AC209" s="593">
        <f>FORMULARZ!AC210</f>
        <v>833.57999999999993</v>
      </c>
      <c r="AD209" s="594">
        <f>FORMULARZ!AD210</f>
        <v>1247.98</v>
      </c>
      <c r="AE209" s="595">
        <f>FORMULARZ!AE210</f>
        <v>0.19057527478781019</v>
      </c>
      <c r="AF209" s="594">
        <f>FORMULARZ!AF210</f>
        <v>6044.98</v>
      </c>
      <c r="AG209" s="430">
        <f>FORMULARZ!AG210</f>
        <v>0</v>
      </c>
      <c r="AH209" s="430" t="str">
        <f>FORMULARZ!AH210</f>
        <v xml:space="preserve">Z UBEZPIECZENIEM </v>
      </c>
      <c r="AI209" s="430" t="str">
        <f>FORMULARZ!AI210</f>
        <v>SILVER</v>
      </c>
      <c r="AJ209" s="430" t="str">
        <f>FORMULARZ!AJ210</f>
        <v>Szybka Pożyczka</v>
      </c>
      <c r="AK209" s="430">
        <f>FORMULARZ!AK210</f>
        <v>12.95</v>
      </c>
      <c r="AL209" s="430">
        <f>FORMULARZ!AL210</f>
        <v>414.4</v>
      </c>
      <c r="AM209" s="430">
        <f>FORMULARZ!AM210</f>
        <v>0</v>
      </c>
      <c r="AN209" s="430">
        <f>FORMULARZ!AN210</f>
        <v>0</v>
      </c>
      <c r="AO209" s="430">
        <f>FORMULARZ!AO210</f>
        <v>0</v>
      </c>
      <c r="AP209" s="430">
        <f>FORMULARZ!AP210</f>
        <v>0</v>
      </c>
      <c r="AQ209" s="430">
        <f>FORMULARZ!AQ210</f>
        <v>0</v>
      </c>
      <c r="AR209" s="430">
        <f>FORMULARZ!AR210</f>
        <v>0</v>
      </c>
      <c r="AS209" s="430">
        <f>FORMULARZ!AS210</f>
        <v>0</v>
      </c>
    </row>
    <row r="210" spans="3:61 14290:16384" ht="13" x14ac:dyDescent="0.3">
      <c r="C210" s="446" t="s">
        <v>1739</v>
      </c>
      <c r="D210" s="1097" t="str">
        <f>FORMULARZ!D211</f>
        <v>IBOL Pożyczka 0% prowizji, stopa stała z ubezpieczeniem PAKIET ZŁOTY</v>
      </c>
      <c r="E210" s="426">
        <v>1</v>
      </c>
      <c r="F210" s="581" t="str">
        <f>FORMULARZ!F211</f>
        <v>Stałe</v>
      </c>
      <c r="G210" s="571">
        <f>FORMULARZ!G211</f>
        <v>0</v>
      </c>
      <c r="H210" s="583">
        <f>FORMULARZ!H211</f>
        <v>4797</v>
      </c>
      <c r="I210" s="584">
        <f>FORMULARZ!I211</f>
        <v>0.12</v>
      </c>
      <c r="J210" s="585">
        <f>FORMULARZ!J211</f>
        <v>0</v>
      </c>
      <c r="K210" s="586">
        <f>FORMULARZ!K211</f>
        <v>41456</v>
      </c>
      <c r="L210" s="587">
        <f>FORMULARZ!L211</f>
        <v>42430</v>
      </c>
      <c r="M210" s="588">
        <f>FORMULARZ!M211</f>
        <v>1</v>
      </c>
      <c r="N210" s="589">
        <f>FORMULARZ!N211</f>
        <v>41456</v>
      </c>
      <c r="O210" s="587">
        <f>FORMULARZ!O211</f>
        <v>41487</v>
      </c>
      <c r="P210" s="588">
        <f>FORMULARZ!P211</f>
        <v>32</v>
      </c>
      <c r="Q210" s="580" t="str">
        <f>FORMULARZ!Q211</f>
        <v>NIE</v>
      </c>
      <c r="R210" s="590">
        <f>FORMULARZ!R211</f>
        <v>1</v>
      </c>
      <c r="S210" s="590">
        <f>FORMULARZ!S211</f>
        <v>0</v>
      </c>
      <c r="T210" s="591">
        <f>FORMULARZ!T211</f>
        <v>414.4</v>
      </c>
      <c r="U210" s="580" t="str">
        <f>FORMULARZ!U211</f>
        <v>NieDotyczy</v>
      </c>
      <c r="V210" s="590">
        <f>FORMULARZ!V211</f>
        <v>0</v>
      </c>
      <c r="W210" s="590">
        <f>FORMULARZ!W211</f>
        <v>0</v>
      </c>
      <c r="X210" s="592">
        <f>FORMULARZ!X211</f>
        <v>0</v>
      </c>
      <c r="Y210" s="592" t="str">
        <f>FORMULARZ!Y211</f>
        <v>NIE</v>
      </c>
      <c r="Z210" s="580" t="str">
        <f>FORMULARZ!Z211</f>
        <v>NIE</v>
      </c>
      <c r="AA210" s="592">
        <f>FORMULARZ!AA211</f>
        <v>4797</v>
      </c>
      <c r="AB210" s="593">
        <f>FORMULARZ!AB211</f>
        <v>175.96</v>
      </c>
      <c r="AC210" s="593">
        <f>FORMULARZ!AC211</f>
        <v>833.57999999999993</v>
      </c>
      <c r="AD210" s="594">
        <f>FORMULARZ!AD211</f>
        <v>1247.98</v>
      </c>
      <c r="AE210" s="595">
        <f>FORMULARZ!AE211</f>
        <v>0.19057527478781019</v>
      </c>
      <c r="AF210" s="594">
        <f>FORMULARZ!AF211</f>
        <v>6044.98</v>
      </c>
      <c r="AG210" s="430">
        <f>FORMULARZ!AG211</f>
        <v>0</v>
      </c>
      <c r="AH210" s="430" t="str">
        <f>FORMULARZ!AH211</f>
        <v xml:space="preserve">Z UBEZPIECZENIEM </v>
      </c>
      <c r="AI210" s="430" t="str">
        <f>FORMULARZ!AI211</f>
        <v>GOLD</v>
      </c>
      <c r="AJ210" s="430" t="str">
        <f>FORMULARZ!AJ211</f>
        <v>Szybka Pożyczka</v>
      </c>
      <c r="AK210" s="430">
        <f>FORMULARZ!AK211</f>
        <v>12.95</v>
      </c>
      <c r="AL210" s="430">
        <f>FORMULARZ!AL211</f>
        <v>414.4</v>
      </c>
      <c r="AM210" s="430">
        <f>FORMULARZ!AM211</f>
        <v>0</v>
      </c>
      <c r="AN210" s="430">
        <f>FORMULARZ!AN211</f>
        <v>0</v>
      </c>
      <c r="AO210" s="430">
        <f>FORMULARZ!AO211</f>
        <v>0</v>
      </c>
      <c r="AP210" s="430">
        <f>FORMULARZ!AP211</f>
        <v>0</v>
      </c>
      <c r="AQ210" s="430">
        <f>FORMULARZ!AQ211</f>
        <v>0</v>
      </c>
      <c r="AR210" s="430">
        <f>FORMULARZ!AR211</f>
        <v>0</v>
      </c>
      <c r="AS210" s="430">
        <f>FORMULARZ!AS211</f>
        <v>0</v>
      </c>
    </row>
    <row r="211" spans="3:61 14290:16384" x14ac:dyDescent="0.25">
      <c r="C211" s="446" t="s">
        <v>1739</v>
      </c>
      <c r="D211" s="1098" t="s">
        <v>47</v>
      </c>
      <c r="E211" s="426">
        <v>1</v>
      </c>
      <c r="F211" s="573"/>
      <c r="G211" s="574"/>
      <c r="H211" s="575"/>
      <c r="I211" s="576"/>
      <c r="J211" s="526"/>
      <c r="K211" s="447"/>
      <c r="L211" s="527"/>
      <c r="M211" s="528"/>
      <c r="N211" s="453"/>
      <c r="O211" s="527"/>
      <c r="P211" s="528"/>
      <c r="Q211" s="524"/>
      <c r="R211" s="448"/>
      <c r="S211" s="448"/>
      <c r="T211" s="449"/>
      <c r="U211" s="524"/>
      <c r="V211" s="448"/>
      <c r="W211" s="448"/>
      <c r="X211" s="450"/>
      <c r="Y211" s="450"/>
      <c r="Z211" s="524"/>
      <c r="AA211" s="450"/>
      <c r="AB211" s="529"/>
      <c r="AC211" s="529"/>
      <c r="AD211" s="451"/>
      <c r="AE211" s="530"/>
      <c r="AF211" s="451"/>
    </row>
    <row r="212" spans="3:61 14290:16384" x14ac:dyDescent="0.25">
      <c r="C212" s="446" t="s">
        <v>1739</v>
      </c>
      <c r="D212" s="1098" t="s">
        <v>47</v>
      </c>
      <c r="E212" s="426">
        <v>1</v>
      </c>
      <c r="F212" s="573"/>
      <c r="G212" s="574"/>
      <c r="H212" s="575"/>
      <c r="I212" s="576"/>
      <c r="J212" s="526"/>
      <c r="K212" s="447"/>
      <c r="L212" s="527"/>
      <c r="M212" s="528"/>
      <c r="N212" s="453"/>
      <c r="O212" s="527"/>
      <c r="P212" s="528"/>
      <c r="Q212" s="524"/>
      <c r="R212" s="448"/>
      <c r="S212" s="448"/>
      <c r="T212" s="449"/>
      <c r="U212" s="524"/>
      <c r="V212" s="448"/>
      <c r="W212" s="448"/>
      <c r="X212" s="450"/>
      <c r="Y212" s="450"/>
      <c r="Z212" s="524"/>
      <c r="AA212" s="450"/>
      <c r="AB212" s="529"/>
      <c r="AC212" s="529"/>
      <c r="AD212" s="451"/>
      <c r="AE212" s="530"/>
      <c r="AF212" s="451"/>
    </row>
    <row r="213" spans="3:61 14290:16384" x14ac:dyDescent="0.25">
      <c r="C213" s="446" t="s">
        <v>1739</v>
      </c>
      <c r="D213" s="1098" t="s">
        <v>47</v>
      </c>
      <c r="E213" s="426">
        <v>1</v>
      </c>
      <c r="F213" s="573"/>
      <c r="G213" s="574"/>
      <c r="H213" s="575"/>
      <c r="I213" s="576"/>
      <c r="J213" s="526"/>
      <c r="K213" s="447"/>
      <c r="L213" s="527"/>
      <c r="M213" s="528"/>
      <c r="N213" s="453"/>
      <c r="O213" s="527"/>
      <c r="P213" s="528"/>
      <c r="Q213" s="524"/>
      <c r="R213" s="448"/>
      <c r="S213" s="448"/>
      <c r="T213" s="449"/>
      <c r="U213" s="524"/>
      <c r="V213" s="448"/>
      <c r="W213" s="448"/>
      <c r="X213" s="450"/>
      <c r="Y213" s="450"/>
      <c r="Z213" s="524"/>
      <c r="AA213" s="450"/>
      <c r="AB213" s="529"/>
      <c r="AC213" s="529"/>
      <c r="AD213" s="451"/>
      <c r="AE213" s="530"/>
      <c r="AF213" s="451"/>
    </row>
    <row r="214" spans="3:61 14290:16384" x14ac:dyDescent="0.25">
      <c r="C214" s="446" t="s">
        <v>1739</v>
      </c>
      <c r="D214" s="1098" t="s">
        <v>47</v>
      </c>
      <c r="E214" s="426">
        <v>1</v>
      </c>
      <c r="F214" s="573"/>
      <c r="G214" s="574"/>
      <c r="H214" s="575"/>
      <c r="I214" s="576"/>
      <c r="J214" s="526"/>
      <c r="K214" s="447"/>
      <c r="L214" s="527"/>
      <c r="M214" s="528"/>
      <c r="N214" s="453"/>
      <c r="O214" s="527"/>
      <c r="P214" s="528"/>
      <c r="Q214" s="524"/>
      <c r="R214" s="448"/>
      <c r="S214" s="448"/>
      <c r="T214" s="449"/>
      <c r="U214" s="524"/>
      <c r="V214" s="448"/>
      <c r="W214" s="448"/>
      <c r="X214" s="450"/>
      <c r="Y214" s="450"/>
      <c r="Z214" s="524"/>
      <c r="AA214" s="450"/>
      <c r="AB214" s="529"/>
      <c r="AC214" s="529"/>
      <c r="AD214" s="451"/>
      <c r="AE214" s="530"/>
      <c r="AF214" s="451"/>
    </row>
    <row r="215" spans="3:61 14290:16384" s="531" customFormat="1" x14ac:dyDescent="0.25">
      <c r="C215" s="426" t="s">
        <v>1739</v>
      </c>
      <c r="D215" s="1189" t="s">
        <v>47</v>
      </c>
      <c r="E215" s="446">
        <v>1</v>
      </c>
      <c r="F215" s="525"/>
      <c r="G215" s="426"/>
      <c r="H215" s="573"/>
      <c r="I215" s="574"/>
      <c r="J215" s="575"/>
      <c r="K215" s="576"/>
      <c r="L215" s="526"/>
      <c r="M215" s="447"/>
      <c r="N215" s="527"/>
      <c r="O215" s="528"/>
      <c r="P215" s="453"/>
      <c r="Q215" s="527"/>
      <c r="R215" s="528"/>
      <c r="S215" s="524"/>
      <c r="T215" s="448"/>
      <c r="U215" s="448"/>
      <c r="V215" s="449"/>
      <c r="W215" s="524"/>
      <c r="X215" s="448"/>
      <c r="Y215" s="448"/>
      <c r="Z215" s="450"/>
      <c r="AA215" s="450"/>
      <c r="AB215" s="533"/>
      <c r="AC215" s="450"/>
      <c r="AD215" s="529"/>
      <c r="AE215" s="529"/>
      <c r="AF215" s="451"/>
      <c r="UCP215" s="426"/>
      <c r="UCQ215" s="426"/>
      <c r="UCR215" s="426"/>
      <c r="UCS215" s="426"/>
      <c r="UCT215" s="426"/>
      <c r="UCU215" s="426"/>
      <c r="UCV215" s="426"/>
      <c r="UCW215" s="426"/>
      <c r="UCX215" s="426"/>
      <c r="UCY215" s="426"/>
      <c r="UCZ215" s="426"/>
      <c r="UDA215" s="426"/>
      <c r="UDB215" s="426"/>
      <c r="UDC215" s="426"/>
      <c r="UDD215" s="426"/>
      <c r="UDE215" s="426"/>
      <c r="UDF215" s="426"/>
      <c r="UDG215" s="426"/>
      <c r="UDH215" s="426"/>
      <c r="UDI215" s="426"/>
      <c r="UDJ215" s="426"/>
      <c r="UDK215" s="426"/>
      <c r="UDL215" s="426"/>
      <c r="UDM215" s="426"/>
      <c r="UDN215" s="426"/>
      <c r="UDO215" s="426"/>
      <c r="UDP215" s="426"/>
      <c r="UDQ215" s="426"/>
      <c r="UDR215" s="426"/>
      <c r="UDS215" s="426"/>
      <c r="UDT215" s="426"/>
      <c r="UDU215" s="426"/>
      <c r="UDV215" s="426"/>
      <c r="UDW215" s="426"/>
      <c r="UDX215" s="426"/>
      <c r="UDY215" s="426"/>
      <c r="UDZ215" s="426"/>
      <c r="UEA215" s="426"/>
      <c r="UEB215" s="426"/>
      <c r="UEC215" s="426"/>
      <c r="UED215" s="426"/>
      <c r="UEE215" s="426"/>
      <c r="UEF215" s="426"/>
      <c r="UEG215" s="426"/>
      <c r="UEH215" s="426"/>
      <c r="UEI215" s="426"/>
      <c r="UEJ215" s="426"/>
      <c r="UEK215" s="426"/>
      <c r="UEL215" s="426"/>
      <c r="UEM215" s="426"/>
      <c r="UEN215" s="426"/>
      <c r="UEO215" s="426"/>
      <c r="UEP215" s="426"/>
      <c r="UEQ215" s="426"/>
      <c r="UER215" s="426"/>
      <c r="UES215" s="426"/>
      <c r="UET215" s="426"/>
      <c r="UEU215" s="426"/>
      <c r="UEV215" s="426"/>
      <c r="UEW215" s="426"/>
      <c r="UEX215" s="426"/>
      <c r="UEY215" s="426"/>
      <c r="UEZ215" s="426"/>
      <c r="UFA215" s="426"/>
      <c r="UFB215" s="426"/>
      <c r="UFC215" s="426"/>
      <c r="UFD215" s="426"/>
      <c r="UFE215" s="426"/>
      <c r="UFF215" s="426"/>
      <c r="UFG215" s="426"/>
      <c r="UFH215" s="426"/>
      <c r="UFI215" s="426"/>
      <c r="UFJ215" s="426"/>
      <c r="UFK215" s="426"/>
      <c r="UFL215" s="426"/>
      <c r="UFM215" s="426"/>
      <c r="UFN215" s="426"/>
      <c r="UFO215" s="426"/>
      <c r="UFP215" s="426"/>
      <c r="UFQ215" s="426"/>
      <c r="UFR215" s="426"/>
      <c r="UFS215" s="426"/>
      <c r="UFT215" s="426"/>
      <c r="UFU215" s="426"/>
      <c r="UFV215" s="426"/>
      <c r="UFW215" s="426"/>
      <c r="UFX215" s="426"/>
      <c r="UFY215" s="426"/>
      <c r="UFZ215" s="426"/>
      <c r="UGA215" s="426"/>
      <c r="UGB215" s="426"/>
      <c r="UGC215" s="426"/>
      <c r="UGD215" s="426"/>
      <c r="UGE215" s="426"/>
      <c r="UGF215" s="426"/>
      <c r="UGG215" s="426"/>
      <c r="UGH215" s="426"/>
      <c r="UGI215" s="426"/>
      <c r="UGJ215" s="426"/>
      <c r="UGK215" s="426"/>
      <c r="UGL215" s="426"/>
      <c r="UGM215" s="426"/>
      <c r="UGN215" s="426"/>
      <c r="UGO215" s="426"/>
      <c r="UGP215" s="426"/>
      <c r="UGQ215" s="426"/>
      <c r="UGR215" s="426"/>
      <c r="UGS215" s="426"/>
      <c r="UGT215" s="426"/>
      <c r="UGU215" s="426"/>
      <c r="UGV215" s="426"/>
      <c r="UGW215" s="426"/>
      <c r="UGX215" s="426"/>
      <c r="UGY215" s="426"/>
      <c r="UGZ215" s="426"/>
      <c r="UHA215" s="426"/>
      <c r="UHB215" s="426"/>
      <c r="UHC215" s="426"/>
      <c r="UHD215" s="426"/>
      <c r="UHE215" s="426"/>
      <c r="UHF215" s="426"/>
      <c r="UHG215" s="426"/>
      <c r="UHH215" s="426"/>
      <c r="UHI215" s="426"/>
      <c r="UHJ215" s="426"/>
      <c r="UHK215" s="426"/>
      <c r="UHL215" s="426"/>
      <c r="UHM215" s="426"/>
      <c r="UHN215" s="426"/>
      <c r="UHO215" s="426"/>
      <c r="UHP215" s="426"/>
      <c r="UHQ215" s="426"/>
      <c r="UHR215" s="426"/>
      <c r="UHS215" s="426"/>
      <c r="UHT215" s="426"/>
      <c r="UHU215" s="426"/>
      <c r="UHV215" s="426"/>
      <c r="UHW215" s="426"/>
      <c r="UHX215" s="426"/>
      <c r="UHY215" s="426"/>
      <c r="UHZ215" s="426"/>
      <c r="UIA215" s="426"/>
      <c r="UIB215" s="426"/>
      <c r="UIC215" s="426"/>
      <c r="UID215" s="426"/>
      <c r="UIE215" s="426"/>
      <c r="UIF215" s="426"/>
      <c r="UIG215" s="426"/>
      <c r="UIH215" s="426"/>
      <c r="UII215" s="426"/>
      <c r="UIJ215" s="426"/>
      <c r="UIK215" s="426"/>
      <c r="UIL215" s="426"/>
      <c r="UIM215" s="426"/>
      <c r="UIN215" s="426"/>
      <c r="UIO215" s="426"/>
      <c r="UIP215" s="426"/>
      <c r="UIQ215" s="426"/>
      <c r="UIR215" s="426"/>
      <c r="UIS215" s="426"/>
      <c r="UIT215" s="426"/>
      <c r="UIU215" s="426"/>
      <c r="UIV215" s="426"/>
      <c r="UIW215" s="426"/>
      <c r="UIX215" s="426"/>
      <c r="UIY215" s="426"/>
      <c r="UIZ215" s="426"/>
      <c r="UJA215" s="426"/>
      <c r="UJB215" s="426"/>
      <c r="UJC215" s="426"/>
      <c r="UJD215" s="426"/>
      <c r="UJE215" s="426"/>
      <c r="UJF215" s="426"/>
      <c r="UJG215" s="426"/>
      <c r="UJH215" s="426"/>
      <c r="UJI215" s="426"/>
      <c r="UJJ215" s="426"/>
      <c r="UJK215" s="426"/>
      <c r="UJL215" s="426"/>
      <c r="UJM215" s="426"/>
      <c r="UJN215" s="426"/>
      <c r="UJO215" s="426"/>
      <c r="UJP215" s="426"/>
      <c r="UJQ215" s="426"/>
      <c r="UJR215" s="426"/>
      <c r="UJS215" s="426"/>
      <c r="UJT215" s="426"/>
      <c r="UJU215" s="426"/>
      <c r="UJV215" s="426"/>
      <c r="UJW215" s="426"/>
      <c r="UJX215" s="426"/>
      <c r="UJY215" s="426"/>
      <c r="UJZ215" s="426"/>
      <c r="UKA215" s="426"/>
      <c r="UKB215" s="426"/>
      <c r="UKC215" s="426"/>
      <c r="UKD215" s="426"/>
      <c r="UKE215" s="426"/>
      <c r="UKF215" s="426"/>
      <c r="UKG215" s="426"/>
      <c r="UKH215" s="426"/>
      <c r="UKI215" s="426"/>
      <c r="UKJ215" s="426"/>
      <c r="UKK215" s="426"/>
      <c r="UKL215" s="426"/>
      <c r="UKM215" s="426"/>
      <c r="UKN215" s="426"/>
      <c r="UKO215" s="426"/>
      <c r="UKP215" s="426"/>
      <c r="UKQ215" s="426"/>
      <c r="UKR215" s="426"/>
      <c r="UKS215" s="426"/>
      <c r="UKT215" s="426"/>
      <c r="UKU215" s="426"/>
      <c r="UKV215" s="426"/>
      <c r="UKW215" s="426"/>
      <c r="UKX215" s="426"/>
      <c r="UKY215" s="426"/>
      <c r="UKZ215" s="426"/>
      <c r="ULA215" s="426"/>
      <c r="ULB215" s="426"/>
      <c r="ULC215" s="426"/>
      <c r="ULD215" s="426"/>
      <c r="ULE215" s="426"/>
      <c r="ULF215" s="426"/>
      <c r="ULG215" s="426"/>
      <c r="ULH215" s="426"/>
      <c r="ULI215" s="426"/>
      <c r="ULJ215" s="426"/>
      <c r="ULK215" s="426"/>
      <c r="ULL215" s="426"/>
      <c r="ULM215" s="426"/>
      <c r="ULN215" s="426"/>
      <c r="ULO215" s="426"/>
      <c r="ULP215" s="426"/>
      <c r="ULQ215" s="426"/>
      <c r="ULR215" s="426"/>
      <c r="ULS215" s="426"/>
      <c r="ULT215" s="426"/>
      <c r="ULU215" s="426"/>
      <c r="ULV215" s="426"/>
      <c r="ULW215" s="426"/>
      <c r="ULX215" s="426"/>
      <c r="ULY215" s="426"/>
      <c r="ULZ215" s="426"/>
      <c r="UMA215" s="426"/>
      <c r="UMB215" s="426"/>
      <c r="UMC215" s="426"/>
      <c r="UMD215" s="426"/>
      <c r="UME215" s="426"/>
      <c r="UMF215" s="426"/>
      <c r="UMG215" s="426"/>
      <c r="UMH215" s="426"/>
      <c r="UMI215" s="426"/>
      <c r="UMJ215" s="426"/>
      <c r="UMK215" s="426"/>
      <c r="UML215" s="426"/>
      <c r="UMM215" s="426"/>
      <c r="UMN215" s="426"/>
      <c r="UMO215" s="426"/>
      <c r="UMP215" s="426"/>
      <c r="UMQ215" s="426"/>
      <c r="UMR215" s="426"/>
      <c r="UMS215" s="426"/>
      <c r="UMT215" s="426"/>
      <c r="UMU215" s="426"/>
      <c r="UMV215" s="426"/>
      <c r="UMW215" s="426"/>
      <c r="UMX215" s="426"/>
      <c r="UMY215" s="426"/>
      <c r="UMZ215" s="426"/>
      <c r="UNA215" s="426"/>
      <c r="UNB215" s="426"/>
      <c r="UNC215" s="426"/>
      <c r="UND215" s="426"/>
      <c r="UNE215" s="426"/>
      <c r="UNF215" s="426"/>
      <c r="UNG215" s="426"/>
      <c r="UNH215" s="426"/>
      <c r="UNI215" s="426"/>
      <c r="UNJ215" s="426"/>
      <c r="UNK215" s="426"/>
      <c r="UNL215" s="426"/>
      <c r="UNM215" s="426"/>
      <c r="UNN215" s="426"/>
      <c r="UNO215" s="426"/>
      <c r="UNP215" s="426"/>
      <c r="UNQ215" s="426"/>
      <c r="UNR215" s="426"/>
      <c r="UNS215" s="426"/>
      <c r="UNT215" s="426"/>
      <c r="UNU215" s="426"/>
      <c r="UNV215" s="426"/>
      <c r="UNW215" s="426"/>
      <c r="UNX215" s="426"/>
      <c r="UNY215" s="426"/>
      <c r="UNZ215" s="426"/>
      <c r="UOA215" s="426"/>
      <c r="UOB215" s="426"/>
      <c r="UOC215" s="426"/>
      <c r="UOD215" s="426"/>
      <c r="UOE215" s="426"/>
      <c r="UOF215" s="426"/>
      <c r="UOG215" s="426"/>
      <c r="UOH215" s="426"/>
      <c r="UOI215" s="426"/>
      <c r="UOJ215" s="426"/>
      <c r="UOK215" s="426"/>
      <c r="UOL215" s="426"/>
      <c r="UOM215" s="426"/>
      <c r="UON215" s="426"/>
      <c r="UOO215" s="426"/>
      <c r="UOP215" s="426"/>
      <c r="UOQ215" s="426"/>
      <c r="UOR215" s="426"/>
      <c r="UOS215" s="426"/>
      <c r="UOT215" s="426"/>
      <c r="UOU215" s="426"/>
      <c r="UOV215" s="426"/>
      <c r="UOW215" s="426"/>
      <c r="UOX215" s="426"/>
      <c r="UOY215" s="426"/>
      <c r="UOZ215" s="426"/>
      <c r="UPA215" s="426"/>
      <c r="UPB215" s="426"/>
      <c r="UPC215" s="426"/>
      <c r="UPD215" s="426"/>
      <c r="UPE215" s="426"/>
      <c r="UPF215" s="426"/>
      <c r="UPG215" s="426"/>
      <c r="UPH215" s="426"/>
      <c r="UPI215" s="426"/>
      <c r="UPJ215" s="426"/>
      <c r="UPK215" s="426"/>
      <c r="UPL215" s="426"/>
      <c r="UPM215" s="426"/>
      <c r="UPN215" s="426"/>
      <c r="UPO215" s="426"/>
      <c r="UPP215" s="426"/>
      <c r="UPQ215" s="426"/>
      <c r="UPR215" s="426"/>
      <c r="UPS215" s="426"/>
      <c r="UPT215" s="426"/>
      <c r="UPU215" s="426"/>
      <c r="UPV215" s="426"/>
      <c r="UPW215" s="426"/>
      <c r="UPX215" s="426"/>
      <c r="UPY215" s="426"/>
      <c r="UPZ215" s="426"/>
      <c r="UQA215" s="426"/>
      <c r="UQB215" s="426"/>
      <c r="UQC215" s="426"/>
      <c r="UQD215" s="426"/>
      <c r="UQE215" s="426"/>
      <c r="UQF215" s="426"/>
      <c r="UQG215" s="426"/>
      <c r="UQH215" s="426"/>
      <c r="UQI215" s="426"/>
      <c r="UQJ215" s="426"/>
      <c r="UQK215" s="426"/>
      <c r="UQL215" s="426"/>
      <c r="UQM215" s="426"/>
      <c r="UQN215" s="426"/>
      <c r="UQO215" s="426"/>
      <c r="UQP215" s="426"/>
      <c r="UQQ215" s="426"/>
      <c r="UQR215" s="426"/>
      <c r="UQS215" s="426"/>
      <c r="UQT215" s="426"/>
      <c r="UQU215" s="426"/>
      <c r="UQV215" s="426"/>
      <c r="UQW215" s="426"/>
      <c r="UQX215" s="426"/>
      <c r="UQY215" s="426"/>
      <c r="UQZ215" s="426"/>
      <c r="URA215" s="426"/>
      <c r="URB215" s="426"/>
      <c r="URC215" s="426"/>
      <c r="URD215" s="426"/>
      <c r="URE215" s="426"/>
      <c r="URF215" s="426"/>
      <c r="URG215" s="426"/>
      <c r="URH215" s="426"/>
      <c r="URI215" s="426"/>
      <c r="URJ215" s="426"/>
      <c r="URK215" s="426"/>
      <c r="URL215" s="426"/>
      <c r="URM215" s="426"/>
      <c r="URN215" s="426"/>
      <c r="URO215" s="426"/>
      <c r="URP215" s="426"/>
      <c r="URQ215" s="426"/>
      <c r="URR215" s="426"/>
      <c r="URS215" s="426"/>
      <c r="URT215" s="426"/>
      <c r="URU215" s="426"/>
      <c r="URV215" s="426"/>
      <c r="URW215" s="426"/>
      <c r="URX215" s="426"/>
      <c r="URY215" s="426"/>
      <c r="URZ215" s="426"/>
      <c r="USA215" s="426"/>
      <c r="USB215" s="426"/>
      <c r="USC215" s="426"/>
      <c r="USD215" s="426"/>
      <c r="USE215" s="426"/>
      <c r="USF215" s="426"/>
      <c r="USG215" s="426"/>
      <c r="USH215" s="426"/>
      <c r="USI215" s="426"/>
      <c r="USJ215" s="426"/>
      <c r="USK215" s="426"/>
      <c r="USL215" s="426"/>
      <c r="USM215" s="426"/>
      <c r="USN215" s="426"/>
      <c r="USO215" s="426"/>
      <c r="USP215" s="426"/>
      <c r="USQ215" s="426"/>
      <c r="USR215" s="426"/>
      <c r="USS215" s="426"/>
      <c r="UST215" s="426"/>
      <c r="USU215" s="426"/>
      <c r="USV215" s="426"/>
      <c r="USW215" s="426"/>
      <c r="USX215" s="426"/>
      <c r="USY215" s="426"/>
      <c r="USZ215" s="426"/>
      <c r="UTA215" s="426"/>
      <c r="UTB215" s="426"/>
      <c r="UTC215" s="426"/>
      <c r="UTD215" s="426"/>
      <c r="UTE215" s="426"/>
      <c r="UTF215" s="426"/>
      <c r="UTG215" s="426"/>
      <c r="UTH215" s="426"/>
      <c r="UTI215" s="426"/>
      <c r="UTJ215" s="426"/>
      <c r="UTK215" s="426"/>
      <c r="UTL215" s="426"/>
      <c r="UTM215" s="426"/>
      <c r="UTN215" s="426"/>
      <c r="UTO215" s="426"/>
      <c r="UTP215" s="426"/>
      <c r="UTQ215" s="426"/>
      <c r="UTR215" s="426"/>
      <c r="UTS215" s="426"/>
      <c r="UTT215" s="426"/>
      <c r="UTU215" s="426"/>
      <c r="UTV215" s="426"/>
      <c r="UTW215" s="426"/>
      <c r="UTX215" s="426"/>
      <c r="UTY215" s="426"/>
      <c r="UTZ215" s="426"/>
      <c r="UUA215" s="426"/>
      <c r="UUB215" s="426"/>
      <c r="UUC215" s="426"/>
      <c r="UUD215" s="426"/>
      <c r="UUE215" s="426"/>
      <c r="UUF215" s="426"/>
      <c r="UUG215" s="426"/>
      <c r="UUH215" s="426"/>
      <c r="UUI215" s="426"/>
      <c r="UUJ215" s="426"/>
      <c r="UUK215" s="426"/>
      <c r="UUL215" s="426"/>
      <c r="UUM215" s="426"/>
      <c r="UUN215" s="426"/>
      <c r="UUO215" s="426"/>
      <c r="UUP215" s="426"/>
      <c r="UUQ215" s="426"/>
      <c r="UUR215" s="426"/>
      <c r="UUS215" s="426"/>
      <c r="UUT215" s="426"/>
      <c r="UUU215" s="426"/>
      <c r="UUV215" s="426"/>
      <c r="UUW215" s="426"/>
      <c r="UUX215" s="426"/>
      <c r="UUY215" s="426"/>
      <c r="UUZ215" s="426"/>
      <c r="UVA215" s="426"/>
      <c r="UVB215" s="426"/>
      <c r="UVC215" s="426"/>
      <c r="UVD215" s="426"/>
      <c r="UVE215" s="426"/>
      <c r="UVF215" s="426"/>
      <c r="UVG215" s="426"/>
      <c r="UVH215" s="426"/>
      <c r="UVI215" s="426"/>
      <c r="UVJ215" s="426"/>
      <c r="UVK215" s="426"/>
      <c r="UVL215" s="426"/>
      <c r="UVM215" s="426"/>
      <c r="UVN215" s="426"/>
      <c r="UVO215" s="426"/>
      <c r="UVP215" s="426"/>
      <c r="UVQ215" s="426"/>
      <c r="UVR215" s="426"/>
      <c r="UVS215" s="426"/>
      <c r="UVT215" s="426"/>
      <c r="UVU215" s="426"/>
      <c r="UVV215" s="426"/>
      <c r="UVW215" s="426"/>
      <c r="UVX215" s="426"/>
      <c r="UVY215" s="426"/>
      <c r="UVZ215" s="426"/>
      <c r="UWA215" s="426"/>
      <c r="UWB215" s="426"/>
      <c r="UWC215" s="426"/>
      <c r="UWD215" s="426"/>
      <c r="UWE215" s="426"/>
      <c r="UWF215" s="426"/>
      <c r="UWG215" s="426"/>
      <c r="UWH215" s="426"/>
      <c r="UWI215" s="426"/>
      <c r="UWJ215" s="426"/>
      <c r="UWK215" s="426"/>
      <c r="UWL215" s="426"/>
      <c r="UWM215" s="426"/>
      <c r="UWN215" s="426"/>
      <c r="UWO215" s="426"/>
      <c r="UWP215" s="426"/>
      <c r="UWQ215" s="426"/>
      <c r="UWR215" s="426"/>
      <c r="UWS215" s="426"/>
      <c r="UWT215" s="426"/>
      <c r="UWU215" s="426"/>
      <c r="UWV215" s="426"/>
      <c r="UWW215" s="426"/>
      <c r="UWX215" s="426"/>
      <c r="UWY215" s="426"/>
      <c r="UWZ215" s="426"/>
      <c r="UXA215" s="426"/>
      <c r="UXB215" s="426"/>
      <c r="UXC215" s="426"/>
      <c r="UXD215" s="426"/>
      <c r="UXE215" s="426"/>
      <c r="UXF215" s="426"/>
      <c r="UXG215" s="426"/>
      <c r="UXH215" s="426"/>
      <c r="UXI215" s="426"/>
      <c r="UXJ215" s="426"/>
      <c r="UXK215" s="426"/>
      <c r="UXL215" s="426"/>
      <c r="UXM215" s="426"/>
      <c r="UXN215" s="426"/>
      <c r="UXO215" s="426"/>
      <c r="UXP215" s="426"/>
      <c r="UXQ215" s="426"/>
      <c r="UXR215" s="426"/>
      <c r="UXS215" s="426"/>
      <c r="UXT215" s="426"/>
      <c r="UXU215" s="426"/>
      <c r="UXV215" s="426"/>
      <c r="UXW215" s="426"/>
      <c r="UXX215" s="426"/>
      <c r="UXY215" s="426"/>
      <c r="UXZ215" s="426"/>
      <c r="UYA215" s="426"/>
      <c r="UYB215" s="426"/>
      <c r="UYC215" s="426"/>
      <c r="UYD215" s="426"/>
      <c r="UYE215" s="426"/>
      <c r="UYF215" s="426"/>
      <c r="UYG215" s="426"/>
      <c r="UYH215" s="426"/>
      <c r="UYI215" s="426"/>
      <c r="UYJ215" s="426"/>
      <c r="UYK215" s="426"/>
      <c r="UYL215" s="426"/>
      <c r="UYM215" s="426"/>
      <c r="UYN215" s="426"/>
      <c r="UYO215" s="426"/>
      <c r="UYP215" s="426"/>
      <c r="UYQ215" s="426"/>
      <c r="UYR215" s="426"/>
      <c r="UYS215" s="426"/>
      <c r="UYT215" s="426"/>
      <c r="UYU215" s="426"/>
      <c r="UYV215" s="426"/>
      <c r="UYW215" s="426"/>
      <c r="UYX215" s="426"/>
      <c r="UYY215" s="426"/>
      <c r="UYZ215" s="426"/>
      <c r="UZA215" s="426"/>
      <c r="UZB215" s="426"/>
      <c r="UZC215" s="426"/>
      <c r="UZD215" s="426"/>
      <c r="UZE215" s="426"/>
      <c r="UZF215" s="426"/>
      <c r="UZG215" s="426"/>
      <c r="UZH215" s="426"/>
      <c r="UZI215" s="426"/>
      <c r="UZJ215" s="426"/>
      <c r="UZK215" s="426"/>
      <c r="UZL215" s="426"/>
      <c r="UZM215" s="426"/>
      <c r="UZN215" s="426"/>
      <c r="UZO215" s="426"/>
      <c r="UZP215" s="426"/>
      <c r="UZQ215" s="426"/>
      <c r="UZR215" s="426"/>
      <c r="UZS215" s="426"/>
      <c r="UZT215" s="426"/>
      <c r="UZU215" s="426"/>
      <c r="UZV215" s="426"/>
      <c r="UZW215" s="426"/>
      <c r="UZX215" s="426"/>
      <c r="UZY215" s="426"/>
      <c r="UZZ215" s="426"/>
      <c r="VAA215" s="426"/>
      <c r="VAB215" s="426"/>
      <c r="VAC215" s="426"/>
      <c r="VAD215" s="426"/>
      <c r="VAE215" s="426"/>
      <c r="VAF215" s="426"/>
      <c r="VAG215" s="426"/>
      <c r="VAH215" s="426"/>
      <c r="VAI215" s="426"/>
      <c r="VAJ215" s="426"/>
      <c r="VAK215" s="426"/>
      <c r="VAL215" s="426"/>
      <c r="VAM215" s="426"/>
      <c r="VAN215" s="426"/>
      <c r="VAO215" s="426"/>
      <c r="VAP215" s="426"/>
      <c r="VAQ215" s="426"/>
      <c r="VAR215" s="426"/>
      <c r="VAS215" s="426"/>
      <c r="VAT215" s="426"/>
      <c r="VAU215" s="426"/>
      <c r="VAV215" s="426"/>
      <c r="VAW215" s="426"/>
      <c r="VAX215" s="426"/>
      <c r="VAY215" s="426"/>
      <c r="VAZ215" s="426"/>
      <c r="VBA215" s="426"/>
      <c r="VBB215" s="426"/>
      <c r="VBC215" s="426"/>
      <c r="VBD215" s="426"/>
      <c r="VBE215" s="426"/>
      <c r="VBF215" s="426"/>
      <c r="VBG215" s="426"/>
      <c r="VBH215" s="426"/>
      <c r="VBI215" s="426"/>
      <c r="VBJ215" s="426"/>
      <c r="VBK215" s="426"/>
      <c r="VBL215" s="426"/>
      <c r="VBM215" s="426"/>
      <c r="VBN215" s="426"/>
      <c r="VBO215" s="426"/>
      <c r="VBP215" s="426"/>
      <c r="VBQ215" s="426"/>
      <c r="VBR215" s="426"/>
      <c r="VBS215" s="426"/>
      <c r="VBT215" s="426"/>
      <c r="VBU215" s="426"/>
      <c r="VBV215" s="426"/>
      <c r="VBW215" s="426"/>
      <c r="VBX215" s="426"/>
      <c r="VBY215" s="426"/>
      <c r="VBZ215" s="426"/>
      <c r="VCA215" s="426"/>
      <c r="VCB215" s="426"/>
      <c r="VCC215" s="426"/>
      <c r="VCD215" s="426"/>
      <c r="VCE215" s="426"/>
      <c r="VCF215" s="426"/>
      <c r="VCG215" s="426"/>
      <c r="VCH215" s="426"/>
      <c r="VCI215" s="426"/>
      <c r="VCJ215" s="426"/>
      <c r="VCK215" s="426"/>
      <c r="VCL215" s="426"/>
      <c r="VCM215" s="426"/>
      <c r="VCN215" s="426"/>
      <c r="VCO215" s="426"/>
      <c r="VCP215" s="426"/>
      <c r="VCQ215" s="426"/>
      <c r="VCR215" s="426"/>
      <c r="VCS215" s="426"/>
      <c r="VCT215" s="426"/>
      <c r="VCU215" s="426"/>
      <c r="VCV215" s="426"/>
      <c r="VCW215" s="426"/>
      <c r="VCX215" s="426"/>
      <c r="VCY215" s="426"/>
      <c r="VCZ215" s="426"/>
      <c r="VDA215" s="426"/>
      <c r="VDB215" s="426"/>
      <c r="VDC215" s="426"/>
      <c r="VDD215" s="426"/>
      <c r="VDE215" s="426"/>
      <c r="VDF215" s="426"/>
      <c r="VDG215" s="426"/>
      <c r="VDH215" s="426"/>
      <c r="VDI215" s="426"/>
      <c r="VDJ215" s="426"/>
      <c r="VDK215" s="426"/>
      <c r="VDL215" s="426"/>
      <c r="VDM215" s="426"/>
      <c r="VDN215" s="426"/>
      <c r="VDO215" s="426"/>
      <c r="VDP215" s="426"/>
      <c r="VDQ215" s="426"/>
      <c r="VDR215" s="426"/>
      <c r="VDS215" s="426"/>
      <c r="VDT215" s="426"/>
      <c r="VDU215" s="426"/>
      <c r="VDV215" s="426"/>
      <c r="VDW215" s="426"/>
      <c r="VDX215" s="426"/>
      <c r="VDY215" s="426"/>
      <c r="VDZ215" s="426"/>
      <c r="VEA215" s="426"/>
      <c r="VEB215" s="426"/>
      <c r="VEC215" s="426"/>
      <c r="VED215" s="426"/>
      <c r="VEE215" s="426"/>
      <c r="VEF215" s="426"/>
      <c r="VEG215" s="426"/>
      <c r="VEH215" s="426"/>
      <c r="VEI215" s="426"/>
      <c r="VEJ215" s="426"/>
      <c r="VEK215" s="426"/>
      <c r="VEL215" s="426"/>
      <c r="VEM215" s="426"/>
      <c r="VEN215" s="426"/>
      <c r="VEO215" s="426"/>
      <c r="VEP215" s="426"/>
      <c r="VEQ215" s="426"/>
      <c r="VER215" s="426"/>
      <c r="VES215" s="426"/>
      <c r="VET215" s="426"/>
      <c r="VEU215" s="426"/>
      <c r="VEV215" s="426"/>
      <c r="VEW215" s="426"/>
      <c r="VEX215" s="426"/>
      <c r="VEY215" s="426"/>
      <c r="VEZ215" s="426"/>
      <c r="VFA215" s="426"/>
      <c r="VFB215" s="426"/>
      <c r="VFC215" s="426"/>
      <c r="VFD215" s="426"/>
      <c r="VFE215" s="426"/>
      <c r="VFF215" s="426"/>
      <c r="VFG215" s="426"/>
      <c r="VFH215" s="426"/>
      <c r="VFI215" s="426"/>
      <c r="VFJ215" s="426"/>
      <c r="VFK215" s="426"/>
      <c r="VFL215" s="426"/>
      <c r="VFM215" s="426"/>
      <c r="VFN215" s="426"/>
      <c r="VFO215" s="426"/>
      <c r="VFP215" s="426"/>
      <c r="VFQ215" s="426"/>
      <c r="VFR215" s="426"/>
      <c r="VFS215" s="426"/>
      <c r="VFT215" s="426"/>
      <c r="VFU215" s="426"/>
      <c r="VFV215" s="426"/>
      <c r="VFW215" s="426"/>
      <c r="VFX215" s="426"/>
      <c r="VFY215" s="426"/>
      <c r="VFZ215" s="426"/>
      <c r="VGA215" s="426"/>
      <c r="VGB215" s="426"/>
      <c r="VGC215" s="426"/>
      <c r="VGD215" s="426"/>
      <c r="VGE215" s="426"/>
      <c r="VGF215" s="426"/>
      <c r="VGG215" s="426"/>
      <c r="VGH215" s="426"/>
      <c r="VGI215" s="426"/>
      <c r="VGJ215" s="426"/>
      <c r="VGK215" s="426"/>
      <c r="VGL215" s="426"/>
      <c r="VGM215" s="426"/>
      <c r="VGN215" s="426"/>
      <c r="VGO215" s="426"/>
      <c r="VGP215" s="426"/>
      <c r="VGQ215" s="426"/>
      <c r="VGR215" s="426"/>
      <c r="VGS215" s="426"/>
      <c r="VGT215" s="426"/>
      <c r="VGU215" s="426"/>
      <c r="VGV215" s="426"/>
      <c r="VGW215" s="426"/>
      <c r="VGX215" s="426"/>
      <c r="VGY215" s="426"/>
      <c r="VGZ215" s="426"/>
      <c r="VHA215" s="426"/>
      <c r="VHB215" s="426"/>
      <c r="VHC215" s="426"/>
      <c r="VHD215" s="426"/>
      <c r="VHE215" s="426"/>
      <c r="VHF215" s="426"/>
      <c r="VHG215" s="426"/>
      <c r="VHH215" s="426"/>
      <c r="VHI215" s="426"/>
      <c r="VHJ215" s="426"/>
      <c r="VHK215" s="426"/>
      <c r="VHL215" s="426"/>
      <c r="VHM215" s="426"/>
      <c r="VHN215" s="426"/>
      <c r="VHO215" s="426"/>
      <c r="VHP215" s="426"/>
      <c r="VHQ215" s="426"/>
      <c r="VHR215" s="426"/>
      <c r="VHS215" s="426"/>
      <c r="VHT215" s="426"/>
      <c r="VHU215" s="426"/>
      <c r="VHV215" s="426"/>
      <c r="VHW215" s="426"/>
      <c r="VHX215" s="426"/>
      <c r="VHY215" s="426"/>
      <c r="VHZ215" s="426"/>
      <c r="VIA215" s="426"/>
      <c r="VIB215" s="426"/>
      <c r="VIC215" s="426"/>
      <c r="VID215" s="426"/>
      <c r="VIE215" s="426"/>
      <c r="VIF215" s="426"/>
      <c r="VIG215" s="426"/>
      <c r="VIH215" s="426"/>
      <c r="VII215" s="426"/>
      <c r="VIJ215" s="426"/>
      <c r="VIK215" s="426"/>
      <c r="VIL215" s="426"/>
      <c r="VIM215" s="426"/>
      <c r="VIN215" s="426"/>
      <c r="VIO215" s="426"/>
      <c r="VIP215" s="426"/>
      <c r="VIQ215" s="426"/>
      <c r="VIR215" s="426"/>
      <c r="VIS215" s="426"/>
      <c r="VIT215" s="426"/>
      <c r="VIU215" s="426"/>
      <c r="VIV215" s="426"/>
      <c r="VIW215" s="426"/>
      <c r="VIX215" s="426"/>
      <c r="VIY215" s="426"/>
      <c r="VIZ215" s="426"/>
      <c r="VJA215" s="426"/>
      <c r="VJB215" s="426"/>
      <c r="VJC215" s="426"/>
      <c r="VJD215" s="426"/>
      <c r="VJE215" s="426"/>
      <c r="VJF215" s="426"/>
      <c r="VJG215" s="426"/>
      <c r="VJH215" s="426"/>
      <c r="VJI215" s="426"/>
      <c r="VJJ215" s="426"/>
      <c r="VJK215" s="426"/>
      <c r="VJL215" s="426"/>
      <c r="VJM215" s="426"/>
      <c r="VJN215" s="426"/>
      <c r="VJO215" s="426"/>
      <c r="VJP215" s="426"/>
      <c r="VJQ215" s="426"/>
      <c r="VJR215" s="426"/>
      <c r="VJS215" s="426"/>
      <c r="VJT215" s="426"/>
      <c r="VJU215" s="426"/>
      <c r="VJV215" s="426"/>
      <c r="VJW215" s="426"/>
      <c r="VJX215" s="426"/>
      <c r="VJY215" s="426"/>
      <c r="VJZ215" s="426"/>
      <c r="VKA215" s="426"/>
      <c r="VKB215" s="426"/>
      <c r="VKC215" s="426"/>
      <c r="VKD215" s="426"/>
      <c r="VKE215" s="426"/>
      <c r="VKF215" s="426"/>
      <c r="VKG215" s="426"/>
      <c r="VKH215" s="426"/>
      <c r="VKI215" s="426"/>
      <c r="VKJ215" s="426"/>
      <c r="VKK215" s="426"/>
      <c r="VKL215" s="426"/>
      <c r="VKM215" s="426"/>
      <c r="VKN215" s="426"/>
      <c r="VKO215" s="426"/>
      <c r="VKP215" s="426"/>
      <c r="VKQ215" s="426"/>
      <c r="VKR215" s="426"/>
      <c r="VKS215" s="426"/>
      <c r="VKT215" s="426"/>
      <c r="VKU215" s="426"/>
      <c r="VKV215" s="426"/>
      <c r="VKW215" s="426"/>
      <c r="VKX215" s="426"/>
      <c r="VKY215" s="426"/>
      <c r="VKZ215" s="426"/>
      <c r="VLA215" s="426"/>
      <c r="VLB215" s="426"/>
      <c r="VLC215" s="426"/>
      <c r="VLD215" s="426"/>
      <c r="VLE215" s="426"/>
      <c r="VLF215" s="426"/>
      <c r="VLG215" s="426"/>
      <c r="VLH215" s="426"/>
      <c r="VLI215" s="426"/>
      <c r="VLJ215" s="426"/>
      <c r="VLK215" s="426"/>
      <c r="VLL215" s="426"/>
      <c r="VLM215" s="426"/>
      <c r="VLN215" s="426"/>
      <c r="VLO215" s="426"/>
      <c r="VLP215" s="426"/>
      <c r="VLQ215" s="426"/>
      <c r="VLR215" s="426"/>
      <c r="VLS215" s="426"/>
      <c r="VLT215" s="426"/>
      <c r="VLU215" s="426"/>
      <c r="VLV215" s="426"/>
      <c r="VLW215" s="426"/>
      <c r="VLX215" s="426"/>
      <c r="VLY215" s="426"/>
      <c r="VLZ215" s="426"/>
      <c r="VMA215" s="426"/>
      <c r="VMB215" s="426"/>
      <c r="VMC215" s="426"/>
      <c r="VMD215" s="426"/>
      <c r="VME215" s="426"/>
      <c r="VMF215" s="426"/>
      <c r="VMG215" s="426"/>
      <c r="VMH215" s="426"/>
      <c r="VMI215" s="426"/>
      <c r="VMJ215" s="426"/>
      <c r="VMK215" s="426"/>
      <c r="VML215" s="426"/>
      <c r="VMM215" s="426"/>
      <c r="VMN215" s="426"/>
      <c r="VMO215" s="426"/>
      <c r="VMP215" s="426"/>
      <c r="VMQ215" s="426"/>
      <c r="VMR215" s="426"/>
      <c r="VMS215" s="426"/>
      <c r="VMT215" s="426"/>
      <c r="VMU215" s="426"/>
      <c r="VMV215" s="426"/>
      <c r="VMW215" s="426"/>
      <c r="VMX215" s="426"/>
      <c r="VMY215" s="426"/>
      <c r="VMZ215" s="426"/>
      <c r="VNA215" s="426"/>
      <c r="VNB215" s="426"/>
      <c r="VNC215" s="426"/>
      <c r="VND215" s="426"/>
      <c r="VNE215" s="426"/>
      <c r="VNF215" s="426"/>
      <c r="VNG215" s="426"/>
      <c r="VNH215" s="426"/>
      <c r="VNI215" s="426"/>
      <c r="VNJ215" s="426"/>
      <c r="VNK215" s="426"/>
      <c r="VNL215" s="426"/>
      <c r="VNM215" s="426"/>
      <c r="VNN215" s="426"/>
      <c r="VNO215" s="426"/>
      <c r="VNP215" s="426"/>
      <c r="VNQ215" s="426"/>
      <c r="VNR215" s="426"/>
      <c r="VNS215" s="426"/>
      <c r="VNT215" s="426"/>
      <c r="VNU215" s="426"/>
      <c r="VNV215" s="426"/>
      <c r="VNW215" s="426"/>
      <c r="VNX215" s="426"/>
      <c r="VNY215" s="426"/>
      <c r="VNZ215" s="426"/>
      <c r="VOA215" s="426"/>
      <c r="VOB215" s="426"/>
      <c r="VOC215" s="426"/>
      <c r="VOD215" s="426"/>
      <c r="VOE215" s="426"/>
      <c r="VOF215" s="426"/>
      <c r="VOG215" s="426"/>
      <c r="VOH215" s="426"/>
      <c r="VOI215" s="426"/>
      <c r="VOJ215" s="426"/>
      <c r="VOK215" s="426"/>
      <c r="VOL215" s="426"/>
      <c r="VOM215" s="426"/>
      <c r="VON215" s="426"/>
      <c r="VOO215" s="426"/>
      <c r="VOP215" s="426"/>
      <c r="VOQ215" s="426"/>
      <c r="VOR215" s="426"/>
      <c r="VOS215" s="426"/>
      <c r="VOT215" s="426"/>
      <c r="VOU215" s="426"/>
      <c r="VOV215" s="426"/>
      <c r="VOW215" s="426"/>
      <c r="VOX215" s="426"/>
      <c r="VOY215" s="426"/>
      <c r="VOZ215" s="426"/>
      <c r="VPA215" s="426"/>
      <c r="VPB215" s="426"/>
      <c r="VPC215" s="426"/>
      <c r="VPD215" s="426"/>
      <c r="VPE215" s="426"/>
      <c r="VPF215" s="426"/>
      <c r="VPG215" s="426"/>
      <c r="VPH215" s="426"/>
      <c r="VPI215" s="426"/>
      <c r="VPJ215" s="426"/>
      <c r="VPK215" s="426"/>
      <c r="VPL215" s="426"/>
      <c r="VPM215" s="426"/>
      <c r="VPN215" s="426"/>
      <c r="VPO215" s="426"/>
      <c r="VPP215" s="426"/>
      <c r="VPQ215" s="426"/>
      <c r="VPR215" s="426"/>
      <c r="VPS215" s="426"/>
      <c r="VPT215" s="426"/>
      <c r="VPU215" s="426"/>
      <c r="VPV215" s="426"/>
      <c r="VPW215" s="426"/>
      <c r="VPX215" s="426"/>
      <c r="VPY215" s="426"/>
      <c r="VPZ215" s="426"/>
      <c r="VQA215" s="426"/>
      <c r="VQB215" s="426"/>
      <c r="VQC215" s="426"/>
      <c r="VQD215" s="426"/>
      <c r="VQE215" s="426"/>
      <c r="VQF215" s="426"/>
      <c r="VQG215" s="426"/>
      <c r="VQH215" s="426"/>
      <c r="VQI215" s="426"/>
      <c r="VQJ215" s="426"/>
      <c r="VQK215" s="426"/>
      <c r="VQL215" s="426"/>
      <c r="VQM215" s="426"/>
      <c r="VQN215" s="426"/>
      <c r="VQO215" s="426"/>
      <c r="VQP215" s="426"/>
      <c r="VQQ215" s="426"/>
      <c r="VQR215" s="426"/>
      <c r="VQS215" s="426"/>
      <c r="VQT215" s="426"/>
      <c r="VQU215" s="426"/>
      <c r="VQV215" s="426"/>
      <c r="VQW215" s="426"/>
      <c r="VQX215" s="426"/>
      <c r="VQY215" s="426"/>
      <c r="VQZ215" s="426"/>
      <c r="VRA215" s="426"/>
      <c r="VRB215" s="426"/>
      <c r="VRC215" s="426"/>
      <c r="VRD215" s="426"/>
      <c r="VRE215" s="426"/>
      <c r="VRF215" s="426"/>
      <c r="VRG215" s="426"/>
      <c r="VRH215" s="426"/>
      <c r="VRI215" s="426"/>
      <c r="VRJ215" s="426"/>
      <c r="VRK215" s="426"/>
      <c r="VRL215" s="426"/>
      <c r="VRM215" s="426"/>
      <c r="VRN215" s="426"/>
      <c r="VRO215" s="426"/>
      <c r="VRP215" s="426"/>
      <c r="VRQ215" s="426"/>
      <c r="VRR215" s="426"/>
      <c r="VRS215" s="426"/>
      <c r="VRT215" s="426"/>
      <c r="VRU215" s="426"/>
      <c r="VRV215" s="426"/>
      <c r="VRW215" s="426"/>
      <c r="VRX215" s="426"/>
      <c r="VRY215" s="426"/>
      <c r="VRZ215" s="426"/>
      <c r="VSA215" s="426"/>
      <c r="VSB215" s="426"/>
      <c r="VSC215" s="426"/>
      <c r="VSD215" s="426"/>
      <c r="VSE215" s="426"/>
      <c r="VSF215" s="426"/>
      <c r="VSG215" s="426"/>
      <c r="VSH215" s="426"/>
      <c r="VSI215" s="426"/>
      <c r="VSJ215" s="426"/>
      <c r="VSK215" s="426"/>
      <c r="VSL215" s="426"/>
      <c r="VSM215" s="426"/>
      <c r="VSN215" s="426"/>
      <c r="VSO215" s="426"/>
      <c r="VSP215" s="426"/>
      <c r="VSQ215" s="426"/>
      <c r="VSR215" s="426"/>
      <c r="VSS215" s="426"/>
      <c r="VST215" s="426"/>
      <c r="VSU215" s="426"/>
      <c r="VSV215" s="426"/>
      <c r="VSW215" s="426"/>
      <c r="VSX215" s="426"/>
      <c r="VSY215" s="426"/>
      <c r="VSZ215" s="426"/>
      <c r="VTA215" s="426"/>
      <c r="VTB215" s="426"/>
      <c r="VTC215" s="426"/>
      <c r="VTD215" s="426"/>
      <c r="VTE215" s="426"/>
      <c r="VTF215" s="426"/>
      <c r="VTG215" s="426"/>
      <c r="VTH215" s="426"/>
      <c r="VTI215" s="426"/>
      <c r="VTJ215" s="426"/>
      <c r="VTK215" s="426"/>
      <c r="VTL215" s="426"/>
      <c r="VTM215" s="426"/>
      <c r="VTN215" s="426"/>
      <c r="VTO215" s="426"/>
      <c r="VTP215" s="426"/>
      <c r="VTQ215" s="426"/>
      <c r="VTR215" s="426"/>
      <c r="VTS215" s="426"/>
      <c r="VTT215" s="426"/>
      <c r="VTU215" s="426"/>
      <c r="VTV215" s="426"/>
      <c r="VTW215" s="426"/>
      <c r="VTX215" s="426"/>
      <c r="VTY215" s="426"/>
      <c r="VTZ215" s="426"/>
      <c r="VUA215" s="426"/>
      <c r="VUB215" s="426"/>
      <c r="VUC215" s="426"/>
      <c r="VUD215" s="426"/>
      <c r="VUE215" s="426"/>
      <c r="VUF215" s="426"/>
      <c r="VUG215" s="426"/>
      <c r="VUH215" s="426"/>
      <c r="VUI215" s="426"/>
      <c r="VUJ215" s="426"/>
      <c r="VUK215" s="426"/>
      <c r="VUL215" s="426"/>
      <c r="VUM215" s="426"/>
      <c r="VUN215" s="426"/>
      <c r="VUO215" s="426"/>
      <c r="VUP215" s="426"/>
      <c r="VUQ215" s="426"/>
      <c r="VUR215" s="426"/>
      <c r="VUS215" s="426"/>
      <c r="VUT215" s="426"/>
      <c r="VUU215" s="426"/>
      <c r="VUV215" s="426"/>
      <c r="VUW215" s="426"/>
      <c r="VUX215" s="426"/>
      <c r="VUY215" s="426"/>
      <c r="VUZ215" s="426"/>
      <c r="VVA215" s="426"/>
      <c r="VVB215" s="426"/>
      <c r="VVC215" s="426"/>
      <c r="VVD215" s="426"/>
      <c r="VVE215" s="426"/>
      <c r="VVF215" s="426"/>
      <c r="VVG215" s="426"/>
      <c r="VVH215" s="426"/>
      <c r="VVI215" s="426"/>
      <c r="VVJ215" s="426"/>
      <c r="VVK215" s="426"/>
      <c r="VVL215" s="426"/>
      <c r="VVM215" s="426"/>
      <c r="VVN215" s="426"/>
      <c r="VVO215" s="426"/>
      <c r="VVP215" s="426"/>
      <c r="VVQ215" s="426"/>
      <c r="VVR215" s="426"/>
      <c r="VVS215" s="426"/>
      <c r="VVT215" s="426"/>
      <c r="VVU215" s="426"/>
      <c r="VVV215" s="426"/>
      <c r="VVW215" s="426"/>
      <c r="VVX215" s="426"/>
      <c r="VVY215" s="426"/>
      <c r="VVZ215" s="426"/>
      <c r="VWA215" s="426"/>
      <c r="VWB215" s="426"/>
      <c r="VWC215" s="426"/>
      <c r="VWD215" s="426"/>
      <c r="VWE215" s="426"/>
      <c r="VWF215" s="426"/>
      <c r="VWG215" s="426"/>
      <c r="VWH215" s="426"/>
      <c r="VWI215" s="426"/>
      <c r="VWJ215" s="426"/>
      <c r="VWK215" s="426"/>
      <c r="VWL215" s="426"/>
      <c r="VWM215" s="426"/>
      <c r="VWN215" s="426"/>
      <c r="VWO215" s="426"/>
      <c r="VWP215" s="426"/>
      <c r="VWQ215" s="426"/>
      <c r="VWR215" s="426"/>
      <c r="VWS215" s="426"/>
      <c r="VWT215" s="426"/>
      <c r="VWU215" s="426"/>
      <c r="VWV215" s="426"/>
      <c r="VWW215" s="426"/>
      <c r="VWX215" s="426"/>
      <c r="VWY215" s="426"/>
      <c r="VWZ215" s="426"/>
      <c r="VXA215" s="426"/>
      <c r="VXB215" s="426"/>
      <c r="VXC215" s="426"/>
      <c r="VXD215" s="426"/>
      <c r="VXE215" s="426"/>
      <c r="VXF215" s="426"/>
      <c r="VXG215" s="426"/>
      <c r="VXH215" s="426"/>
      <c r="VXI215" s="426"/>
      <c r="VXJ215" s="426"/>
      <c r="VXK215" s="426"/>
      <c r="VXL215" s="426"/>
      <c r="VXM215" s="426"/>
      <c r="VXN215" s="426"/>
      <c r="VXO215" s="426"/>
      <c r="VXP215" s="426"/>
      <c r="VXQ215" s="426"/>
      <c r="VXR215" s="426"/>
      <c r="VXS215" s="426"/>
      <c r="VXT215" s="426"/>
      <c r="VXU215" s="426"/>
      <c r="VXV215" s="426"/>
      <c r="VXW215" s="426"/>
      <c r="VXX215" s="426"/>
      <c r="VXY215" s="426"/>
      <c r="VXZ215" s="426"/>
      <c r="VYA215" s="426"/>
      <c r="VYB215" s="426"/>
      <c r="VYC215" s="426"/>
      <c r="VYD215" s="426"/>
      <c r="VYE215" s="426"/>
      <c r="VYF215" s="426"/>
      <c r="VYG215" s="426"/>
      <c r="VYH215" s="426"/>
      <c r="VYI215" s="426"/>
      <c r="VYJ215" s="426"/>
      <c r="VYK215" s="426"/>
      <c r="VYL215" s="426"/>
      <c r="VYM215" s="426"/>
      <c r="VYN215" s="426"/>
      <c r="VYO215" s="426"/>
      <c r="VYP215" s="426"/>
      <c r="VYQ215" s="426"/>
      <c r="VYR215" s="426"/>
      <c r="VYS215" s="426"/>
      <c r="VYT215" s="426"/>
      <c r="VYU215" s="426"/>
      <c r="VYV215" s="426"/>
      <c r="VYW215" s="426"/>
      <c r="VYX215" s="426"/>
      <c r="VYY215" s="426"/>
      <c r="VYZ215" s="426"/>
      <c r="VZA215" s="426"/>
      <c r="VZB215" s="426"/>
      <c r="VZC215" s="426"/>
      <c r="VZD215" s="426"/>
      <c r="VZE215" s="426"/>
      <c r="VZF215" s="426"/>
      <c r="VZG215" s="426"/>
      <c r="VZH215" s="426"/>
      <c r="VZI215" s="426"/>
      <c r="VZJ215" s="426"/>
      <c r="VZK215" s="426"/>
      <c r="VZL215" s="426"/>
      <c r="VZM215" s="426"/>
      <c r="VZN215" s="426"/>
      <c r="VZO215" s="426"/>
      <c r="VZP215" s="426"/>
      <c r="VZQ215" s="426"/>
      <c r="VZR215" s="426"/>
      <c r="VZS215" s="426"/>
      <c r="VZT215" s="426"/>
      <c r="VZU215" s="426"/>
      <c r="VZV215" s="426"/>
      <c r="VZW215" s="426"/>
      <c r="VZX215" s="426"/>
      <c r="VZY215" s="426"/>
      <c r="VZZ215" s="426"/>
      <c r="WAA215" s="426"/>
      <c r="WAB215" s="426"/>
      <c r="WAC215" s="426"/>
      <c r="WAD215" s="426"/>
      <c r="WAE215" s="426"/>
      <c r="WAF215" s="426"/>
      <c r="WAG215" s="426"/>
      <c r="WAH215" s="426"/>
      <c r="WAI215" s="426"/>
      <c r="WAJ215" s="426"/>
      <c r="WAK215" s="426"/>
      <c r="WAL215" s="426"/>
      <c r="WAM215" s="426"/>
      <c r="WAN215" s="426"/>
      <c r="WAO215" s="426"/>
      <c r="WAP215" s="426"/>
      <c r="WAQ215" s="426"/>
      <c r="WAR215" s="426"/>
      <c r="WAS215" s="426"/>
      <c r="WAT215" s="426"/>
      <c r="WAU215" s="426"/>
      <c r="WAV215" s="426"/>
      <c r="WAW215" s="426"/>
      <c r="WAX215" s="426"/>
      <c r="WAY215" s="426"/>
      <c r="WAZ215" s="426"/>
      <c r="WBA215" s="426"/>
      <c r="WBB215" s="426"/>
      <c r="WBC215" s="426"/>
      <c r="WBD215" s="426"/>
      <c r="WBE215" s="426"/>
      <c r="WBF215" s="426"/>
      <c r="WBG215" s="426"/>
      <c r="WBH215" s="426"/>
      <c r="WBI215" s="426"/>
      <c r="WBJ215" s="426"/>
      <c r="WBK215" s="426"/>
      <c r="WBL215" s="426"/>
      <c r="WBM215" s="426"/>
      <c r="WBN215" s="426"/>
      <c r="WBO215" s="426"/>
      <c r="WBP215" s="426"/>
      <c r="WBQ215" s="426"/>
      <c r="WBR215" s="426"/>
      <c r="WBS215" s="426"/>
      <c r="WBT215" s="426"/>
      <c r="WBU215" s="426"/>
      <c r="WBV215" s="426"/>
      <c r="WBW215" s="426"/>
      <c r="WBX215" s="426"/>
      <c r="WBY215" s="426"/>
      <c r="WBZ215" s="426"/>
      <c r="WCA215" s="426"/>
      <c r="WCB215" s="426"/>
      <c r="WCC215" s="426"/>
      <c r="WCD215" s="426"/>
      <c r="WCE215" s="426"/>
      <c r="WCF215" s="426"/>
      <c r="WCG215" s="426"/>
      <c r="WCH215" s="426"/>
      <c r="WCI215" s="426"/>
      <c r="WCJ215" s="426"/>
      <c r="WCK215" s="426"/>
      <c r="WCL215" s="426"/>
      <c r="WCM215" s="426"/>
      <c r="WCN215" s="426"/>
      <c r="WCO215" s="426"/>
      <c r="WCP215" s="426"/>
      <c r="WCQ215" s="426"/>
      <c r="WCR215" s="426"/>
      <c r="WCS215" s="426"/>
      <c r="WCT215" s="426"/>
      <c r="WCU215" s="426"/>
      <c r="WCV215" s="426"/>
      <c r="WCW215" s="426"/>
      <c r="WCX215" s="426"/>
      <c r="WCY215" s="426"/>
      <c r="WCZ215" s="426"/>
      <c r="WDA215" s="426"/>
      <c r="WDB215" s="426"/>
      <c r="WDC215" s="426"/>
      <c r="WDD215" s="426"/>
      <c r="WDE215" s="426"/>
      <c r="WDF215" s="426"/>
      <c r="WDG215" s="426"/>
      <c r="WDH215" s="426"/>
      <c r="WDI215" s="426"/>
      <c r="WDJ215" s="426"/>
      <c r="WDK215" s="426"/>
      <c r="WDL215" s="426"/>
      <c r="WDM215" s="426"/>
      <c r="WDN215" s="426"/>
      <c r="WDO215" s="426"/>
      <c r="WDP215" s="426"/>
      <c r="WDQ215" s="426"/>
      <c r="WDR215" s="426"/>
      <c r="WDS215" s="426"/>
      <c r="WDT215" s="426"/>
      <c r="WDU215" s="426"/>
      <c r="WDV215" s="426"/>
      <c r="WDW215" s="426"/>
      <c r="WDX215" s="426"/>
      <c r="WDY215" s="426"/>
      <c r="WDZ215" s="426"/>
      <c r="WEA215" s="426"/>
      <c r="WEB215" s="426"/>
      <c r="WEC215" s="426"/>
      <c r="WED215" s="426"/>
      <c r="WEE215" s="426"/>
      <c r="WEF215" s="426"/>
      <c r="WEG215" s="426"/>
      <c r="WEH215" s="426"/>
      <c r="WEI215" s="426"/>
      <c r="WEJ215" s="426"/>
      <c r="WEK215" s="426"/>
      <c r="WEL215" s="426"/>
      <c r="WEM215" s="426"/>
      <c r="WEN215" s="426"/>
      <c r="WEO215" s="426"/>
      <c r="WEP215" s="426"/>
      <c r="WEQ215" s="426"/>
      <c r="WER215" s="426"/>
      <c r="WES215" s="426"/>
      <c r="WET215" s="426"/>
      <c r="WEU215" s="426"/>
      <c r="WEV215" s="426"/>
      <c r="WEW215" s="426"/>
      <c r="WEX215" s="426"/>
      <c r="WEY215" s="426"/>
      <c r="WEZ215" s="426"/>
      <c r="WFA215" s="426"/>
      <c r="WFB215" s="426"/>
      <c r="WFC215" s="426"/>
      <c r="WFD215" s="426"/>
      <c r="WFE215" s="426"/>
      <c r="WFF215" s="426"/>
      <c r="WFG215" s="426"/>
      <c r="WFH215" s="426"/>
      <c r="WFI215" s="426"/>
      <c r="WFJ215" s="426"/>
      <c r="WFK215" s="426"/>
      <c r="WFL215" s="426"/>
      <c r="WFM215" s="426"/>
      <c r="WFN215" s="426"/>
      <c r="WFO215" s="426"/>
      <c r="WFP215" s="426"/>
      <c r="WFQ215" s="426"/>
      <c r="WFR215" s="426"/>
      <c r="WFS215" s="426"/>
      <c r="WFT215" s="426"/>
      <c r="WFU215" s="426"/>
      <c r="WFV215" s="426"/>
      <c r="WFW215" s="426"/>
      <c r="WFX215" s="426"/>
      <c r="WFY215" s="426"/>
      <c r="WFZ215" s="426"/>
      <c r="WGA215" s="426"/>
      <c r="WGB215" s="426"/>
      <c r="WGC215" s="426"/>
      <c r="WGD215" s="426"/>
      <c r="WGE215" s="426"/>
      <c r="WGF215" s="426"/>
      <c r="WGG215" s="426"/>
      <c r="WGH215" s="426"/>
      <c r="WGI215" s="426"/>
      <c r="WGJ215" s="426"/>
      <c r="WGK215" s="426"/>
      <c r="WGL215" s="426"/>
      <c r="WGM215" s="426"/>
      <c r="WGN215" s="426"/>
      <c r="WGO215" s="426"/>
      <c r="WGP215" s="426"/>
      <c r="WGQ215" s="426"/>
      <c r="WGR215" s="426"/>
      <c r="WGS215" s="426"/>
      <c r="WGT215" s="426"/>
      <c r="WGU215" s="426"/>
      <c r="WGV215" s="426"/>
      <c r="WGW215" s="426"/>
      <c r="WGX215" s="426"/>
      <c r="WGY215" s="426"/>
      <c r="WGZ215" s="426"/>
      <c r="WHA215" s="426"/>
      <c r="WHB215" s="426"/>
      <c r="WHC215" s="426"/>
      <c r="WHD215" s="426"/>
      <c r="WHE215" s="426"/>
      <c r="WHF215" s="426"/>
      <c r="WHG215" s="426"/>
      <c r="WHH215" s="426"/>
      <c r="WHI215" s="426"/>
      <c r="WHJ215" s="426"/>
      <c r="WHK215" s="426"/>
      <c r="WHL215" s="426"/>
      <c r="WHM215" s="426"/>
      <c r="WHN215" s="426"/>
      <c r="WHO215" s="426"/>
      <c r="WHP215" s="426"/>
      <c r="WHQ215" s="426"/>
      <c r="WHR215" s="426"/>
      <c r="WHS215" s="426"/>
      <c r="WHT215" s="426"/>
      <c r="WHU215" s="426"/>
      <c r="WHV215" s="426"/>
      <c r="WHW215" s="426"/>
      <c r="WHX215" s="426"/>
      <c r="WHY215" s="426"/>
      <c r="WHZ215" s="426"/>
      <c r="WIA215" s="426"/>
      <c r="WIB215" s="426"/>
      <c r="WIC215" s="426"/>
      <c r="WID215" s="426"/>
      <c r="WIE215" s="426"/>
      <c r="WIF215" s="426"/>
      <c r="WIG215" s="426"/>
      <c r="WIH215" s="426"/>
      <c r="WII215" s="426"/>
      <c r="WIJ215" s="426"/>
      <c r="WIK215" s="426"/>
      <c r="WIL215" s="426"/>
      <c r="WIM215" s="426"/>
      <c r="WIN215" s="426"/>
      <c r="WIO215" s="426"/>
      <c r="WIP215" s="426"/>
      <c r="WIQ215" s="426"/>
      <c r="WIR215" s="426"/>
      <c r="WIS215" s="426"/>
      <c r="WIT215" s="426"/>
      <c r="WIU215" s="426"/>
      <c r="WIV215" s="426"/>
      <c r="WIW215" s="426"/>
      <c r="WIX215" s="426"/>
      <c r="WIY215" s="426"/>
      <c r="WIZ215" s="426"/>
      <c r="WJA215" s="426"/>
      <c r="WJB215" s="426"/>
      <c r="WJC215" s="426"/>
      <c r="WJD215" s="426"/>
      <c r="WJE215" s="426"/>
      <c r="WJF215" s="426"/>
      <c r="WJG215" s="426"/>
      <c r="WJH215" s="426"/>
      <c r="WJI215" s="426"/>
      <c r="WJJ215" s="426"/>
      <c r="WJK215" s="426"/>
      <c r="WJL215" s="426"/>
      <c r="WJM215" s="426"/>
      <c r="WJN215" s="426"/>
      <c r="WJO215" s="426"/>
      <c r="WJP215" s="426"/>
      <c r="WJQ215" s="426"/>
      <c r="WJR215" s="426"/>
      <c r="WJS215" s="426"/>
      <c r="WJT215" s="426"/>
      <c r="WJU215" s="426"/>
      <c r="WJV215" s="426"/>
      <c r="WJW215" s="426"/>
      <c r="WJX215" s="426"/>
      <c r="WJY215" s="426"/>
      <c r="WJZ215" s="426"/>
      <c r="WKA215" s="426"/>
      <c r="WKB215" s="426"/>
      <c r="WKC215" s="426"/>
      <c r="WKD215" s="426"/>
      <c r="WKE215" s="426"/>
      <c r="WKF215" s="426"/>
      <c r="WKG215" s="426"/>
      <c r="WKH215" s="426"/>
      <c r="WKI215" s="426"/>
      <c r="WKJ215" s="426"/>
      <c r="WKK215" s="426"/>
      <c r="WKL215" s="426"/>
      <c r="WKM215" s="426"/>
      <c r="WKN215" s="426"/>
      <c r="WKO215" s="426"/>
      <c r="WKP215" s="426"/>
      <c r="WKQ215" s="426"/>
      <c r="WKR215" s="426"/>
      <c r="WKS215" s="426"/>
      <c r="WKT215" s="426"/>
      <c r="WKU215" s="426"/>
      <c r="WKV215" s="426"/>
      <c r="WKW215" s="426"/>
      <c r="WKX215" s="426"/>
      <c r="WKY215" s="426"/>
      <c r="WKZ215" s="426"/>
      <c r="WLA215" s="426"/>
      <c r="WLB215" s="426"/>
      <c r="WLC215" s="426"/>
      <c r="WLD215" s="426"/>
      <c r="WLE215" s="426"/>
      <c r="WLF215" s="426"/>
      <c r="WLG215" s="426"/>
      <c r="WLH215" s="426"/>
      <c r="WLI215" s="426"/>
      <c r="WLJ215" s="426"/>
      <c r="WLK215" s="426"/>
      <c r="WLL215" s="426"/>
      <c r="WLM215" s="426"/>
      <c r="WLN215" s="426"/>
      <c r="WLO215" s="426"/>
      <c r="WLP215" s="426"/>
      <c r="WLQ215" s="426"/>
      <c r="WLR215" s="426"/>
      <c r="WLS215" s="426"/>
      <c r="WLT215" s="426"/>
      <c r="WLU215" s="426"/>
      <c r="WLV215" s="426"/>
      <c r="WLW215" s="426"/>
      <c r="WLX215" s="426"/>
      <c r="WLY215" s="426"/>
      <c r="WLZ215" s="426"/>
      <c r="WMA215" s="426"/>
      <c r="WMB215" s="426"/>
      <c r="WMC215" s="426"/>
      <c r="WMD215" s="426"/>
      <c r="WME215" s="426"/>
      <c r="WMF215" s="426"/>
      <c r="WMG215" s="426"/>
      <c r="WMH215" s="426"/>
      <c r="WMI215" s="426"/>
      <c r="WMJ215" s="426"/>
      <c r="WMK215" s="426"/>
      <c r="WML215" s="426"/>
      <c r="WMM215" s="426"/>
      <c r="WMN215" s="426"/>
      <c r="WMO215" s="426"/>
      <c r="WMP215" s="426"/>
      <c r="WMQ215" s="426"/>
      <c r="WMR215" s="426"/>
      <c r="WMS215" s="426"/>
      <c r="WMT215" s="426"/>
      <c r="WMU215" s="426"/>
      <c r="WMV215" s="426"/>
      <c r="WMW215" s="426"/>
      <c r="WMX215" s="426"/>
      <c r="WMY215" s="426"/>
      <c r="WMZ215" s="426"/>
      <c r="WNA215" s="426"/>
      <c r="WNB215" s="426"/>
      <c r="WNC215" s="426"/>
      <c r="WND215" s="426"/>
      <c r="WNE215" s="426"/>
      <c r="WNF215" s="426"/>
      <c r="WNG215" s="426"/>
      <c r="WNH215" s="426"/>
      <c r="WNI215" s="426"/>
      <c r="WNJ215" s="426"/>
      <c r="WNK215" s="426"/>
      <c r="WNL215" s="426"/>
      <c r="WNM215" s="426"/>
      <c r="WNN215" s="426"/>
      <c r="WNO215" s="426"/>
      <c r="WNP215" s="426"/>
      <c r="WNQ215" s="426"/>
      <c r="WNR215" s="426"/>
      <c r="WNS215" s="426"/>
      <c r="WNT215" s="426"/>
      <c r="WNU215" s="426"/>
      <c r="WNV215" s="426"/>
      <c r="WNW215" s="426"/>
      <c r="WNX215" s="426"/>
      <c r="WNY215" s="426"/>
      <c r="WNZ215" s="426"/>
      <c r="WOA215" s="426"/>
      <c r="WOB215" s="426"/>
      <c r="WOC215" s="426"/>
      <c r="WOD215" s="426"/>
      <c r="WOE215" s="426"/>
      <c r="WOF215" s="426"/>
      <c r="WOG215" s="426"/>
      <c r="WOH215" s="426"/>
      <c r="WOI215" s="426"/>
      <c r="WOJ215" s="426"/>
      <c r="WOK215" s="426"/>
      <c r="WOL215" s="426"/>
      <c r="WOM215" s="426"/>
      <c r="WON215" s="426"/>
      <c r="WOO215" s="426"/>
      <c r="WOP215" s="426"/>
      <c r="WOQ215" s="426"/>
      <c r="WOR215" s="426"/>
      <c r="WOS215" s="426"/>
      <c r="WOT215" s="426"/>
      <c r="WOU215" s="426"/>
      <c r="WOV215" s="426"/>
      <c r="WOW215" s="426"/>
      <c r="WOX215" s="426"/>
      <c r="WOY215" s="426"/>
      <c r="WOZ215" s="426"/>
      <c r="WPA215" s="426"/>
      <c r="WPB215" s="426"/>
      <c r="WPC215" s="426"/>
      <c r="WPD215" s="426"/>
      <c r="WPE215" s="426"/>
      <c r="WPF215" s="426"/>
      <c r="WPG215" s="426"/>
      <c r="WPH215" s="426"/>
      <c r="WPI215" s="426"/>
      <c r="WPJ215" s="426"/>
      <c r="WPK215" s="426"/>
      <c r="WPL215" s="426"/>
      <c r="WPM215" s="426"/>
      <c r="WPN215" s="426"/>
      <c r="WPO215" s="426"/>
      <c r="WPP215" s="426"/>
      <c r="WPQ215" s="426"/>
      <c r="WPR215" s="426"/>
      <c r="WPS215" s="426"/>
      <c r="WPT215" s="426"/>
      <c r="WPU215" s="426"/>
      <c r="WPV215" s="426"/>
      <c r="WPW215" s="426"/>
      <c r="WPX215" s="426"/>
      <c r="WPY215" s="426"/>
      <c r="WPZ215" s="426"/>
      <c r="WQA215" s="426"/>
      <c r="WQB215" s="426"/>
      <c r="WQC215" s="426"/>
      <c r="WQD215" s="426"/>
      <c r="WQE215" s="426"/>
      <c r="WQF215" s="426"/>
      <c r="WQG215" s="426"/>
      <c r="WQH215" s="426"/>
      <c r="WQI215" s="426"/>
      <c r="WQJ215" s="426"/>
      <c r="WQK215" s="426"/>
      <c r="WQL215" s="426"/>
      <c r="WQM215" s="426"/>
      <c r="WQN215" s="426"/>
      <c r="WQO215" s="426"/>
      <c r="WQP215" s="426"/>
      <c r="WQQ215" s="426"/>
      <c r="WQR215" s="426"/>
      <c r="WQS215" s="426"/>
      <c r="WQT215" s="426"/>
      <c r="WQU215" s="426"/>
      <c r="WQV215" s="426"/>
      <c r="WQW215" s="426"/>
      <c r="WQX215" s="426"/>
      <c r="WQY215" s="426"/>
      <c r="WQZ215" s="426"/>
      <c r="WRA215" s="426"/>
      <c r="WRB215" s="426"/>
      <c r="WRC215" s="426"/>
      <c r="WRD215" s="426"/>
      <c r="WRE215" s="426"/>
      <c r="WRF215" s="426"/>
      <c r="WRG215" s="426"/>
      <c r="WRH215" s="426"/>
      <c r="WRI215" s="426"/>
      <c r="WRJ215" s="426"/>
      <c r="WRK215" s="426"/>
      <c r="WRL215" s="426"/>
      <c r="WRM215" s="426"/>
      <c r="WRN215" s="426"/>
      <c r="WRO215" s="426"/>
      <c r="WRP215" s="426"/>
      <c r="WRQ215" s="426"/>
      <c r="WRR215" s="426"/>
      <c r="WRS215" s="426"/>
      <c r="WRT215" s="426"/>
      <c r="WRU215" s="426"/>
      <c r="WRV215" s="426"/>
      <c r="WRW215" s="426"/>
      <c r="WRX215" s="426"/>
      <c r="WRY215" s="426"/>
      <c r="WRZ215" s="426"/>
      <c r="WSA215" s="426"/>
      <c r="WSB215" s="426"/>
      <c r="WSC215" s="426"/>
      <c r="WSD215" s="426"/>
      <c r="WSE215" s="426"/>
      <c r="WSF215" s="426"/>
      <c r="WSG215" s="426"/>
      <c r="WSH215" s="426"/>
      <c r="WSI215" s="426"/>
      <c r="WSJ215" s="426"/>
      <c r="WSK215" s="426"/>
      <c r="WSL215" s="426"/>
      <c r="WSM215" s="426"/>
      <c r="WSN215" s="426"/>
      <c r="WSO215" s="426"/>
      <c r="WSP215" s="426"/>
      <c r="WSQ215" s="426"/>
      <c r="WSR215" s="426"/>
      <c r="WSS215" s="426"/>
      <c r="WST215" s="426"/>
      <c r="WSU215" s="426"/>
      <c r="WSV215" s="426"/>
      <c r="WSW215" s="426"/>
      <c r="WSX215" s="426"/>
      <c r="WSY215" s="426"/>
      <c r="WSZ215" s="426"/>
      <c r="WTA215" s="426"/>
      <c r="WTB215" s="426"/>
      <c r="WTC215" s="426"/>
      <c r="WTD215" s="426"/>
      <c r="WTE215" s="426"/>
      <c r="WTF215" s="426"/>
      <c r="WTG215" s="426"/>
      <c r="WTH215" s="426"/>
      <c r="WTI215" s="426"/>
      <c r="WTJ215" s="426"/>
      <c r="WTK215" s="426"/>
      <c r="WTL215" s="426"/>
      <c r="WTM215" s="426"/>
      <c r="WTN215" s="426"/>
      <c r="WTO215" s="426"/>
      <c r="WTP215" s="426"/>
      <c r="WTQ215" s="426"/>
      <c r="WTR215" s="426"/>
      <c r="WTS215" s="426"/>
      <c r="WTT215" s="426"/>
      <c r="WTU215" s="426"/>
      <c r="WTV215" s="426"/>
      <c r="WTW215" s="426"/>
      <c r="WTX215" s="426"/>
      <c r="WTY215" s="426"/>
      <c r="WTZ215" s="426"/>
      <c r="WUA215" s="426"/>
      <c r="WUB215" s="426"/>
      <c r="WUC215" s="426"/>
      <c r="WUD215" s="426"/>
      <c r="WUE215" s="426"/>
      <c r="WUF215" s="426"/>
      <c r="WUG215" s="426"/>
      <c r="WUH215" s="426"/>
      <c r="WUI215" s="426"/>
      <c r="WUJ215" s="426"/>
      <c r="WUK215" s="426"/>
      <c r="WUL215" s="426"/>
      <c r="WUM215" s="426"/>
      <c r="WUN215" s="426"/>
      <c r="WUO215" s="426"/>
      <c r="WUP215" s="426"/>
      <c r="WUQ215" s="426"/>
      <c r="WUR215" s="426"/>
      <c r="WUS215" s="426"/>
      <c r="WUT215" s="426"/>
      <c r="WUU215" s="426"/>
      <c r="WUV215" s="426"/>
      <c r="WUW215" s="426"/>
      <c r="WUX215" s="426"/>
      <c r="WUY215" s="426"/>
      <c r="WUZ215" s="426"/>
      <c r="WVA215" s="426"/>
      <c r="WVB215" s="426"/>
      <c r="WVC215" s="426"/>
      <c r="WVD215" s="426"/>
      <c r="WVE215" s="426"/>
      <c r="WVF215" s="426"/>
      <c r="WVG215" s="426"/>
      <c r="WVH215" s="426"/>
      <c r="WVI215" s="426"/>
      <c r="WVJ215" s="426"/>
      <c r="WVK215" s="426"/>
      <c r="WVL215" s="426"/>
      <c r="WVM215" s="426"/>
      <c r="WVN215" s="426"/>
      <c r="WVO215" s="426"/>
      <c r="WVP215" s="426"/>
      <c r="WVQ215" s="426"/>
      <c r="WVR215" s="426"/>
      <c r="WVS215" s="426"/>
      <c r="WVT215" s="426"/>
      <c r="WVU215" s="426"/>
      <c r="WVV215" s="426"/>
      <c r="WVW215" s="426"/>
      <c r="WVX215" s="426"/>
      <c r="WVY215" s="426"/>
      <c r="WVZ215" s="426"/>
      <c r="WWA215" s="426"/>
      <c r="WWB215" s="426"/>
      <c r="WWC215" s="426"/>
      <c r="WWD215" s="426"/>
      <c r="WWE215" s="426"/>
      <c r="WWF215" s="426"/>
      <c r="WWG215" s="426"/>
      <c r="WWH215" s="426"/>
      <c r="WWI215" s="426"/>
      <c r="WWJ215" s="426"/>
      <c r="WWK215" s="426"/>
      <c r="WWL215" s="426"/>
      <c r="WWM215" s="426"/>
      <c r="WWN215" s="426"/>
      <c r="WWO215" s="426"/>
      <c r="WWP215" s="426"/>
      <c r="WWQ215" s="426"/>
      <c r="WWR215" s="426"/>
      <c r="WWS215" s="426"/>
      <c r="WWT215" s="426"/>
      <c r="WWU215" s="426"/>
      <c r="WWV215" s="426"/>
      <c r="WWW215" s="426"/>
      <c r="WWX215" s="426"/>
      <c r="WWY215" s="426"/>
      <c r="WWZ215" s="426"/>
      <c r="WXA215" s="426"/>
      <c r="WXB215" s="426"/>
      <c r="WXC215" s="426"/>
      <c r="WXD215" s="426"/>
      <c r="WXE215" s="426"/>
      <c r="WXF215" s="426"/>
      <c r="WXG215" s="426"/>
      <c r="WXH215" s="426"/>
      <c r="WXI215" s="426"/>
      <c r="WXJ215" s="426"/>
      <c r="WXK215" s="426"/>
      <c r="WXL215" s="426"/>
      <c r="WXM215" s="426"/>
      <c r="WXN215" s="426"/>
      <c r="WXO215" s="426"/>
      <c r="WXP215" s="426"/>
      <c r="WXQ215" s="426"/>
      <c r="WXR215" s="426"/>
      <c r="WXS215" s="426"/>
      <c r="WXT215" s="426"/>
      <c r="WXU215" s="426"/>
      <c r="WXV215" s="426"/>
      <c r="WXW215" s="426"/>
      <c r="WXX215" s="426"/>
      <c r="WXY215" s="426"/>
      <c r="WXZ215" s="426"/>
      <c r="WYA215" s="426"/>
      <c r="WYB215" s="426"/>
      <c r="WYC215" s="426"/>
      <c r="WYD215" s="426"/>
      <c r="WYE215" s="426"/>
      <c r="WYF215" s="426"/>
      <c r="WYG215" s="426"/>
      <c r="WYH215" s="426"/>
      <c r="WYI215" s="426"/>
      <c r="WYJ215" s="426"/>
      <c r="WYK215" s="426"/>
      <c r="WYL215" s="426"/>
      <c r="WYM215" s="426"/>
      <c r="WYN215" s="426"/>
      <c r="WYO215" s="426"/>
      <c r="WYP215" s="426"/>
      <c r="WYQ215" s="426"/>
      <c r="WYR215" s="426"/>
      <c r="WYS215" s="426"/>
      <c r="WYT215" s="426"/>
      <c r="WYU215" s="426"/>
      <c r="WYV215" s="426"/>
      <c r="WYW215" s="426"/>
      <c r="WYX215" s="426"/>
      <c r="WYY215" s="426"/>
      <c r="WYZ215" s="426"/>
      <c r="WZA215" s="426"/>
      <c r="WZB215" s="426"/>
      <c r="WZC215" s="426"/>
      <c r="WZD215" s="426"/>
      <c r="WZE215" s="426"/>
      <c r="WZF215" s="426"/>
      <c r="WZG215" s="426"/>
      <c r="WZH215" s="426"/>
      <c r="WZI215" s="426"/>
      <c r="WZJ215" s="426"/>
      <c r="WZK215" s="426"/>
      <c r="WZL215" s="426"/>
      <c r="WZM215" s="426"/>
      <c r="WZN215" s="426"/>
      <c r="WZO215" s="426"/>
      <c r="WZP215" s="426"/>
      <c r="WZQ215" s="426"/>
      <c r="WZR215" s="426"/>
      <c r="WZS215" s="426"/>
      <c r="WZT215" s="426"/>
      <c r="WZU215" s="426"/>
      <c r="WZV215" s="426"/>
      <c r="WZW215" s="426"/>
      <c r="WZX215" s="426"/>
      <c r="WZY215" s="426"/>
      <c r="WZZ215" s="426"/>
      <c r="XAA215" s="426"/>
      <c r="XAB215" s="426"/>
      <c r="XAC215" s="426"/>
      <c r="XAD215" s="426"/>
      <c r="XAE215" s="426"/>
      <c r="XAF215" s="426"/>
      <c r="XAG215" s="426"/>
      <c r="XAH215" s="426"/>
      <c r="XAI215" s="426"/>
      <c r="XAJ215" s="426"/>
      <c r="XAK215" s="426"/>
      <c r="XAL215" s="426"/>
      <c r="XAM215" s="426"/>
      <c r="XAN215" s="426"/>
      <c r="XAO215" s="426"/>
      <c r="XAP215" s="426"/>
      <c r="XAQ215" s="426"/>
      <c r="XAR215" s="426"/>
      <c r="XAS215" s="426"/>
      <c r="XAT215" s="426"/>
      <c r="XAU215" s="426"/>
      <c r="XAV215" s="426"/>
      <c r="XAW215" s="426"/>
      <c r="XAX215" s="426"/>
      <c r="XAY215" s="426"/>
      <c r="XAZ215" s="426"/>
      <c r="XBA215" s="426"/>
      <c r="XBB215" s="426"/>
      <c r="XBC215" s="426"/>
      <c r="XBD215" s="426"/>
      <c r="XBE215" s="426"/>
      <c r="XBF215" s="426"/>
      <c r="XBG215" s="426"/>
      <c r="XBH215" s="426"/>
      <c r="XBI215" s="426"/>
      <c r="XBJ215" s="426"/>
      <c r="XBK215" s="426"/>
      <c r="XBL215" s="426"/>
      <c r="XBM215" s="426"/>
      <c r="XBN215" s="426"/>
      <c r="XBO215" s="426"/>
      <c r="XBP215" s="426"/>
      <c r="XBQ215" s="426"/>
      <c r="XBR215" s="426"/>
      <c r="XBS215" s="426"/>
      <c r="XBT215" s="426"/>
      <c r="XBU215" s="426"/>
      <c r="XBV215" s="426"/>
      <c r="XBW215" s="426"/>
      <c r="XBX215" s="426"/>
      <c r="XBY215" s="426"/>
      <c r="XBZ215" s="426"/>
      <c r="XCA215" s="426"/>
      <c r="XCB215" s="426"/>
      <c r="XCC215" s="426"/>
      <c r="XCD215" s="426"/>
      <c r="XCE215" s="426"/>
      <c r="XCF215" s="426"/>
      <c r="XCG215" s="426"/>
      <c r="XCH215" s="426"/>
      <c r="XCI215" s="426"/>
      <c r="XCJ215" s="426"/>
      <c r="XCK215" s="426"/>
      <c r="XCL215" s="426"/>
      <c r="XCM215" s="426"/>
      <c r="XCN215" s="426"/>
      <c r="XCO215" s="426"/>
      <c r="XCP215" s="426"/>
      <c r="XCQ215" s="426"/>
      <c r="XCR215" s="426"/>
      <c r="XCS215" s="426"/>
      <c r="XCT215" s="426"/>
      <c r="XCU215" s="426"/>
      <c r="XCV215" s="426"/>
      <c r="XCW215" s="426"/>
      <c r="XCX215" s="426"/>
      <c r="XCY215" s="426"/>
      <c r="XCZ215" s="426"/>
      <c r="XDA215" s="426"/>
      <c r="XDB215" s="426"/>
      <c r="XDC215" s="426"/>
      <c r="XDD215" s="426"/>
      <c r="XDE215" s="426"/>
      <c r="XDF215" s="426"/>
      <c r="XDG215" s="426"/>
      <c r="XDH215" s="426"/>
      <c r="XDI215" s="426"/>
      <c r="XDJ215" s="426"/>
      <c r="XDK215" s="426"/>
      <c r="XDL215" s="426"/>
      <c r="XDM215" s="426"/>
      <c r="XDN215" s="426"/>
      <c r="XDO215" s="426"/>
      <c r="XDP215" s="426"/>
      <c r="XDQ215" s="426"/>
      <c r="XDR215" s="426"/>
      <c r="XDS215" s="426"/>
      <c r="XDT215" s="426"/>
      <c r="XDU215" s="426"/>
      <c r="XDV215" s="426"/>
      <c r="XDW215" s="426"/>
      <c r="XDX215" s="426"/>
      <c r="XDY215" s="426"/>
      <c r="XDZ215" s="426"/>
      <c r="XEA215" s="426"/>
      <c r="XEB215" s="426"/>
      <c r="XEC215" s="426"/>
      <c r="XED215" s="426"/>
      <c r="XEE215" s="426"/>
      <c r="XEF215" s="426"/>
      <c r="XEG215" s="426"/>
      <c r="XEH215" s="426"/>
      <c r="XEI215" s="426"/>
      <c r="XEJ215" s="426"/>
      <c r="XEK215" s="426"/>
      <c r="XEL215" s="426"/>
      <c r="XEM215" s="426"/>
      <c r="XEN215" s="426"/>
      <c r="XEO215" s="426"/>
      <c r="XEP215" s="426"/>
      <c r="XEQ215" s="426"/>
      <c r="XER215" s="426"/>
      <c r="XES215" s="426"/>
      <c r="XET215" s="426"/>
      <c r="XEU215" s="426"/>
      <c r="XEV215" s="426"/>
      <c r="XEW215" s="426"/>
      <c r="XEX215" s="426"/>
      <c r="XEY215" s="426"/>
      <c r="XEZ215" s="426"/>
      <c r="XFA215" s="426"/>
      <c r="XFB215" s="426"/>
      <c r="XFC215" s="426"/>
      <c r="XFD215" s="426"/>
    </row>
    <row r="216" spans="3:61 14290:16384" x14ac:dyDescent="0.25">
      <c r="C216" s="446" t="s">
        <v>1739</v>
      </c>
      <c r="D216" s="1098" t="s">
        <v>47</v>
      </c>
      <c r="E216" s="426">
        <v>1</v>
      </c>
      <c r="F216" s="573"/>
      <c r="G216" s="574"/>
      <c r="H216" s="575"/>
      <c r="I216" s="576"/>
      <c r="J216" s="526"/>
      <c r="K216" s="447"/>
      <c r="L216" s="527"/>
      <c r="M216" s="528"/>
      <c r="N216" s="453"/>
      <c r="O216" s="527"/>
      <c r="P216" s="528"/>
      <c r="Q216" s="524"/>
      <c r="R216" s="448"/>
      <c r="S216" s="448"/>
      <c r="T216" s="449"/>
      <c r="U216" s="524"/>
      <c r="V216" s="448"/>
      <c r="W216" s="448"/>
      <c r="X216" s="450"/>
      <c r="Y216" s="450"/>
      <c r="Z216" s="533"/>
      <c r="AA216" s="450"/>
      <c r="AB216" s="529"/>
      <c r="AC216" s="529"/>
      <c r="AD216" s="451"/>
      <c r="AE216" s="530"/>
      <c r="AF216" s="451"/>
      <c r="AI216" s="573"/>
      <c r="AJ216" s="574"/>
      <c r="AK216" s="575"/>
      <c r="AL216" s="576"/>
      <c r="AM216" s="534"/>
      <c r="AN216" s="535"/>
      <c r="AO216" s="536"/>
      <c r="AP216" s="537"/>
      <c r="AQ216" s="535"/>
      <c r="AR216" s="536"/>
      <c r="AS216" s="537"/>
      <c r="AT216" s="533"/>
      <c r="AU216" s="538"/>
      <c r="AV216" s="538"/>
      <c r="AW216" s="539"/>
      <c r="AX216" s="533"/>
      <c r="AY216" s="538"/>
      <c r="AZ216" s="538"/>
      <c r="BA216" s="540"/>
      <c r="BB216" s="540"/>
      <c r="BC216" s="533"/>
      <c r="BD216" s="540"/>
      <c r="BE216" s="541"/>
      <c r="BF216" s="541"/>
      <c r="BG216" s="542"/>
      <c r="BH216" s="543"/>
      <c r="BI216" s="542"/>
    </row>
    <row r="217" spans="3:61 14290:16384" x14ac:dyDescent="0.25">
      <c r="C217" s="446" t="s">
        <v>1739</v>
      </c>
      <c r="D217" s="1098" t="s">
        <v>47</v>
      </c>
      <c r="F217" s="573"/>
      <c r="G217" s="574"/>
      <c r="H217" s="575"/>
      <c r="I217" s="576"/>
      <c r="J217" s="526"/>
      <c r="K217" s="447"/>
      <c r="L217" s="527"/>
      <c r="M217" s="528"/>
      <c r="N217" s="453"/>
      <c r="O217" s="527"/>
      <c r="P217" s="528"/>
      <c r="Q217" s="524"/>
      <c r="R217" s="448"/>
      <c r="S217" s="448"/>
      <c r="T217" s="449"/>
      <c r="U217" s="524"/>
      <c r="V217" s="448"/>
      <c r="W217" s="448"/>
      <c r="X217" s="450"/>
      <c r="Y217" s="450"/>
      <c r="Z217" s="533"/>
      <c r="AA217" s="450"/>
      <c r="AB217" s="529"/>
      <c r="AC217" s="529"/>
      <c r="AD217" s="451"/>
      <c r="AE217" s="530"/>
      <c r="AF217" s="451"/>
    </row>
    <row r="218" spans="3:61 14290:16384" x14ac:dyDescent="0.25">
      <c r="C218" s="446" t="s">
        <v>1739</v>
      </c>
      <c r="D218" s="1098" t="s">
        <v>47</v>
      </c>
      <c r="F218" s="573"/>
      <c r="G218" s="574"/>
      <c r="H218" s="575"/>
      <c r="I218" s="576"/>
      <c r="J218" s="526"/>
      <c r="K218" s="447"/>
      <c r="L218" s="527"/>
      <c r="M218" s="528"/>
      <c r="N218" s="453"/>
      <c r="O218" s="527"/>
      <c r="P218" s="528"/>
      <c r="Q218" s="524"/>
      <c r="R218" s="448"/>
      <c r="S218" s="448"/>
      <c r="T218" s="449"/>
      <c r="U218" s="524"/>
      <c r="V218" s="448"/>
      <c r="W218" s="448"/>
      <c r="X218" s="450"/>
      <c r="Y218" s="450"/>
      <c r="Z218" s="524"/>
      <c r="AA218" s="450"/>
      <c r="AB218" s="529"/>
      <c r="AC218" s="529"/>
      <c r="AD218" s="451"/>
      <c r="AE218" s="530"/>
      <c r="AF218" s="451"/>
    </row>
    <row r="219" spans="3:61 14290:16384" ht="13" x14ac:dyDescent="0.25">
      <c r="C219" s="446"/>
      <c r="D219" s="1188" t="s">
        <v>1988</v>
      </c>
      <c r="E219" s="1009">
        <f ca="1">IF(OR(DODZ!T3=DODZ!T4,WERSJA2!G2="BRAK OFERTY",DODZ!T5=DODZ!T10),0,1)</f>
        <v>1</v>
      </c>
      <c r="F219" s="1010" t="str">
        <f>IF(WERSJA2!J9="ZMIENNE","Zmienne","Stałe")</f>
        <v>Zmienne</v>
      </c>
      <c r="G219" s="574"/>
      <c r="H219" s="1011">
        <f ca="1">WERSJA2!D16*E202</f>
        <v>31000</v>
      </c>
      <c r="I219" s="1012">
        <f ca="1">'DOD1'!H3*E202</f>
        <v>8.4900000000000003E-2</v>
      </c>
      <c r="J219" s="1013">
        <f>'DOD1'!G3</f>
        <v>0</v>
      </c>
      <c r="K219" s="1014">
        <f ca="1">WERSJA2!D18</f>
        <v>46199</v>
      </c>
      <c r="L219" s="1015">
        <f ca="1">RATY_OE!BM3</f>
        <v>47660</v>
      </c>
      <c r="M219" s="1016">
        <f ca="1">WERSJA2!D19</f>
        <v>26</v>
      </c>
      <c r="N219" s="1014">
        <f ca="1">WERSJA2!D18</f>
        <v>46199</v>
      </c>
      <c r="O219" s="1014">
        <f ca="1">WERSJA2!D20</f>
        <v>46229</v>
      </c>
      <c r="P219" s="1020">
        <f>'DOD1'!E8</f>
        <v>48</v>
      </c>
      <c r="Q219" s="1017" t="str">
        <f>IF(WERSJA2!D4="BEZ UBEZPIECZENIA","NieDotyczy",WERSJA2!D12)</f>
        <v>NieDotyczy</v>
      </c>
      <c r="R219" s="472">
        <f>IF(Q219="NieDotyczy",0,1)</f>
        <v>0</v>
      </c>
      <c r="S219" s="472">
        <f>IF(Q219="NIE",0*R219,1*R219)</f>
        <v>0</v>
      </c>
      <c r="T219" s="449">
        <f ca="1">H219*R219*P219*wsp_ubezp_wybranejOfe</f>
        <v>0</v>
      </c>
      <c r="U219" s="1021" t="str">
        <f>IF(WERSJA2!J4=0,"NieDotyczy",WERSJA2!D10)</f>
        <v>NieDotyczy</v>
      </c>
      <c r="V219" s="448">
        <f t="shared" ref="V219:V220" si="1">IF(U219="NieDotyczy",0,1)</f>
        <v>0</v>
      </c>
      <c r="W219" s="448">
        <f t="shared" ref="W219:W220" si="2">IF(U219="NIE",0*V219,1*V219)</f>
        <v>0</v>
      </c>
      <c r="X219" s="450">
        <f t="shared" ref="X219:X220" ca="1" si="3">(H219+T219*S219)*J219</f>
        <v>0</v>
      </c>
      <c r="Y219" s="450" t="str">
        <f t="shared" ref="Y219:Y220" si="4">IF(AND(Q219&lt;&gt;"TAK",U219&lt;&gt;"TAK"),"NIE","TAK")</f>
        <v>NIE</v>
      </c>
      <c r="Z219" s="467" t="s">
        <v>181</v>
      </c>
      <c r="AA219" s="450">
        <f t="shared" ref="AA219:AA220" ca="1" si="5">H219+T219*W219+X219*W219</f>
        <v>31000</v>
      </c>
      <c r="AB219" s="529">
        <f ca="1">WERSJA2!J17</f>
        <v>764.1</v>
      </c>
      <c r="AC219" s="1027">
        <f ca="1">RATY_OE!BM5</f>
        <v>5676.799999999992</v>
      </c>
      <c r="AD219" s="451">
        <f t="shared" ref="AD219:AD220" ca="1" si="6">T219+X219+AC219</f>
        <v>5676.799999999992</v>
      </c>
      <c r="AE219" s="1034">
        <f>RATY_OE!BM6</f>
        <v>8.2410577811416197E-2</v>
      </c>
      <c r="AF219" s="451">
        <f t="shared" ref="AF219:AF220" ca="1" si="7">AA219+AD219</f>
        <v>36676.799999999988</v>
      </c>
      <c r="AG219" s="1106">
        <f>'DOD1'!N8</f>
        <v>0</v>
      </c>
    </row>
    <row r="220" spans="3:61 14290:16384" ht="13" x14ac:dyDescent="0.25">
      <c r="C220" s="446"/>
      <c r="D220" s="1188" t="s">
        <v>1989</v>
      </c>
      <c r="E220" s="1009">
        <f ca="1">IF(OR(DODZ!T3=DODZ!T4,WERSJA2!G2="BRAK OFERTY",DODZ!T5=DODZ!T10),0,1)</f>
        <v>1</v>
      </c>
      <c r="F220" s="1010" t="str">
        <f>IF(WERSJA2!J9="ZMIENNE","Zmienne","Stałe")</f>
        <v>Zmienne</v>
      </c>
      <c r="G220" s="574"/>
      <c r="H220" s="1011">
        <f ca="1">WERSJA2!D16*E202</f>
        <v>31000</v>
      </c>
      <c r="I220" s="1012">
        <f ca="1">'DOD1'!H3*E202</f>
        <v>8.4900000000000003E-2</v>
      </c>
      <c r="J220" s="1013">
        <f>'DOD1'!G3</f>
        <v>0</v>
      </c>
      <c r="K220" s="1014">
        <f ca="1">WERSJA2!D18</f>
        <v>46199</v>
      </c>
      <c r="L220" s="1015">
        <f ca="1">RATY_OE!BL3</f>
        <v>47660</v>
      </c>
      <c r="M220" s="1016">
        <f ca="1">WERSJA2!D19</f>
        <v>26</v>
      </c>
      <c r="N220" s="1014">
        <f ca="1">WERSJA2!D18</f>
        <v>46199</v>
      </c>
      <c r="O220" s="1014">
        <f ca="1">WERSJA2!D20</f>
        <v>46229</v>
      </c>
      <c r="P220" s="1020">
        <f>'DOD1'!E8</f>
        <v>48</v>
      </c>
      <c r="Q220" s="1017" t="str">
        <f>IF(WERSJA2!D4="BEZ UBEZPIECZENIA","NieDotyczy",WERSJA2!D12)</f>
        <v>NieDotyczy</v>
      </c>
      <c r="R220" s="472">
        <f>IF(Q220="NieDotyczy",0,1)</f>
        <v>0</v>
      </c>
      <c r="S220" s="472">
        <f>IF(Q220="NIE",0*R220,1*R220)</f>
        <v>0</v>
      </c>
      <c r="T220" s="449">
        <f ca="1">H220*R220*P220*wsp_ubezp_wybranejOfe</f>
        <v>0</v>
      </c>
      <c r="U220" s="1021" t="str">
        <f>IF(WERSJA2!J4=0,"NieDotyczy",WERSJA2!D10)</f>
        <v>NieDotyczy</v>
      </c>
      <c r="V220" s="448">
        <f t="shared" si="1"/>
        <v>0</v>
      </c>
      <c r="W220" s="448">
        <f t="shared" si="2"/>
        <v>0</v>
      </c>
      <c r="X220" s="450">
        <f t="shared" ca="1" si="3"/>
        <v>0</v>
      </c>
      <c r="Y220" s="450" t="str">
        <f t="shared" si="4"/>
        <v>NIE</v>
      </c>
      <c r="Z220" s="467" t="s">
        <v>181</v>
      </c>
      <c r="AA220" s="450">
        <f t="shared" ca="1" si="5"/>
        <v>31000</v>
      </c>
      <c r="AB220" s="529">
        <f ca="1">WERSJA2!J17</f>
        <v>764.1</v>
      </c>
      <c r="AC220" s="1027">
        <f ca="1">RATY_OE!BL5</f>
        <v>5676.7000000000016</v>
      </c>
      <c r="AD220" s="451">
        <f t="shared" ca="1" si="6"/>
        <v>5676.7000000000016</v>
      </c>
      <c r="AE220" s="1034">
        <f>RATY_OE!BL6</f>
        <v>8.2407822681154569E-2</v>
      </c>
      <c r="AF220" s="451">
        <f t="shared" ca="1" si="7"/>
        <v>36676.700000000004</v>
      </c>
    </row>
    <row r="221" spans="3:61 14290:16384" ht="13" x14ac:dyDescent="0.25">
      <c r="C221" s="1039" t="s">
        <v>1996</v>
      </c>
      <c r="D221" s="1190" t="str">
        <f t="shared" ref="D221:AF221" si="8">IF(APLIKACJA="SOWK",D219,D220)</f>
        <v>APLIKACJA_ORANGE</v>
      </c>
      <c r="E221" s="1041">
        <f t="shared" ca="1" si="8"/>
        <v>1</v>
      </c>
      <c r="F221" s="1042" t="str">
        <f t="shared" si="8"/>
        <v>Zmienne</v>
      </c>
      <c r="G221" s="1043">
        <f t="shared" si="8"/>
        <v>0</v>
      </c>
      <c r="H221" s="1044">
        <f t="shared" ca="1" si="8"/>
        <v>31000</v>
      </c>
      <c r="I221" s="1045">
        <f t="shared" ca="1" si="8"/>
        <v>8.4900000000000003E-2</v>
      </c>
      <c r="J221" s="1046">
        <f t="shared" si="8"/>
        <v>0</v>
      </c>
      <c r="K221" s="1047">
        <f t="shared" ca="1" si="8"/>
        <v>46199</v>
      </c>
      <c r="L221" s="1048">
        <f t="shared" ca="1" si="8"/>
        <v>47660</v>
      </c>
      <c r="M221" s="1049">
        <f t="shared" ca="1" si="8"/>
        <v>26</v>
      </c>
      <c r="N221" s="1047">
        <f t="shared" ca="1" si="8"/>
        <v>46199</v>
      </c>
      <c r="O221" s="1047">
        <f t="shared" ca="1" si="8"/>
        <v>46229</v>
      </c>
      <c r="P221" s="1050">
        <f t="shared" si="8"/>
        <v>48</v>
      </c>
      <c r="Q221" s="1051" t="str">
        <f t="shared" si="8"/>
        <v>NieDotyczy</v>
      </c>
      <c r="R221" s="1052">
        <f t="shared" si="8"/>
        <v>0</v>
      </c>
      <c r="S221" s="1052">
        <f t="shared" si="8"/>
        <v>0</v>
      </c>
      <c r="T221" s="1053">
        <f t="shared" ca="1" si="8"/>
        <v>0</v>
      </c>
      <c r="U221" s="1051" t="str">
        <f t="shared" si="8"/>
        <v>NieDotyczy</v>
      </c>
      <c r="V221" s="1054">
        <f t="shared" si="8"/>
        <v>0</v>
      </c>
      <c r="W221" s="1054">
        <f t="shared" si="8"/>
        <v>0</v>
      </c>
      <c r="X221" s="1055">
        <f t="shared" ca="1" si="8"/>
        <v>0</v>
      </c>
      <c r="Y221" s="1055" t="str">
        <f t="shared" si="8"/>
        <v>NIE</v>
      </c>
      <c r="Z221" s="1056" t="str">
        <f t="shared" si="8"/>
        <v>NIE</v>
      </c>
      <c r="AA221" s="1055">
        <f t="shared" ca="1" si="8"/>
        <v>31000</v>
      </c>
      <c r="AB221" s="1057">
        <f t="shared" ca="1" si="8"/>
        <v>764.1</v>
      </c>
      <c r="AC221" s="1057">
        <f t="shared" ca="1" si="8"/>
        <v>5676.7000000000016</v>
      </c>
      <c r="AD221" s="1058">
        <f t="shared" ca="1" si="8"/>
        <v>5676.7000000000016</v>
      </c>
      <c r="AE221" s="1059">
        <f t="shared" si="8"/>
        <v>8.2407822681154569E-2</v>
      </c>
      <c r="AF221" s="1058">
        <f t="shared" ca="1" si="8"/>
        <v>36676.700000000004</v>
      </c>
    </row>
    <row r="494" spans="3:4" ht="13" x14ac:dyDescent="0.3">
      <c r="C494" s="433" t="s">
        <v>341</v>
      </c>
      <c r="D494" s="1191"/>
    </row>
    <row r="495" spans="3:4" x14ac:dyDescent="0.25">
      <c r="C495" s="435" t="s">
        <v>192</v>
      </c>
      <c r="D495" s="436" t="s">
        <v>342</v>
      </c>
    </row>
    <row r="496" spans="3:4" x14ac:dyDescent="0.25">
      <c r="C496" s="435" t="s">
        <v>343</v>
      </c>
      <c r="D496" s="436" t="s">
        <v>344</v>
      </c>
    </row>
    <row r="497" spans="1:6" ht="34.5" x14ac:dyDescent="0.25">
      <c r="C497" s="435" t="s">
        <v>345</v>
      </c>
      <c r="D497" s="437" t="s">
        <v>346</v>
      </c>
    </row>
    <row r="498" spans="1:6" ht="50" x14ac:dyDescent="0.25">
      <c r="C498" s="435" t="s">
        <v>347</v>
      </c>
      <c r="D498" s="436" t="s">
        <v>348</v>
      </c>
    </row>
    <row r="500" spans="1:6" ht="13" x14ac:dyDescent="0.3">
      <c r="C500" s="438" t="s">
        <v>2012</v>
      </c>
      <c r="D500" s="1192"/>
      <c r="E500" s="439"/>
      <c r="F500" s="577"/>
    </row>
    <row r="501" spans="1:6" x14ac:dyDescent="0.25">
      <c r="A501" s="577"/>
      <c r="B501" s="577"/>
      <c r="C501" s="577"/>
      <c r="D501" s="1193"/>
      <c r="E501" s="577"/>
      <c r="F501" s="577"/>
    </row>
    <row r="502" spans="1:6" x14ac:dyDescent="0.25">
      <c r="A502" s="577"/>
      <c r="B502" s="577"/>
      <c r="C502" s="577"/>
      <c r="D502" s="1193"/>
      <c r="E502" s="577" t="s">
        <v>349</v>
      </c>
      <c r="F502" s="577"/>
    </row>
    <row r="503" spans="1:6" ht="75" x14ac:dyDescent="0.25">
      <c r="C503" s="435" t="s">
        <v>350</v>
      </c>
      <c r="D503" s="522" t="str">
        <f>IF(APLIKACJA="SOWK",D519,D520)</f>
        <v>Wysokość ostatniej raty może ulec zmianie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03" s="435" t="s">
        <v>351</v>
      </c>
      <c r="F503" s="577" t="s">
        <v>352</v>
      </c>
    </row>
    <row r="504" spans="1:6" ht="87.5" x14ac:dyDescent="0.25">
      <c r="C504" s="435" t="s">
        <v>190</v>
      </c>
      <c r="D504" s="522" t="str">
        <f>IF(APLIKACJA="SOWK",D522,D523)</f>
        <v>Wysokość ostatniej raty może ulec zmianie w przypadku zmiany stopy procentowej w okresie kredytowania lub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04" s="435" t="s">
        <v>353</v>
      </c>
      <c r="F504" s="577" t="s">
        <v>354</v>
      </c>
    </row>
    <row r="507" spans="1:6" ht="13" x14ac:dyDescent="0.3">
      <c r="C507" s="433" t="s">
        <v>355</v>
      </c>
      <c r="D507" s="1194" t="s">
        <v>356</v>
      </c>
    </row>
    <row r="508" spans="1:6" x14ac:dyDescent="0.25">
      <c r="C508" s="435"/>
      <c r="D508" s="436"/>
    </row>
    <row r="509" spans="1:6" ht="13" x14ac:dyDescent="0.3">
      <c r="C509" s="435" t="s">
        <v>357</v>
      </c>
      <c r="D509" s="440" t="s">
        <v>358</v>
      </c>
    </row>
    <row r="510" spans="1:6" ht="37.5" x14ac:dyDescent="0.25">
      <c r="C510" s="522" t="s">
        <v>2046</v>
      </c>
      <c r="D510" s="436" t="str">
        <f>IF(WERSJA2!D6="Pozyczka PAKIET 5000","","Opłata za udostępnienie ubezpieczenia w ramach Programu ubezpieczeniowego ''Bezpieczna Pożyczka'' płatna będzie jednorazowo najpóźniej w dniu uruchomienia kredytu.")</f>
        <v>Opłata za udostępnienie ubezpieczenia w ramach Programu ubezpieczeniowego ''Bezpieczna Pożyczka'' płatna będzie jednorazowo najpóźniej w dniu uruchomienia kredytu.</v>
      </c>
    </row>
    <row r="512" spans="1:6" ht="34.9" customHeight="1" x14ac:dyDescent="0.3">
      <c r="C512" s="433" t="s">
        <v>2003</v>
      </c>
      <c r="D512" s="1194" t="s">
        <v>2004</v>
      </c>
    </row>
    <row r="513" spans="3:5" ht="42" customHeight="1" x14ac:dyDescent="0.25">
      <c r="C513" s="1095" t="s">
        <v>2014</v>
      </c>
      <c r="D513" s="1096" t="e">
        <f ca="1">"Pożyczka spłacana będzie w formie "&amp;FIXED(G9,0,TRUE)&amp;" miesięczne/ych rat równych "&amp;" w wysokości "&amp;FIXED(I10,2,FALSE)&amp;" zł, płatnych do "&amp;CONCATENATE(G8,"-go dnia każdego miesiąca.")</f>
        <v>#N/A</v>
      </c>
      <c r="E513" s="598"/>
    </row>
    <row r="514" spans="3:5" ht="55.15" customHeight="1" x14ac:dyDescent="0.25">
      <c r="C514" s="1095" t="s">
        <v>2015</v>
      </c>
      <c r="D514" s="1096" t="e">
        <f ca="1">"Pożyczka spłacana będzie w formie "&amp;FIXED(G9,0,TRUE)&amp;" miesięcznych rat. "&amp;FIXED(G9-1,0,TRUE)&amp;" rat(y) równe/ych w wysokości "&amp;FIXED(I10,2,FALSE)&amp;" zł, "&amp;" płatnych/e do "
&amp;CONCATENATE(G8,"-go dnia każdego miesiąca")&amp;"
oraz ostatnia "&amp;FIXED(G9,0,TRUE)&amp;" rata wyrównawcza"
&amp;" w wysokości "&amp;FIXED(RATY_OE!BN8,2,FALSE)&amp;" zł, płatna do dnia "&amp;TEXT(G7, "dd-mm-rrrr")&amp;"r."</f>
        <v>#N/A</v>
      </c>
      <c r="E514" s="598"/>
    </row>
    <row r="515" spans="3:5" ht="13" x14ac:dyDescent="0.3">
      <c r="C515" s="433"/>
      <c r="D515" s="1194"/>
    </row>
    <row r="518" spans="3:5" ht="13" x14ac:dyDescent="0.3">
      <c r="C518" s="433" t="s">
        <v>2011</v>
      </c>
      <c r="D518" s="1194"/>
      <c r="E518" s="433" t="s">
        <v>2003</v>
      </c>
    </row>
    <row r="519" spans="3:5" ht="87.5" x14ac:dyDescent="0.25">
      <c r="C519" s="435" t="s">
        <v>350</v>
      </c>
      <c r="D519" s="436" t="s">
        <v>1783</v>
      </c>
      <c r="E519" s="1102" t="s">
        <v>2006</v>
      </c>
    </row>
    <row r="520" spans="3:5" ht="75" x14ac:dyDescent="0.25">
      <c r="C520" s="1102" t="s">
        <v>350</v>
      </c>
      <c r="D520" s="436" t="s">
        <v>2009</v>
      </c>
      <c r="E520" s="1102" t="s">
        <v>2000</v>
      </c>
    </row>
    <row r="522" spans="3:5" ht="100" x14ac:dyDescent="0.25">
      <c r="C522" s="435" t="s">
        <v>190</v>
      </c>
      <c r="D522" s="436" t="s">
        <v>1755</v>
      </c>
      <c r="E522" s="1102" t="s">
        <v>2006</v>
      </c>
    </row>
    <row r="523" spans="3:5" ht="87.5" x14ac:dyDescent="0.25">
      <c r="C523" s="435" t="s">
        <v>190</v>
      </c>
      <c r="D523" s="436" t="s">
        <v>2010</v>
      </c>
      <c r="E523" s="1102" t="s">
        <v>2000</v>
      </c>
    </row>
    <row r="526" spans="3:5" ht="13" x14ac:dyDescent="0.3">
      <c r="C526" s="433" t="s">
        <v>2005</v>
      </c>
      <c r="D526" s="1194"/>
      <c r="E526" s="433" t="s">
        <v>2003</v>
      </c>
    </row>
    <row r="527" spans="3:5" x14ac:dyDescent="0.25">
      <c r="C527" s="1102" t="s">
        <v>2006</v>
      </c>
      <c r="D527" s="436" t="e">
        <f ca="1">"4. pożyczka będzie spłacana w "&amp;G9&amp;" równych miesięcznych ratach kapitałowo-odsetkowych,"</f>
        <v>#N/A</v>
      </c>
      <c r="E527" s="1102"/>
    </row>
    <row r="528" spans="3:5" x14ac:dyDescent="0.25">
      <c r="C528" s="1102" t="s">
        <v>2000</v>
      </c>
      <c r="D528" s="436" t="e">
        <f ca="1">"4. pożyczka będzie spłacana w "&amp;G9&amp;" miesięcznych ratach kapitałowo-odsetkowych, "&amp;G9-1&amp;" miesięczne rat(y) równe i ostatnia "&amp;G9&amp;" rata wyrównawcza,"</f>
        <v>#N/A</v>
      </c>
      <c r="E528" s="1102"/>
    </row>
    <row r="530" spans="3:5" ht="13" x14ac:dyDescent="0.3">
      <c r="C530" s="433" t="s">
        <v>1883</v>
      </c>
      <c r="D530" s="1194" t="s">
        <v>2042</v>
      </c>
      <c r="E530" s="598" t="s">
        <v>2043</v>
      </c>
    </row>
    <row r="531" spans="3:5" x14ac:dyDescent="0.25">
      <c r="C531" s="1104" t="s">
        <v>2044</v>
      </c>
      <c r="D531" s="436" t="e">
        <f ca="1">"Program ubezpieczeniowy Bezpieczna pożyczka - zakres ubezpieczenia:   
- Utrata stałego źródła dochodu przez Ubezpieczonego, 
- Czasowa niezdolność do pracy Ubezpieczonego,
- Zgon Ubezpieczonego,
- Całkowita niezdolności do zarobkowania Ubezpieczonego."&amp;"
Jednorazowa opłata z tytułu udostępnienia ubezpieczenia w ramach programu ubezpieczeniowego Bezpieczna Pożyczka wynosi "
&amp;FIXED(G5,2,FALSE)&amp;" zł."</f>
        <v>#N/A</v>
      </c>
    </row>
    <row r="532" spans="3:5" ht="100" x14ac:dyDescent="0.25">
      <c r="C532" s="1105" t="s">
        <v>2045</v>
      </c>
      <c r="D532" s="600" t="s">
        <v>2060</v>
      </c>
      <c r="E532" s="600" t="s">
        <v>2047</v>
      </c>
    </row>
    <row r="596" spans="3:12" ht="23" x14ac:dyDescent="0.5">
      <c r="C596" s="428" t="s">
        <v>359</v>
      </c>
      <c r="D596" s="1195" t="s">
        <v>360</v>
      </c>
    </row>
    <row r="597" spans="3:12" s="430" customFormat="1" ht="13" x14ac:dyDescent="0.3">
      <c r="C597" s="430" t="s">
        <v>361</v>
      </c>
      <c r="D597" s="1196" t="s">
        <v>362</v>
      </c>
      <c r="E597" s="430" t="s">
        <v>363</v>
      </c>
      <c r="F597" s="558" t="s">
        <v>364</v>
      </c>
      <c r="G597" s="558" t="s">
        <v>365</v>
      </c>
      <c r="H597" s="558" t="s">
        <v>366</v>
      </c>
      <c r="I597" s="558" t="s">
        <v>367</v>
      </c>
      <c r="J597" s="430" t="s">
        <v>368</v>
      </c>
      <c r="K597" s="430" t="s">
        <v>369</v>
      </c>
      <c r="L597" s="430" t="s">
        <v>370</v>
      </c>
    </row>
    <row r="598" spans="3:12" x14ac:dyDescent="0.25">
      <c r="C598" s="426">
        <v>10</v>
      </c>
      <c r="D598" s="1103" t="s">
        <v>371</v>
      </c>
      <c r="E598" s="426" t="s">
        <v>372</v>
      </c>
      <c r="F598" s="546" t="s">
        <v>373</v>
      </c>
      <c r="G598" s="546" t="s">
        <v>374</v>
      </c>
      <c r="H598" s="546" t="s">
        <v>375</v>
      </c>
    </row>
    <row r="599" spans="3:12" x14ac:dyDescent="0.25">
      <c r="C599" s="426">
        <v>11</v>
      </c>
      <c r="D599" s="1103" t="s">
        <v>376</v>
      </c>
      <c r="E599" s="426" t="s">
        <v>372</v>
      </c>
      <c r="F599" s="546" t="s">
        <v>377</v>
      </c>
      <c r="G599" s="546" t="s">
        <v>378</v>
      </c>
      <c r="H599" s="546" t="s">
        <v>379</v>
      </c>
    </row>
    <row r="600" spans="3:12" x14ac:dyDescent="0.25">
      <c r="C600" s="426">
        <v>12</v>
      </c>
      <c r="D600" s="1103" t="s">
        <v>380</v>
      </c>
      <c r="E600" s="426" t="s">
        <v>372</v>
      </c>
      <c r="F600" s="546" t="s">
        <v>381</v>
      </c>
      <c r="G600" s="546" t="s">
        <v>382</v>
      </c>
      <c r="H600" s="546" t="s">
        <v>383</v>
      </c>
    </row>
    <row r="601" spans="3:12" x14ac:dyDescent="0.25">
      <c r="C601" s="426">
        <v>13</v>
      </c>
      <c r="D601" s="1103" t="s">
        <v>384</v>
      </c>
      <c r="E601" s="426" t="s">
        <v>372</v>
      </c>
      <c r="F601" s="546" t="s">
        <v>385</v>
      </c>
      <c r="G601" s="546" t="s">
        <v>386</v>
      </c>
      <c r="H601" s="546" t="s">
        <v>387</v>
      </c>
    </row>
    <row r="602" spans="3:12" x14ac:dyDescent="0.25">
      <c r="C602" s="426">
        <v>14</v>
      </c>
      <c r="D602" s="1103" t="s">
        <v>388</v>
      </c>
      <c r="E602" s="426" t="s">
        <v>372</v>
      </c>
      <c r="F602" s="546" t="s">
        <v>389</v>
      </c>
      <c r="G602" s="546" t="s">
        <v>390</v>
      </c>
      <c r="H602" s="546" t="s">
        <v>391</v>
      </c>
    </row>
    <row r="603" spans="3:12" x14ac:dyDescent="0.25">
      <c r="C603" s="426">
        <v>15</v>
      </c>
      <c r="D603" s="1103" t="s">
        <v>392</v>
      </c>
      <c r="E603" s="426" t="s">
        <v>372</v>
      </c>
      <c r="F603" s="546" t="s">
        <v>393</v>
      </c>
      <c r="G603" s="546" t="s">
        <v>394</v>
      </c>
      <c r="H603" s="546" t="s">
        <v>395</v>
      </c>
    </row>
    <row r="604" spans="3:12" x14ac:dyDescent="0.25">
      <c r="C604" s="426">
        <v>16</v>
      </c>
      <c r="D604" s="1103" t="s">
        <v>396</v>
      </c>
      <c r="E604" s="426" t="s">
        <v>372</v>
      </c>
      <c r="F604" s="546" t="s">
        <v>397</v>
      </c>
      <c r="G604" s="546" t="s">
        <v>398</v>
      </c>
      <c r="H604" s="546" t="s">
        <v>1932</v>
      </c>
    </row>
    <row r="605" spans="3:12" x14ac:dyDescent="0.25">
      <c r="C605" s="426">
        <v>17</v>
      </c>
      <c r="D605" s="1103" t="s">
        <v>399</v>
      </c>
      <c r="E605" s="426" t="s">
        <v>372</v>
      </c>
      <c r="F605" s="546" t="s">
        <v>400</v>
      </c>
      <c r="G605" s="546" t="s">
        <v>401</v>
      </c>
      <c r="H605" s="546" t="s">
        <v>402</v>
      </c>
    </row>
    <row r="606" spans="3:12" x14ac:dyDescent="0.25">
      <c r="C606" s="426">
        <v>18</v>
      </c>
      <c r="D606" s="1103" t="s">
        <v>403</v>
      </c>
      <c r="E606" s="426" t="s">
        <v>372</v>
      </c>
      <c r="F606" s="546" t="s">
        <v>404</v>
      </c>
      <c r="G606" s="546" t="s">
        <v>405</v>
      </c>
      <c r="H606" s="546" t="s">
        <v>406</v>
      </c>
    </row>
    <row r="607" spans="3:12" x14ac:dyDescent="0.25">
      <c r="C607" s="426">
        <v>19</v>
      </c>
      <c r="D607" s="1103" t="s">
        <v>407</v>
      </c>
      <c r="E607" s="426" t="s">
        <v>372</v>
      </c>
      <c r="F607" s="546" t="s">
        <v>408</v>
      </c>
      <c r="G607" s="546" t="s">
        <v>409</v>
      </c>
      <c r="H607" s="546" t="s">
        <v>410</v>
      </c>
    </row>
    <row r="608" spans="3:12" x14ac:dyDescent="0.25">
      <c r="C608" s="426">
        <v>20</v>
      </c>
      <c r="D608" s="1103" t="s">
        <v>411</v>
      </c>
      <c r="E608" s="426" t="s">
        <v>372</v>
      </c>
      <c r="F608" s="546" t="s">
        <v>373</v>
      </c>
      <c r="G608" s="546" t="s">
        <v>412</v>
      </c>
      <c r="H608" s="546" t="s">
        <v>413</v>
      </c>
    </row>
    <row r="609" spans="3:8" x14ac:dyDescent="0.25">
      <c r="C609" s="426">
        <v>21</v>
      </c>
      <c r="D609" s="1103" t="s">
        <v>414</v>
      </c>
      <c r="E609" s="426" t="s">
        <v>372</v>
      </c>
      <c r="F609" s="546" t="s">
        <v>373</v>
      </c>
      <c r="G609" s="546" t="s">
        <v>374</v>
      </c>
      <c r="H609" s="546" t="s">
        <v>415</v>
      </c>
    </row>
    <row r="610" spans="3:8" x14ac:dyDescent="0.25">
      <c r="C610" s="426">
        <v>22</v>
      </c>
      <c r="D610" s="1103" t="s">
        <v>414</v>
      </c>
      <c r="E610" s="426" t="s">
        <v>372</v>
      </c>
      <c r="F610" s="546" t="s">
        <v>373</v>
      </c>
      <c r="G610" s="546" t="s">
        <v>416</v>
      </c>
      <c r="H610" s="546" t="s">
        <v>417</v>
      </c>
    </row>
    <row r="611" spans="3:8" x14ac:dyDescent="0.25">
      <c r="C611" s="426">
        <v>23</v>
      </c>
      <c r="D611" s="1103" t="s">
        <v>418</v>
      </c>
      <c r="E611" s="426" t="s">
        <v>372</v>
      </c>
      <c r="F611" s="546" t="s">
        <v>419</v>
      </c>
      <c r="G611" s="546" t="s">
        <v>420</v>
      </c>
      <c r="H611" s="546" t="s">
        <v>421</v>
      </c>
    </row>
    <row r="612" spans="3:8" x14ac:dyDescent="0.25">
      <c r="C612" s="426">
        <v>24</v>
      </c>
      <c r="D612" s="1103" t="s">
        <v>422</v>
      </c>
      <c r="E612" s="426" t="s">
        <v>372</v>
      </c>
      <c r="F612" s="546" t="s">
        <v>423</v>
      </c>
      <c r="G612" s="546" t="s">
        <v>424</v>
      </c>
      <c r="H612" s="546" t="s">
        <v>425</v>
      </c>
    </row>
    <row r="613" spans="3:8" x14ac:dyDescent="0.25">
      <c r="C613" s="426">
        <v>25</v>
      </c>
      <c r="D613" s="1103" t="s">
        <v>426</v>
      </c>
      <c r="E613" s="426" t="s">
        <v>372</v>
      </c>
      <c r="F613" s="546" t="s">
        <v>427</v>
      </c>
      <c r="G613" s="546" t="s">
        <v>428</v>
      </c>
      <c r="H613" s="546" t="s">
        <v>429</v>
      </c>
    </row>
    <row r="614" spans="3:8" x14ac:dyDescent="0.25">
      <c r="C614" s="426">
        <v>27</v>
      </c>
      <c r="D614" s="1103" t="s">
        <v>430</v>
      </c>
      <c r="E614" s="426" t="s">
        <v>372</v>
      </c>
      <c r="F614" s="546" t="s">
        <v>431</v>
      </c>
      <c r="G614" s="546" t="s">
        <v>432</v>
      </c>
      <c r="H614" s="546" t="s">
        <v>433</v>
      </c>
    </row>
    <row r="615" spans="3:8" x14ac:dyDescent="0.25">
      <c r="C615" s="426">
        <v>28</v>
      </c>
      <c r="D615" s="1103" t="s">
        <v>414</v>
      </c>
      <c r="E615" s="426" t="s">
        <v>372</v>
      </c>
      <c r="F615" s="546" t="s">
        <v>373</v>
      </c>
      <c r="G615" s="546" t="s">
        <v>434</v>
      </c>
      <c r="H615" s="546" t="s">
        <v>435</v>
      </c>
    </row>
    <row r="616" spans="3:8" x14ac:dyDescent="0.25">
      <c r="C616" s="426">
        <v>29</v>
      </c>
      <c r="D616" s="1103" t="s">
        <v>436</v>
      </c>
      <c r="E616" s="426" t="s">
        <v>372</v>
      </c>
      <c r="F616" s="546" t="s">
        <v>437</v>
      </c>
      <c r="G616" s="546" t="s">
        <v>438</v>
      </c>
      <c r="H616" s="546" t="s">
        <v>439</v>
      </c>
    </row>
    <row r="617" spans="3:8" x14ac:dyDescent="0.25">
      <c r="C617" s="426">
        <v>30</v>
      </c>
      <c r="D617" s="1103" t="s">
        <v>440</v>
      </c>
      <c r="E617" s="426" t="s">
        <v>372</v>
      </c>
      <c r="F617" s="546" t="s">
        <v>437</v>
      </c>
      <c r="G617" s="546" t="s">
        <v>438</v>
      </c>
      <c r="H617" s="546" t="s">
        <v>441</v>
      </c>
    </row>
    <row r="618" spans="3:8" x14ac:dyDescent="0.25">
      <c r="C618" s="426">
        <v>31</v>
      </c>
      <c r="D618" s="1103" t="s">
        <v>442</v>
      </c>
      <c r="E618" s="426" t="s">
        <v>372</v>
      </c>
      <c r="F618" s="546" t="s">
        <v>443</v>
      </c>
      <c r="G618" s="546" t="s">
        <v>444</v>
      </c>
      <c r="H618" s="546" t="s">
        <v>445</v>
      </c>
    </row>
    <row r="619" spans="3:8" x14ac:dyDescent="0.25">
      <c r="C619" s="426">
        <v>32</v>
      </c>
      <c r="D619" s="1103" t="s">
        <v>442</v>
      </c>
      <c r="E619" s="426" t="s">
        <v>372</v>
      </c>
      <c r="F619" s="546" t="s">
        <v>443</v>
      </c>
      <c r="G619" s="546" t="s">
        <v>444</v>
      </c>
      <c r="H619" s="546" t="s">
        <v>446</v>
      </c>
    </row>
    <row r="620" spans="3:8" x14ac:dyDescent="0.25">
      <c r="C620" s="426">
        <v>33</v>
      </c>
      <c r="D620" s="1103" t="s">
        <v>447</v>
      </c>
      <c r="E620" s="426" t="s">
        <v>372</v>
      </c>
      <c r="F620" s="546" t="s">
        <v>448</v>
      </c>
      <c r="G620" s="546" t="s">
        <v>449</v>
      </c>
      <c r="H620" s="546" t="s">
        <v>450</v>
      </c>
    </row>
    <row r="621" spans="3:8" x14ac:dyDescent="0.25">
      <c r="C621" s="426">
        <v>34</v>
      </c>
      <c r="D621" s="1103" t="s">
        <v>451</v>
      </c>
      <c r="E621" s="426" t="s">
        <v>372</v>
      </c>
      <c r="F621" s="546" t="s">
        <v>452</v>
      </c>
      <c r="G621" s="546" t="s">
        <v>453</v>
      </c>
      <c r="H621" s="546" t="s">
        <v>454</v>
      </c>
    </row>
    <row r="622" spans="3:8" x14ac:dyDescent="0.25">
      <c r="C622" s="426">
        <v>35</v>
      </c>
      <c r="D622" s="1103" t="s">
        <v>455</v>
      </c>
      <c r="E622" s="426" t="s">
        <v>372</v>
      </c>
      <c r="F622" s="546" t="s">
        <v>456</v>
      </c>
      <c r="G622" s="546" t="s">
        <v>457</v>
      </c>
      <c r="H622" s="546" t="s">
        <v>458</v>
      </c>
    </row>
    <row r="623" spans="3:8" x14ac:dyDescent="0.25">
      <c r="C623" s="426">
        <v>36</v>
      </c>
      <c r="D623" s="1103" t="s">
        <v>455</v>
      </c>
      <c r="E623" s="426" t="s">
        <v>372</v>
      </c>
      <c r="F623" s="546" t="s">
        <v>456</v>
      </c>
      <c r="G623" s="546" t="s">
        <v>457</v>
      </c>
      <c r="H623" s="546" t="s">
        <v>459</v>
      </c>
    </row>
    <row r="624" spans="3:8" x14ac:dyDescent="0.25">
      <c r="C624" s="426">
        <v>37</v>
      </c>
      <c r="D624" s="1103" t="s">
        <v>436</v>
      </c>
      <c r="E624" s="426" t="s">
        <v>372</v>
      </c>
      <c r="F624" s="546" t="s">
        <v>437</v>
      </c>
      <c r="G624" s="546" t="s">
        <v>460</v>
      </c>
      <c r="H624" s="546" t="s">
        <v>461</v>
      </c>
    </row>
    <row r="625" spans="3:8" x14ac:dyDescent="0.25">
      <c r="C625" s="426">
        <v>38</v>
      </c>
      <c r="D625" s="1103" t="s">
        <v>436</v>
      </c>
      <c r="E625" s="426" t="s">
        <v>372</v>
      </c>
      <c r="F625" s="546" t="s">
        <v>437</v>
      </c>
      <c r="G625" s="546" t="s">
        <v>462</v>
      </c>
      <c r="H625" s="546" t="s">
        <v>463</v>
      </c>
    </row>
    <row r="626" spans="3:8" x14ac:dyDescent="0.25">
      <c r="C626" s="426">
        <v>40</v>
      </c>
      <c r="D626" s="1103" t="s">
        <v>447</v>
      </c>
      <c r="E626" s="426" t="s">
        <v>372</v>
      </c>
      <c r="F626" s="546" t="s">
        <v>448</v>
      </c>
      <c r="G626" s="546" t="s">
        <v>464</v>
      </c>
      <c r="H626" s="546" t="s">
        <v>465</v>
      </c>
    </row>
    <row r="627" spans="3:8" x14ac:dyDescent="0.25">
      <c r="C627" s="426">
        <v>41</v>
      </c>
      <c r="D627" s="1103" t="s">
        <v>466</v>
      </c>
      <c r="E627" s="426" t="s">
        <v>372</v>
      </c>
      <c r="F627" s="546" t="s">
        <v>467</v>
      </c>
      <c r="G627" s="546" t="s">
        <v>468</v>
      </c>
      <c r="H627" s="546" t="s">
        <v>469</v>
      </c>
    </row>
    <row r="628" spans="3:8" x14ac:dyDescent="0.25">
      <c r="C628" s="426">
        <v>42</v>
      </c>
      <c r="D628" s="1103" t="s">
        <v>470</v>
      </c>
      <c r="E628" s="426" t="s">
        <v>372</v>
      </c>
      <c r="F628" s="546" t="s">
        <v>471</v>
      </c>
      <c r="G628" s="546" t="s">
        <v>472</v>
      </c>
      <c r="H628" s="546" t="s">
        <v>473</v>
      </c>
    </row>
    <row r="629" spans="3:8" x14ac:dyDescent="0.25">
      <c r="C629" s="426">
        <v>44</v>
      </c>
      <c r="D629" s="1103" t="s">
        <v>436</v>
      </c>
      <c r="E629" s="426" t="s">
        <v>372</v>
      </c>
      <c r="F629" s="546" t="s">
        <v>437</v>
      </c>
      <c r="G629" s="546" t="s">
        <v>438</v>
      </c>
      <c r="H629" s="546" t="s">
        <v>474</v>
      </c>
    </row>
    <row r="630" spans="3:8" x14ac:dyDescent="0.25">
      <c r="C630" s="426">
        <v>45</v>
      </c>
      <c r="D630" s="1103" t="s">
        <v>436</v>
      </c>
      <c r="E630" s="426" t="s">
        <v>372</v>
      </c>
      <c r="F630" s="546" t="s">
        <v>437</v>
      </c>
      <c r="G630" s="546" t="s">
        <v>475</v>
      </c>
      <c r="H630" s="546" t="s">
        <v>476</v>
      </c>
    </row>
    <row r="631" spans="3:8" x14ac:dyDescent="0.25">
      <c r="C631" s="426">
        <v>46</v>
      </c>
      <c r="D631" s="1103" t="s">
        <v>477</v>
      </c>
      <c r="E631" s="426" t="s">
        <v>372</v>
      </c>
      <c r="F631" s="546" t="s">
        <v>478</v>
      </c>
      <c r="G631" s="546" t="s">
        <v>479</v>
      </c>
      <c r="H631" s="546" t="s">
        <v>1933</v>
      </c>
    </row>
    <row r="632" spans="3:8" x14ac:dyDescent="0.25">
      <c r="C632" s="426">
        <v>47</v>
      </c>
      <c r="D632" s="1103" t="s">
        <v>480</v>
      </c>
      <c r="E632" s="426" t="s">
        <v>372</v>
      </c>
      <c r="F632" s="546" t="s">
        <v>481</v>
      </c>
      <c r="G632" s="546" t="s">
        <v>482</v>
      </c>
      <c r="H632" s="546" t="s">
        <v>483</v>
      </c>
    </row>
    <row r="633" spans="3:8" x14ac:dyDescent="0.25">
      <c r="C633" s="426">
        <v>48</v>
      </c>
      <c r="D633" s="1103" t="s">
        <v>484</v>
      </c>
      <c r="E633" s="426" t="s">
        <v>372</v>
      </c>
      <c r="F633" s="546" t="s">
        <v>485</v>
      </c>
      <c r="G633" s="546" t="s">
        <v>486</v>
      </c>
      <c r="H633" s="546" t="s">
        <v>487</v>
      </c>
    </row>
    <row r="634" spans="3:8" x14ac:dyDescent="0.25">
      <c r="C634" s="426">
        <v>49</v>
      </c>
      <c r="D634" s="1103" t="s">
        <v>488</v>
      </c>
      <c r="E634" s="426" t="s">
        <v>372</v>
      </c>
      <c r="F634" s="546" t="s">
        <v>489</v>
      </c>
      <c r="G634" s="546" t="s">
        <v>490</v>
      </c>
      <c r="H634" s="546" t="s">
        <v>491</v>
      </c>
    </row>
    <row r="635" spans="3:8" x14ac:dyDescent="0.25">
      <c r="C635" s="426">
        <v>50</v>
      </c>
      <c r="D635" s="1103" t="s">
        <v>492</v>
      </c>
      <c r="E635" s="426" t="s">
        <v>372</v>
      </c>
      <c r="F635" s="546" t="s">
        <v>493</v>
      </c>
      <c r="G635" s="546" t="s">
        <v>494</v>
      </c>
      <c r="H635" s="546" t="s">
        <v>495</v>
      </c>
    </row>
    <row r="636" spans="3:8" x14ac:dyDescent="0.25">
      <c r="C636" s="426">
        <v>51</v>
      </c>
      <c r="D636" s="1103" t="s">
        <v>496</v>
      </c>
      <c r="E636" s="426" t="s">
        <v>372</v>
      </c>
      <c r="F636" s="546" t="s">
        <v>497</v>
      </c>
      <c r="G636" s="546" t="s">
        <v>498</v>
      </c>
      <c r="H636" s="546" t="s">
        <v>499</v>
      </c>
    </row>
    <row r="637" spans="3:8" x14ac:dyDescent="0.25">
      <c r="C637" s="426">
        <v>52</v>
      </c>
      <c r="D637" s="1103" t="s">
        <v>500</v>
      </c>
      <c r="E637" s="426" t="s">
        <v>372</v>
      </c>
      <c r="F637" s="546" t="s">
        <v>501</v>
      </c>
      <c r="G637" s="546" t="s">
        <v>502</v>
      </c>
      <c r="H637" s="546" t="s">
        <v>503</v>
      </c>
    </row>
    <row r="638" spans="3:8" x14ac:dyDescent="0.25">
      <c r="C638" s="426">
        <v>53</v>
      </c>
      <c r="D638" s="1103" t="s">
        <v>504</v>
      </c>
      <c r="E638" s="426" t="s">
        <v>372</v>
      </c>
      <c r="F638" s="546" t="s">
        <v>505</v>
      </c>
      <c r="G638" s="546" t="s">
        <v>506</v>
      </c>
      <c r="H638" s="546" t="s">
        <v>507</v>
      </c>
    </row>
    <row r="639" spans="3:8" x14ac:dyDescent="0.25">
      <c r="C639" s="426">
        <v>54</v>
      </c>
      <c r="D639" s="1103" t="s">
        <v>508</v>
      </c>
      <c r="E639" s="426" t="s">
        <v>372</v>
      </c>
      <c r="F639" s="546" t="s">
        <v>509</v>
      </c>
      <c r="G639" s="546" t="s">
        <v>510</v>
      </c>
      <c r="H639" s="546" t="s">
        <v>511</v>
      </c>
    </row>
    <row r="640" spans="3:8" x14ac:dyDescent="0.25">
      <c r="C640" s="426">
        <v>55</v>
      </c>
      <c r="D640" s="1103" t="s">
        <v>512</v>
      </c>
      <c r="E640" s="426" t="s">
        <v>372</v>
      </c>
      <c r="F640" s="546" t="s">
        <v>513</v>
      </c>
      <c r="G640" s="546" t="s">
        <v>514</v>
      </c>
      <c r="H640" s="546" t="s">
        <v>515</v>
      </c>
    </row>
    <row r="641" spans="3:8" x14ac:dyDescent="0.25">
      <c r="C641" s="426">
        <v>56</v>
      </c>
      <c r="D641" s="1103" t="s">
        <v>516</v>
      </c>
      <c r="E641" s="426" t="s">
        <v>372</v>
      </c>
      <c r="F641" s="546" t="s">
        <v>517</v>
      </c>
      <c r="G641" s="546" t="s">
        <v>518</v>
      </c>
      <c r="H641" s="546" t="s">
        <v>519</v>
      </c>
    </row>
    <row r="642" spans="3:8" x14ac:dyDescent="0.25">
      <c r="C642" s="426">
        <v>57</v>
      </c>
      <c r="D642" s="1103" t="s">
        <v>520</v>
      </c>
      <c r="E642" s="426" t="s">
        <v>372</v>
      </c>
      <c r="F642" s="546" t="s">
        <v>521</v>
      </c>
      <c r="G642" s="546" t="s">
        <v>522</v>
      </c>
      <c r="H642" s="546" t="s">
        <v>523</v>
      </c>
    </row>
    <row r="643" spans="3:8" x14ac:dyDescent="0.25">
      <c r="C643" s="426">
        <v>58</v>
      </c>
      <c r="D643" s="1103" t="s">
        <v>524</v>
      </c>
      <c r="E643" s="426" t="s">
        <v>372</v>
      </c>
      <c r="F643" s="546" t="s">
        <v>525</v>
      </c>
      <c r="G643" s="546" t="s">
        <v>526</v>
      </c>
      <c r="H643" s="546" t="s">
        <v>527</v>
      </c>
    </row>
    <row r="644" spans="3:8" x14ac:dyDescent="0.25">
      <c r="C644" s="426">
        <v>60</v>
      </c>
      <c r="D644" s="1103" t="s">
        <v>492</v>
      </c>
      <c r="E644" s="426" t="s">
        <v>372</v>
      </c>
      <c r="F644" s="546" t="s">
        <v>493</v>
      </c>
      <c r="G644" s="546" t="s">
        <v>494</v>
      </c>
      <c r="H644" s="546" t="s">
        <v>528</v>
      </c>
    </row>
    <row r="645" spans="3:8" x14ac:dyDescent="0.25">
      <c r="C645" s="426">
        <v>62</v>
      </c>
      <c r="D645" s="1103" t="s">
        <v>492</v>
      </c>
      <c r="E645" s="426" t="s">
        <v>372</v>
      </c>
      <c r="F645" s="546" t="s">
        <v>493</v>
      </c>
      <c r="G645" s="546" t="s">
        <v>494</v>
      </c>
      <c r="H645" s="546" t="s">
        <v>529</v>
      </c>
    </row>
    <row r="646" spans="3:8" x14ac:dyDescent="0.25">
      <c r="C646" s="426">
        <v>63</v>
      </c>
      <c r="D646" s="1103" t="s">
        <v>530</v>
      </c>
      <c r="E646" s="426" t="s">
        <v>372</v>
      </c>
      <c r="F646" s="546" t="s">
        <v>493</v>
      </c>
      <c r="G646" s="546" t="s">
        <v>494</v>
      </c>
      <c r="H646" s="546" t="s">
        <v>531</v>
      </c>
    </row>
    <row r="647" spans="3:8" x14ac:dyDescent="0.25">
      <c r="C647" s="426">
        <v>64</v>
      </c>
      <c r="D647" s="1103" t="s">
        <v>532</v>
      </c>
      <c r="E647" s="426" t="s">
        <v>372</v>
      </c>
      <c r="F647" s="546" t="s">
        <v>533</v>
      </c>
      <c r="G647" s="546" t="s">
        <v>534</v>
      </c>
      <c r="H647" s="546" t="s">
        <v>535</v>
      </c>
    </row>
    <row r="648" spans="3:8" x14ac:dyDescent="0.25">
      <c r="C648" s="426">
        <v>65</v>
      </c>
      <c r="D648" s="1103" t="s">
        <v>532</v>
      </c>
      <c r="E648" s="426" t="s">
        <v>372</v>
      </c>
      <c r="F648" s="546" t="s">
        <v>533</v>
      </c>
      <c r="G648" s="546" t="s">
        <v>536</v>
      </c>
      <c r="H648" s="546" t="s">
        <v>537</v>
      </c>
    </row>
    <row r="649" spans="3:8" x14ac:dyDescent="0.25">
      <c r="C649" s="426">
        <v>68</v>
      </c>
      <c r="D649" s="1103" t="s">
        <v>532</v>
      </c>
      <c r="E649" s="426" t="s">
        <v>372</v>
      </c>
      <c r="F649" s="546" t="s">
        <v>533</v>
      </c>
      <c r="G649" s="546" t="s">
        <v>538</v>
      </c>
      <c r="H649" s="546" t="s">
        <v>539</v>
      </c>
    </row>
    <row r="650" spans="3:8" x14ac:dyDescent="0.25">
      <c r="C650" s="426">
        <v>69</v>
      </c>
      <c r="D650" s="1103" t="s">
        <v>540</v>
      </c>
      <c r="E650" s="426" t="s">
        <v>372</v>
      </c>
      <c r="F650" s="546" t="s">
        <v>533</v>
      </c>
      <c r="G650" s="546" t="s">
        <v>541</v>
      </c>
      <c r="H650" s="546" t="s">
        <v>2021</v>
      </c>
    </row>
    <row r="651" spans="3:8" x14ac:dyDescent="0.25">
      <c r="C651" s="426">
        <v>70</v>
      </c>
      <c r="D651" s="1103" t="s">
        <v>532</v>
      </c>
      <c r="E651" s="426" t="s">
        <v>372</v>
      </c>
      <c r="F651" s="546" t="s">
        <v>533</v>
      </c>
      <c r="G651" s="546" t="s">
        <v>542</v>
      </c>
      <c r="H651" s="546" t="s">
        <v>543</v>
      </c>
    </row>
    <row r="652" spans="3:8" x14ac:dyDescent="0.25">
      <c r="C652" s="426">
        <v>71</v>
      </c>
      <c r="D652" s="1103" t="s">
        <v>532</v>
      </c>
      <c r="E652" s="426" t="s">
        <v>372</v>
      </c>
      <c r="F652" s="546" t="s">
        <v>533</v>
      </c>
      <c r="G652" s="546" t="s">
        <v>544</v>
      </c>
      <c r="H652" s="546" t="s">
        <v>545</v>
      </c>
    </row>
    <row r="653" spans="3:8" x14ac:dyDescent="0.25">
      <c r="C653" s="426">
        <v>73</v>
      </c>
      <c r="D653" s="1103" t="s">
        <v>546</v>
      </c>
      <c r="E653" s="426" t="s">
        <v>372</v>
      </c>
      <c r="F653" s="546" t="s">
        <v>547</v>
      </c>
      <c r="G653" s="546" t="s">
        <v>548</v>
      </c>
      <c r="H653" s="546" t="s">
        <v>549</v>
      </c>
    </row>
    <row r="654" spans="3:8" x14ac:dyDescent="0.25">
      <c r="C654" s="426">
        <v>74</v>
      </c>
      <c r="D654" s="1103" t="s">
        <v>550</v>
      </c>
      <c r="E654" s="426" t="s">
        <v>372</v>
      </c>
      <c r="F654" s="546" t="s">
        <v>551</v>
      </c>
      <c r="G654" s="546" t="s">
        <v>552</v>
      </c>
      <c r="H654" s="546" t="s">
        <v>553</v>
      </c>
    </row>
    <row r="655" spans="3:8" x14ac:dyDescent="0.25">
      <c r="C655" s="426">
        <v>75</v>
      </c>
      <c r="D655" s="1103" t="s">
        <v>554</v>
      </c>
      <c r="E655" s="426" t="s">
        <v>372</v>
      </c>
      <c r="F655" s="546" t="s">
        <v>555</v>
      </c>
      <c r="G655" s="546" t="s">
        <v>556</v>
      </c>
      <c r="H655" s="546" t="s">
        <v>557</v>
      </c>
    </row>
    <row r="656" spans="3:8" x14ac:dyDescent="0.25">
      <c r="C656" s="426">
        <v>76</v>
      </c>
      <c r="D656" s="1103" t="s">
        <v>558</v>
      </c>
      <c r="E656" s="426" t="s">
        <v>372</v>
      </c>
      <c r="F656" s="546" t="s">
        <v>559</v>
      </c>
      <c r="G656" s="546" t="s">
        <v>560</v>
      </c>
      <c r="H656" s="546" t="s">
        <v>561</v>
      </c>
    </row>
    <row r="657" spans="3:8" x14ac:dyDescent="0.25">
      <c r="C657" s="426">
        <v>77</v>
      </c>
      <c r="D657" s="1103" t="s">
        <v>562</v>
      </c>
      <c r="E657" s="426" t="s">
        <v>372</v>
      </c>
      <c r="F657" s="546" t="s">
        <v>563</v>
      </c>
      <c r="G657" s="546" t="s">
        <v>564</v>
      </c>
      <c r="H657" s="546" t="s">
        <v>565</v>
      </c>
    </row>
    <row r="658" spans="3:8" x14ac:dyDescent="0.25">
      <c r="C658" s="426">
        <v>78</v>
      </c>
      <c r="D658" s="1103" t="s">
        <v>566</v>
      </c>
      <c r="E658" s="426" t="s">
        <v>372</v>
      </c>
      <c r="F658" s="546" t="s">
        <v>567</v>
      </c>
      <c r="G658" s="546" t="s">
        <v>568</v>
      </c>
      <c r="H658" s="546" t="s">
        <v>569</v>
      </c>
    </row>
    <row r="659" spans="3:8" x14ac:dyDescent="0.25">
      <c r="C659" s="426">
        <v>79</v>
      </c>
      <c r="D659" s="1103" t="s">
        <v>546</v>
      </c>
      <c r="E659" s="426" t="s">
        <v>372</v>
      </c>
      <c r="F659" s="546" t="s">
        <v>547</v>
      </c>
      <c r="G659" s="546" t="s">
        <v>548</v>
      </c>
      <c r="H659" s="546" t="s">
        <v>570</v>
      </c>
    </row>
    <row r="660" spans="3:8" x14ac:dyDescent="0.25">
      <c r="C660" s="426">
        <v>80</v>
      </c>
      <c r="D660" s="1103" t="s">
        <v>546</v>
      </c>
      <c r="E660" s="426" t="s">
        <v>372</v>
      </c>
      <c r="F660" s="546" t="s">
        <v>547</v>
      </c>
      <c r="G660" s="546" t="s">
        <v>548</v>
      </c>
      <c r="H660" s="546" t="s">
        <v>571</v>
      </c>
    </row>
    <row r="661" spans="3:8" x14ac:dyDescent="0.25">
      <c r="C661" s="426">
        <v>82</v>
      </c>
      <c r="D661" s="1103" t="s">
        <v>546</v>
      </c>
      <c r="E661" s="426" t="s">
        <v>372</v>
      </c>
      <c r="F661" s="546" t="s">
        <v>547</v>
      </c>
      <c r="G661" s="546" t="s">
        <v>548</v>
      </c>
      <c r="H661" s="546" t="s">
        <v>572</v>
      </c>
    </row>
    <row r="662" spans="3:8" x14ac:dyDescent="0.25">
      <c r="C662" s="426">
        <v>83</v>
      </c>
      <c r="D662" s="1103" t="s">
        <v>546</v>
      </c>
      <c r="E662" s="426" t="s">
        <v>372</v>
      </c>
      <c r="F662" s="546" t="s">
        <v>547</v>
      </c>
      <c r="G662" s="546" t="s">
        <v>548</v>
      </c>
      <c r="H662" s="546" t="s">
        <v>573</v>
      </c>
    </row>
    <row r="663" spans="3:8" x14ac:dyDescent="0.25">
      <c r="C663" s="426">
        <v>84</v>
      </c>
      <c r="D663" s="1103" t="s">
        <v>574</v>
      </c>
      <c r="E663" s="426" t="s">
        <v>372</v>
      </c>
      <c r="F663" s="546" t="s">
        <v>575</v>
      </c>
      <c r="G663" s="546" t="s">
        <v>576</v>
      </c>
      <c r="H663" s="546" t="s">
        <v>577</v>
      </c>
    </row>
    <row r="664" spans="3:8" x14ac:dyDescent="0.25">
      <c r="C664" s="426">
        <v>85</v>
      </c>
      <c r="D664" s="1103" t="s">
        <v>574</v>
      </c>
      <c r="E664" s="426" t="s">
        <v>372</v>
      </c>
      <c r="F664" s="546" t="s">
        <v>575</v>
      </c>
      <c r="G664" s="546" t="s">
        <v>578</v>
      </c>
      <c r="H664" s="546" t="s">
        <v>579</v>
      </c>
    </row>
    <row r="665" spans="3:8" x14ac:dyDescent="0.25">
      <c r="C665" s="426">
        <v>86</v>
      </c>
      <c r="D665" s="1103" t="s">
        <v>574</v>
      </c>
      <c r="E665" s="426" t="s">
        <v>372</v>
      </c>
      <c r="F665" s="546" t="s">
        <v>575</v>
      </c>
      <c r="G665" s="546" t="s">
        <v>580</v>
      </c>
      <c r="H665" s="546" t="s">
        <v>581</v>
      </c>
    </row>
    <row r="666" spans="3:8" x14ac:dyDescent="0.25">
      <c r="C666" s="426">
        <v>87</v>
      </c>
      <c r="D666" s="1103" t="s">
        <v>574</v>
      </c>
      <c r="E666" s="426" t="s">
        <v>372</v>
      </c>
      <c r="F666" s="546" t="s">
        <v>575</v>
      </c>
      <c r="G666" s="546" t="s">
        <v>582</v>
      </c>
      <c r="H666" s="546" t="s">
        <v>583</v>
      </c>
    </row>
    <row r="667" spans="3:8" x14ac:dyDescent="0.25">
      <c r="C667" s="426">
        <v>88</v>
      </c>
      <c r="D667" s="1103" t="s">
        <v>584</v>
      </c>
      <c r="E667" s="426" t="s">
        <v>372</v>
      </c>
      <c r="F667" s="546" t="s">
        <v>585</v>
      </c>
      <c r="G667" s="546" t="s">
        <v>586</v>
      </c>
      <c r="H667" s="546" t="s">
        <v>587</v>
      </c>
    </row>
    <row r="668" spans="3:8" x14ac:dyDescent="0.25">
      <c r="C668" s="426">
        <v>89</v>
      </c>
      <c r="D668" s="1103" t="s">
        <v>588</v>
      </c>
      <c r="E668" s="426" t="s">
        <v>372</v>
      </c>
      <c r="F668" s="546" t="s">
        <v>589</v>
      </c>
      <c r="G668" s="546" t="s">
        <v>590</v>
      </c>
      <c r="H668" s="546" t="s">
        <v>591</v>
      </c>
    </row>
    <row r="669" spans="3:8" x14ac:dyDescent="0.25">
      <c r="C669" s="426">
        <v>90</v>
      </c>
      <c r="D669" s="1103" t="s">
        <v>574</v>
      </c>
      <c r="E669" s="426" t="s">
        <v>372</v>
      </c>
      <c r="F669" s="546" t="s">
        <v>575</v>
      </c>
      <c r="G669" s="546" t="s">
        <v>592</v>
      </c>
      <c r="H669" s="546" t="s">
        <v>593</v>
      </c>
    </row>
    <row r="670" spans="3:8" x14ac:dyDescent="0.25">
      <c r="C670" s="426">
        <v>91</v>
      </c>
      <c r="D670" s="1103" t="s">
        <v>594</v>
      </c>
      <c r="E670" s="426" t="s">
        <v>372</v>
      </c>
      <c r="F670" s="546" t="s">
        <v>595</v>
      </c>
      <c r="G670" s="546" t="s">
        <v>596</v>
      </c>
      <c r="H670" s="546" t="s">
        <v>597</v>
      </c>
    </row>
    <row r="671" spans="3:8" x14ac:dyDescent="0.25">
      <c r="C671" s="426">
        <v>92</v>
      </c>
      <c r="D671" s="1103" t="s">
        <v>598</v>
      </c>
      <c r="E671" s="426" t="s">
        <v>372</v>
      </c>
      <c r="F671" s="546" t="s">
        <v>599</v>
      </c>
      <c r="G671" s="546" t="s">
        <v>600</v>
      </c>
      <c r="H671" s="546" t="s">
        <v>601</v>
      </c>
    </row>
    <row r="672" spans="3:8" x14ac:dyDescent="0.25">
      <c r="C672" s="426">
        <v>93</v>
      </c>
      <c r="D672" s="1103" t="s">
        <v>602</v>
      </c>
      <c r="E672" s="426" t="s">
        <v>372</v>
      </c>
      <c r="F672" s="546" t="s">
        <v>603</v>
      </c>
      <c r="G672" s="546" t="s">
        <v>604</v>
      </c>
      <c r="H672" s="546" t="s">
        <v>605</v>
      </c>
    </row>
    <row r="673" spans="3:8" x14ac:dyDescent="0.25">
      <c r="C673" s="426">
        <v>94</v>
      </c>
      <c r="D673" s="1103" t="s">
        <v>606</v>
      </c>
      <c r="E673" s="426" t="s">
        <v>372</v>
      </c>
      <c r="F673" s="546" t="s">
        <v>607</v>
      </c>
      <c r="G673" s="546" t="s">
        <v>608</v>
      </c>
      <c r="H673" s="546" t="s">
        <v>609</v>
      </c>
    </row>
    <row r="674" spans="3:8" x14ac:dyDescent="0.25">
      <c r="C674" s="426">
        <v>95</v>
      </c>
      <c r="D674" s="1103" t="s">
        <v>606</v>
      </c>
      <c r="E674" s="426" t="s">
        <v>372</v>
      </c>
      <c r="F674" s="546" t="s">
        <v>607</v>
      </c>
      <c r="G674" s="546" t="s">
        <v>610</v>
      </c>
      <c r="H674" s="546" t="s">
        <v>611</v>
      </c>
    </row>
    <row r="675" spans="3:8" x14ac:dyDescent="0.25">
      <c r="C675" s="426">
        <v>96</v>
      </c>
      <c r="D675" s="1103" t="s">
        <v>606</v>
      </c>
      <c r="E675" s="426" t="s">
        <v>372</v>
      </c>
      <c r="F675" s="546" t="s">
        <v>607</v>
      </c>
      <c r="G675" s="546" t="s">
        <v>610</v>
      </c>
      <c r="H675" s="546" t="s">
        <v>612</v>
      </c>
    </row>
    <row r="676" spans="3:8" x14ac:dyDescent="0.25">
      <c r="C676" s="426">
        <v>97</v>
      </c>
      <c r="D676" s="1103" t="s">
        <v>613</v>
      </c>
      <c r="E676" s="426" t="s">
        <v>372</v>
      </c>
      <c r="F676" s="546" t="s">
        <v>614</v>
      </c>
      <c r="G676" s="546" t="s">
        <v>615</v>
      </c>
      <c r="H676" s="546" t="s">
        <v>616</v>
      </c>
    </row>
    <row r="677" spans="3:8" x14ac:dyDescent="0.25">
      <c r="C677" s="426">
        <v>98</v>
      </c>
      <c r="D677" s="1103" t="s">
        <v>613</v>
      </c>
      <c r="E677" s="426" t="s">
        <v>372</v>
      </c>
      <c r="F677" s="546" t="s">
        <v>614</v>
      </c>
      <c r="G677" s="546" t="s">
        <v>617</v>
      </c>
      <c r="H677" s="546" t="s">
        <v>618</v>
      </c>
    </row>
    <row r="678" spans="3:8" x14ac:dyDescent="0.25">
      <c r="C678" s="426">
        <v>99</v>
      </c>
      <c r="D678" s="1103" t="s">
        <v>613</v>
      </c>
      <c r="E678" s="426" t="s">
        <v>372</v>
      </c>
      <c r="F678" s="546" t="s">
        <v>614</v>
      </c>
      <c r="G678" s="546" t="s">
        <v>619</v>
      </c>
      <c r="H678" s="546" t="s">
        <v>620</v>
      </c>
    </row>
    <row r="679" spans="3:8" x14ac:dyDescent="0.25">
      <c r="C679" s="426">
        <v>100</v>
      </c>
      <c r="D679" s="1103" t="s">
        <v>606</v>
      </c>
      <c r="E679" s="426" t="s">
        <v>372</v>
      </c>
      <c r="F679" s="546" t="s">
        <v>607</v>
      </c>
      <c r="G679" s="546" t="s">
        <v>608</v>
      </c>
      <c r="H679" s="546" t="s">
        <v>621</v>
      </c>
    </row>
    <row r="680" spans="3:8" x14ac:dyDescent="0.25">
      <c r="C680" s="426">
        <v>104</v>
      </c>
      <c r="D680" s="1103" t="s">
        <v>622</v>
      </c>
      <c r="E680" s="426" t="s">
        <v>372</v>
      </c>
      <c r="F680" s="546" t="s">
        <v>623</v>
      </c>
      <c r="G680" s="546" t="s">
        <v>624</v>
      </c>
      <c r="H680" s="546" t="s">
        <v>625</v>
      </c>
    </row>
    <row r="681" spans="3:8" x14ac:dyDescent="0.25">
      <c r="C681" s="426">
        <v>105</v>
      </c>
      <c r="D681" s="1103" t="s">
        <v>626</v>
      </c>
      <c r="E681" s="426" t="s">
        <v>372</v>
      </c>
      <c r="F681" s="546" t="s">
        <v>623</v>
      </c>
      <c r="G681" s="546" t="s">
        <v>627</v>
      </c>
      <c r="H681" s="546" t="s">
        <v>628</v>
      </c>
    </row>
    <row r="682" spans="3:8" x14ac:dyDescent="0.25">
      <c r="C682" s="426">
        <v>108</v>
      </c>
      <c r="D682" s="1103" t="s">
        <v>629</v>
      </c>
      <c r="E682" s="426" t="s">
        <v>372</v>
      </c>
      <c r="F682" s="546" t="s">
        <v>630</v>
      </c>
      <c r="G682" s="546" t="s">
        <v>631</v>
      </c>
      <c r="H682" s="546" t="s">
        <v>632</v>
      </c>
    </row>
    <row r="683" spans="3:8" x14ac:dyDescent="0.25">
      <c r="C683" s="426">
        <v>109</v>
      </c>
      <c r="D683" s="1103" t="s">
        <v>633</v>
      </c>
      <c r="E683" s="426" t="s">
        <v>372</v>
      </c>
      <c r="F683" s="546" t="s">
        <v>634</v>
      </c>
      <c r="G683" s="546" t="s">
        <v>635</v>
      </c>
      <c r="H683" s="546" t="s">
        <v>636</v>
      </c>
    </row>
    <row r="684" spans="3:8" x14ac:dyDescent="0.25">
      <c r="C684" s="426">
        <v>110</v>
      </c>
      <c r="D684" s="1103" t="s">
        <v>622</v>
      </c>
      <c r="E684" s="426" t="s">
        <v>372</v>
      </c>
      <c r="F684" s="546" t="s">
        <v>623</v>
      </c>
      <c r="G684" s="546" t="s">
        <v>627</v>
      </c>
      <c r="H684" s="546" t="s">
        <v>637</v>
      </c>
    </row>
    <row r="685" spans="3:8" x14ac:dyDescent="0.25">
      <c r="C685" s="426">
        <v>111</v>
      </c>
      <c r="D685" s="1103" t="s">
        <v>638</v>
      </c>
      <c r="E685" s="426" t="s">
        <v>372</v>
      </c>
      <c r="F685" s="546" t="s">
        <v>639</v>
      </c>
      <c r="G685" s="546" t="s">
        <v>640</v>
      </c>
      <c r="H685" s="546" t="s">
        <v>641</v>
      </c>
    </row>
    <row r="686" spans="3:8" x14ac:dyDescent="0.25">
      <c r="C686" s="426">
        <v>112</v>
      </c>
      <c r="D686" s="1103" t="s">
        <v>642</v>
      </c>
      <c r="E686" s="426" t="s">
        <v>372</v>
      </c>
      <c r="F686" s="546" t="s">
        <v>643</v>
      </c>
      <c r="G686" s="546" t="s">
        <v>644</v>
      </c>
      <c r="H686" s="546" t="s">
        <v>645</v>
      </c>
    </row>
    <row r="687" spans="3:8" x14ac:dyDescent="0.25">
      <c r="C687" s="426">
        <v>113</v>
      </c>
      <c r="D687" s="1103" t="s">
        <v>646</v>
      </c>
      <c r="E687" s="426" t="s">
        <v>372</v>
      </c>
      <c r="F687" s="546" t="s">
        <v>647</v>
      </c>
      <c r="G687" s="546" t="s">
        <v>648</v>
      </c>
      <c r="H687" s="546" t="s">
        <v>649</v>
      </c>
    </row>
    <row r="688" spans="3:8" x14ac:dyDescent="0.25">
      <c r="C688" s="426">
        <v>114</v>
      </c>
      <c r="D688" s="1103" t="s">
        <v>646</v>
      </c>
      <c r="E688" s="426" t="s">
        <v>372</v>
      </c>
      <c r="F688" s="546" t="s">
        <v>647</v>
      </c>
      <c r="G688" s="546" t="s">
        <v>648</v>
      </c>
      <c r="H688" s="546" t="s">
        <v>650</v>
      </c>
    </row>
    <row r="689" spans="3:8" x14ac:dyDescent="0.25">
      <c r="C689" s="426">
        <v>116</v>
      </c>
      <c r="D689" s="1103" t="s">
        <v>651</v>
      </c>
      <c r="E689" s="426" t="s">
        <v>372</v>
      </c>
      <c r="F689" s="546" t="s">
        <v>652</v>
      </c>
      <c r="G689" s="546" t="s">
        <v>653</v>
      </c>
      <c r="H689" s="546" t="s">
        <v>654</v>
      </c>
    </row>
    <row r="690" spans="3:8" x14ac:dyDescent="0.25">
      <c r="C690" s="426">
        <v>117</v>
      </c>
      <c r="D690" s="1103" t="s">
        <v>655</v>
      </c>
      <c r="E690" s="426" t="s">
        <v>372</v>
      </c>
      <c r="F690" s="546" t="s">
        <v>656</v>
      </c>
      <c r="G690" s="546" t="s">
        <v>657</v>
      </c>
      <c r="H690" s="546" t="s">
        <v>658</v>
      </c>
    </row>
    <row r="691" spans="3:8" x14ac:dyDescent="0.25">
      <c r="C691" s="426">
        <v>118</v>
      </c>
      <c r="D691" s="1103" t="s">
        <v>659</v>
      </c>
      <c r="E691" s="426" t="s">
        <v>372</v>
      </c>
      <c r="F691" s="546" t="s">
        <v>660</v>
      </c>
      <c r="G691" s="546" t="s">
        <v>661</v>
      </c>
      <c r="H691" s="546" t="s">
        <v>662</v>
      </c>
    </row>
    <row r="692" spans="3:8" x14ac:dyDescent="0.25">
      <c r="C692" s="426">
        <v>119</v>
      </c>
      <c r="D692" s="1103" t="s">
        <v>663</v>
      </c>
      <c r="E692" s="426" t="s">
        <v>372</v>
      </c>
      <c r="F692" s="546" t="s">
        <v>664</v>
      </c>
      <c r="G692" s="546" t="s">
        <v>665</v>
      </c>
      <c r="H692" s="546" t="s">
        <v>666</v>
      </c>
    </row>
    <row r="693" spans="3:8" x14ac:dyDescent="0.25">
      <c r="C693" s="426">
        <v>120</v>
      </c>
      <c r="D693" s="1103" t="s">
        <v>667</v>
      </c>
      <c r="E693" s="426" t="s">
        <v>372</v>
      </c>
      <c r="F693" s="546" t="s">
        <v>668</v>
      </c>
      <c r="G693" s="546" t="s">
        <v>669</v>
      </c>
      <c r="H693" s="546" t="s">
        <v>670</v>
      </c>
    </row>
    <row r="694" spans="3:8" x14ac:dyDescent="0.25">
      <c r="C694" s="426">
        <v>121</v>
      </c>
      <c r="D694" s="1103" t="s">
        <v>671</v>
      </c>
      <c r="E694" s="426" t="s">
        <v>372</v>
      </c>
      <c r="F694" s="546" t="s">
        <v>672</v>
      </c>
      <c r="G694" s="546" t="s">
        <v>673</v>
      </c>
      <c r="H694" s="546" t="s">
        <v>674</v>
      </c>
    </row>
    <row r="695" spans="3:8" x14ac:dyDescent="0.25">
      <c r="C695" s="426">
        <v>122</v>
      </c>
      <c r="D695" s="1103" t="s">
        <v>675</v>
      </c>
      <c r="E695" s="426" t="s">
        <v>372</v>
      </c>
      <c r="F695" s="546" t="s">
        <v>676</v>
      </c>
      <c r="G695" s="546" t="s">
        <v>677</v>
      </c>
      <c r="H695" s="546" t="s">
        <v>678</v>
      </c>
    </row>
    <row r="696" spans="3:8" x14ac:dyDescent="0.25">
      <c r="C696" s="426">
        <v>123</v>
      </c>
      <c r="D696" s="1103" t="s">
        <v>679</v>
      </c>
      <c r="E696" s="426" t="s">
        <v>372</v>
      </c>
      <c r="F696" s="546" t="s">
        <v>680</v>
      </c>
      <c r="G696" s="546" t="s">
        <v>681</v>
      </c>
      <c r="H696" s="546" t="s">
        <v>682</v>
      </c>
    </row>
    <row r="697" spans="3:8" x14ac:dyDescent="0.25">
      <c r="C697" s="426">
        <v>124</v>
      </c>
      <c r="D697" s="1103" t="s">
        <v>638</v>
      </c>
      <c r="E697" s="426" t="s">
        <v>372</v>
      </c>
      <c r="F697" s="546" t="s">
        <v>639</v>
      </c>
      <c r="G697" s="546" t="s">
        <v>683</v>
      </c>
      <c r="H697" s="546" t="s">
        <v>684</v>
      </c>
    </row>
    <row r="698" spans="3:8" x14ac:dyDescent="0.25">
      <c r="C698" s="426">
        <v>129</v>
      </c>
      <c r="D698" s="1103" t="s">
        <v>685</v>
      </c>
      <c r="E698" s="426" t="s">
        <v>372</v>
      </c>
      <c r="F698" s="546" t="s">
        <v>686</v>
      </c>
      <c r="G698" s="546" t="s">
        <v>687</v>
      </c>
      <c r="H698" s="546" t="s">
        <v>688</v>
      </c>
    </row>
    <row r="699" spans="3:8" x14ac:dyDescent="0.25">
      <c r="C699" s="426">
        <v>130</v>
      </c>
      <c r="D699" s="1103" t="s">
        <v>689</v>
      </c>
      <c r="E699" s="426" t="s">
        <v>372</v>
      </c>
      <c r="F699" s="546" t="s">
        <v>686</v>
      </c>
      <c r="G699" s="546" t="s">
        <v>690</v>
      </c>
      <c r="H699" s="546" t="s">
        <v>691</v>
      </c>
    </row>
    <row r="700" spans="3:8" x14ac:dyDescent="0.25">
      <c r="C700" s="426">
        <v>131</v>
      </c>
      <c r="D700" s="1103" t="s">
        <v>692</v>
      </c>
      <c r="E700" s="426" t="s">
        <v>372</v>
      </c>
      <c r="F700" s="546" t="s">
        <v>693</v>
      </c>
      <c r="G700" s="546" t="s">
        <v>694</v>
      </c>
      <c r="H700" s="546" t="s">
        <v>695</v>
      </c>
    </row>
    <row r="701" spans="3:8" x14ac:dyDescent="0.25">
      <c r="C701" s="426">
        <v>132</v>
      </c>
      <c r="D701" s="1103" t="s">
        <v>696</v>
      </c>
      <c r="E701" s="426" t="s">
        <v>372</v>
      </c>
      <c r="F701" s="546" t="s">
        <v>697</v>
      </c>
      <c r="G701" s="546" t="s">
        <v>698</v>
      </c>
      <c r="H701" s="546" t="s">
        <v>699</v>
      </c>
    </row>
    <row r="702" spans="3:8" x14ac:dyDescent="0.25">
      <c r="C702" s="426">
        <v>133</v>
      </c>
      <c r="D702" s="1103" t="s">
        <v>700</v>
      </c>
      <c r="E702" s="426" t="s">
        <v>372</v>
      </c>
      <c r="F702" s="546" t="s">
        <v>701</v>
      </c>
      <c r="G702" s="546" t="s">
        <v>702</v>
      </c>
      <c r="H702" s="546" t="s">
        <v>703</v>
      </c>
    </row>
    <row r="703" spans="3:8" x14ac:dyDescent="0.25">
      <c r="C703" s="426">
        <v>134</v>
      </c>
      <c r="D703" s="1103" t="s">
        <v>704</v>
      </c>
      <c r="E703" s="426" t="s">
        <v>372</v>
      </c>
      <c r="F703" s="546" t="s">
        <v>705</v>
      </c>
      <c r="G703" s="546" t="s">
        <v>706</v>
      </c>
      <c r="H703" s="546" t="s">
        <v>707</v>
      </c>
    </row>
    <row r="704" spans="3:8" x14ac:dyDescent="0.25">
      <c r="C704" s="426">
        <v>135</v>
      </c>
      <c r="D704" s="1103" t="s">
        <v>708</v>
      </c>
      <c r="E704" s="426" t="s">
        <v>372</v>
      </c>
      <c r="F704" s="546" t="s">
        <v>693</v>
      </c>
      <c r="G704" s="546" t="s">
        <v>709</v>
      </c>
      <c r="H704" s="546" t="s">
        <v>710</v>
      </c>
    </row>
    <row r="705" spans="3:8" x14ac:dyDescent="0.25">
      <c r="C705" s="426">
        <v>136</v>
      </c>
      <c r="D705" s="1103" t="s">
        <v>711</v>
      </c>
      <c r="E705" s="426" t="s">
        <v>372</v>
      </c>
      <c r="F705" s="546" t="s">
        <v>712</v>
      </c>
      <c r="G705" s="546" t="s">
        <v>713</v>
      </c>
      <c r="H705" s="546" t="s">
        <v>714</v>
      </c>
    </row>
    <row r="706" spans="3:8" x14ac:dyDescent="0.25">
      <c r="C706" s="426">
        <v>137</v>
      </c>
      <c r="D706" s="1103" t="s">
        <v>715</v>
      </c>
      <c r="E706" s="426" t="s">
        <v>372</v>
      </c>
      <c r="F706" s="546" t="s">
        <v>716</v>
      </c>
      <c r="G706" s="546" t="s">
        <v>717</v>
      </c>
      <c r="H706" s="546" t="s">
        <v>718</v>
      </c>
    </row>
    <row r="707" spans="3:8" x14ac:dyDescent="0.25">
      <c r="C707" s="426">
        <v>139</v>
      </c>
      <c r="D707" s="1103" t="s">
        <v>719</v>
      </c>
      <c r="E707" s="426" t="s">
        <v>372</v>
      </c>
      <c r="F707" s="546" t="s">
        <v>720</v>
      </c>
      <c r="G707" s="546" t="s">
        <v>721</v>
      </c>
      <c r="H707" s="546" t="s">
        <v>722</v>
      </c>
    </row>
    <row r="708" spans="3:8" x14ac:dyDescent="0.25">
      <c r="C708" s="426">
        <v>140</v>
      </c>
      <c r="D708" s="1103" t="s">
        <v>723</v>
      </c>
      <c r="E708" s="426" t="s">
        <v>372</v>
      </c>
      <c r="F708" s="546" t="s">
        <v>724</v>
      </c>
      <c r="G708" s="546" t="s">
        <v>725</v>
      </c>
      <c r="H708" s="546" t="s">
        <v>726</v>
      </c>
    </row>
    <row r="709" spans="3:8" x14ac:dyDescent="0.25">
      <c r="C709" s="426">
        <v>141</v>
      </c>
      <c r="D709" s="1103" t="s">
        <v>727</v>
      </c>
      <c r="E709" s="426" t="s">
        <v>372</v>
      </c>
      <c r="F709" s="546" t="s">
        <v>728</v>
      </c>
      <c r="G709" s="546" t="s">
        <v>729</v>
      </c>
      <c r="H709" s="546" t="s">
        <v>730</v>
      </c>
    </row>
    <row r="710" spans="3:8" x14ac:dyDescent="0.25">
      <c r="C710" s="426">
        <v>142</v>
      </c>
      <c r="D710" s="1103" t="s">
        <v>731</v>
      </c>
      <c r="E710" s="426" t="s">
        <v>372</v>
      </c>
      <c r="F710" s="546" t="s">
        <v>732</v>
      </c>
      <c r="G710" s="546" t="s">
        <v>733</v>
      </c>
      <c r="H710" s="546" t="s">
        <v>734</v>
      </c>
    </row>
    <row r="711" spans="3:8" x14ac:dyDescent="0.25">
      <c r="C711" s="426">
        <v>143</v>
      </c>
      <c r="D711" s="1103" t="s">
        <v>731</v>
      </c>
      <c r="E711" s="426" t="s">
        <v>372</v>
      </c>
      <c r="F711" s="546" t="s">
        <v>732</v>
      </c>
      <c r="G711" s="546" t="s">
        <v>735</v>
      </c>
      <c r="H711" s="546" t="s">
        <v>736</v>
      </c>
    </row>
    <row r="712" spans="3:8" x14ac:dyDescent="0.25">
      <c r="C712" s="426">
        <v>144</v>
      </c>
      <c r="D712" s="1103" t="s">
        <v>731</v>
      </c>
      <c r="E712" s="426" t="s">
        <v>372</v>
      </c>
      <c r="F712" s="546" t="s">
        <v>732</v>
      </c>
      <c r="G712" s="546" t="s">
        <v>737</v>
      </c>
      <c r="H712" s="546" t="s">
        <v>738</v>
      </c>
    </row>
    <row r="713" spans="3:8" x14ac:dyDescent="0.25">
      <c r="C713" s="426">
        <v>145</v>
      </c>
      <c r="D713" s="1103" t="s">
        <v>739</v>
      </c>
      <c r="E713" s="426" t="s">
        <v>372</v>
      </c>
      <c r="F713" s="546" t="s">
        <v>740</v>
      </c>
      <c r="G713" s="546" t="s">
        <v>741</v>
      </c>
      <c r="H713" s="546" t="s">
        <v>742</v>
      </c>
    </row>
    <row r="714" spans="3:8" x14ac:dyDescent="0.25">
      <c r="C714" s="426">
        <v>146</v>
      </c>
      <c r="D714" s="1103" t="s">
        <v>731</v>
      </c>
      <c r="E714" s="426" t="s">
        <v>372</v>
      </c>
      <c r="F714" s="546" t="s">
        <v>732</v>
      </c>
      <c r="G714" s="546" t="s">
        <v>733</v>
      </c>
      <c r="H714" s="546" t="s">
        <v>743</v>
      </c>
    </row>
    <row r="715" spans="3:8" x14ac:dyDescent="0.25">
      <c r="C715" s="426">
        <v>147</v>
      </c>
      <c r="D715" s="1103" t="s">
        <v>731</v>
      </c>
      <c r="E715" s="426" t="s">
        <v>372</v>
      </c>
      <c r="F715" s="546" t="s">
        <v>732</v>
      </c>
      <c r="G715" s="546" t="s">
        <v>744</v>
      </c>
      <c r="H715" s="546" t="s">
        <v>745</v>
      </c>
    </row>
    <row r="716" spans="3:8" x14ac:dyDescent="0.25">
      <c r="C716" s="426">
        <v>148</v>
      </c>
      <c r="D716" s="1103" t="s">
        <v>731</v>
      </c>
      <c r="E716" s="426" t="s">
        <v>372</v>
      </c>
      <c r="F716" s="546" t="s">
        <v>732</v>
      </c>
      <c r="G716" s="546" t="s">
        <v>733</v>
      </c>
      <c r="H716" s="546" t="s">
        <v>746</v>
      </c>
    </row>
    <row r="717" spans="3:8" x14ac:dyDescent="0.25">
      <c r="C717" s="426">
        <v>149</v>
      </c>
      <c r="D717" s="1103" t="s">
        <v>731</v>
      </c>
      <c r="E717" s="426" t="s">
        <v>372</v>
      </c>
      <c r="F717" s="546" t="s">
        <v>732</v>
      </c>
      <c r="G717" s="546" t="s">
        <v>735</v>
      </c>
      <c r="H717" s="546" t="s">
        <v>747</v>
      </c>
    </row>
    <row r="718" spans="3:8" x14ac:dyDescent="0.25">
      <c r="C718" s="426">
        <v>150</v>
      </c>
      <c r="D718" s="1103" t="s">
        <v>731</v>
      </c>
      <c r="E718" s="426" t="s">
        <v>372</v>
      </c>
      <c r="F718" s="546" t="s">
        <v>732</v>
      </c>
      <c r="G718" s="546" t="s">
        <v>733</v>
      </c>
      <c r="H718" s="546" t="s">
        <v>748</v>
      </c>
    </row>
    <row r="719" spans="3:8" x14ac:dyDescent="0.25">
      <c r="C719" s="426">
        <v>151</v>
      </c>
      <c r="D719" s="1103" t="s">
        <v>749</v>
      </c>
      <c r="E719" s="426" t="s">
        <v>372</v>
      </c>
      <c r="F719" s="546" t="s">
        <v>750</v>
      </c>
      <c r="G719" s="546" t="s">
        <v>751</v>
      </c>
      <c r="H719" s="546" t="s">
        <v>752</v>
      </c>
    </row>
    <row r="720" spans="3:8" x14ac:dyDescent="0.25">
      <c r="C720" s="426">
        <v>152</v>
      </c>
      <c r="D720" s="1103" t="s">
        <v>753</v>
      </c>
      <c r="E720" s="426" t="s">
        <v>372</v>
      </c>
      <c r="F720" s="546" t="s">
        <v>754</v>
      </c>
      <c r="G720" s="546" t="s">
        <v>755</v>
      </c>
      <c r="H720" s="546" t="s">
        <v>756</v>
      </c>
    </row>
    <row r="721" spans="3:8" x14ac:dyDescent="0.25">
      <c r="C721" s="426">
        <v>153</v>
      </c>
      <c r="D721" s="1103" t="s">
        <v>757</v>
      </c>
      <c r="E721" s="426" t="s">
        <v>372</v>
      </c>
      <c r="F721" s="546" t="s">
        <v>758</v>
      </c>
      <c r="G721" s="546" t="s">
        <v>759</v>
      </c>
      <c r="H721" s="546" t="s">
        <v>760</v>
      </c>
    </row>
    <row r="722" spans="3:8" x14ac:dyDescent="0.25">
      <c r="C722" s="426">
        <v>154</v>
      </c>
      <c r="D722" s="1103" t="s">
        <v>761</v>
      </c>
      <c r="E722" s="426" t="s">
        <v>372</v>
      </c>
      <c r="F722" s="546" t="s">
        <v>762</v>
      </c>
      <c r="G722" s="546" t="s">
        <v>763</v>
      </c>
      <c r="H722" s="546" t="s">
        <v>764</v>
      </c>
    </row>
    <row r="723" spans="3:8" x14ac:dyDescent="0.25">
      <c r="C723" s="426">
        <v>155</v>
      </c>
      <c r="D723" s="1103" t="s">
        <v>765</v>
      </c>
      <c r="E723" s="426" t="s">
        <v>372</v>
      </c>
      <c r="F723" s="546" t="s">
        <v>766</v>
      </c>
      <c r="G723" s="546" t="s">
        <v>767</v>
      </c>
      <c r="H723" s="546" t="s">
        <v>768</v>
      </c>
    </row>
    <row r="724" spans="3:8" x14ac:dyDescent="0.25">
      <c r="C724" s="426">
        <v>156</v>
      </c>
      <c r="D724" s="1103" t="s">
        <v>769</v>
      </c>
      <c r="E724" s="426" t="s">
        <v>372</v>
      </c>
      <c r="F724" s="546" t="s">
        <v>770</v>
      </c>
      <c r="G724" s="546" t="s">
        <v>771</v>
      </c>
      <c r="H724" s="546" t="s">
        <v>772</v>
      </c>
    </row>
    <row r="725" spans="3:8" x14ac:dyDescent="0.25">
      <c r="C725" s="426">
        <v>157</v>
      </c>
      <c r="D725" s="1103" t="s">
        <v>757</v>
      </c>
      <c r="E725" s="426" t="s">
        <v>372</v>
      </c>
      <c r="F725" s="546" t="s">
        <v>758</v>
      </c>
      <c r="G725" s="546" t="s">
        <v>773</v>
      </c>
      <c r="H725" s="546" t="s">
        <v>774</v>
      </c>
    </row>
    <row r="726" spans="3:8" x14ac:dyDescent="0.25">
      <c r="C726" s="426">
        <v>158</v>
      </c>
      <c r="D726" s="1103" t="s">
        <v>775</v>
      </c>
      <c r="E726" s="426" t="s">
        <v>372</v>
      </c>
      <c r="F726" s="546" t="s">
        <v>776</v>
      </c>
      <c r="G726" s="546" t="s">
        <v>777</v>
      </c>
      <c r="H726" s="546" t="s">
        <v>778</v>
      </c>
    </row>
    <row r="727" spans="3:8" x14ac:dyDescent="0.25">
      <c r="C727" s="426">
        <v>160</v>
      </c>
      <c r="D727" s="1103" t="s">
        <v>779</v>
      </c>
      <c r="E727" s="426" t="s">
        <v>372</v>
      </c>
      <c r="F727" s="546" t="s">
        <v>780</v>
      </c>
      <c r="G727" s="546" t="s">
        <v>781</v>
      </c>
      <c r="H727" s="546" t="s">
        <v>782</v>
      </c>
    </row>
    <row r="728" spans="3:8" x14ac:dyDescent="0.25">
      <c r="C728" s="426">
        <v>163</v>
      </c>
      <c r="D728" s="1103" t="s">
        <v>783</v>
      </c>
      <c r="E728" s="426" t="s">
        <v>372</v>
      </c>
      <c r="F728" s="546" t="s">
        <v>784</v>
      </c>
      <c r="G728" s="546" t="s">
        <v>785</v>
      </c>
      <c r="H728" s="546" t="s">
        <v>786</v>
      </c>
    </row>
    <row r="729" spans="3:8" x14ac:dyDescent="0.25">
      <c r="C729" s="426">
        <v>165</v>
      </c>
      <c r="D729" s="1103" t="s">
        <v>787</v>
      </c>
      <c r="E729" s="426" t="s">
        <v>372</v>
      </c>
      <c r="F729" s="546" t="s">
        <v>788</v>
      </c>
      <c r="G729" s="546" t="s">
        <v>789</v>
      </c>
      <c r="H729" s="546" t="s">
        <v>790</v>
      </c>
    </row>
    <row r="730" spans="3:8" x14ac:dyDescent="0.25">
      <c r="C730" s="426">
        <v>166</v>
      </c>
      <c r="D730" s="1103" t="s">
        <v>787</v>
      </c>
      <c r="E730" s="426" t="s">
        <v>372</v>
      </c>
      <c r="F730" s="546" t="s">
        <v>788</v>
      </c>
      <c r="G730" s="546" t="s">
        <v>791</v>
      </c>
      <c r="H730" s="546" t="s">
        <v>792</v>
      </c>
    </row>
    <row r="731" spans="3:8" x14ac:dyDescent="0.25">
      <c r="C731" s="426">
        <v>167</v>
      </c>
      <c r="D731" s="1103" t="s">
        <v>787</v>
      </c>
      <c r="E731" s="426" t="s">
        <v>372</v>
      </c>
      <c r="F731" s="546" t="s">
        <v>788</v>
      </c>
      <c r="G731" s="546" t="s">
        <v>793</v>
      </c>
      <c r="H731" s="546" t="s">
        <v>794</v>
      </c>
    </row>
    <row r="732" spans="3:8" x14ac:dyDescent="0.25">
      <c r="C732" s="426">
        <v>168</v>
      </c>
      <c r="D732" s="1103" t="s">
        <v>795</v>
      </c>
      <c r="E732" s="426" t="s">
        <v>372</v>
      </c>
      <c r="F732" s="546" t="s">
        <v>796</v>
      </c>
      <c r="G732" s="546" t="s">
        <v>797</v>
      </c>
      <c r="H732" s="546" t="s">
        <v>798</v>
      </c>
    </row>
    <row r="733" spans="3:8" x14ac:dyDescent="0.25">
      <c r="C733" s="426">
        <v>169</v>
      </c>
      <c r="D733" s="1103" t="s">
        <v>799</v>
      </c>
      <c r="E733" s="426" t="s">
        <v>372</v>
      </c>
      <c r="F733" s="546" t="s">
        <v>788</v>
      </c>
      <c r="G733" s="546" t="s">
        <v>800</v>
      </c>
      <c r="H733" s="546" t="s">
        <v>801</v>
      </c>
    </row>
    <row r="734" spans="3:8" x14ac:dyDescent="0.25">
      <c r="C734" s="426">
        <v>170</v>
      </c>
      <c r="D734" s="1103" t="s">
        <v>799</v>
      </c>
      <c r="E734" s="426" t="s">
        <v>372</v>
      </c>
      <c r="F734" s="546" t="s">
        <v>788</v>
      </c>
      <c r="G734" s="546" t="s">
        <v>802</v>
      </c>
      <c r="H734" s="546" t="s">
        <v>803</v>
      </c>
    </row>
    <row r="735" spans="3:8" x14ac:dyDescent="0.25">
      <c r="C735" s="426">
        <v>171</v>
      </c>
      <c r="D735" s="1103" t="s">
        <v>787</v>
      </c>
      <c r="E735" s="426" t="s">
        <v>372</v>
      </c>
      <c r="F735" s="546" t="s">
        <v>788</v>
      </c>
      <c r="G735" s="546" t="s">
        <v>804</v>
      </c>
      <c r="H735" s="546" t="s">
        <v>805</v>
      </c>
    </row>
    <row r="736" spans="3:8" x14ac:dyDescent="0.25">
      <c r="C736" s="426">
        <v>172</v>
      </c>
      <c r="D736" s="1103" t="s">
        <v>787</v>
      </c>
      <c r="E736" s="426" t="s">
        <v>372</v>
      </c>
      <c r="F736" s="546" t="s">
        <v>788</v>
      </c>
      <c r="G736" s="546" t="s">
        <v>806</v>
      </c>
      <c r="H736" s="546" t="s">
        <v>807</v>
      </c>
    </row>
    <row r="737" spans="3:8" x14ac:dyDescent="0.25">
      <c r="C737" s="426">
        <v>173</v>
      </c>
      <c r="D737" s="1103" t="s">
        <v>787</v>
      </c>
      <c r="E737" s="426" t="s">
        <v>372</v>
      </c>
      <c r="F737" s="546" t="s">
        <v>788</v>
      </c>
      <c r="G737" s="546" t="s">
        <v>808</v>
      </c>
      <c r="H737" s="546" t="s">
        <v>809</v>
      </c>
    </row>
    <row r="738" spans="3:8" x14ac:dyDescent="0.25">
      <c r="C738" s="426">
        <v>174</v>
      </c>
      <c r="D738" s="1103" t="s">
        <v>810</v>
      </c>
      <c r="E738" s="426" t="s">
        <v>372</v>
      </c>
      <c r="F738" s="546" t="s">
        <v>811</v>
      </c>
      <c r="G738" s="546" t="s">
        <v>812</v>
      </c>
      <c r="H738" s="546" t="s">
        <v>813</v>
      </c>
    </row>
    <row r="739" spans="3:8" x14ac:dyDescent="0.25">
      <c r="C739" s="426">
        <v>175</v>
      </c>
      <c r="D739" s="1103" t="s">
        <v>810</v>
      </c>
      <c r="E739" s="426" t="s">
        <v>372</v>
      </c>
      <c r="F739" s="546" t="s">
        <v>811</v>
      </c>
      <c r="G739" s="546" t="s">
        <v>812</v>
      </c>
      <c r="H739" s="546" t="s">
        <v>814</v>
      </c>
    </row>
    <row r="740" spans="3:8" x14ac:dyDescent="0.25">
      <c r="C740" s="426">
        <v>176</v>
      </c>
      <c r="D740" s="1103" t="s">
        <v>787</v>
      </c>
      <c r="E740" s="426" t="s">
        <v>372</v>
      </c>
      <c r="F740" s="546" t="s">
        <v>788</v>
      </c>
      <c r="G740" s="546" t="s">
        <v>815</v>
      </c>
      <c r="H740" s="546" t="s">
        <v>816</v>
      </c>
    </row>
    <row r="741" spans="3:8" x14ac:dyDescent="0.25">
      <c r="C741" s="426">
        <v>177</v>
      </c>
      <c r="D741" s="1103" t="s">
        <v>787</v>
      </c>
      <c r="E741" s="426" t="s">
        <v>372</v>
      </c>
      <c r="F741" s="546" t="s">
        <v>788</v>
      </c>
      <c r="G741" s="546" t="s">
        <v>817</v>
      </c>
      <c r="H741" s="546" t="s">
        <v>818</v>
      </c>
    </row>
    <row r="742" spans="3:8" x14ac:dyDescent="0.25">
      <c r="C742" s="426">
        <v>178</v>
      </c>
      <c r="D742" s="1103" t="s">
        <v>799</v>
      </c>
      <c r="E742" s="426" t="s">
        <v>372</v>
      </c>
      <c r="F742" s="546" t="s">
        <v>788</v>
      </c>
      <c r="G742" s="546" t="s">
        <v>819</v>
      </c>
      <c r="H742" s="546" t="s">
        <v>820</v>
      </c>
    </row>
    <row r="743" spans="3:8" x14ac:dyDescent="0.25">
      <c r="C743" s="426">
        <v>179</v>
      </c>
      <c r="D743" s="1103" t="s">
        <v>787</v>
      </c>
      <c r="E743" s="426" t="s">
        <v>372</v>
      </c>
      <c r="F743" s="546" t="s">
        <v>788</v>
      </c>
      <c r="G743" s="546" t="s">
        <v>821</v>
      </c>
      <c r="H743" s="546" t="s">
        <v>822</v>
      </c>
    </row>
    <row r="744" spans="3:8" x14ac:dyDescent="0.25">
      <c r="C744" s="426">
        <v>181</v>
      </c>
      <c r="D744" s="1103" t="s">
        <v>787</v>
      </c>
      <c r="E744" s="426" t="s">
        <v>372</v>
      </c>
      <c r="F744" s="546" t="s">
        <v>788</v>
      </c>
      <c r="G744" s="546" t="s">
        <v>823</v>
      </c>
      <c r="H744" s="546" t="s">
        <v>824</v>
      </c>
    </row>
    <row r="745" spans="3:8" x14ac:dyDescent="0.25">
      <c r="C745" s="426">
        <v>182</v>
      </c>
      <c r="D745" s="1103" t="s">
        <v>799</v>
      </c>
      <c r="E745" s="426" t="s">
        <v>372</v>
      </c>
      <c r="F745" s="546" t="s">
        <v>788</v>
      </c>
      <c r="G745" s="546" t="s">
        <v>825</v>
      </c>
      <c r="H745" s="546" t="s">
        <v>826</v>
      </c>
    </row>
    <row r="746" spans="3:8" x14ac:dyDescent="0.25">
      <c r="C746" s="426">
        <v>183</v>
      </c>
      <c r="D746" s="1103" t="s">
        <v>799</v>
      </c>
      <c r="E746" s="426" t="s">
        <v>372</v>
      </c>
      <c r="F746" s="546" t="s">
        <v>788</v>
      </c>
      <c r="G746" s="546" t="s">
        <v>827</v>
      </c>
      <c r="H746" s="546" t="s">
        <v>828</v>
      </c>
    </row>
    <row r="747" spans="3:8" x14ac:dyDescent="0.25">
      <c r="C747" s="426">
        <v>184</v>
      </c>
      <c r="D747" s="1103" t="s">
        <v>799</v>
      </c>
      <c r="E747" s="426" t="s">
        <v>372</v>
      </c>
      <c r="F747" s="546" t="s">
        <v>788</v>
      </c>
      <c r="G747" s="546" t="s">
        <v>829</v>
      </c>
      <c r="H747" s="546" t="s">
        <v>830</v>
      </c>
    </row>
    <row r="748" spans="3:8" x14ac:dyDescent="0.25">
      <c r="C748" s="426">
        <v>185</v>
      </c>
      <c r="D748" s="1103" t="s">
        <v>787</v>
      </c>
      <c r="E748" s="426" t="s">
        <v>372</v>
      </c>
      <c r="F748" s="546" t="s">
        <v>788</v>
      </c>
      <c r="G748" s="546" t="s">
        <v>831</v>
      </c>
      <c r="H748" s="546" t="s">
        <v>832</v>
      </c>
    </row>
    <row r="749" spans="3:8" x14ac:dyDescent="0.25">
      <c r="C749" s="426">
        <v>186</v>
      </c>
      <c r="D749" s="1103" t="s">
        <v>799</v>
      </c>
      <c r="E749" s="426" t="s">
        <v>372</v>
      </c>
      <c r="F749" s="546" t="s">
        <v>788</v>
      </c>
      <c r="G749" s="546" t="s">
        <v>833</v>
      </c>
      <c r="H749" s="546" t="s">
        <v>834</v>
      </c>
    </row>
    <row r="750" spans="3:8" x14ac:dyDescent="0.25">
      <c r="C750" s="426">
        <v>187</v>
      </c>
      <c r="D750" s="1103" t="s">
        <v>799</v>
      </c>
      <c r="E750" s="426" t="s">
        <v>372</v>
      </c>
      <c r="F750" s="546" t="s">
        <v>788</v>
      </c>
      <c r="G750" s="546" t="s">
        <v>835</v>
      </c>
      <c r="H750" s="546" t="s">
        <v>836</v>
      </c>
    </row>
    <row r="751" spans="3:8" x14ac:dyDescent="0.25">
      <c r="C751" s="426">
        <v>188</v>
      </c>
      <c r="D751" s="1103" t="s">
        <v>799</v>
      </c>
      <c r="E751" s="426" t="s">
        <v>372</v>
      </c>
      <c r="F751" s="546" t="s">
        <v>788</v>
      </c>
      <c r="G751" s="546" t="s">
        <v>837</v>
      </c>
      <c r="H751" s="546" t="s">
        <v>838</v>
      </c>
    </row>
    <row r="752" spans="3:8" x14ac:dyDescent="0.25">
      <c r="C752" s="426">
        <v>189</v>
      </c>
      <c r="D752" s="1103" t="s">
        <v>839</v>
      </c>
      <c r="E752" s="426" t="s">
        <v>372</v>
      </c>
      <c r="F752" s="546" t="s">
        <v>840</v>
      </c>
      <c r="G752" s="546" t="s">
        <v>841</v>
      </c>
      <c r="H752" s="546" t="s">
        <v>842</v>
      </c>
    </row>
    <row r="753" spans="3:8" x14ac:dyDescent="0.25">
      <c r="C753" s="426">
        <v>190</v>
      </c>
      <c r="D753" s="1103" t="s">
        <v>839</v>
      </c>
      <c r="E753" s="426" t="s">
        <v>372</v>
      </c>
      <c r="F753" s="546" t="s">
        <v>840</v>
      </c>
      <c r="G753" s="546" t="s">
        <v>843</v>
      </c>
      <c r="H753" s="546" t="s">
        <v>844</v>
      </c>
    </row>
    <row r="754" spans="3:8" x14ac:dyDescent="0.25">
      <c r="C754" s="426">
        <v>191</v>
      </c>
      <c r="D754" s="1103" t="s">
        <v>845</v>
      </c>
      <c r="E754" s="426" t="s">
        <v>372</v>
      </c>
      <c r="F754" s="546" t="s">
        <v>846</v>
      </c>
      <c r="G754" s="546" t="s">
        <v>847</v>
      </c>
      <c r="H754" s="546" t="s">
        <v>848</v>
      </c>
    </row>
    <row r="755" spans="3:8" x14ac:dyDescent="0.25">
      <c r="C755" s="426">
        <v>192</v>
      </c>
      <c r="D755" s="1103" t="s">
        <v>849</v>
      </c>
      <c r="E755" s="426" t="s">
        <v>372</v>
      </c>
      <c r="F755" s="546" t="s">
        <v>850</v>
      </c>
      <c r="G755" s="546" t="s">
        <v>851</v>
      </c>
      <c r="H755" s="546" t="s">
        <v>852</v>
      </c>
    </row>
    <row r="756" spans="3:8" x14ac:dyDescent="0.25">
      <c r="C756" s="426">
        <v>193</v>
      </c>
      <c r="D756" s="1103" t="s">
        <v>853</v>
      </c>
      <c r="E756" s="426" t="s">
        <v>372</v>
      </c>
      <c r="F756" s="546" t="s">
        <v>854</v>
      </c>
      <c r="G756" s="546" t="s">
        <v>855</v>
      </c>
      <c r="H756" s="546" t="s">
        <v>856</v>
      </c>
    </row>
    <row r="757" spans="3:8" x14ac:dyDescent="0.25">
      <c r="C757" s="426">
        <v>194</v>
      </c>
      <c r="D757" s="1103" t="s">
        <v>849</v>
      </c>
      <c r="E757" s="426" t="s">
        <v>372</v>
      </c>
      <c r="F757" s="546" t="s">
        <v>850</v>
      </c>
      <c r="G757" s="546" t="s">
        <v>857</v>
      </c>
      <c r="H757" s="546" t="s">
        <v>2022</v>
      </c>
    </row>
    <row r="758" spans="3:8" x14ac:dyDescent="0.25">
      <c r="C758" s="426">
        <v>195</v>
      </c>
      <c r="D758" s="1103" t="s">
        <v>849</v>
      </c>
      <c r="E758" s="426" t="s">
        <v>372</v>
      </c>
      <c r="F758" s="546" t="s">
        <v>850</v>
      </c>
      <c r="G758" s="546" t="s">
        <v>858</v>
      </c>
      <c r="H758" s="546" t="s">
        <v>859</v>
      </c>
    </row>
    <row r="759" spans="3:8" x14ac:dyDescent="0.25">
      <c r="C759" s="426">
        <v>196</v>
      </c>
      <c r="D759" s="1103" t="s">
        <v>839</v>
      </c>
      <c r="E759" s="426" t="s">
        <v>372</v>
      </c>
      <c r="F759" s="546" t="s">
        <v>840</v>
      </c>
      <c r="G759" s="546" t="s">
        <v>843</v>
      </c>
      <c r="H759" s="546" t="s">
        <v>860</v>
      </c>
    </row>
    <row r="760" spans="3:8" x14ac:dyDescent="0.25">
      <c r="C760" s="426">
        <v>197</v>
      </c>
      <c r="D760" s="1103" t="s">
        <v>849</v>
      </c>
      <c r="E760" s="426" t="s">
        <v>372</v>
      </c>
      <c r="F760" s="546" t="s">
        <v>850</v>
      </c>
      <c r="G760" s="546" t="s">
        <v>861</v>
      </c>
      <c r="H760" s="546" t="s">
        <v>862</v>
      </c>
    </row>
    <row r="761" spans="3:8" x14ac:dyDescent="0.25">
      <c r="C761" s="426">
        <v>198</v>
      </c>
      <c r="D761" s="1103" t="s">
        <v>863</v>
      </c>
      <c r="E761" s="426" t="s">
        <v>372</v>
      </c>
      <c r="F761" s="546" t="s">
        <v>850</v>
      </c>
      <c r="G761" s="546" t="s">
        <v>864</v>
      </c>
      <c r="H761" s="546" t="s">
        <v>865</v>
      </c>
    </row>
    <row r="762" spans="3:8" x14ac:dyDescent="0.25">
      <c r="C762" s="426">
        <v>200</v>
      </c>
      <c r="D762" s="1103" t="s">
        <v>845</v>
      </c>
      <c r="E762" s="426" t="s">
        <v>372</v>
      </c>
      <c r="F762" s="546" t="s">
        <v>846</v>
      </c>
      <c r="G762" s="546" t="s">
        <v>847</v>
      </c>
      <c r="H762" s="546" t="s">
        <v>866</v>
      </c>
    </row>
    <row r="763" spans="3:8" x14ac:dyDescent="0.25">
      <c r="C763" s="426">
        <v>202</v>
      </c>
      <c r="D763" s="1103" t="s">
        <v>853</v>
      </c>
      <c r="E763" s="426" t="s">
        <v>372</v>
      </c>
      <c r="F763" s="546" t="s">
        <v>854</v>
      </c>
      <c r="G763" s="546" t="s">
        <v>867</v>
      </c>
      <c r="H763" s="546" t="s">
        <v>868</v>
      </c>
    </row>
    <row r="764" spans="3:8" x14ac:dyDescent="0.25">
      <c r="C764" s="426">
        <v>203</v>
      </c>
      <c r="D764" s="1103" t="s">
        <v>863</v>
      </c>
      <c r="E764" s="426" t="s">
        <v>372</v>
      </c>
      <c r="F764" s="546" t="s">
        <v>850</v>
      </c>
      <c r="G764" s="546" t="s">
        <v>869</v>
      </c>
      <c r="H764" s="546" t="s">
        <v>870</v>
      </c>
    </row>
    <row r="765" spans="3:8" x14ac:dyDescent="0.25">
      <c r="C765" s="426">
        <v>204</v>
      </c>
      <c r="D765" s="1103" t="s">
        <v>871</v>
      </c>
      <c r="E765" s="426" t="s">
        <v>372</v>
      </c>
      <c r="F765" s="546" t="s">
        <v>770</v>
      </c>
      <c r="G765" s="546" t="s">
        <v>771</v>
      </c>
      <c r="H765" s="546" t="s">
        <v>872</v>
      </c>
    </row>
    <row r="766" spans="3:8" x14ac:dyDescent="0.25">
      <c r="C766" s="426">
        <v>213</v>
      </c>
      <c r="D766" s="1103" t="s">
        <v>873</v>
      </c>
      <c r="E766" s="426" t="s">
        <v>372</v>
      </c>
      <c r="F766" s="546" t="s">
        <v>874</v>
      </c>
      <c r="G766" s="546" t="s">
        <v>875</v>
      </c>
      <c r="H766" s="546" t="s">
        <v>876</v>
      </c>
    </row>
    <row r="767" spans="3:8" x14ac:dyDescent="0.25">
      <c r="C767" s="426">
        <v>214</v>
      </c>
      <c r="D767" s="1103" t="s">
        <v>877</v>
      </c>
      <c r="E767" s="426" t="s">
        <v>372</v>
      </c>
      <c r="F767" s="546" t="s">
        <v>874</v>
      </c>
      <c r="G767" s="546" t="s">
        <v>878</v>
      </c>
      <c r="H767" s="546" t="s">
        <v>879</v>
      </c>
    </row>
    <row r="768" spans="3:8" x14ac:dyDescent="0.25">
      <c r="C768" s="426">
        <v>215</v>
      </c>
      <c r="D768" s="1103" t="s">
        <v>877</v>
      </c>
      <c r="E768" s="426" t="s">
        <v>372</v>
      </c>
      <c r="F768" s="546" t="s">
        <v>874</v>
      </c>
      <c r="G768" s="546" t="s">
        <v>880</v>
      </c>
      <c r="H768" s="546" t="s">
        <v>881</v>
      </c>
    </row>
    <row r="769" spans="3:12" x14ac:dyDescent="0.25">
      <c r="C769" s="426">
        <v>217</v>
      </c>
      <c r="D769" s="1103" t="s">
        <v>877</v>
      </c>
      <c r="E769" s="426" t="s">
        <v>372</v>
      </c>
      <c r="F769" s="546" t="s">
        <v>874</v>
      </c>
      <c r="G769" s="546" t="s">
        <v>882</v>
      </c>
      <c r="H769" s="546" t="s">
        <v>883</v>
      </c>
    </row>
    <row r="770" spans="3:12" x14ac:dyDescent="0.25">
      <c r="C770" s="426">
        <v>218</v>
      </c>
      <c r="D770" s="1103" t="s">
        <v>873</v>
      </c>
      <c r="E770" s="426" t="s">
        <v>372</v>
      </c>
      <c r="F770" s="546" t="s">
        <v>874</v>
      </c>
      <c r="G770" s="546" t="s">
        <v>884</v>
      </c>
      <c r="H770" s="546" t="s">
        <v>885</v>
      </c>
    </row>
    <row r="771" spans="3:12" x14ac:dyDescent="0.25">
      <c r="C771" s="426">
        <v>219</v>
      </c>
      <c r="D771" s="1103" t="s">
        <v>877</v>
      </c>
      <c r="E771" s="426" t="s">
        <v>372</v>
      </c>
      <c r="F771" s="546" t="s">
        <v>874</v>
      </c>
      <c r="G771" s="546" t="s">
        <v>886</v>
      </c>
      <c r="H771" s="546" t="s">
        <v>887</v>
      </c>
    </row>
    <row r="772" spans="3:12" x14ac:dyDescent="0.25">
      <c r="C772" s="426">
        <v>220</v>
      </c>
      <c r="D772" s="1103" t="s">
        <v>877</v>
      </c>
      <c r="E772" s="426" t="s">
        <v>372</v>
      </c>
      <c r="F772" s="546" t="s">
        <v>874</v>
      </c>
      <c r="G772" s="546" t="s">
        <v>888</v>
      </c>
      <c r="H772" s="546" t="s">
        <v>889</v>
      </c>
    </row>
    <row r="773" spans="3:12" x14ac:dyDescent="0.25">
      <c r="C773" s="426">
        <v>221</v>
      </c>
      <c r="D773" s="1103" t="s">
        <v>877</v>
      </c>
      <c r="E773" s="426" t="s">
        <v>372</v>
      </c>
      <c r="F773" s="546" t="s">
        <v>874</v>
      </c>
      <c r="G773" s="546" t="s">
        <v>890</v>
      </c>
      <c r="H773" s="546" t="s">
        <v>891</v>
      </c>
    </row>
    <row r="774" spans="3:12" x14ac:dyDescent="0.25">
      <c r="C774" s="426">
        <v>222</v>
      </c>
      <c r="D774" s="1103" t="s">
        <v>873</v>
      </c>
      <c r="E774" s="426" t="s">
        <v>372</v>
      </c>
      <c r="F774" s="546" t="s">
        <v>874</v>
      </c>
      <c r="G774" s="546" t="s">
        <v>892</v>
      </c>
      <c r="H774" s="546" t="s">
        <v>893</v>
      </c>
    </row>
    <row r="775" spans="3:12" x14ac:dyDescent="0.25">
      <c r="C775" s="426">
        <v>223</v>
      </c>
      <c r="D775" s="1103" t="s">
        <v>873</v>
      </c>
      <c r="E775" s="426" t="s">
        <v>372</v>
      </c>
      <c r="F775" s="546" t="s">
        <v>874</v>
      </c>
      <c r="G775" s="546" t="s">
        <v>894</v>
      </c>
      <c r="H775" s="546" t="s">
        <v>895</v>
      </c>
    </row>
    <row r="776" spans="3:12" x14ac:dyDescent="0.25">
      <c r="C776" s="426">
        <v>224</v>
      </c>
      <c r="D776" s="1103" t="s">
        <v>873</v>
      </c>
      <c r="E776" s="426" t="s">
        <v>372</v>
      </c>
      <c r="F776" s="546" t="s">
        <v>874</v>
      </c>
      <c r="G776" s="546" t="s">
        <v>896</v>
      </c>
      <c r="H776" s="546" t="s">
        <v>897</v>
      </c>
    </row>
    <row r="777" spans="3:12" x14ac:dyDescent="0.25">
      <c r="C777" s="426">
        <v>225</v>
      </c>
      <c r="D777" s="1103" t="s">
        <v>898</v>
      </c>
      <c r="E777" s="426" t="s">
        <v>2023</v>
      </c>
      <c r="F777" s="546" t="s">
        <v>874</v>
      </c>
      <c r="G777" s="546" t="s">
        <v>899</v>
      </c>
      <c r="H777" s="546" t="s">
        <v>900</v>
      </c>
      <c r="I777" s="546" t="s">
        <v>901</v>
      </c>
      <c r="J777" s="426" t="s">
        <v>902</v>
      </c>
      <c r="K777" s="426" t="s">
        <v>903</v>
      </c>
      <c r="L777" s="426" t="s">
        <v>1765</v>
      </c>
    </row>
    <row r="778" spans="3:12" x14ac:dyDescent="0.25">
      <c r="C778" s="426">
        <v>226</v>
      </c>
      <c r="D778" s="1103" t="s">
        <v>873</v>
      </c>
      <c r="E778" s="426" t="s">
        <v>372</v>
      </c>
      <c r="F778" s="546" t="s">
        <v>874</v>
      </c>
      <c r="G778" s="546" t="s">
        <v>904</v>
      </c>
      <c r="H778" s="546" t="s">
        <v>905</v>
      </c>
    </row>
    <row r="779" spans="3:12" x14ac:dyDescent="0.25">
      <c r="C779" s="426">
        <v>227</v>
      </c>
      <c r="D779" s="1103" t="s">
        <v>873</v>
      </c>
      <c r="E779" s="426" t="s">
        <v>372</v>
      </c>
      <c r="F779" s="546" t="s">
        <v>874</v>
      </c>
      <c r="G779" s="546" t="s">
        <v>906</v>
      </c>
      <c r="H779" s="546" t="s">
        <v>907</v>
      </c>
    </row>
    <row r="780" spans="3:12" x14ac:dyDescent="0.25">
      <c r="C780" s="426">
        <v>228</v>
      </c>
      <c r="D780" s="1103" t="s">
        <v>877</v>
      </c>
      <c r="E780" s="426" t="s">
        <v>372</v>
      </c>
      <c r="F780" s="546" t="s">
        <v>874</v>
      </c>
      <c r="G780" s="546" t="s">
        <v>908</v>
      </c>
      <c r="H780" s="546" t="s">
        <v>909</v>
      </c>
    </row>
    <row r="781" spans="3:12" x14ac:dyDescent="0.25">
      <c r="C781" s="426">
        <v>229</v>
      </c>
      <c r="D781" s="1103" t="s">
        <v>873</v>
      </c>
      <c r="E781" s="426" t="s">
        <v>372</v>
      </c>
      <c r="F781" s="546" t="s">
        <v>874</v>
      </c>
      <c r="G781" s="546" t="s">
        <v>910</v>
      </c>
      <c r="H781" s="546" t="s">
        <v>911</v>
      </c>
    </row>
    <row r="782" spans="3:12" x14ac:dyDescent="0.25">
      <c r="C782" s="426">
        <v>230</v>
      </c>
      <c r="D782" s="1103" t="s">
        <v>873</v>
      </c>
      <c r="E782" s="426" t="s">
        <v>372</v>
      </c>
      <c r="F782" s="546" t="s">
        <v>874</v>
      </c>
      <c r="G782" s="546" t="s">
        <v>912</v>
      </c>
      <c r="H782" s="546" t="s">
        <v>913</v>
      </c>
    </row>
    <row r="783" spans="3:12" x14ac:dyDescent="0.25">
      <c r="C783" s="426">
        <v>231</v>
      </c>
      <c r="D783" s="1103" t="s">
        <v>914</v>
      </c>
      <c r="E783" s="426" t="s">
        <v>372</v>
      </c>
      <c r="F783" s="546" t="s">
        <v>915</v>
      </c>
      <c r="G783" s="546" t="s">
        <v>916</v>
      </c>
      <c r="H783" s="546" t="s">
        <v>917</v>
      </c>
    </row>
    <row r="784" spans="3:12" x14ac:dyDescent="0.25">
      <c r="C784" s="426">
        <v>232</v>
      </c>
      <c r="D784" s="1103" t="s">
        <v>918</v>
      </c>
      <c r="E784" s="426" t="s">
        <v>372</v>
      </c>
      <c r="F784" s="546" t="s">
        <v>919</v>
      </c>
      <c r="G784" s="546" t="s">
        <v>920</v>
      </c>
      <c r="H784" s="546" t="s">
        <v>921</v>
      </c>
    </row>
    <row r="785" spans="3:8" x14ac:dyDescent="0.25">
      <c r="C785" s="426">
        <v>233</v>
      </c>
      <c r="D785" s="1103" t="s">
        <v>922</v>
      </c>
      <c r="E785" s="426" t="s">
        <v>372</v>
      </c>
      <c r="F785" s="546" t="s">
        <v>923</v>
      </c>
      <c r="G785" s="546" t="s">
        <v>924</v>
      </c>
      <c r="H785" s="546" t="s">
        <v>925</v>
      </c>
    </row>
    <row r="786" spans="3:8" x14ac:dyDescent="0.25">
      <c r="C786" s="426">
        <v>234</v>
      </c>
      <c r="D786" s="1103" t="s">
        <v>926</v>
      </c>
      <c r="E786" s="426" t="s">
        <v>372</v>
      </c>
      <c r="F786" s="546" t="s">
        <v>927</v>
      </c>
      <c r="G786" s="546" t="s">
        <v>928</v>
      </c>
      <c r="H786" s="546" t="s">
        <v>2024</v>
      </c>
    </row>
    <row r="787" spans="3:8" x14ac:dyDescent="0.25">
      <c r="C787" s="426">
        <v>235</v>
      </c>
      <c r="D787" s="1103" t="s">
        <v>929</v>
      </c>
      <c r="E787" s="426" t="s">
        <v>372</v>
      </c>
      <c r="F787" s="546" t="s">
        <v>930</v>
      </c>
      <c r="G787" s="546" t="s">
        <v>931</v>
      </c>
      <c r="H787" s="546" t="s">
        <v>932</v>
      </c>
    </row>
    <row r="788" spans="3:8" x14ac:dyDescent="0.25">
      <c r="C788" s="426">
        <v>236</v>
      </c>
      <c r="D788" s="1103" t="s">
        <v>933</v>
      </c>
      <c r="E788" s="426" t="s">
        <v>372</v>
      </c>
      <c r="F788" s="546" t="s">
        <v>934</v>
      </c>
      <c r="G788" s="546" t="s">
        <v>935</v>
      </c>
      <c r="H788" s="546" t="s">
        <v>936</v>
      </c>
    </row>
    <row r="789" spans="3:8" x14ac:dyDescent="0.25">
      <c r="C789" s="426">
        <v>237</v>
      </c>
      <c r="D789" s="1103" t="s">
        <v>937</v>
      </c>
      <c r="E789" s="426" t="s">
        <v>372</v>
      </c>
      <c r="F789" s="546" t="s">
        <v>938</v>
      </c>
      <c r="G789" s="546" t="s">
        <v>939</v>
      </c>
      <c r="H789" s="546" t="s">
        <v>940</v>
      </c>
    </row>
    <row r="790" spans="3:8" x14ac:dyDescent="0.25">
      <c r="C790" s="426">
        <v>238</v>
      </c>
      <c r="D790" s="1103" t="s">
        <v>941</v>
      </c>
      <c r="E790" s="426" t="s">
        <v>372</v>
      </c>
      <c r="F790" s="546" t="s">
        <v>923</v>
      </c>
      <c r="G790" s="546" t="s">
        <v>924</v>
      </c>
      <c r="H790" s="546" t="s">
        <v>942</v>
      </c>
    </row>
    <row r="791" spans="3:8" x14ac:dyDescent="0.25">
      <c r="C791" s="426">
        <v>240</v>
      </c>
      <c r="D791" s="1103" t="s">
        <v>943</v>
      </c>
      <c r="E791" s="426" t="s">
        <v>372</v>
      </c>
      <c r="F791" s="546" t="s">
        <v>944</v>
      </c>
      <c r="G791" s="546" t="s">
        <v>945</v>
      </c>
      <c r="H791" s="546" t="s">
        <v>946</v>
      </c>
    </row>
    <row r="792" spans="3:8" x14ac:dyDescent="0.25">
      <c r="C792" s="426">
        <v>241</v>
      </c>
      <c r="D792" s="1103" t="s">
        <v>947</v>
      </c>
      <c r="E792" s="426" t="s">
        <v>372</v>
      </c>
      <c r="F792" s="546" t="s">
        <v>944</v>
      </c>
      <c r="G792" s="546" t="s">
        <v>948</v>
      </c>
      <c r="H792" s="546" t="s">
        <v>949</v>
      </c>
    </row>
    <row r="793" spans="3:8" x14ac:dyDescent="0.25">
      <c r="C793" s="426">
        <v>242</v>
      </c>
      <c r="D793" s="1103" t="s">
        <v>947</v>
      </c>
      <c r="E793" s="426" t="s">
        <v>372</v>
      </c>
      <c r="F793" s="546" t="s">
        <v>944</v>
      </c>
      <c r="G793" s="546" t="s">
        <v>950</v>
      </c>
      <c r="H793" s="546" t="s">
        <v>951</v>
      </c>
    </row>
    <row r="794" spans="3:8" x14ac:dyDescent="0.25">
      <c r="C794" s="426">
        <v>243</v>
      </c>
      <c r="D794" s="1103" t="s">
        <v>947</v>
      </c>
      <c r="E794" s="426" t="s">
        <v>372</v>
      </c>
      <c r="F794" s="546" t="s">
        <v>944</v>
      </c>
      <c r="G794" s="546" t="s">
        <v>952</v>
      </c>
      <c r="H794" s="546" t="s">
        <v>953</v>
      </c>
    </row>
    <row r="795" spans="3:8" x14ac:dyDescent="0.25">
      <c r="C795" s="426">
        <v>244</v>
      </c>
      <c r="D795" s="1103" t="s">
        <v>947</v>
      </c>
      <c r="E795" s="426" t="s">
        <v>372</v>
      </c>
      <c r="F795" s="546" t="s">
        <v>944</v>
      </c>
      <c r="G795" s="546" t="s">
        <v>954</v>
      </c>
      <c r="H795" s="546" t="s">
        <v>955</v>
      </c>
    </row>
    <row r="796" spans="3:8" x14ac:dyDescent="0.25">
      <c r="C796" s="426">
        <v>247</v>
      </c>
      <c r="D796" s="1103" t="s">
        <v>956</v>
      </c>
      <c r="E796" s="426" t="s">
        <v>372</v>
      </c>
      <c r="F796" s="546" t="s">
        <v>957</v>
      </c>
      <c r="G796" s="546" t="s">
        <v>958</v>
      </c>
      <c r="H796" s="546" t="s">
        <v>959</v>
      </c>
    </row>
    <row r="797" spans="3:8" x14ac:dyDescent="0.25">
      <c r="C797" s="426">
        <v>248</v>
      </c>
      <c r="D797" s="1103" t="s">
        <v>947</v>
      </c>
      <c r="E797" s="426" t="s">
        <v>372</v>
      </c>
      <c r="F797" s="546" t="s">
        <v>944</v>
      </c>
      <c r="G797" s="546" t="s">
        <v>960</v>
      </c>
      <c r="H797" s="546" t="s">
        <v>961</v>
      </c>
    </row>
    <row r="798" spans="3:8" x14ac:dyDescent="0.25">
      <c r="C798" s="426">
        <v>249</v>
      </c>
      <c r="D798" s="1103" t="s">
        <v>962</v>
      </c>
      <c r="E798" s="426" t="s">
        <v>372</v>
      </c>
      <c r="F798" s="546" t="s">
        <v>963</v>
      </c>
      <c r="G798" s="546" t="s">
        <v>964</v>
      </c>
      <c r="H798" s="546" t="s">
        <v>965</v>
      </c>
    </row>
    <row r="799" spans="3:8" x14ac:dyDescent="0.25">
      <c r="C799" s="426">
        <v>250</v>
      </c>
      <c r="D799" s="1103" t="s">
        <v>947</v>
      </c>
      <c r="E799" s="426" t="s">
        <v>372</v>
      </c>
      <c r="F799" s="546" t="s">
        <v>944</v>
      </c>
      <c r="G799" s="546" t="s">
        <v>966</v>
      </c>
      <c r="H799" s="546" t="s">
        <v>967</v>
      </c>
    </row>
    <row r="800" spans="3:8" x14ac:dyDescent="0.25">
      <c r="C800" s="426">
        <v>252</v>
      </c>
      <c r="D800" s="1103" t="s">
        <v>968</v>
      </c>
      <c r="E800" s="426" t="s">
        <v>372</v>
      </c>
      <c r="F800" s="546" t="s">
        <v>969</v>
      </c>
      <c r="G800" s="546" t="s">
        <v>970</v>
      </c>
      <c r="H800" s="546" t="s">
        <v>971</v>
      </c>
    </row>
    <row r="801" spans="3:8" x14ac:dyDescent="0.25">
      <c r="C801" s="426">
        <v>253</v>
      </c>
      <c r="D801" s="1103" t="s">
        <v>947</v>
      </c>
      <c r="E801" s="426" t="s">
        <v>372</v>
      </c>
      <c r="F801" s="546" t="s">
        <v>944</v>
      </c>
      <c r="G801" s="546" t="s">
        <v>972</v>
      </c>
      <c r="H801" s="546" t="s">
        <v>973</v>
      </c>
    </row>
    <row r="802" spans="3:8" x14ac:dyDescent="0.25">
      <c r="C802" s="426">
        <v>255</v>
      </c>
      <c r="D802" s="1103" t="s">
        <v>974</v>
      </c>
      <c r="E802" s="426" t="s">
        <v>372</v>
      </c>
      <c r="F802" s="546" t="s">
        <v>975</v>
      </c>
      <c r="G802" s="546" t="s">
        <v>976</v>
      </c>
      <c r="H802" s="546" t="s">
        <v>977</v>
      </c>
    </row>
    <row r="803" spans="3:8" x14ac:dyDescent="0.25">
      <c r="C803" s="426">
        <v>256</v>
      </c>
      <c r="D803" s="1103" t="s">
        <v>974</v>
      </c>
      <c r="E803" s="426" t="s">
        <v>372</v>
      </c>
      <c r="F803" s="546" t="s">
        <v>975</v>
      </c>
      <c r="G803" s="546" t="s">
        <v>978</v>
      </c>
      <c r="H803" s="546" t="s">
        <v>979</v>
      </c>
    </row>
    <row r="804" spans="3:8" x14ac:dyDescent="0.25">
      <c r="C804" s="426">
        <v>258</v>
      </c>
      <c r="D804" s="1103" t="s">
        <v>980</v>
      </c>
      <c r="E804" s="426" t="s">
        <v>372</v>
      </c>
      <c r="F804" s="546" t="s">
        <v>981</v>
      </c>
      <c r="G804" s="546" t="s">
        <v>982</v>
      </c>
      <c r="H804" s="546" t="s">
        <v>983</v>
      </c>
    </row>
    <row r="805" spans="3:8" x14ac:dyDescent="0.25">
      <c r="C805" s="426">
        <v>259</v>
      </c>
      <c r="D805" s="1103" t="s">
        <v>984</v>
      </c>
      <c r="E805" s="426" t="s">
        <v>372</v>
      </c>
      <c r="F805" s="546" t="s">
        <v>985</v>
      </c>
      <c r="G805" s="546" t="s">
        <v>986</v>
      </c>
      <c r="H805" s="546" t="s">
        <v>977</v>
      </c>
    </row>
    <row r="806" spans="3:8" x14ac:dyDescent="0.25">
      <c r="C806" s="426">
        <v>260</v>
      </c>
      <c r="D806" s="1103" t="s">
        <v>987</v>
      </c>
      <c r="E806" s="426" t="s">
        <v>372</v>
      </c>
      <c r="F806" s="546" t="s">
        <v>988</v>
      </c>
      <c r="G806" s="546" t="s">
        <v>989</v>
      </c>
      <c r="H806" s="546" t="s">
        <v>990</v>
      </c>
    </row>
    <row r="807" spans="3:8" x14ac:dyDescent="0.25">
      <c r="C807" s="426">
        <v>262</v>
      </c>
      <c r="D807" s="1103" t="s">
        <v>991</v>
      </c>
      <c r="E807" s="426" t="s">
        <v>372</v>
      </c>
      <c r="F807" s="546" t="s">
        <v>992</v>
      </c>
      <c r="G807" s="546" t="s">
        <v>993</v>
      </c>
      <c r="H807" s="546" t="s">
        <v>994</v>
      </c>
    </row>
    <row r="808" spans="3:8" x14ac:dyDescent="0.25">
      <c r="C808" s="426">
        <v>263</v>
      </c>
      <c r="D808" s="1103" t="s">
        <v>1787</v>
      </c>
      <c r="E808" s="426" t="s">
        <v>372</v>
      </c>
      <c r="F808" s="546" t="s">
        <v>1788</v>
      </c>
      <c r="G808" s="546" t="s">
        <v>1789</v>
      </c>
      <c r="H808" s="546" t="s">
        <v>1790</v>
      </c>
    </row>
    <row r="809" spans="3:8" x14ac:dyDescent="0.25">
      <c r="C809" s="426">
        <v>264</v>
      </c>
      <c r="D809" s="1103" t="s">
        <v>995</v>
      </c>
      <c r="E809" s="426" t="s">
        <v>372</v>
      </c>
      <c r="F809" s="546" t="s">
        <v>996</v>
      </c>
      <c r="G809" s="546" t="s">
        <v>997</v>
      </c>
      <c r="H809" s="546" t="s">
        <v>998</v>
      </c>
    </row>
    <row r="810" spans="3:8" x14ac:dyDescent="0.25">
      <c r="C810" s="426">
        <v>265</v>
      </c>
      <c r="D810" s="1103" t="s">
        <v>995</v>
      </c>
      <c r="E810" s="426" t="s">
        <v>372</v>
      </c>
      <c r="F810" s="546" t="s">
        <v>996</v>
      </c>
      <c r="G810" s="546" t="s">
        <v>999</v>
      </c>
      <c r="H810" s="546" t="s">
        <v>1000</v>
      </c>
    </row>
    <row r="811" spans="3:8" x14ac:dyDescent="0.25">
      <c r="C811" s="426">
        <v>266</v>
      </c>
      <c r="D811" s="1103" t="s">
        <v>1001</v>
      </c>
      <c r="E811" s="426" t="s">
        <v>372</v>
      </c>
      <c r="F811" s="546" t="s">
        <v>1002</v>
      </c>
      <c r="G811" s="546" t="s">
        <v>1003</v>
      </c>
      <c r="H811" s="546" t="s">
        <v>1004</v>
      </c>
    </row>
    <row r="812" spans="3:8" x14ac:dyDescent="0.25">
      <c r="C812" s="426">
        <v>267</v>
      </c>
      <c r="D812" s="1103" t="s">
        <v>1001</v>
      </c>
      <c r="E812" s="426" t="s">
        <v>372</v>
      </c>
      <c r="F812" s="546" t="s">
        <v>1002</v>
      </c>
      <c r="G812" s="546" t="s">
        <v>1003</v>
      </c>
      <c r="H812" s="546" t="s">
        <v>1005</v>
      </c>
    </row>
    <row r="813" spans="3:8" x14ac:dyDescent="0.25">
      <c r="C813" s="426">
        <v>268</v>
      </c>
      <c r="D813" s="1103" t="s">
        <v>2025</v>
      </c>
      <c r="E813" s="426" t="s">
        <v>372</v>
      </c>
      <c r="F813" s="546" t="s">
        <v>2026</v>
      </c>
      <c r="G813" s="546" t="s">
        <v>2027</v>
      </c>
      <c r="H813" s="546" t="s">
        <v>2028</v>
      </c>
    </row>
    <row r="814" spans="3:8" x14ac:dyDescent="0.25">
      <c r="C814" s="426">
        <v>270</v>
      </c>
      <c r="D814" s="1103" t="s">
        <v>1006</v>
      </c>
      <c r="E814" s="426" t="s">
        <v>372</v>
      </c>
      <c r="F814" s="546" t="s">
        <v>1007</v>
      </c>
      <c r="G814" s="546" t="s">
        <v>1008</v>
      </c>
      <c r="H814" s="546" t="s">
        <v>662</v>
      </c>
    </row>
    <row r="815" spans="3:8" x14ac:dyDescent="0.25">
      <c r="C815" s="426">
        <v>271</v>
      </c>
      <c r="D815" s="1103" t="s">
        <v>1009</v>
      </c>
      <c r="E815" s="426" t="s">
        <v>372</v>
      </c>
      <c r="F815" s="546" t="s">
        <v>1010</v>
      </c>
      <c r="G815" s="546" t="s">
        <v>1011</v>
      </c>
      <c r="H815" s="546" t="s">
        <v>1012</v>
      </c>
    </row>
    <row r="816" spans="3:8" x14ac:dyDescent="0.25">
      <c r="C816" s="426">
        <v>273</v>
      </c>
      <c r="D816" s="1103" t="s">
        <v>1013</v>
      </c>
      <c r="E816" s="426" t="s">
        <v>372</v>
      </c>
      <c r="F816" s="546" t="s">
        <v>1014</v>
      </c>
      <c r="G816" s="546" t="s">
        <v>1015</v>
      </c>
      <c r="H816" s="546" t="s">
        <v>1016</v>
      </c>
    </row>
    <row r="817" spans="3:8" x14ac:dyDescent="0.25">
      <c r="C817" s="426">
        <v>274</v>
      </c>
      <c r="D817" s="1103" t="s">
        <v>1013</v>
      </c>
      <c r="E817" s="426" t="s">
        <v>372</v>
      </c>
      <c r="F817" s="546" t="s">
        <v>1014</v>
      </c>
      <c r="G817" s="546" t="s">
        <v>1017</v>
      </c>
      <c r="H817" s="546" t="s">
        <v>1018</v>
      </c>
    </row>
    <row r="818" spans="3:8" x14ac:dyDescent="0.25">
      <c r="C818" s="426">
        <v>275</v>
      </c>
      <c r="D818" s="1103" t="s">
        <v>1019</v>
      </c>
      <c r="E818" s="426" t="s">
        <v>372</v>
      </c>
      <c r="F818" s="546" t="s">
        <v>1020</v>
      </c>
      <c r="G818" s="546" t="s">
        <v>1021</v>
      </c>
      <c r="H818" s="546" t="s">
        <v>1022</v>
      </c>
    </row>
    <row r="819" spans="3:8" x14ac:dyDescent="0.25">
      <c r="C819" s="426">
        <v>276</v>
      </c>
      <c r="D819" s="1103" t="s">
        <v>1019</v>
      </c>
      <c r="E819" s="426" t="s">
        <v>372</v>
      </c>
      <c r="F819" s="546" t="s">
        <v>1020</v>
      </c>
      <c r="G819" s="546" t="s">
        <v>1023</v>
      </c>
      <c r="H819" s="546" t="s">
        <v>1024</v>
      </c>
    </row>
    <row r="820" spans="3:8" x14ac:dyDescent="0.25">
      <c r="C820" s="426">
        <v>277</v>
      </c>
      <c r="D820" s="1103" t="s">
        <v>1025</v>
      </c>
      <c r="E820" s="426" t="s">
        <v>372</v>
      </c>
      <c r="F820" s="546" t="s">
        <v>1020</v>
      </c>
      <c r="G820" s="546" t="s">
        <v>1026</v>
      </c>
      <c r="H820" s="546" t="s">
        <v>1027</v>
      </c>
    </row>
    <row r="821" spans="3:8" x14ac:dyDescent="0.25">
      <c r="C821" s="426">
        <v>278</v>
      </c>
      <c r="D821" s="1103" t="s">
        <v>1013</v>
      </c>
      <c r="E821" s="426" t="s">
        <v>372</v>
      </c>
      <c r="F821" s="546" t="s">
        <v>1014</v>
      </c>
      <c r="G821" s="546" t="s">
        <v>1028</v>
      </c>
      <c r="H821" s="546" t="s">
        <v>1029</v>
      </c>
    </row>
    <row r="822" spans="3:8" x14ac:dyDescent="0.25">
      <c r="C822" s="426">
        <v>279</v>
      </c>
      <c r="D822" s="1103" t="s">
        <v>873</v>
      </c>
      <c r="E822" s="426" t="s">
        <v>372</v>
      </c>
      <c r="F822" s="546" t="s">
        <v>874</v>
      </c>
      <c r="G822" s="546" t="s">
        <v>1030</v>
      </c>
      <c r="H822" s="546" t="s">
        <v>1031</v>
      </c>
    </row>
    <row r="823" spans="3:8" x14ac:dyDescent="0.25">
      <c r="C823" s="426">
        <v>280</v>
      </c>
      <c r="D823" s="1103" t="s">
        <v>1032</v>
      </c>
      <c r="E823" s="426" t="s">
        <v>372</v>
      </c>
      <c r="F823" s="546" t="s">
        <v>1033</v>
      </c>
      <c r="G823" s="546" t="s">
        <v>1034</v>
      </c>
      <c r="H823" s="546" t="s">
        <v>1035</v>
      </c>
    </row>
    <row r="824" spans="3:8" x14ac:dyDescent="0.25">
      <c r="C824" s="426">
        <v>281</v>
      </c>
      <c r="D824" s="1103" t="s">
        <v>1032</v>
      </c>
      <c r="E824" s="426" t="s">
        <v>372</v>
      </c>
      <c r="F824" s="546" t="s">
        <v>1033</v>
      </c>
      <c r="G824" s="546" t="s">
        <v>1034</v>
      </c>
      <c r="H824" s="546" t="s">
        <v>1036</v>
      </c>
    </row>
    <row r="825" spans="3:8" x14ac:dyDescent="0.25">
      <c r="C825" s="426">
        <v>285</v>
      </c>
      <c r="D825" s="1103" t="s">
        <v>1037</v>
      </c>
      <c r="E825" s="426" t="s">
        <v>372</v>
      </c>
      <c r="F825" s="546" t="s">
        <v>1038</v>
      </c>
      <c r="G825" s="546" t="s">
        <v>1039</v>
      </c>
      <c r="H825" s="546" t="s">
        <v>1040</v>
      </c>
    </row>
    <row r="826" spans="3:8" x14ac:dyDescent="0.25">
      <c r="C826" s="426">
        <v>286</v>
      </c>
      <c r="D826" s="1103" t="s">
        <v>1041</v>
      </c>
      <c r="E826" s="426" t="s">
        <v>372</v>
      </c>
      <c r="F826" s="546" t="s">
        <v>1038</v>
      </c>
      <c r="G826" s="546" t="s">
        <v>1042</v>
      </c>
      <c r="H826" s="546" t="s">
        <v>1043</v>
      </c>
    </row>
    <row r="827" spans="3:8" x14ac:dyDescent="0.25">
      <c r="C827" s="426">
        <v>290</v>
      </c>
      <c r="D827" s="1103" t="s">
        <v>1044</v>
      </c>
      <c r="E827" s="426" t="s">
        <v>372</v>
      </c>
      <c r="F827" s="546" t="s">
        <v>1045</v>
      </c>
      <c r="G827" s="546" t="s">
        <v>1046</v>
      </c>
      <c r="H827" s="546" t="s">
        <v>1047</v>
      </c>
    </row>
    <row r="828" spans="3:8" x14ac:dyDescent="0.25">
      <c r="C828" s="426">
        <v>291</v>
      </c>
      <c r="D828" s="1103" t="s">
        <v>1048</v>
      </c>
      <c r="E828" s="426" t="s">
        <v>372</v>
      </c>
      <c r="F828" s="546" t="s">
        <v>1045</v>
      </c>
      <c r="G828" s="546" t="s">
        <v>1049</v>
      </c>
      <c r="H828" s="546" t="s">
        <v>1050</v>
      </c>
    </row>
    <row r="829" spans="3:8" x14ac:dyDescent="0.25">
      <c r="C829" s="426">
        <v>294</v>
      </c>
      <c r="D829" s="1103" t="s">
        <v>1051</v>
      </c>
      <c r="E829" s="426" t="s">
        <v>372</v>
      </c>
      <c r="F829" s="546" t="s">
        <v>1052</v>
      </c>
      <c r="G829" s="546" t="s">
        <v>1053</v>
      </c>
      <c r="H829" s="546" t="s">
        <v>1054</v>
      </c>
    </row>
    <row r="830" spans="3:8" x14ac:dyDescent="0.25">
      <c r="C830" s="426">
        <v>295</v>
      </c>
      <c r="D830" s="1103" t="s">
        <v>1055</v>
      </c>
      <c r="E830" s="426" t="s">
        <v>372</v>
      </c>
      <c r="F830" s="546" t="s">
        <v>1056</v>
      </c>
      <c r="G830" s="546" t="s">
        <v>1057</v>
      </c>
      <c r="H830" s="546" t="s">
        <v>1058</v>
      </c>
    </row>
    <row r="831" spans="3:8" x14ac:dyDescent="0.25">
      <c r="C831" s="426">
        <v>296</v>
      </c>
      <c r="D831" s="1103" t="s">
        <v>799</v>
      </c>
      <c r="E831" s="426" t="s">
        <v>372</v>
      </c>
      <c r="F831" s="546" t="s">
        <v>788</v>
      </c>
      <c r="G831" s="546" t="s">
        <v>1059</v>
      </c>
      <c r="H831" s="546" t="s">
        <v>1060</v>
      </c>
    </row>
    <row r="832" spans="3:8" x14ac:dyDescent="0.25">
      <c r="C832" s="426">
        <v>297</v>
      </c>
      <c r="D832" s="1103" t="s">
        <v>1061</v>
      </c>
      <c r="E832" s="426" t="s">
        <v>372</v>
      </c>
      <c r="F832" s="546" t="s">
        <v>1062</v>
      </c>
      <c r="G832" s="546" t="s">
        <v>1063</v>
      </c>
      <c r="H832" s="546" t="s">
        <v>1064</v>
      </c>
    </row>
    <row r="833" spans="3:12" x14ac:dyDescent="0.25">
      <c r="C833" s="426">
        <v>298</v>
      </c>
      <c r="D833" s="1103" t="s">
        <v>1065</v>
      </c>
      <c r="E833" s="426" t="s">
        <v>2023</v>
      </c>
      <c r="F833" s="546" t="s">
        <v>1066</v>
      </c>
      <c r="G833" s="546" t="s">
        <v>1067</v>
      </c>
      <c r="H833" s="546" t="s">
        <v>1068</v>
      </c>
      <c r="I833" s="546" t="s">
        <v>1069</v>
      </c>
      <c r="J833" s="426" t="s">
        <v>1070</v>
      </c>
      <c r="K833" s="426" t="s">
        <v>1071</v>
      </c>
      <c r="L833" s="426" t="s">
        <v>1766</v>
      </c>
    </row>
    <row r="834" spans="3:12" x14ac:dyDescent="0.25">
      <c r="C834" s="426">
        <v>299</v>
      </c>
      <c r="D834" s="1103" t="s">
        <v>1072</v>
      </c>
      <c r="E834" s="426" t="s">
        <v>372</v>
      </c>
      <c r="F834" s="546" t="s">
        <v>1073</v>
      </c>
      <c r="G834" s="546" t="s">
        <v>1074</v>
      </c>
      <c r="H834" s="546" t="s">
        <v>1075</v>
      </c>
      <c r="I834" s="546" t="s">
        <v>1076</v>
      </c>
    </row>
    <row r="835" spans="3:12" x14ac:dyDescent="0.25">
      <c r="C835" s="426">
        <v>306</v>
      </c>
      <c r="D835" s="1103" t="s">
        <v>1072</v>
      </c>
      <c r="E835" s="426" t="s">
        <v>372</v>
      </c>
      <c r="F835" s="546" t="s">
        <v>1073</v>
      </c>
      <c r="G835" s="546" t="s">
        <v>1077</v>
      </c>
      <c r="H835" s="546" t="s">
        <v>1078</v>
      </c>
    </row>
    <row r="836" spans="3:12" x14ac:dyDescent="0.25">
      <c r="C836" s="426">
        <v>307</v>
      </c>
      <c r="D836" s="1103" t="s">
        <v>1079</v>
      </c>
      <c r="E836" s="426" t="s">
        <v>372</v>
      </c>
      <c r="F836" s="546" t="s">
        <v>1080</v>
      </c>
      <c r="G836" s="546" t="s">
        <v>1081</v>
      </c>
      <c r="H836" s="546" t="s">
        <v>1082</v>
      </c>
    </row>
    <row r="837" spans="3:12" x14ac:dyDescent="0.25">
      <c r="C837" s="426">
        <v>308</v>
      </c>
      <c r="D837" s="1103" t="s">
        <v>1083</v>
      </c>
      <c r="E837" s="426" t="s">
        <v>372</v>
      </c>
      <c r="F837" s="546" t="s">
        <v>1084</v>
      </c>
      <c r="G837" s="546" t="s">
        <v>1085</v>
      </c>
      <c r="H837" s="546" t="s">
        <v>1086</v>
      </c>
    </row>
    <row r="838" spans="3:12" x14ac:dyDescent="0.25">
      <c r="C838" s="426">
        <v>309</v>
      </c>
      <c r="D838" s="1103" t="s">
        <v>1087</v>
      </c>
      <c r="E838" s="426" t="s">
        <v>372</v>
      </c>
      <c r="F838" s="546" t="s">
        <v>1084</v>
      </c>
      <c r="G838" s="546" t="s">
        <v>1088</v>
      </c>
      <c r="H838" s="546" t="s">
        <v>1089</v>
      </c>
    </row>
    <row r="839" spans="3:12" x14ac:dyDescent="0.25">
      <c r="C839" s="426">
        <v>310</v>
      </c>
      <c r="D839" s="1103" t="s">
        <v>1087</v>
      </c>
      <c r="E839" s="426" t="s">
        <v>372</v>
      </c>
      <c r="F839" s="546" t="s">
        <v>1084</v>
      </c>
      <c r="G839" s="546" t="s">
        <v>1090</v>
      </c>
      <c r="H839" s="546" t="s">
        <v>1091</v>
      </c>
    </row>
    <row r="840" spans="3:12" x14ac:dyDescent="0.25">
      <c r="C840" s="426">
        <v>311</v>
      </c>
      <c r="D840" s="1103" t="s">
        <v>1083</v>
      </c>
      <c r="E840" s="426" t="s">
        <v>372</v>
      </c>
      <c r="F840" s="546" t="s">
        <v>1084</v>
      </c>
      <c r="G840" s="546" t="s">
        <v>1092</v>
      </c>
      <c r="H840" s="546" t="s">
        <v>1093</v>
      </c>
    </row>
    <row r="841" spans="3:12" x14ac:dyDescent="0.25">
      <c r="C841" s="426">
        <v>312</v>
      </c>
      <c r="D841" s="1103" t="s">
        <v>1094</v>
      </c>
      <c r="E841" s="426" t="s">
        <v>372</v>
      </c>
      <c r="F841" s="546" t="s">
        <v>1095</v>
      </c>
      <c r="G841" s="546" t="s">
        <v>1096</v>
      </c>
      <c r="H841" s="546" t="s">
        <v>1097</v>
      </c>
    </row>
    <row r="842" spans="3:12" x14ac:dyDescent="0.25">
      <c r="C842" s="426">
        <v>313</v>
      </c>
      <c r="D842" s="1103" t="s">
        <v>1098</v>
      </c>
      <c r="E842" s="426" t="s">
        <v>372</v>
      </c>
      <c r="F842" s="546" t="s">
        <v>1084</v>
      </c>
      <c r="G842" s="546" t="s">
        <v>1099</v>
      </c>
      <c r="H842" s="546" t="s">
        <v>1100</v>
      </c>
    </row>
    <row r="843" spans="3:12" x14ac:dyDescent="0.25">
      <c r="C843" s="426">
        <v>314</v>
      </c>
      <c r="D843" s="1103" t="s">
        <v>1083</v>
      </c>
      <c r="E843" s="426" t="s">
        <v>372</v>
      </c>
      <c r="F843" s="546" t="s">
        <v>1084</v>
      </c>
      <c r="G843" s="546" t="s">
        <v>1101</v>
      </c>
      <c r="H843" s="546" t="s">
        <v>1102</v>
      </c>
    </row>
    <row r="844" spans="3:12" x14ac:dyDescent="0.25">
      <c r="C844" s="426">
        <v>316</v>
      </c>
      <c r="D844" s="1103" t="s">
        <v>1083</v>
      </c>
      <c r="E844" s="426" t="s">
        <v>372</v>
      </c>
      <c r="F844" s="546" t="s">
        <v>1084</v>
      </c>
      <c r="G844" s="546" t="s">
        <v>1103</v>
      </c>
      <c r="H844" s="546" t="s">
        <v>1104</v>
      </c>
    </row>
    <row r="845" spans="3:12" x14ac:dyDescent="0.25">
      <c r="C845" s="426">
        <v>317</v>
      </c>
      <c r="D845" s="1103" t="s">
        <v>1083</v>
      </c>
      <c r="E845" s="426" t="s">
        <v>372</v>
      </c>
      <c r="F845" s="546" t="s">
        <v>1084</v>
      </c>
      <c r="G845" s="546" t="s">
        <v>1105</v>
      </c>
      <c r="H845" s="546" t="s">
        <v>1106</v>
      </c>
    </row>
    <row r="846" spans="3:12" x14ac:dyDescent="0.25">
      <c r="C846" s="426">
        <v>318</v>
      </c>
      <c r="D846" s="1103" t="s">
        <v>1087</v>
      </c>
      <c r="E846" s="426" t="s">
        <v>372</v>
      </c>
      <c r="F846" s="546" t="s">
        <v>1084</v>
      </c>
      <c r="G846" s="546" t="s">
        <v>1107</v>
      </c>
      <c r="H846" s="546" t="s">
        <v>1108</v>
      </c>
    </row>
    <row r="847" spans="3:12" x14ac:dyDescent="0.25">
      <c r="C847" s="426">
        <v>319</v>
      </c>
      <c r="D847" s="1103" t="s">
        <v>1109</v>
      </c>
      <c r="E847" s="426" t="s">
        <v>372</v>
      </c>
      <c r="F847" s="546" t="s">
        <v>1110</v>
      </c>
      <c r="G847" s="546" t="s">
        <v>1111</v>
      </c>
      <c r="H847" s="546" t="s">
        <v>1112</v>
      </c>
    </row>
    <row r="848" spans="3:12" x14ac:dyDescent="0.25">
      <c r="C848" s="426">
        <v>320</v>
      </c>
      <c r="D848" s="1103" t="s">
        <v>1113</v>
      </c>
      <c r="E848" s="426" t="s">
        <v>372</v>
      </c>
      <c r="F848" s="546" t="s">
        <v>1114</v>
      </c>
      <c r="G848" s="546" t="s">
        <v>1115</v>
      </c>
      <c r="H848" s="546" t="s">
        <v>1116</v>
      </c>
    </row>
    <row r="849" spans="3:8" x14ac:dyDescent="0.25">
      <c r="C849" s="426">
        <v>321</v>
      </c>
      <c r="D849" s="1103" t="s">
        <v>1117</v>
      </c>
      <c r="E849" s="426" t="s">
        <v>372</v>
      </c>
      <c r="F849" s="546" t="s">
        <v>1118</v>
      </c>
      <c r="G849" s="546" t="s">
        <v>1119</v>
      </c>
      <c r="H849" s="546" t="s">
        <v>1120</v>
      </c>
    </row>
    <row r="850" spans="3:8" x14ac:dyDescent="0.25">
      <c r="C850" s="426">
        <v>322</v>
      </c>
      <c r="D850" s="1103" t="s">
        <v>1072</v>
      </c>
      <c r="E850" s="426" t="s">
        <v>372</v>
      </c>
      <c r="F850" s="546" t="s">
        <v>1073</v>
      </c>
      <c r="G850" s="546" t="s">
        <v>1121</v>
      </c>
      <c r="H850" s="546" t="s">
        <v>1122</v>
      </c>
    </row>
    <row r="851" spans="3:8" x14ac:dyDescent="0.25">
      <c r="C851" s="426">
        <v>323</v>
      </c>
      <c r="D851" s="1103" t="s">
        <v>1072</v>
      </c>
      <c r="E851" s="426" t="s">
        <v>372</v>
      </c>
      <c r="F851" s="546" t="s">
        <v>1073</v>
      </c>
      <c r="G851" s="546" t="s">
        <v>1123</v>
      </c>
      <c r="H851" s="546" t="s">
        <v>1124</v>
      </c>
    </row>
    <row r="852" spans="3:8" x14ac:dyDescent="0.25">
      <c r="C852" s="426">
        <v>324</v>
      </c>
      <c r="D852" s="1103" t="s">
        <v>1072</v>
      </c>
      <c r="E852" s="426" t="s">
        <v>372</v>
      </c>
      <c r="F852" s="546" t="s">
        <v>1073</v>
      </c>
      <c r="G852" s="546" t="s">
        <v>1125</v>
      </c>
      <c r="H852" s="546" t="s">
        <v>1126</v>
      </c>
    </row>
    <row r="853" spans="3:8" x14ac:dyDescent="0.25">
      <c r="C853" s="426">
        <v>325</v>
      </c>
      <c r="D853" s="1103" t="s">
        <v>1127</v>
      </c>
      <c r="E853" s="426" t="s">
        <v>372</v>
      </c>
      <c r="F853" s="546" t="s">
        <v>1073</v>
      </c>
      <c r="G853" s="546" t="s">
        <v>1128</v>
      </c>
      <c r="H853" s="546" t="s">
        <v>1129</v>
      </c>
    </row>
    <row r="854" spans="3:8" x14ac:dyDescent="0.25">
      <c r="C854" s="426">
        <v>326</v>
      </c>
      <c r="D854" s="1103" t="s">
        <v>1072</v>
      </c>
      <c r="E854" s="426" t="s">
        <v>372</v>
      </c>
      <c r="F854" s="546" t="s">
        <v>1073</v>
      </c>
      <c r="G854" s="546" t="s">
        <v>1130</v>
      </c>
      <c r="H854" s="546" t="s">
        <v>1131</v>
      </c>
    </row>
    <row r="855" spans="3:8" x14ac:dyDescent="0.25">
      <c r="C855" s="426">
        <v>327</v>
      </c>
      <c r="D855" s="1103" t="s">
        <v>1072</v>
      </c>
      <c r="E855" s="426" t="s">
        <v>372</v>
      </c>
      <c r="F855" s="546" t="s">
        <v>1073</v>
      </c>
      <c r="G855" s="546" t="s">
        <v>1132</v>
      </c>
      <c r="H855" s="546" t="s">
        <v>1133</v>
      </c>
    </row>
    <row r="856" spans="3:8" x14ac:dyDescent="0.25">
      <c r="C856" s="426">
        <v>328</v>
      </c>
      <c r="D856" s="1103" t="s">
        <v>1072</v>
      </c>
      <c r="E856" s="426" t="s">
        <v>372</v>
      </c>
      <c r="F856" s="546" t="s">
        <v>1073</v>
      </c>
      <c r="G856" s="546" t="s">
        <v>1134</v>
      </c>
      <c r="H856" s="546" t="s">
        <v>1135</v>
      </c>
    </row>
    <row r="857" spans="3:8" x14ac:dyDescent="0.25">
      <c r="C857" s="426">
        <v>329</v>
      </c>
      <c r="D857" s="1103" t="s">
        <v>1072</v>
      </c>
      <c r="E857" s="426" t="s">
        <v>372</v>
      </c>
      <c r="F857" s="546" t="s">
        <v>1073</v>
      </c>
      <c r="G857" s="546" t="s">
        <v>1136</v>
      </c>
      <c r="H857" s="546" t="s">
        <v>1137</v>
      </c>
    </row>
    <row r="858" spans="3:8" x14ac:dyDescent="0.25">
      <c r="C858" s="426">
        <v>330</v>
      </c>
      <c r="D858" s="1103" t="s">
        <v>1072</v>
      </c>
      <c r="E858" s="426" t="s">
        <v>372</v>
      </c>
      <c r="F858" s="546" t="s">
        <v>1073</v>
      </c>
      <c r="G858" s="546" t="s">
        <v>1138</v>
      </c>
      <c r="H858" s="546" t="s">
        <v>1139</v>
      </c>
    </row>
    <row r="859" spans="3:8" x14ac:dyDescent="0.25">
      <c r="C859" s="426">
        <v>331</v>
      </c>
      <c r="D859" s="1103" t="s">
        <v>1140</v>
      </c>
      <c r="E859" s="426" t="s">
        <v>372</v>
      </c>
      <c r="F859" s="546" t="s">
        <v>1141</v>
      </c>
      <c r="G859" s="546" t="s">
        <v>1142</v>
      </c>
      <c r="H859" s="546" t="s">
        <v>1934</v>
      </c>
    </row>
    <row r="860" spans="3:8" x14ac:dyDescent="0.25">
      <c r="C860" s="426">
        <v>332</v>
      </c>
      <c r="D860" s="1103" t="s">
        <v>1143</v>
      </c>
      <c r="E860" s="426" t="s">
        <v>372</v>
      </c>
      <c r="F860" s="546" t="s">
        <v>1144</v>
      </c>
      <c r="G860" s="546" t="s">
        <v>1145</v>
      </c>
      <c r="H860" s="546" t="s">
        <v>1146</v>
      </c>
    </row>
    <row r="861" spans="3:8" x14ac:dyDescent="0.25">
      <c r="C861" s="426">
        <v>333</v>
      </c>
      <c r="D861" s="1103" t="s">
        <v>1147</v>
      </c>
      <c r="E861" s="426" t="s">
        <v>372</v>
      </c>
      <c r="F861" s="546" t="s">
        <v>1148</v>
      </c>
      <c r="G861" s="546" t="s">
        <v>1149</v>
      </c>
      <c r="H861" s="546" t="s">
        <v>1150</v>
      </c>
    </row>
    <row r="862" spans="3:8" x14ac:dyDescent="0.25">
      <c r="C862" s="426">
        <v>334</v>
      </c>
      <c r="D862" s="1103" t="s">
        <v>1151</v>
      </c>
      <c r="E862" s="426" t="s">
        <v>372</v>
      </c>
      <c r="F862" s="546" t="s">
        <v>1152</v>
      </c>
      <c r="G862" s="546" t="s">
        <v>1153</v>
      </c>
      <c r="H862" s="546" t="s">
        <v>1935</v>
      </c>
    </row>
    <row r="863" spans="3:8" x14ac:dyDescent="0.25">
      <c r="C863" s="426">
        <v>335</v>
      </c>
      <c r="D863" s="1103" t="s">
        <v>1154</v>
      </c>
      <c r="E863" s="426" t="s">
        <v>372</v>
      </c>
      <c r="F863" s="546" t="s">
        <v>1155</v>
      </c>
      <c r="G863" s="546" t="s">
        <v>1156</v>
      </c>
      <c r="H863" s="546" t="s">
        <v>1157</v>
      </c>
    </row>
    <row r="864" spans="3:8" x14ac:dyDescent="0.25">
      <c r="C864" s="426">
        <v>336</v>
      </c>
      <c r="D864" s="1103" t="s">
        <v>1158</v>
      </c>
      <c r="E864" s="426" t="s">
        <v>372</v>
      </c>
      <c r="F864" s="546" t="s">
        <v>1159</v>
      </c>
      <c r="G864" s="546" t="s">
        <v>1160</v>
      </c>
      <c r="H864" s="546" t="s">
        <v>1161</v>
      </c>
    </row>
    <row r="865" spans="3:8" x14ac:dyDescent="0.25">
      <c r="C865" s="426">
        <v>337</v>
      </c>
      <c r="D865" s="1103" t="s">
        <v>1162</v>
      </c>
      <c r="E865" s="426" t="s">
        <v>372</v>
      </c>
      <c r="F865" s="546" t="s">
        <v>1163</v>
      </c>
      <c r="G865" s="546" t="s">
        <v>1164</v>
      </c>
      <c r="H865" s="546" t="s">
        <v>1165</v>
      </c>
    </row>
    <row r="866" spans="3:8" x14ac:dyDescent="0.25">
      <c r="C866" s="426">
        <v>338</v>
      </c>
      <c r="D866" s="1103" t="s">
        <v>1166</v>
      </c>
      <c r="E866" s="426" t="s">
        <v>372</v>
      </c>
      <c r="F866" s="546" t="s">
        <v>1167</v>
      </c>
      <c r="G866" s="546" t="s">
        <v>1168</v>
      </c>
      <c r="H866" s="546" t="s">
        <v>1169</v>
      </c>
    </row>
    <row r="867" spans="3:8" x14ac:dyDescent="0.25">
      <c r="C867" s="426">
        <v>339</v>
      </c>
      <c r="D867" s="1103" t="s">
        <v>524</v>
      </c>
      <c r="E867" s="426" t="s">
        <v>372</v>
      </c>
      <c r="F867" s="546" t="s">
        <v>525</v>
      </c>
      <c r="G867" s="546" t="s">
        <v>1170</v>
      </c>
      <c r="H867" s="546" t="s">
        <v>1171</v>
      </c>
    </row>
    <row r="868" spans="3:8" x14ac:dyDescent="0.25">
      <c r="C868" s="426">
        <v>340</v>
      </c>
      <c r="D868" s="1103" t="s">
        <v>1172</v>
      </c>
      <c r="E868" s="426" t="s">
        <v>372</v>
      </c>
      <c r="F868" s="546" t="s">
        <v>1173</v>
      </c>
      <c r="G868" s="546" t="s">
        <v>1174</v>
      </c>
      <c r="H868" s="546" t="s">
        <v>1175</v>
      </c>
    </row>
    <row r="869" spans="3:8" x14ac:dyDescent="0.25">
      <c r="C869" s="426">
        <v>341</v>
      </c>
      <c r="D869" s="1103" t="s">
        <v>1176</v>
      </c>
      <c r="E869" s="426" t="s">
        <v>372</v>
      </c>
      <c r="F869" s="546" t="s">
        <v>1177</v>
      </c>
      <c r="G869" s="546" t="s">
        <v>1178</v>
      </c>
      <c r="H869" s="546" t="s">
        <v>1179</v>
      </c>
    </row>
    <row r="870" spans="3:8" x14ac:dyDescent="0.25">
      <c r="C870" s="426">
        <v>342</v>
      </c>
      <c r="D870" s="1103" t="s">
        <v>1180</v>
      </c>
      <c r="E870" s="426" t="s">
        <v>372</v>
      </c>
      <c r="F870" s="546" t="s">
        <v>1181</v>
      </c>
      <c r="G870" s="546" t="s">
        <v>1182</v>
      </c>
      <c r="H870" s="546" t="s">
        <v>1183</v>
      </c>
    </row>
    <row r="871" spans="3:8" x14ac:dyDescent="0.25">
      <c r="C871" s="426">
        <v>343</v>
      </c>
      <c r="D871" s="1103" t="s">
        <v>1180</v>
      </c>
      <c r="E871" s="426" t="s">
        <v>372</v>
      </c>
      <c r="F871" s="546" t="s">
        <v>1181</v>
      </c>
      <c r="G871" s="546" t="s">
        <v>1184</v>
      </c>
      <c r="H871" s="546" t="s">
        <v>1185</v>
      </c>
    </row>
    <row r="872" spans="3:8" x14ac:dyDescent="0.25">
      <c r="C872" s="426">
        <v>344</v>
      </c>
      <c r="D872" s="1103" t="s">
        <v>1186</v>
      </c>
      <c r="E872" s="426" t="s">
        <v>372</v>
      </c>
      <c r="F872" s="546" t="s">
        <v>1187</v>
      </c>
      <c r="G872" s="546" t="s">
        <v>1188</v>
      </c>
      <c r="H872" s="546" t="s">
        <v>1189</v>
      </c>
    </row>
    <row r="873" spans="3:8" x14ac:dyDescent="0.25">
      <c r="C873" s="426">
        <v>345</v>
      </c>
      <c r="D873" s="1103" t="s">
        <v>1190</v>
      </c>
      <c r="E873" s="426" t="s">
        <v>372</v>
      </c>
      <c r="F873" s="546" t="s">
        <v>1191</v>
      </c>
      <c r="G873" s="546" t="s">
        <v>1192</v>
      </c>
      <c r="H873" s="546" t="s">
        <v>1193</v>
      </c>
    </row>
    <row r="874" spans="3:8" x14ac:dyDescent="0.25">
      <c r="C874" s="426">
        <v>346</v>
      </c>
      <c r="D874" s="1103" t="s">
        <v>1190</v>
      </c>
      <c r="E874" s="426" t="s">
        <v>372</v>
      </c>
      <c r="F874" s="546" t="s">
        <v>1191</v>
      </c>
      <c r="G874" s="546" t="s">
        <v>1194</v>
      </c>
      <c r="H874" s="546" t="s">
        <v>1195</v>
      </c>
    </row>
    <row r="875" spans="3:8" x14ac:dyDescent="0.25">
      <c r="C875" s="426">
        <v>347</v>
      </c>
      <c r="D875" s="1103" t="s">
        <v>1190</v>
      </c>
      <c r="E875" s="426" t="s">
        <v>372</v>
      </c>
      <c r="F875" s="546" t="s">
        <v>1191</v>
      </c>
      <c r="G875" s="546" t="s">
        <v>1196</v>
      </c>
      <c r="H875" s="546" t="s">
        <v>1197</v>
      </c>
    </row>
    <row r="876" spans="3:8" x14ac:dyDescent="0.25">
      <c r="C876" s="426">
        <v>348</v>
      </c>
      <c r="D876" s="1103" t="s">
        <v>1198</v>
      </c>
      <c r="E876" s="426" t="s">
        <v>372</v>
      </c>
      <c r="F876" s="546" t="s">
        <v>1191</v>
      </c>
      <c r="G876" s="546" t="s">
        <v>1199</v>
      </c>
      <c r="H876" s="546" t="s">
        <v>1200</v>
      </c>
    </row>
    <row r="877" spans="3:8" x14ac:dyDescent="0.25">
      <c r="C877" s="426">
        <v>349</v>
      </c>
      <c r="D877" s="1103" t="s">
        <v>1201</v>
      </c>
      <c r="E877" s="426" t="s">
        <v>372</v>
      </c>
      <c r="F877" s="546" t="s">
        <v>1202</v>
      </c>
      <c r="G877" s="546" t="s">
        <v>1203</v>
      </c>
      <c r="H877" s="546" t="s">
        <v>1204</v>
      </c>
    </row>
    <row r="878" spans="3:8" x14ac:dyDescent="0.25">
      <c r="C878" s="426">
        <v>350</v>
      </c>
      <c r="D878" s="1103" t="s">
        <v>1198</v>
      </c>
      <c r="E878" s="426" t="s">
        <v>372</v>
      </c>
      <c r="F878" s="546" t="s">
        <v>1191</v>
      </c>
      <c r="G878" s="546" t="s">
        <v>1205</v>
      </c>
      <c r="H878" s="546" t="s">
        <v>1206</v>
      </c>
    </row>
    <row r="879" spans="3:8" x14ac:dyDescent="0.25">
      <c r="C879" s="426">
        <v>351</v>
      </c>
      <c r="D879" s="1103" t="s">
        <v>1180</v>
      </c>
      <c r="E879" s="426" t="s">
        <v>372</v>
      </c>
      <c r="F879" s="546" t="s">
        <v>1181</v>
      </c>
      <c r="G879" s="546" t="s">
        <v>1207</v>
      </c>
      <c r="H879" s="546" t="s">
        <v>1208</v>
      </c>
    </row>
    <row r="880" spans="3:8" x14ac:dyDescent="0.25">
      <c r="C880" s="426">
        <v>352</v>
      </c>
      <c r="D880" s="1103" t="s">
        <v>1180</v>
      </c>
      <c r="E880" s="426" t="s">
        <v>372</v>
      </c>
      <c r="F880" s="546" t="s">
        <v>1181</v>
      </c>
      <c r="G880" s="546" t="s">
        <v>1209</v>
      </c>
      <c r="H880" s="546" t="s">
        <v>1210</v>
      </c>
    </row>
    <row r="881" spans="3:8" x14ac:dyDescent="0.25">
      <c r="C881" s="426">
        <v>353</v>
      </c>
      <c r="D881" s="1103" t="s">
        <v>1180</v>
      </c>
      <c r="E881" s="426" t="s">
        <v>372</v>
      </c>
      <c r="F881" s="546" t="s">
        <v>1181</v>
      </c>
      <c r="G881" s="546" t="s">
        <v>1211</v>
      </c>
      <c r="H881" s="546" t="s">
        <v>1212</v>
      </c>
    </row>
    <row r="882" spans="3:8" x14ac:dyDescent="0.25">
      <c r="C882" s="426">
        <v>354</v>
      </c>
      <c r="D882" s="1103" t="s">
        <v>1213</v>
      </c>
      <c r="E882" s="426" t="s">
        <v>372</v>
      </c>
      <c r="F882" s="546" t="s">
        <v>1214</v>
      </c>
      <c r="G882" s="546" t="s">
        <v>1215</v>
      </c>
      <c r="H882" s="546" t="s">
        <v>1216</v>
      </c>
    </row>
    <row r="883" spans="3:8" x14ac:dyDescent="0.25">
      <c r="C883" s="426">
        <v>355</v>
      </c>
      <c r="D883" s="1103" t="s">
        <v>1186</v>
      </c>
      <c r="E883" s="426" t="s">
        <v>372</v>
      </c>
      <c r="F883" s="546" t="s">
        <v>1187</v>
      </c>
      <c r="G883" s="546" t="s">
        <v>1217</v>
      </c>
      <c r="H883" s="546" t="s">
        <v>1218</v>
      </c>
    </row>
    <row r="884" spans="3:8" x14ac:dyDescent="0.25">
      <c r="C884" s="426">
        <v>356</v>
      </c>
      <c r="D884" s="1103" t="s">
        <v>1186</v>
      </c>
      <c r="E884" s="426" t="s">
        <v>372</v>
      </c>
      <c r="F884" s="546" t="s">
        <v>1187</v>
      </c>
      <c r="G884" s="546" t="s">
        <v>1219</v>
      </c>
      <c r="H884" s="546" t="s">
        <v>1220</v>
      </c>
    </row>
    <row r="885" spans="3:8" x14ac:dyDescent="0.25">
      <c r="C885" s="426">
        <v>357</v>
      </c>
      <c r="D885" s="1103" t="s">
        <v>1186</v>
      </c>
      <c r="E885" s="426" t="s">
        <v>372</v>
      </c>
      <c r="F885" s="546" t="s">
        <v>1187</v>
      </c>
      <c r="G885" s="546" t="s">
        <v>1221</v>
      </c>
      <c r="H885" s="546" t="s">
        <v>1222</v>
      </c>
    </row>
    <row r="886" spans="3:8" x14ac:dyDescent="0.25">
      <c r="C886" s="426">
        <v>358</v>
      </c>
      <c r="D886" s="1103" t="s">
        <v>1180</v>
      </c>
      <c r="E886" s="426" t="s">
        <v>372</v>
      </c>
      <c r="F886" s="546" t="s">
        <v>1181</v>
      </c>
      <c r="G886" s="546" t="s">
        <v>1223</v>
      </c>
      <c r="H886" s="546" t="s">
        <v>1224</v>
      </c>
    </row>
    <row r="887" spans="3:8" x14ac:dyDescent="0.25">
      <c r="C887" s="426">
        <v>359</v>
      </c>
      <c r="D887" s="1103" t="s">
        <v>1225</v>
      </c>
      <c r="E887" s="426" t="s">
        <v>372</v>
      </c>
      <c r="F887" s="546" t="s">
        <v>1226</v>
      </c>
      <c r="G887" s="546" t="s">
        <v>1227</v>
      </c>
      <c r="H887" s="546" t="s">
        <v>1228</v>
      </c>
    </row>
    <row r="888" spans="3:8" x14ac:dyDescent="0.25">
      <c r="C888" s="426">
        <v>360</v>
      </c>
      <c r="D888" s="1103" t="s">
        <v>1229</v>
      </c>
      <c r="E888" s="426" t="s">
        <v>372</v>
      </c>
      <c r="F888" s="546" t="s">
        <v>1230</v>
      </c>
      <c r="G888" s="546" t="s">
        <v>1231</v>
      </c>
      <c r="H888" s="546" t="s">
        <v>1232</v>
      </c>
    </row>
    <row r="889" spans="3:8" x14ac:dyDescent="0.25">
      <c r="C889" s="426">
        <v>361</v>
      </c>
      <c r="D889" s="1103" t="s">
        <v>1229</v>
      </c>
      <c r="E889" s="426" t="s">
        <v>372</v>
      </c>
      <c r="F889" s="546" t="s">
        <v>1230</v>
      </c>
      <c r="G889" s="546" t="s">
        <v>1233</v>
      </c>
      <c r="H889" s="546" t="s">
        <v>1234</v>
      </c>
    </row>
    <row r="890" spans="3:8" x14ac:dyDescent="0.25">
      <c r="C890" s="426">
        <v>362</v>
      </c>
      <c r="D890" s="1103" t="s">
        <v>1229</v>
      </c>
      <c r="E890" s="426" t="s">
        <v>372</v>
      </c>
      <c r="F890" s="546" t="s">
        <v>1230</v>
      </c>
      <c r="G890" s="546" t="s">
        <v>1235</v>
      </c>
      <c r="H890" s="546" t="s">
        <v>1236</v>
      </c>
    </row>
    <row r="891" spans="3:8" x14ac:dyDescent="0.25">
      <c r="C891" s="426">
        <v>363</v>
      </c>
      <c r="D891" s="1103" t="s">
        <v>1229</v>
      </c>
      <c r="E891" s="426" t="s">
        <v>372</v>
      </c>
      <c r="F891" s="546" t="s">
        <v>1230</v>
      </c>
      <c r="G891" s="546" t="s">
        <v>1237</v>
      </c>
      <c r="H891" s="546" t="s">
        <v>1238</v>
      </c>
    </row>
    <row r="892" spans="3:8" x14ac:dyDescent="0.25">
      <c r="C892" s="426">
        <v>364</v>
      </c>
      <c r="D892" s="1103" t="s">
        <v>1239</v>
      </c>
      <c r="E892" s="426" t="s">
        <v>372</v>
      </c>
      <c r="F892" s="546" t="s">
        <v>1230</v>
      </c>
      <c r="G892" s="546" t="s">
        <v>1240</v>
      </c>
      <c r="H892" s="546" t="s">
        <v>1241</v>
      </c>
    </row>
    <row r="893" spans="3:8" x14ac:dyDescent="0.25">
      <c r="C893" s="426">
        <v>365</v>
      </c>
      <c r="D893" s="1103" t="s">
        <v>1239</v>
      </c>
      <c r="E893" s="426" t="s">
        <v>372</v>
      </c>
      <c r="F893" s="546" t="s">
        <v>1230</v>
      </c>
      <c r="G893" s="546" t="s">
        <v>1242</v>
      </c>
      <c r="H893" s="546" t="s">
        <v>1243</v>
      </c>
    </row>
    <row r="894" spans="3:8" x14ac:dyDescent="0.25">
      <c r="C894" s="426">
        <v>366</v>
      </c>
      <c r="D894" s="1103" t="s">
        <v>1229</v>
      </c>
      <c r="E894" s="426" t="s">
        <v>372</v>
      </c>
      <c r="F894" s="546" t="s">
        <v>1230</v>
      </c>
      <c r="G894" s="546" t="s">
        <v>1244</v>
      </c>
      <c r="H894" s="546" t="s">
        <v>1245</v>
      </c>
    </row>
    <row r="895" spans="3:8" x14ac:dyDescent="0.25">
      <c r="C895" s="426">
        <v>367</v>
      </c>
      <c r="D895" s="1103" t="s">
        <v>1229</v>
      </c>
      <c r="E895" s="426" t="s">
        <v>372</v>
      </c>
      <c r="F895" s="546" t="s">
        <v>1230</v>
      </c>
      <c r="G895" s="546" t="s">
        <v>1246</v>
      </c>
      <c r="H895" s="546" t="s">
        <v>1247</v>
      </c>
    </row>
    <row r="896" spans="3:8" x14ac:dyDescent="0.25">
      <c r="C896" s="426">
        <v>368</v>
      </c>
      <c r="D896" s="1103" t="s">
        <v>1229</v>
      </c>
      <c r="E896" s="426" t="s">
        <v>372</v>
      </c>
      <c r="F896" s="546" t="s">
        <v>1230</v>
      </c>
      <c r="G896" s="546" t="s">
        <v>1248</v>
      </c>
      <c r="H896" s="546" t="s">
        <v>1249</v>
      </c>
    </row>
    <row r="897" spans="3:9" x14ac:dyDescent="0.25">
      <c r="C897" s="426">
        <v>369</v>
      </c>
      <c r="D897" s="1103" t="s">
        <v>1229</v>
      </c>
      <c r="E897" s="426" t="s">
        <v>372</v>
      </c>
      <c r="F897" s="546" t="s">
        <v>1230</v>
      </c>
      <c r="G897" s="546" t="s">
        <v>1250</v>
      </c>
      <c r="H897" s="546" t="s">
        <v>1251</v>
      </c>
      <c r="I897" s="546" t="s">
        <v>1076</v>
      </c>
    </row>
    <row r="898" spans="3:9" x14ac:dyDescent="0.25">
      <c r="C898" s="426">
        <v>370</v>
      </c>
      <c r="D898" s="1103" t="s">
        <v>1252</v>
      </c>
      <c r="E898" s="426" t="s">
        <v>372</v>
      </c>
      <c r="F898" s="546" t="s">
        <v>1253</v>
      </c>
      <c r="G898" s="546" t="s">
        <v>1254</v>
      </c>
      <c r="H898" s="546" t="s">
        <v>1255</v>
      </c>
    </row>
    <row r="899" spans="3:9" x14ac:dyDescent="0.25">
      <c r="C899" s="426">
        <v>371</v>
      </c>
      <c r="D899" s="1103" t="s">
        <v>1252</v>
      </c>
      <c r="E899" s="426" t="s">
        <v>372</v>
      </c>
      <c r="F899" s="546" t="s">
        <v>1253</v>
      </c>
      <c r="G899" s="546" t="s">
        <v>1256</v>
      </c>
      <c r="H899" s="546" t="s">
        <v>1257</v>
      </c>
    </row>
    <row r="900" spans="3:9" x14ac:dyDescent="0.25">
      <c r="C900" s="426">
        <v>375</v>
      </c>
      <c r="D900" s="1103" t="s">
        <v>1258</v>
      </c>
      <c r="E900" s="426" t="s">
        <v>372</v>
      </c>
      <c r="F900" s="546" t="s">
        <v>1259</v>
      </c>
      <c r="G900" s="546" t="s">
        <v>1260</v>
      </c>
      <c r="H900" s="546" t="s">
        <v>1261</v>
      </c>
    </row>
    <row r="901" spans="3:9" x14ac:dyDescent="0.25">
      <c r="C901" s="426">
        <v>376</v>
      </c>
      <c r="D901" s="1103" t="s">
        <v>1262</v>
      </c>
      <c r="E901" s="426" t="s">
        <v>372</v>
      </c>
      <c r="F901" s="546" t="s">
        <v>1263</v>
      </c>
      <c r="G901" s="546" t="s">
        <v>1264</v>
      </c>
      <c r="H901" s="546" t="s">
        <v>1265</v>
      </c>
    </row>
    <row r="902" spans="3:9" x14ac:dyDescent="0.25">
      <c r="C902" s="426">
        <v>380</v>
      </c>
      <c r="D902" s="1103" t="s">
        <v>1266</v>
      </c>
      <c r="E902" s="426" t="s">
        <v>372</v>
      </c>
      <c r="F902" s="546" t="s">
        <v>1267</v>
      </c>
      <c r="G902" s="546" t="s">
        <v>1268</v>
      </c>
      <c r="H902" s="546" t="s">
        <v>1269</v>
      </c>
    </row>
    <row r="903" spans="3:9" x14ac:dyDescent="0.25">
      <c r="C903" s="426">
        <v>385</v>
      </c>
      <c r="D903" s="1103" t="s">
        <v>1270</v>
      </c>
      <c r="E903" s="426" t="s">
        <v>372</v>
      </c>
      <c r="F903" s="546" t="s">
        <v>1271</v>
      </c>
      <c r="G903" s="546" t="s">
        <v>1272</v>
      </c>
      <c r="H903" s="546" t="s">
        <v>1273</v>
      </c>
    </row>
    <row r="904" spans="3:9" x14ac:dyDescent="0.25">
      <c r="C904" s="426">
        <v>388</v>
      </c>
      <c r="D904" s="1103" t="s">
        <v>442</v>
      </c>
      <c r="E904" s="426" t="s">
        <v>372</v>
      </c>
      <c r="F904" s="546" t="s">
        <v>443</v>
      </c>
      <c r="G904" s="546" t="s">
        <v>1274</v>
      </c>
      <c r="H904" s="546" t="s">
        <v>1275</v>
      </c>
    </row>
    <row r="905" spans="3:9" x14ac:dyDescent="0.25">
      <c r="C905" s="426">
        <v>389</v>
      </c>
      <c r="D905" s="1103" t="s">
        <v>1276</v>
      </c>
      <c r="E905" s="426" t="s">
        <v>372</v>
      </c>
      <c r="F905" s="546" t="s">
        <v>443</v>
      </c>
      <c r="G905" s="546" t="s">
        <v>1277</v>
      </c>
      <c r="H905" s="546" t="s">
        <v>1278</v>
      </c>
    </row>
    <row r="906" spans="3:9" x14ac:dyDescent="0.25">
      <c r="C906" s="426">
        <v>390</v>
      </c>
      <c r="D906" s="1103" t="s">
        <v>442</v>
      </c>
      <c r="E906" s="426" t="s">
        <v>372</v>
      </c>
      <c r="F906" s="546" t="s">
        <v>443</v>
      </c>
      <c r="G906" s="546" t="s">
        <v>444</v>
      </c>
      <c r="H906" s="546" t="s">
        <v>1279</v>
      </c>
    </row>
    <row r="907" spans="3:9" x14ac:dyDescent="0.25">
      <c r="C907" s="426">
        <v>391</v>
      </c>
      <c r="D907" s="1103" t="s">
        <v>442</v>
      </c>
      <c r="E907" s="426" t="s">
        <v>372</v>
      </c>
      <c r="F907" s="546" t="s">
        <v>443</v>
      </c>
      <c r="G907" s="546" t="s">
        <v>444</v>
      </c>
      <c r="H907" s="546" t="s">
        <v>1280</v>
      </c>
    </row>
    <row r="908" spans="3:9" x14ac:dyDescent="0.25">
      <c r="C908" s="426">
        <v>392</v>
      </c>
      <c r="D908" s="1103" t="s">
        <v>500</v>
      </c>
      <c r="E908" s="426" t="s">
        <v>372</v>
      </c>
      <c r="F908" s="546" t="s">
        <v>501</v>
      </c>
      <c r="G908" s="546" t="s">
        <v>502</v>
      </c>
      <c r="H908" s="546" t="s">
        <v>1281</v>
      </c>
    </row>
    <row r="909" spans="3:9" x14ac:dyDescent="0.25">
      <c r="C909" s="426">
        <v>393</v>
      </c>
      <c r="D909" s="1103" t="s">
        <v>492</v>
      </c>
      <c r="E909" s="426" t="s">
        <v>372</v>
      </c>
      <c r="F909" s="546" t="s">
        <v>493</v>
      </c>
      <c r="G909" s="546" t="s">
        <v>494</v>
      </c>
      <c r="H909" s="546" t="s">
        <v>1282</v>
      </c>
    </row>
    <row r="910" spans="3:9" x14ac:dyDescent="0.25">
      <c r="C910" s="426">
        <v>394</v>
      </c>
      <c r="D910" s="1103" t="s">
        <v>492</v>
      </c>
      <c r="E910" s="426" t="s">
        <v>372</v>
      </c>
      <c r="F910" s="546" t="s">
        <v>493</v>
      </c>
      <c r="G910" s="546" t="s">
        <v>494</v>
      </c>
      <c r="H910" s="546" t="s">
        <v>1283</v>
      </c>
    </row>
    <row r="911" spans="3:9" x14ac:dyDescent="0.25">
      <c r="C911" s="426">
        <v>395</v>
      </c>
      <c r="D911" s="1103" t="s">
        <v>447</v>
      </c>
      <c r="E911" s="426" t="s">
        <v>372</v>
      </c>
      <c r="F911" s="546" t="s">
        <v>448</v>
      </c>
      <c r="G911" s="546" t="s">
        <v>449</v>
      </c>
      <c r="H911" s="546" t="s">
        <v>1284</v>
      </c>
    </row>
    <row r="912" spans="3:9" x14ac:dyDescent="0.25">
      <c r="C912" s="426">
        <v>398</v>
      </c>
      <c r="D912" s="1103" t="s">
        <v>871</v>
      </c>
      <c r="E912" s="426" t="s">
        <v>372</v>
      </c>
      <c r="F912" s="546" t="s">
        <v>770</v>
      </c>
      <c r="G912" s="546" t="s">
        <v>771</v>
      </c>
      <c r="H912" s="546" t="s">
        <v>1285</v>
      </c>
    </row>
    <row r="913" spans="3:8" x14ac:dyDescent="0.25">
      <c r="C913" s="426">
        <v>399</v>
      </c>
      <c r="D913" s="1103" t="s">
        <v>1286</v>
      </c>
      <c r="E913" s="426" t="s">
        <v>372</v>
      </c>
      <c r="F913" s="546" t="s">
        <v>1287</v>
      </c>
      <c r="G913" s="546" t="s">
        <v>1288</v>
      </c>
      <c r="H913" s="546" t="s">
        <v>1289</v>
      </c>
    </row>
    <row r="914" spans="3:8" x14ac:dyDescent="0.25">
      <c r="C914" s="426">
        <v>400</v>
      </c>
      <c r="D914" s="1103" t="s">
        <v>1290</v>
      </c>
      <c r="E914" s="426" t="s">
        <v>372</v>
      </c>
      <c r="F914" s="546" t="s">
        <v>758</v>
      </c>
      <c r="G914" s="546" t="s">
        <v>759</v>
      </c>
      <c r="H914" s="546" t="s">
        <v>1291</v>
      </c>
    </row>
    <row r="915" spans="3:8" x14ac:dyDescent="0.25">
      <c r="C915" s="426">
        <v>401</v>
      </c>
      <c r="D915" s="1103" t="s">
        <v>1290</v>
      </c>
      <c r="E915" s="426" t="s">
        <v>372</v>
      </c>
      <c r="F915" s="546" t="s">
        <v>758</v>
      </c>
      <c r="G915" s="546" t="s">
        <v>1292</v>
      </c>
      <c r="H915" s="546" t="s">
        <v>1293</v>
      </c>
    </row>
    <row r="916" spans="3:8" x14ac:dyDescent="0.25">
      <c r="C916" s="426">
        <v>410</v>
      </c>
      <c r="D916" s="1103" t="s">
        <v>532</v>
      </c>
      <c r="E916" s="426" t="s">
        <v>372</v>
      </c>
      <c r="F916" s="546" t="s">
        <v>533</v>
      </c>
      <c r="G916" s="546" t="s">
        <v>1294</v>
      </c>
      <c r="H916" s="546" t="s">
        <v>1295</v>
      </c>
    </row>
    <row r="917" spans="3:8" x14ac:dyDescent="0.25">
      <c r="C917" s="426">
        <v>411</v>
      </c>
      <c r="D917" s="1103" t="s">
        <v>532</v>
      </c>
      <c r="E917" s="426" t="s">
        <v>372</v>
      </c>
      <c r="F917" s="546" t="s">
        <v>533</v>
      </c>
      <c r="G917" s="546" t="s">
        <v>1296</v>
      </c>
      <c r="H917" s="546" t="s">
        <v>1297</v>
      </c>
    </row>
    <row r="918" spans="3:8" x14ac:dyDescent="0.25">
      <c r="C918" s="426">
        <v>412</v>
      </c>
      <c r="D918" s="1103" t="s">
        <v>532</v>
      </c>
      <c r="E918" s="426" t="s">
        <v>372</v>
      </c>
      <c r="F918" s="546" t="s">
        <v>533</v>
      </c>
      <c r="G918" s="546" t="s">
        <v>1298</v>
      </c>
      <c r="H918" s="546" t="s">
        <v>1299</v>
      </c>
    </row>
    <row r="919" spans="3:8" x14ac:dyDescent="0.25">
      <c r="C919" s="426">
        <v>413</v>
      </c>
      <c r="D919" s="1103" t="s">
        <v>532</v>
      </c>
      <c r="E919" s="426" t="s">
        <v>372</v>
      </c>
      <c r="F919" s="546" t="s">
        <v>533</v>
      </c>
      <c r="G919" s="546" t="s">
        <v>1300</v>
      </c>
      <c r="H919" s="546" t="s">
        <v>1301</v>
      </c>
    </row>
    <row r="920" spans="3:8" x14ac:dyDescent="0.25">
      <c r="C920" s="426">
        <v>414</v>
      </c>
      <c r="D920" s="1103" t="s">
        <v>532</v>
      </c>
      <c r="E920" s="426" t="s">
        <v>372</v>
      </c>
      <c r="F920" s="546" t="s">
        <v>533</v>
      </c>
      <c r="G920" s="546" t="s">
        <v>1302</v>
      </c>
      <c r="H920" s="546" t="s">
        <v>1303</v>
      </c>
    </row>
    <row r="921" spans="3:8" x14ac:dyDescent="0.25">
      <c r="C921" s="426">
        <v>415</v>
      </c>
      <c r="D921" s="1103" t="s">
        <v>532</v>
      </c>
      <c r="E921" s="426" t="s">
        <v>372</v>
      </c>
      <c r="F921" s="546" t="s">
        <v>533</v>
      </c>
      <c r="G921" s="546" t="s">
        <v>1304</v>
      </c>
      <c r="H921" s="546" t="s">
        <v>1305</v>
      </c>
    </row>
    <row r="922" spans="3:8" x14ac:dyDescent="0.25">
      <c r="C922" s="426">
        <v>417</v>
      </c>
      <c r="D922" s="1103" t="s">
        <v>540</v>
      </c>
      <c r="E922" s="426" t="s">
        <v>372</v>
      </c>
      <c r="F922" s="546" t="s">
        <v>533</v>
      </c>
      <c r="G922" s="546" t="s">
        <v>1306</v>
      </c>
      <c r="H922" s="546" t="s">
        <v>1307</v>
      </c>
    </row>
    <row r="923" spans="3:8" x14ac:dyDescent="0.25">
      <c r="C923" s="426">
        <v>419</v>
      </c>
      <c r="D923" s="1103" t="s">
        <v>1308</v>
      </c>
      <c r="E923" s="426" t="s">
        <v>372</v>
      </c>
      <c r="F923" s="546" t="s">
        <v>1309</v>
      </c>
      <c r="G923" s="546" t="s">
        <v>1310</v>
      </c>
      <c r="H923" s="546" t="s">
        <v>1311</v>
      </c>
    </row>
    <row r="924" spans="3:8" x14ac:dyDescent="0.25">
      <c r="C924" s="426">
        <v>420</v>
      </c>
      <c r="D924" s="1103" t="s">
        <v>1312</v>
      </c>
      <c r="E924" s="426" t="s">
        <v>372</v>
      </c>
      <c r="F924" s="546" t="s">
        <v>456</v>
      </c>
      <c r="G924" s="546" t="s">
        <v>457</v>
      </c>
      <c r="H924" s="546" t="s">
        <v>1313</v>
      </c>
    </row>
    <row r="925" spans="3:8" x14ac:dyDescent="0.25">
      <c r="C925" s="426">
        <v>421</v>
      </c>
      <c r="D925" s="1103" t="s">
        <v>455</v>
      </c>
      <c r="E925" s="426" t="s">
        <v>372</v>
      </c>
      <c r="F925" s="546" t="s">
        <v>456</v>
      </c>
      <c r="G925" s="546" t="s">
        <v>1314</v>
      </c>
      <c r="H925" s="546" t="s">
        <v>1315</v>
      </c>
    </row>
    <row r="926" spans="3:8" x14ac:dyDescent="0.25">
      <c r="C926" s="426">
        <v>422</v>
      </c>
      <c r="D926" s="1103" t="s">
        <v>455</v>
      </c>
      <c r="E926" s="426" t="s">
        <v>372</v>
      </c>
      <c r="F926" s="546" t="s">
        <v>456</v>
      </c>
      <c r="G926" s="546" t="s">
        <v>1316</v>
      </c>
      <c r="H926" s="546" t="s">
        <v>1317</v>
      </c>
    </row>
    <row r="927" spans="3:8" x14ac:dyDescent="0.25">
      <c r="C927" s="426">
        <v>423</v>
      </c>
      <c r="D927" s="1103" t="s">
        <v>455</v>
      </c>
      <c r="E927" s="426" t="s">
        <v>372</v>
      </c>
      <c r="F927" s="546" t="s">
        <v>456</v>
      </c>
      <c r="G927" s="546" t="s">
        <v>457</v>
      </c>
      <c r="H927" s="546" t="s">
        <v>1318</v>
      </c>
    </row>
    <row r="928" spans="3:8" x14ac:dyDescent="0.25">
      <c r="C928" s="426">
        <v>424</v>
      </c>
      <c r="D928" s="1103" t="s">
        <v>1087</v>
      </c>
      <c r="E928" s="426" t="s">
        <v>372</v>
      </c>
      <c r="F928" s="546" t="s">
        <v>1084</v>
      </c>
      <c r="G928" s="546" t="s">
        <v>1319</v>
      </c>
      <c r="H928" s="546" t="s">
        <v>1320</v>
      </c>
    </row>
    <row r="929" spans="3:12" x14ac:dyDescent="0.25">
      <c r="C929" s="426">
        <v>425</v>
      </c>
      <c r="D929" s="1103" t="s">
        <v>704</v>
      </c>
      <c r="E929" s="426" t="s">
        <v>372</v>
      </c>
      <c r="F929" s="546" t="s">
        <v>705</v>
      </c>
      <c r="G929" s="546" t="s">
        <v>1321</v>
      </c>
      <c r="H929" s="546" t="s">
        <v>1322</v>
      </c>
    </row>
    <row r="930" spans="3:12" x14ac:dyDescent="0.25">
      <c r="C930" s="426">
        <v>426</v>
      </c>
      <c r="D930" s="1103" t="s">
        <v>492</v>
      </c>
      <c r="E930" s="426" t="s">
        <v>372</v>
      </c>
      <c r="F930" s="546" t="s">
        <v>493</v>
      </c>
      <c r="G930" s="546" t="s">
        <v>494</v>
      </c>
      <c r="H930" s="546" t="s">
        <v>1323</v>
      </c>
    </row>
    <row r="931" spans="3:12" x14ac:dyDescent="0.25">
      <c r="C931" s="426">
        <v>435</v>
      </c>
      <c r="D931" s="1103" t="s">
        <v>761</v>
      </c>
      <c r="E931" s="426" t="s">
        <v>372</v>
      </c>
      <c r="F931" s="546" t="s">
        <v>762</v>
      </c>
      <c r="G931" s="546" t="s">
        <v>763</v>
      </c>
      <c r="H931" s="546" t="s">
        <v>1324</v>
      </c>
    </row>
    <row r="932" spans="3:12" x14ac:dyDescent="0.25">
      <c r="C932" s="426">
        <v>445</v>
      </c>
      <c r="D932" s="1103" t="s">
        <v>414</v>
      </c>
      <c r="E932" s="426" t="s">
        <v>372</v>
      </c>
      <c r="F932" s="546" t="s">
        <v>373</v>
      </c>
      <c r="G932" s="546" t="s">
        <v>1325</v>
      </c>
      <c r="H932" s="546" t="s">
        <v>1326</v>
      </c>
    </row>
    <row r="933" spans="3:12" x14ac:dyDescent="0.25">
      <c r="C933" s="426">
        <v>450</v>
      </c>
      <c r="D933" s="1103" t="s">
        <v>914</v>
      </c>
      <c r="E933" s="426" t="s">
        <v>372</v>
      </c>
      <c r="F933" s="546" t="s">
        <v>915</v>
      </c>
      <c r="G933" s="546" t="s">
        <v>916</v>
      </c>
      <c r="H933" s="546" t="s">
        <v>1327</v>
      </c>
    </row>
    <row r="934" spans="3:12" x14ac:dyDescent="0.25">
      <c r="C934" s="426">
        <v>451</v>
      </c>
      <c r="D934" s="1103" t="s">
        <v>947</v>
      </c>
      <c r="E934" s="426" t="s">
        <v>372</v>
      </c>
      <c r="F934" s="546" t="s">
        <v>944</v>
      </c>
      <c r="G934" s="546" t="s">
        <v>1328</v>
      </c>
      <c r="H934" s="546" t="s">
        <v>1329</v>
      </c>
    </row>
    <row r="935" spans="3:12" x14ac:dyDescent="0.25">
      <c r="C935" s="426">
        <v>452</v>
      </c>
      <c r="D935" s="1103" t="s">
        <v>1330</v>
      </c>
      <c r="E935" s="426" t="s">
        <v>372</v>
      </c>
      <c r="F935" s="546" t="s">
        <v>1331</v>
      </c>
      <c r="G935" s="546" t="s">
        <v>1332</v>
      </c>
      <c r="H935" s="546" t="s">
        <v>1333</v>
      </c>
    </row>
    <row r="936" spans="3:12" x14ac:dyDescent="0.25">
      <c r="C936" s="426">
        <v>462</v>
      </c>
      <c r="D936" s="1103" t="s">
        <v>799</v>
      </c>
      <c r="E936" s="426" t="s">
        <v>372</v>
      </c>
      <c r="F936" s="546" t="s">
        <v>788</v>
      </c>
      <c r="G936" s="546" t="s">
        <v>1334</v>
      </c>
      <c r="H936" s="546" t="s">
        <v>1335</v>
      </c>
    </row>
    <row r="937" spans="3:12" x14ac:dyDescent="0.25">
      <c r="C937" s="426">
        <v>463</v>
      </c>
      <c r="D937" s="1103" t="s">
        <v>799</v>
      </c>
      <c r="E937" s="426" t="s">
        <v>372</v>
      </c>
      <c r="F937" s="546" t="s">
        <v>788</v>
      </c>
      <c r="G937" s="546" t="s">
        <v>1336</v>
      </c>
      <c r="H937" s="546" t="s">
        <v>1337</v>
      </c>
      <c r="I937" s="546" t="s">
        <v>1076</v>
      </c>
    </row>
    <row r="938" spans="3:12" x14ac:dyDescent="0.25">
      <c r="C938" s="426">
        <v>464</v>
      </c>
      <c r="D938" s="1103" t="s">
        <v>799</v>
      </c>
      <c r="E938" s="426" t="s">
        <v>372</v>
      </c>
      <c r="F938" s="546" t="s">
        <v>788</v>
      </c>
      <c r="G938" s="546" t="s">
        <v>1338</v>
      </c>
      <c r="H938" s="546" t="s">
        <v>1339</v>
      </c>
      <c r="I938" s="546" t="s">
        <v>1076</v>
      </c>
    </row>
    <row r="939" spans="3:12" x14ac:dyDescent="0.25">
      <c r="C939" s="426">
        <v>465</v>
      </c>
      <c r="D939" s="1103" t="s">
        <v>1032</v>
      </c>
      <c r="E939" s="426" t="s">
        <v>372</v>
      </c>
      <c r="F939" s="546" t="s">
        <v>1033</v>
      </c>
      <c r="G939" s="546" t="s">
        <v>1340</v>
      </c>
      <c r="H939" s="546" t="s">
        <v>1341</v>
      </c>
    </row>
    <row r="940" spans="3:12" x14ac:dyDescent="0.25">
      <c r="C940" s="426">
        <v>470</v>
      </c>
      <c r="D940" s="1103" t="s">
        <v>1342</v>
      </c>
      <c r="E940" s="426" t="s">
        <v>372</v>
      </c>
      <c r="F940" s="546" t="s">
        <v>1343</v>
      </c>
      <c r="G940" s="546" t="s">
        <v>1344</v>
      </c>
      <c r="H940" s="546" t="s">
        <v>1345</v>
      </c>
    </row>
    <row r="941" spans="3:12" x14ac:dyDescent="0.25">
      <c r="C941" s="426">
        <v>471</v>
      </c>
      <c r="D941" s="1103" t="s">
        <v>1342</v>
      </c>
      <c r="E941" s="426" t="s">
        <v>372</v>
      </c>
      <c r="F941" s="546" t="s">
        <v>1343</v>
      </c>
      <c r="G941" s="546" t="s">
        <v>1344</v>
      </c>
      <c r="H941" s="546" t="s">
        <v>1346</v>
      </c>
    </row>
    <row r="942" spans="3:12" x14ac:dyDescent="0.25">
      <c r="C942" s="426">
        <v>472</v>
      </c>
      <c r="D942" s="1103" t="s">
        <v>1055</v>
      </c>
      <c r="E942" s="426" t="s">
        <v>372</v>
      </c>
      <c r="F942" s="546" t="s">
        <v>1056</v>
      </c>
      <c r="G942" s="546" t="s">
        <v>1057</v>
      </c>
      <c r="H942" s="546" t="s">
        <v>1347</v>
      </c>
      <c r="I942" s="546" t="s">
        <v>1076</v>
      </c>
    </row>
    <row r="943" spans="3:12" x14ac:dyDescent="0.25">
      <c r="C943" s="426">
        <v>473</v>
      </c>
      <c r="D943" s="1103" t="s">
        <v>2029</v>
      </c>
      <c r="E943" s="426" t="s">
        <v>372</v>
      </c>
      <c r="F943" s="546" t="s">
        <v>1348</v>
      </c>
      <c r="G943" s="546" t="s">
        <v>1349</v>
      </c>
      <c r="H943" s="546" t="s">
        <v>1350</v>
      </c>
      <c r="I943" s="546" t="s">
        <v>1076</v>
      </c>
    </row>
    <row r="944" spans="3:12" x14ac:dyDescent="0.25">
      <c r="C944" s="426">
        <v>474</v>
      </c>
      <c r="D944" s="1103" t="s">
        <v>1351</v>
      </c>
      <c r="E944" s="426" t="s">
        <v>2023</v>
      </c>
      <c r="F944" s="546" t="s">
        <v>1352</v>
      </c>
      <c r="G944" s="546" t="s">
        <v>1353</v>
      </c>
      <c r="H944" s="546" t="s">
        <v>1354</v>
      </c>
      <c r="I944" s="546" t="s">
        <v>1355</v>
      </c>
      <c r="J944" s="426" t="s">
        <v>1356</v>
      </c>
      <c r="K944" s="426" t="s">
        <v>1357</v>
      </c>
      <c r="L944" s="426" t="s">
        <v>1767</v>
      </c>
    </row>
    <row r="945" spans="3:12" x14ac:dyDescent="0.25">
      <c r="C945" s="426">
        <v>475</v>
      </c>
      <c r="D945" s="1103" t="s">
        <v>1358</v>
      </c>
      <c r="E945" s="426" t="s">
        <v>372</v>
      </c>
      <c r="F945" s="546" t="s">
        <v>1359</v>
      </c>
      <c r="G945" s="546" t="s">
        <v>1360</v>
      </c>
      <c r="H945" s="546" t="s">
        <v>1361</v>
      </c>
    </row>
    <row r="946" spans="3:12" s="599" customFormat="1" x14ac:dyDescent="0.25">
      <c r="C946" s="599">
        <v>476</v>
      </c>
      <c r="D946" s="1189" t="s">
        <v>1362</v>
      </c>
      <c r="E946" s="599" t="s">
        <v>2023</v>
      </c>
      <c r="F946" s="907" t="s">
        <v>1363</v>
      </c>
      <c r="G946" s="907" t="s">
        <v>1364</v>
      </c>
      <c r="H946" s="907" t="s">
        <v>1365</v>
      </c>
      <c r="I946" s="907" t="s">
        <v>1366</v>
      </c>
      <c r="J946" s="599" t="s">
        <v>1367</v>
      </c>
      <c r="K946" s="599" t="s">
        <v>1368</v>
      </c>
      <c r="L946" s="599" t="s">
        <v>1768</v>
      </c>
    </row>
    <row r="947" spans="3:12" x14ac:dyDescent="0.25">
      <c r="C947" s="426">
        <v>477</v>
      </c>
      <c r="D947" s="1103" t="s">
        <v>799</v>
      </c>
      <c r="E947" s="426" t="s">
        <v>372</v>
      </c>
      <c r="F947" s="546" t="s">
        <v>788</v>
      </c>
      <c r="G947" s="546" t="s">
        <v>1369</v>
      </c>
      <c r="H947" s="546" t="s">
        <v>1370</v>
      </c>
      <c r="I947" s="546" t="s">
        <v>1076</v>
      </c>
    </row>
    <row r="948" spans="3:12" s="599" customFormat="1" x14ac:dyDescent="0.25">
      <c r="C948" s="599">
        <v>478</v>
      </c>
      <c r="D948" s="1189" t="s">
        <v>1936</v>
      </c>
      <c r="E948" s="599" t="s">
        <v>372</v>
      </c>
      <c r="F948" s="907" t="s">
        <v>1371</v>
      </c>
      <c r="G948" s="907" t="s">
        <v>1372</v>
      </c>
      <c r="H948" s="907" t="s">
        <v>1373</v>
      </c>
      <c r="I948" s="907" t="s">
        <v>1076</v>
      </c>
      <c r="J948" s="908"/>
      <c r="K948" s="908"/>
      <c r="L948" s="908"/>
    </row>
    <row r="949" spans="3:12" x14ac:dyDescent="0.25">
      <c r="C949" s="426">
        <v>479</v>
      </c>
      <c r="D949" s="1103" t="s">
        <v>1940</v>
      </c>
      <c r="E949" s="426" t="s">
        <v>372</v>
      </c>
      <c r="F949" s="546" t="s">
        <v>1374</v>
      </c>
      <c r="G949" s="546" t="s">
        <v>1375</v>
      </c>
      <c r="H949" s="546" t="s">
        <v>1376</v>
      </c>
      <c r="I949" s="546" t="s">
        <v>1076</v>
      </c>
    </row>
    <row r="950" spans="3:12" x14ac:dyDescent="0.25">
      <c r="C950" s="426">
        <v>480</v>
      </c>
      <c r="D950" s="1103" t="s">
        <v>1377</v>
      </c>
      <c r="E950" s="426" t="s">
        <v>372</v>
      </c>
      <c r="F950" s="546" t="s">
        <v>1378</v>
      </c>
      <c r="G950" s="546" t="s">
        <v>1379</v>
      </c>
      <c r="H950" s="546" t="s">
        <v>1380</v>
      </c>
      <c r="I950" s="546" t="s">
        <v>1381</v>
      </c>
      <c r="J950" s="426" t="s">
        <v>1076</v>
      </c>
      <c r="K950" s="426" t="s">
        <v>1381</v>
      </c>
    </row>
    <row r="951" spans="3:12" x14ac:dyDescent="0.25">
      <c r="C951" s="426">
        <v>481</v>
      </c>
      <c r="D951" s="1103" t="s">
        <v>1072</v>
      </c>
      <c r="E951" s="426" t="s">
        <v>372</v>
      </c>
      <c r="F951" s="546" t="s">
        <v>1073</v>
      </c>
      <c r="G951" s="546" t="s">
        <v>1382</v>
      </c>
      <c r="H951" s="546" t="s">
        <v>1383</v>
      </c>
      <c r="I951" s="546" t="s">
        <v>1076</v>
      </c>
    </row>
    <row r="952" spans="3:12" x14ac:dyDescent="0.25">
      <c r="C952" s="426">
        <v>482</v>
      </c>
      <c r="D952" s="1103" t="s">
        <v>442</v>
      </c>
      <c r="E952" s="426" t="s">
        <v>372</v>
      </c>
      <c r="F952" s="546" t="s">
        <v>443</v>
      </c>
      <c r="G952" s="546" t="s">
        <v>1384</v>
      </c>
      <c r="H952" s="546" t="s">
        <v>1385</v>
      </c>
    </row>
    <row r="953" spans="3:12" x14ac:dyDescent="0.25">
      <c r="C953" s="426">
        <v>483</v>
      </c>
      <c r="D953" s="1103" t="s">
        <v>1386</v>
      </c>
      <c r="E953" s="426" t="s">
        <v>2023</v>
      </c>
      <c r="F953" s="546" t="s">
        <v>1084</v>
      </c>
      <c r="G953" s="546" t="s">
        <v>1387</v>
      </c>
      <c r="H953" s="546" t="s">
        <v>1388</v>
      </c>
      <c r="I953" s="546" t="s">
        <v>1389</v>
      </c>
      <c r="L953" s="426" t="s">
        <v>1769</v>
      </c>
    </row>
    <row r="954" spans="3:12" x14ac:dyDescent="0.25">
      <c r="C954" s="426">
        <v>484</v>
      </c>
      <c r="D954" s="1103" t="s">
        <v>1087</v>
      </c>
      <c r="E954" s="426" t="s">
        <v>372</v>
      </c>
      <c r="F954" s="546" t="s">
        <v>1084</v>
      </c>
      <c r="G954" s="546" t="s">
        <v>1390</v>
      </c>
      <c r="H954" s="546" t="s">
        <v>1391</v>
      </c>
    </row>
    <row r="955" spans="3:12" x14ac:dyDescent="0.25">
      <c r="C955" s="426">
        <v>485</v>
      </c>
      <c r="D955" s="1103" t="s">
        <v>1791</v>
      </c>
      <c r="E955" s="426" t="s">
        <v>372</v>
      </c>
      <c r="F955" s="546" t="s">
        <v>1392</v>
      </c>
      <c r="G955" s="546" t="s">
        <v>1393</v>
      </c>
      <c r="H955" s="546" t="s">
        <v>1394</v>
      </c>
      <c r="I955" s="546" t="s">
        <v>1381</v>
      </c>
    </row>
    <row r="956" spans="3:12" x14ac:dyDescent="0.25">
      <c r="C956" s="426">
        <v>486</v>
      </c>
      <c r="D956" s="1103" t="s">
        <v>1072</v>
      </c>
      <c r="E956" s="426" t="s">
        <v>372</v>
      </c>
      <c r="F956" s="546" t="s">
        <v>1073</v>
      </c>
      <c r="G956" s="546" t="s">
        <v>1395</v>
      </c>
      <c r="H956" s="546" t="s">
        <v>1396</v>
      </c>
    </row>
    <row r="957" spans="3:12" x14ac:dyDescent="0.25">
      <c r="C957" s="426">
        <v>487</v>
      </c>
      <c r="D957" s="1103" t="s">
        <v>1397</v>
      </c>
      <c r="E957" s="426" t="s">
        <v>2023</v>
      </c>
      <c r="F957" s="546" t="s">
        <v>1398</v>
      </c>
      <c r="G957" s="546" t="s">
        <v>1399</v>
      </c>
      <c r="H957" s="546" t="s">
        <v>1400</v>
      </c>
      <c r="I957" s="546" t="s">
        <v>1401</v>
      </c>
      <c r="J957" s="426" t="s">
        <v>1402</v>
      </c>
      <c r="K957" s="426" t="s">
        <v>1403</v>
      </c>
      <c r="L957" s="426" t="s">
        <v>1770</v>
      </c>
    </row>
    <row r="958" spans="3:12" x14ac:dyDescent="0.25">
      <c r="C958" s="426">
        <v>488</v>
      </c>
      <c r="D958" s="1103" t="s">
        <v>799</v>
      </c>
      <c r="E958" s="426" t="s">
        <v>372</v>
      </c>
      <c r="F958" s="546" t="s">
        <v>788</v>
      </c>
      <c r="G958" s="546" t="s">
        <v>1404</v>
      </c>
      <c r="H958" s="546" t="s">
        <v>1405</v>
      </c>
      <c r="I958" s="546" t="s">
        <v>1076</v>
      </c>
    </row>
    <row r="959" spans="3:12" x14ac:dyDescent="0.25">
      <c r="C959" s="426">
        <v>489</v>
      </c>
      <c r="D959" s="1103" t="s">
        <v>1406</v>
      </c>
      <c r="E959" s="426" t="s">
        <v>372</v>
      </c>
      <c r="F959" s="546" t="s">
        <v>788</v>
      </c>
      <c r="G959" s="546" t="s">
        <v>1407</v>
      </c>
      <c r="H959" s="546" t="s">
        <v>1408</v>
      </c>
      <c r="I959" s="546" t="s">
        <v>1076</v>
      </c>
    </row>
    <row r="960" spans="3:12" x14ac:dyDescent="0.25">
      <c r="C960" s="426">
        <v>490</v>
      </c>
      <c r="D960" s="1103" t="s">
        <v>455</v>
      </c>
      <c r="E960" s="426" t="s">
        <v>372</v>
      </c>
      <c r="F960" s="546" t="s">
        <v>456</v>
      </c>
      <c r="G960" s="546" t="s">
        <v>457</v>
      </c>
      <c r="H960" s="546" t="s">
        <v>1409</v>
      </c>
      <c r="I960" s="546" t="s">
        <v>1076</v>
      </c>
    </row>
    <row r="961" spans="3:12" x14ac:dyDescent="0.25">
      <c r="C961" s="426">
        <v>491</v>
      </c>
      <c r="D961" s="1103" t="s">
        <v>1410</v>
      </c>
      <c r="E961" s="426" t="s">
        <v>372</v>
      </c>
      <c r="F961" s="546" t="s">
        <v>944</v>
      </c>
      <c r="G961" s="546" t="s">
        <v>1411</v>
      </c>
      <c r="H961" s="546" t="s">
        <v>1412</v>
      </c>
    </row>
    <row r="962" spans="3:12" x14ac:dyDescent="0.25">
      <c r="C962" s="426">
        <v>492</v>
      </c>
      <c r="D962" s="1103" t="s">
        <v>1413</v>
      </c>
      <c r="E962" s="426" t="s">
        <v>372</v>
      </c>
      <c r="F962" s="546" t="s">
        <v>1414</v>
      </c>
      <c r="G962" s="546" t="s">
        <v>1415</v>
      </c>
      <c r="H962" s="546" t="s">
        <v>1416</v>
      </c>
      <c r="L962" s="599"/>
    </row>
    <row r="963" spans="3:12" x14ac:dyDescent="0.25">
      <c r="C963" s="426">
        <v>493</v>
      </c>
      <c r="D963" s="1103" t="s">
        <v>1417</v>
      </c>
      <c r="E963" s="426" t="s">
        <v>372</v>
      </c>
      <c r="F963" s="546" t="s">
        <v>1418</v>
      </c>
      <c r="G963" s="546" t="s">
        <v>1419</v>
      </c>
      <c r="H963" s="546" t="s">
        <v>1420</v>
      </c>
      <c r="I963" s="546" t="s">
        <v>1076</v>
      </c>
    </row>
    <row r="964" spans="3:12" x14ac:dyDescent="0.25">
      <c r="C964" s="426">
        <v>494</v>
      </c>
      <c r="D964" s="1103" t="s">
        <v>689</v>
      </c>
      <c r="E964" s="426" t="s">
        <v>372</v>
      </c>
      <c r="F964" s="546" t="s">
        <v>686</v>
      </c>
      <c r="G964" s="546" t="s">
        <v>690</v>
      </c>
      <c r="H964" s="546" t="s">
        <v>1421</v>
      </c>
      <c r="I964" s="546" t="s">
        <v>1381</v>
      </c>
    </row>
    <row r="965" spans="3:12" x14ac:dyDescent="0.25">
      <c r="C965" s="426">
        <v>495</v>
      </c>
      <c r="D965" s="1103" t="s">
        <v>1422</v>
      </c>
      <c r="E965" s="426" t="s">
        <v>372</v>
      </c>
      <c r="F965" s="546" t="s">
        <v>1423</v>
      </c>
      <c r="G965" s="546" t="s">
        <v>1424</v>
      </c>
      <c r="H965" s="546" t="s">
        <v>1425</v>
      </c>
    </row>
    <row r="966" spans="3:12" x14ac:dyDescent="0.25">
      <c r="C966" s="426">
        <v>496</v>
      </c>
      <c r="D966" s="1103" t="s">
        <v>1180</v>
      </c>
      <c r="E966" s="426" t="s">
        <v>372</v>
      </c>
      <c r="F966" s="546" t="s">
        <v>1181</v>
      </c>
      <c r="G966" s="546" t="s">
        <v>1426</v>
      </c>
      <c r="H966" s="546" t="s">
        <v>1427</v>
      </c>
      <c r="I966" s="546" t="s">
        <v>1076</v>
      </c>
    </row>
    <row r="967" spans="3:12" x14ac:dyDescent="0.25">
      <c r="C967" s="426">
        <v>497</v>
      </c>
      <c r="D967" s="1103" t="s">
        <v>1072</v>
      </c>
      <c r="E967" s="426" t="s">
        <v>372</v>
      </c>
      <c r="F967" s="546" t="s">
        <v>1073</v>
      </c>
      <c r="G967" s="546" t="s">
        <v>1428</v>
      </c>
      <c r="H967" s="546" t="s">
        <v>1429</v>
      </c>
      <c r="I967" s="546" t="s">
        <v>1076</v>
      </c>
      <c r="L967" s="599"/>
    </row>
    <row r="968" spans="3:12" x14ac:dyDescent="0.25">
      <c r="C968" s="426">
        <v>498</v>
      </c>
      <c r="D968" s="1103" t="s">
        <v>1430</v>
      </c>
      <c r="E968" s="426" t="s">
        <v>2023</v>
      </c>
      <c r="F968" s="546" t="s">
        <v>1431</v>
      </c>
      <c r="G968" s="546" t="s">
        <v>1432</v>
      </c>
      <c r="H968" s="546" t="s">
        <v>1433</v>
      </c>
      <c r="I968" s="546" t="s">
        <v>1434</v>
      </c>
      <c r="J968" s="426" t="s">
        <v>1435</v>
      </c>
      <c r="K968" s="426" t="s">
        <v>1436</v>
      </c>
      <c r="L968" s="598" t="s">
        <v>1771</v>
      </c>
    </row>
    <row r="969" spans="3:12" x14ac:dyDescent="0.25">
      <c r="C969" s="426">
        <v>499</v>
      </c>
      <c r="D969" s="1103" t="s">
        <v>1437</v>
      </c>
      <c r="E969" s="426" t="s">
        <v>2023</v>
      </c>
      <c r="F969" s="546" t="s">
        <v>944</v>
      </c>
      <c r="G969" s="546" t="s">
        <v>1438</v>
      </c>
      <c r="H969" s="546" t="s">
        <v>1439</v>
      </c>
      <c r="I969" s="546" t="s">
        <v>1440</v>
      </c>
      <c r="J969" s="426" t="s">
        <v>1441</v>
      </c>
      <c r="K969" s="426" t="s">
        <v>1442</v>
      </c>
      <c r="L969" s="426" t="s">
        <v>1784</v>
      </c>
    </row>
    <row r="970" spans="3:12" x14ac:dyDescent="0.25">
      <c r="C970" s="426">
        <v>500</v>
      </c>
      <c r="D970" s="1103" t="s">
        <v>1172</v>
      </c>
      <c r="E970" s="426" t="s">
        <v>372</v>
      </c>
      <c r="F970" s="546" t="s">
        <v>1173</v>
      </c>
      <c r="G970" s="546" t="s">
        <v>1174</v>
      </c>
      <c r="H970" s="546" t="s">
        <v>1443</v>
      </c>
    </row>
    <row r="971" spans="3:12" x14ac:dyDescent="0.25">
      <c r="C971" s="426">
        <v>501</v>
      </c>
      <c r="D971" s="1103" t="s">
        <v>1198</v>
      </c>
      <c r="E971" s="426" t="s">
        <v>372</v>
      </c>
      <c r="F971" s="546" t="s">
        <v>1191</v>
      </c>
      <c r="G971" s="546" t="s">
        <v>1444</v>
      </c>
      <c r="H971" s="546" t="s">
        <v>1445</v>
      </c>
    </row>
    <row r="972" spans="3:12" x14ac:dyDescent="0.25">
      <c r="C972" s="426">
        <v>502</v>
      </c>
      <c r="D972" s="1103" t="s">
        <v>1446</v>
      </c>
      <c r="E972" s="426" t="s">
        <v>372</v>
      </c>
      <c r="F972" s="546" t="s">
        <v>1447</v>
      </c>
      <c r="G972" s="546" t="s">
        <v>1448</v>
      </c>
      <c r="H972" s="546" t="s">
        <v>1449</v>
      </c>
    </row>
    <row r="973" spans="3:12" x14ac:dyDescent="0.25">
      <c r="C973" s="426">
        <v>504</v>
      </c>
      <c r="D973" s="1103" t="s">
        <v>1450</v>
      </c>
      <c r="E973" s="426" t="s">
        <v>372</v>
      </c>
      <c r="F973" s="546" t="s">
        <v>1451</v>
      </c>
      <c r="G973" s="546" t="s">
        <v>1452</v>
      </c>
      <c r="H973" s="546" t="s">
        <v>1453</v>
      </c>
    </row>
    <row r="974" spans="3:12" x14ac:dyDescent="0.25">
      <c r="C974" s="426">
        <v>505</v>
      </c>
      <c r="D974" s="1103" t="s">
        <v>1454</v>
      </c>
      <c r="E974" s="426" t="s">
        <v>372</v>
      </c>
      <c r="F974" s="546" t="s">
        <v>1455</v>
      </c>
      <c r="G974" s="546" t="s">
        <v>1456</v>
      </c>
      <c r="H974" s="546" t="s">
        <v>1457</v>
      </c>
    </row>
    <row r="975" spans="3:12" x14ac:dyDescent="0.25">
      <c r="C975" s="426">
        <v>508</v>
      </c>
      <c r="D975" s="1103" t="s">
        <v>799</v>
      </c>
      <c r="E975" s="426" t="s">
        <v>372</v>
      </c>
      <c r="F975" s="546" t="s">
        <v>788</v>
      </c>
      <c r="G975" s="546" t="s">
        <v>1458</v>
      </c>
      <c r="H975" s="546" t="s">
        <v>1459</v>
      </c>
    </row>
    <row r="976" spans="3:12" x14ac:dyDescent="0.25">
      <c r="C976" s="426">
        <v>509</v>
      </c>
      <c r="D976" s="1103" t="s">
        <v>799</v>
      </c>
      <c r="E976" s="426" t="s">
        <v>372</v>
      </c>
      <c r="F976" s="546" t="s">
        <v>788</v>
      </c>
      <c r="G976" s="546" t="s">
        <v>1460</v>
      </c>
      <c r="H976" s="546" t="s">
        <v>1461</v>
      </c>
    </row>
    <row r="977" spans="3:12" x14ac:dyDescent="0.25">
      <c r="C977" s="426">
        <v>510</v>
      </c>
      <c r="D977" s="1103" t="s">
        <v>799</v>
      </c>
      <c r="E977" s="426" t="s">
        <v>372</v>
      </c>
      <c r="F977" s="546" t="s">
        <v>788</v>
      </c>
      <c r="G977" s="546" t="s">
        <v>1462</v>
      </c>
      <c r="H977" s="546" t="s">
        <v>1463</v>
      </c>
    </row>
    <row r="978" spans="3:12" x14ac:dyDescent="0.25">
      <c r="C978" s="426">
        <v>511</v>
      </c>
      <c r="D978" s="1103" t="s">
        <v>799</v>
      </c>
      <c r="E978" s="426" t="s">
        <v>372</v>
      </c>
      <c r="F978" s="546" t="s">
        <v>788</v>
      </c>
      <c r="G978" s="546" t="s">
        <v>1464</v>
      </c>
      <c r="H978" s="546" t="s">
        <v>1465</v>
      </c>
    </row>
    <row r="979" spans="3:12" x14ac:dyDescent="0.25">
      <c r="C979" s="426">
        <v>512</v>
      </c>
      <c r="D979" s="1103" t="s">
        <v>799</v>
      </c>
      <c r="E979" s="426" t="s">
        <v>372</v>
      </c>
      <c r="F979" s="546" t="s">
        <v>788</v>
      </c>
      <c r="G979" s="546" t="s">
        <v>1466</v>
      </c>
      <c r="H979" s="546" t="s">
        <v>1467</v>
      </c>
    </row>
    <row r="980" spans="3:12" x14ac:dyDescent="0.25">
      <c r="C980" s="426">
        <v>513</v>
      </c>
      <c r="D980" s="1103" t="s">
        <v>799</v>
      </c>
      <c r="E980" s="426" t="s">
        <v>372</v>
      </c>
      <c r="F980" s="546" t="s">
        <v>788</v>
      </c>
      <c r="G980" s="546" t="s">
        <v>1468</v>
      </c>
      <c r="H980" s="546" t="s">
        <v>1469</v>
      </c>
    </row>
    <row r="981" spans="3:12" x14ac:dyDescent="0.25">
      <c r="C981" s="426">
        <v>514</v>
      </c>
      <c r="D981" s="1103" t="s">
        <v>799</v>
      </c>
      <c r="E981" s="426" t="s">
        <v>372</v>
      </c>
      <c r="F981" s="546" t="s">
        <v>788</v>
      </c>
      <c r="G981" s="546" t="s">
        <v>1470</v>
      </c>
      <c r="H981" s="546" t="s">
        <v>1471</v>
      </c>
    </row>
    <row r="982" spans="3:12" x14ac:dyDescent="0.25">
      <c r="C982" s="426">
        <v>515</v>
      </c>
      <c r="D982" s="1103" t="s">
        <v>799</v>
      </c>
      <c r="E982" s="426" t="s">
        <v>372</v>
      </c>
      <c r="F982" s="546" t="s">
        <v>788</v>
      </c>
      <c r="G982" s="546" t="s">
        <v>1472</v>
      </c>
      <c r="H982" s="546" t="s">
        <v>1473</v>
      </c>
      <c r="I982" s="546" t="s">
        <v>1076</v>
      </c>
    </row>
    <row r="983" spans="3:12" x14ac:dyDescent="0.25">
      <c r="C983" s="426">
        <v>516</v>
      </c>
      <c r="D983" s="1103" t="s">
        <v>799</v>
      </c>
      <c r="E983" s="426" t="s">
        <v>372</v>
      </c>
      <c r="F983" s="546" t="s">
        <v>788</v>
      </c>
      <c r="G983" s="546" t="s">
        <v>1474</v>
      </c>
      <c r="H983" s="546" t="s">
        <v>1475</v>
      </c>
    </row>
    <row r="984" spans="3:12" x14ac:dyDescent="0.25">
      <c r="C984" s="426">
        <v>517</v>
      </c>
      <c r="D984" s="1103" t="s">
        <v>1342</v>
      </c>
      <c r="E984" s="426" t="s">
        <v>372</v>
      </c>
      <c r="F984" s="546" t="s">
        <v>1343</v>
      </c>
      <c r="G984" s="546" t="s">
        <v>1344</v>
      </c>
      <c r="H984" s="546" t="s">
        <v>1476</v>
      </c>
      <c r="I984" s="546" t="s">
        <v>1076</v>
      </c>
    </row>
    <row r="985" spans="3:12" x14ac:dyDescent="0.25">
      <c r="C985" s="426">
        <v>518</v>
      </c>
      <c r="D985" s="1103" t="s">
        <v>1477</v>
      </c>
      <c r="E985" s="426" t="s">
        <v>372</v>
      </c>
      <c r="F985" s="546" t="s">
        <v>1478</v>
      </c>
      <c r="G985" s="546" t="s">
        <v>1479</v>
      </c>
      <c r="H985" s="546" t="s">
        <v>1480</v>
      </c>
      <c r="I985" s="546" t="s">
        <v>1381</v>
      </c>
    </row>
    <row r="986" spans="3:12" x14ac:dyDescent="0.25">
      <c r="C986" s="426">
        <v>519</v>
      </c>
      <c r="D986" s="1103" t="s">
        <v>1001</v>
      </c>
      <c r="E986" s="426" t="s">
        <v>372</v>
      </c>
      <c r="F986" s="546" t="s">
        <v>1002</v>
      </c>
      <c r="G986" s="546" t="s">
        <v>1003</v>
      </c>
      <c r="H986" s="546" t="s">
        <v>1481</v>
      </c>
      <c r="I986" s="546" t="s">
        <v>1381</v>
      </c>
    </row>
    <row r="987" spans="3:12" x14ac:dyDescent="0.25">
      <c r="C987" s="426">
        <v>520</v>
      </c>
      <c r="D987" s="1103" t="s">
        <v>1180</v>
      </c>
      <c r="E987" s="426" t="s">
        <v>372</v>
      </c>
      <c r="F987" s="546" t="s">
        <v>1181</v>
      </c>
      <c r="G987" s="546" t="s">
        <v>1482</v>
      </c>
      <c r="H987" s="546" t="s">
        <v>1483</v>
      </c>
      <c r="I987" s="546" t="s">
        <v>1381</v>
      </c>
    </row>
    <row r="988" spans="3:12" x14ac:dyDescent="0.25">
      <c r="C988" s="426">
        <v>521</v>
      </c>
      <c r="D988" s="1103" t="s">
        <v>873</v>
      </c>
      <c r="E988" s="426" t="s">
        <v>372</v>
      </c>
      <c r="F988" s="546" t="s">
        <v>874</v>
      </c>
      <c r="G988" s="546" t="s">
        <v>1484</v>
      </c>
      <c r="H988" s="546" t="s">
        <v>1485</v>
      </c>
    </row>
    <row r="989" spans="3:12" x14ac:dyDescent="0.25">
      <c r="C989" s="426">
        <v>525</v>
      </c>
      <c r="D989" s="1103" t="s">
        <v>1486</v>
      </c>
      <c r="E989" s="426" t="s">
        <v>372</v>
      </c>
      <c r="F989" s="546" t="s">
        <v>1487</v>
      </c>
      <c r="G989" s="546" t="s">
        <v>1488</v>
      </c>
      <c r="H989" s="546" t="s">
        <v>1489</v>
      </c>
    </row>
    <row r="990" spans="3:12" x14ac:dyDescent="0.25">
      <c r="C990" s="426">
        <v>526</v>
      </c>
      <c r="D990" s="1103" t="s">
        <v>1490</v>
      </c>
      <c r="E990" s="426" t="s">
        <v>2023</v>
      </c>
      <c r="F990" s="546" t="s">
        <v>1491</v>
      </c>
      <c r="G990" s="546" t="s">
        <v>1492</v>
      </c>
      <c r="H990" s="546" t="s">
        <v>1493</v>
      </c>
      <c r="I990" s="546" t="s">
        <v>1494</v>
      </c>
      <c r="J990" s="426" t="s">
        <v>1495</v>
      </c>
      <c r="K990" s="426" t="s">
        <v>1496</v>
      </c>
      <c r="L990" s="426" t="s">
        <v>1772</v>
      </c>
    </row>
    <row r="991" spans="3:12" x14ac:dyDescent="0.25">
      <c r="C991" s="426">
        <v>530</v>
      </c>
      <c r="D991" s="1103" t="s">
        <v>1072</v>
      </c>
      <c r="E991" s="426" t="s">
        <v>372</v>
      </c>
      <c r="F991" s="546" t="s">
        <v>1073</v>
      </c>
      <c r="G991" s="546" t="s">
        <v>1074</v>
      </c>
      <c r="H991" s="546" t="s">
        <v>1497</v>
      </c>
    </row>
    <row r="992" spans="3:12" x14ac:dyDescent="0.25">
      <c r="C992" s="426">
        <v>531</v>
      </c>
      <c r="D992" s="1103" t="s">
        <v>1498</v>
      </c>
      <c r="E992" s="426" t="s">
        <v>372</v>
      </c>
      <c r="F992" s="546" t="s">
        <v>1499</v>
      </c>
      <c r="G992" s="546" t="s">
        <v>1500</v>
      </c>
      <c r="H992" s="546" t="s">
        <v>1501</v>
      </c>
      <c r="I992" s="546" t="s">
        <v>1076</v>
      </c>
    </row>
    <row r="993" spans="3:12" x14ac:dyDescent="0.25">
      <c r="C993" s="426">
        <v>532</v>
      </c>
      <c r="D993" s="1103" t="s">
        <v>947</v>
      </c>
      <c r="E993" s="426" t="s">
        <v>372</v>
      </c>
      <c r="F993" s="546" t="s">
        <v>944</v>
      </c>
      <c r="G993" s="546" t="s">
        <v>1502</v>
      </c>
      <c r="H993" s="546" t="s">
        <v>1503</v>
      </c>
      <c r="I993" s="546" t="s">
        <v>1076</v>
      </c>
    </row>
    <row r="994" spans="3:12" x14ac:dyDescent="0.25">
      <c r="C994" s="426">
        <v>533</v>
      </c>
      <c r="D994" s="1103" t="s">
        <v>1072</v>
      </c>
      <c r="E994" s="426" t="s">
        <v>372</v>
      </c>
      <c r="F994" s="546" t="s">
        <v>1073</v>
      </c>
      <c r="G994" s="546" t="s">
        <v>1504</v>
      </c>
      <c r="H994" s="546" t="s">
        <v>1505</v>
      </c>
    </row>
    <row r="995" spans="3:12" x14ac:dyDescent="0.25">
      <c r="C995" s="426">
        <v>534</v>
      </c>
      <c r="D995" s="1103" t="s">
        <v>1506</v>
      </c>
      <c r="E995" s="426" t="s">
        <v>2023</v>
      </c>
      <c r="F995" s="546" t="s">
        <v>1507</v>
      </c>
      <c r="G995" s="546" t="s">
        <v>1508</v>
      </c>
      <c r="H995" s="546" t="s">
        <v>1509</v>
      </c>
      <c r="I995" s="546" t="s">
        <v>1510</v>
      </c>
      <c r="J995" s="426" t="s">
        <v>1511</v>
      </c>
      <c r="K995" s="426" t="s">
        <v>1512</v>
      </c>
      <c r="L995" s="426" t="s">
        <v>1773</v>
      </c>
    </row>
    <row r="996" spans="3:12" x14ac:dyDescent="0.25">
      <c r="C996" s="426">
        <v>535</v>
      </c>
      <c r="D996" s="1103" t="s">
        <v>1180</v>
      </c>
      <c r="E996" s="426" t="s">
        <v>372</v>
      </c>
      <c r="F996" s="546" t="s">
        <v>1181</v>
      </c>
      <c r="G996" s="546" t="s">
        <v>1513</v>
      </c>
      <c r="H996" s="546" t="s">
        <v>1514</v>
      </c>
      <c r="I996" s="546" t="s">
        <v>1076</v>
      </c>
    </row>
    <row r="997" spans="3:12" x14ac:dyDescent="0.25">
      <c r="C997" s="426">
        <v>536</v>
      </c>
      <c r="D997" s="1103" t="s">
        <v>1186</v>
      </c>
      <c r="E997" s="426" t="s">
        <v>372</v>
      </c>
      <c r="F997" s="546" t="s">
        <v>1187</v>
      </c>
      <c r="G997" s="546" t="s">
        <v>1515</v>
      </c>
      <c r="H997" s="546" t="s">
        <v>1516</v>
      </c>
      <c r="I997" s="546" t="s">
        <v>1076</v>
      </c>
    </row>
    <row r="998" spans="3:12" x14ac:dyDescent="0.25">
      <c r="C998" s="426">
        <v>537</v>
      </c>
      <c r="D998" s="1103" t="s">
        <v>1517</v>
      </c>
      <c r="E998" s="426" t="s">
        <v>372</v>
      </c>
      <c r="F998" s="546" t="s">
        <v>1518</v>
      </c>
      <c r="G998" s="546" t="s">
        <v>2030</v>
      </c>
      <c r="H998" s="546" t="s">
        <v>2031</v>
      </c>
      <c r="I998" s="546" t="s">
        <v>1076</v>
      </c>
    </row>
    <row r="999" spans="3:12" x14ac:dyDescent="0.25">
      <c r="C999" s="426">
        <v>538</v>
      </c>
      <c r="D999" s="1103" t="s">
        <v>1774</v>
      </c>
      <c r="E999" s="426" t="s">
        <v>372</v>
      </c>
      <c r="F999" s="546" t="s">
        <v>1519</v>
      </c>
      <c r="G999" s="546" t="s">
        <v>1520</v>
      </c>
      <c r="H999" s="546" t="s">
        <v>1521</v>
      </c>
      <c r="I999" s="546" t="s">
        <v>1076</v>
      </c>
    </row>
    <row r="1000" spans="3:12" x14ac:dyDescent="0.25">
      <c r="C1000" s="426">
        <v>539</v>
      </c>
      <c r="D1000" s="1103" t="s">
        <v>1522</v>
      </c>
      <c r="E1000" s="426" t="s">
        <v>372</v>
      </c>
      <c r="F1000" s="546" t="s">
        <v>1523</v>
      </c>
      <c r="G1000" s="546" t="s">
        <v>1524</v>
      </c>
      <c r="H1000" s="546" t="s">
        <v>1525</v>
      </c>
      <c r="I1000" s="546" t="s">
        <v>1076</v>
      </c>
    </row>
    <row r="1001" spans="3:12" x14ac:dyDescent="0.25">
      <c r="C1001" s="426">
        <v>540</v>
      </c>
      <c r="D1001" s="1103" t="s">
        <v>1526</v>
      </c>
      <c r="E1001" s="426" t="s">
        <v>2023</v>
      </c>
      <c r="F1001" s="546" t="s">
        <v>1527</v>
      </c>
      <c r="G1001" s="546" t="s">
        <v>1528</v>
      </c>
      <c r="H1001" s="546" t="s">
        <v>1529</v>
      </c>
      <c r="I1001" s="546" t="s">
        <v>1530</v>
      </c>
      <c r="J1001" s="426" t="s">
        <v>1531</v>
      </c>
      <c r="K1001" s="426" t="s">
        <v>1532</v>
      </c>
      <c r="L1001" s="426" t="s">
        <v>1775</v>
      </c>
    </row>
    <row r="1002" spans="3:12" x14ac:dyDescent="0.25">
      <c r="C1002" s="426">
        <v>541</v>
      </c>
      <c r="D1002" s="1103" t="s">
        <v>1533</v>
      </c>
      <c r="E1002" s="426" t="s">
        <v>372</v>
      </c>
      <c r="F1002" s="546" t="s">
        <v>1534</v>
      </c>
      <c r="G1002" s="546" t="s">
        <v>1535</v>
      </c>
      <c r="H1002" s="546" t="s">
        <v>1536</v>
      </c>
      <c r="I1002" s="546" t="s">
        <v>1076</v>
      </c>
    </row>
    <row r="1003" spans="3:12" x14ac:dyDescent="0.25">
      <c r="C1003" s="426">
        <v>542</v>
      </c>
      <c r="D1003" s="1103" t="s">
        <v>1937</v>
      </c>
      <c r="E1003" s="426" t="s">
        <v>372</v>
      </c>
      <c r="F1003" s="546" t="s">
        <v>1537</v>
      </c>
      <c r="G1003" s="546" t="s">
        <v>1538</v>
      </c>
      <c r="H1003" s="546" t="s">
        <v>1539</v>
      </c>
      <c r="I1003" s="546" t="s">
        <v>1076</v>
      </c>
    </row>
    <row r="1004" spans="3:12" x14ac:dyDescent="0.25">
      <c r="C1004" s="426">
        <v>543</v>
      </c>
      <c r="D1004" s="1103" t="s">
        <v>1087</v>
      </c>
      <c r="E1004" s="426" t="s">
        <v>372</v>
      </c>
      <c r="F1004" s="546" t="s">
        <v>1084</v>
      </c>
      <c r="G1004" s="546" t="s">
        <v>1540</v>
      </c>
      <c r="H1004" s="546" t="s">
        <v>1541</v>
      </c>
      <c r="I1004" s="546" t="s">
        <v>1076</v>
      </c>
    </row>
    <row r="1005" spans="3:12" x14ac:dyDescent="0.25">
      <c r="C1005" s="426">
        <v>544</v>
      </c>
      <c r="D1005" s="1103" t="s">
        <v>1542</v>
      </c>
      <c r="E1005" s="426" t="s">
        <v>372</v>
      </c>
      <c r="F1005" s="546" t="s">
        <v>1543</v>
      </c>
      <c r="G1005" s="546" t="s">
        <v>1544</v>
      </c>
      <c r="H1005" s="546" t="s">
        <v>1545</v>
      </c>
      <c r="I1005" s="546" t="s">
        <v>1076</v>
      </c>
    </row>
    <row r="1006" spans="3:12" x14ac:dyDescent="0.25">
      <c r="C1006" s="426">
        <v>545</v>
      </c>
      <c r="D1006" s="1103" t="s">
        <v>1546</v>
      </c>
      <c r="E1006" s="426" t="s">
        <v>372</v>
      </c>
      <c r="F1006" s="546" t="s">
        <v>1547</v>
      </c>
      <c r="G1006" s="546" t="s">
        <v>1548</v>
      </c>
      <c r="H1006" s="546" t="s">
        <v>1549</v>
      </c>
      <c r="I1006" s="546" t="s">
        <v>1550</v>
      </c>
    </row>
    <row r="1007" spans="3:12" x14ac:dyDescent="0.25">
      <c r="C1007" s="426">
        <v>546</v>
      </c>
      <c r="D1007" s="1103" t="s">
        <v>613</v>
      </c>
      <c r="E1007" s="426" t="s">
        <v>372</v>
      </c>
      <c r="F1007" s="546" t="s">
        <v>614</v>
      </c>
      <c r="G1007" s="546" t="s">
        <v>1551</v>
      </c>
      <c r="H1007" s="546" t="s">
        <v>1552</v>
      </c>
      <c r="I1007" s="546" t="s">
        <v>1076</v>
      </c>
      <c r="K1007" s="426" t="s">
        <v>174</v>
      </c>
    </row>
    <row r="1008" spans="3:12" x14ac:dyDescent="0.25">
      <c r="C1008" s="426">
        <v>547</v>
      </c>
      <c r="D1008" s="1103" t="s">
        <v>799</v>
      </c>
      <c r="E1008" s="426" t="s">
        <v>372</v>
      </c>
      <c r="F1008" s="546" t="s">
        <v>788</v>
      </c>
      <c r="G1008" s="546" t="s">
        <v>1553</v>
      </c>
      <c r="H1008" s="546" t="s">
        <v>1554</v>
      </c>
      <c r="I1008" s="546" t="s">
        <v>1076</v>
      </c>
    </row>
    <row r="1009" spans="3:11" x14ac:dyDescent="0.25">
      <c r="C1009" s="426">
        <v>548</v>
      </c>
      <c r="D1009" s="1103" t="s">
        <v>1555</v>
      </c>
      <c r="E1009" s="426" t="s">
        <v>372</v>
      </c>
      <c r="F1009" s="546" t="s">
        <v>1084</v>
      </c>
      <c r="G1009" s="546" t="s">
        <v>1556</v>
      </c>
      <c r="H1009" s="546" t="s">
        <v>1557</v>
      </c>
      <c r="I1009" s="546" t="s">
        <v>1076</v>
      </c>
    </row>
    <row r="1010" spans="3:11" x14ac:dyDescent="0.25">
      <c r="C1010" s="426">
        <v>549</v>
      </c>
      <c r="D1010" s="1103" t="s">
        <v>799</v>
      </c>
      <c r="E1010" s="426" t="s">
        <v>372</v>
      </c>
      <c r="F1010" s="546" t="s">
        <v>788</v>
      </c>
      <c r="G1010" s="546" t="s">
        <v>1558</v>
      </c>
      <c r="H1010" s="546" t="s">
        <v>1559</v>
      </c>
    </row>
    <row r="1011" spans="3:11" x14ac:dyDescent="0.25">
      <c r="C1011" s="426">
        <v>550</v>
      </c>
      <c r="D1011" s="1103" t="s">
        <v>1560</v>
      </c>
      <c r="E1011" s="426" t="s">
        <v>372</v>
      </c>
      <c r="F1011" s="546" t="s">
        <v>1561</v>
      </c>
      <c r="G1011" s="546" t="s">
        <v>1562</v>
      </c>
      <c r="H1011" s="546" t="s">
        <v>1563</v>
      </c>
      <c r="I1011" s="546" t="s">
        <v>1381</v>
      </c>
    </row>
    <row r="1012" spans="3:11" x14ac:dyDescent="0.25">
      <c r="C1012" s="426">
        <v>551</v>
      </c>
      <c r="D1012" s="1103" t="s">
        <v>1564</v>
      </c>
      <c r="E1012" s="426" t="s">
        <v>372</v>
      </c>
      <c r="F1012" s="546" t="s">
        <v>1565</v>
      </c>
      <c r="G1012" s="546" t="s">
        <v>1566</v>
      </c>
      <c r="H1012" s="546" t="s">
        <v>1567</v>
      </c>
    </row>
    <row r="1013" spans="3:11" x14ac:dyDescent="0.25">
      <c r="C1013" s="426">
        <v>552</v>
      </c>
      <c r="D1013" s="1103" t="s">
        <v>1568</v>
      </c>
      <c r="E1013" s="426" t="s">
        <v>372</v>
      </c>
      <c r="F1013" s="546" t="s">
        <v>1226</v>
      </c>
      <c r="G1013" s="546" t="s">
        <v>1227</v>
      </c>
      <c r="H1013" s="546" t="s">
        <v>1569</v>
      </c>
      <c r="I1013" s="546" t="s">
        <v>1076</v>
      </c>
    </row>
    <row r="1014" spans="3:11" x14ac:dyDescent="0.25">
      <c r="C1014" s="426">
        <v>553</v>
      </c>
      <c r="D1014" s="1103" t="s">
        <v>1570</v>
      </c>
      <c r="E1014" s="426" t="s">
        <v>372</v>
      </c>
      <c r="F1014" s="546" t="s">
        <v>1571</v>
      </c>
      <c r="G1014" s="546" t="s">
        <v>1572</v>
      </c>
      <c r="H1014" s="546" t="s">
        <v>1573</v>
      </c>
      <c r="I1014" s="546" t="s">
        <v>1381</v>
      </c>
    </row>
    <row r="1015" spans="3:11" x14ac:dyDescent="0.25">
      <c r="C1015" s="426">
        <v>554</v>
      </c>
      <c r="D1015" s="1103" t="s">
        <v>1406</v>
      </c>
      <c r="E1015" s="426" t="s">
        <v>372</v>
      </c>
      <c r="F1015" s="546" t="s">
        <v>788</v>
      </c>
      <c r="G1015" s="546" t="s">
        <v>1574</v>
      </c>
      <c r="H1015" s="546" t="s">
        <v>1575</v>
      </c>
      <c r="I1015" s="546" t="s">
        <v>1381</v>
      </c>
      <c r="K1015" s="426" t="s">
        <v>174</v>
      </c>
    </row>
    <row r="1016" spans="3:11" x14ac:dyDescent="0.25">
      <c r="C1016" s="426">
        <v>556</v>
      </c>
      <c r="D1016" s="1103" t="s">
        <v>799</v>
      </c>
      <c r="E1016" s="426" t="s">
        <v>372</v>
      </c>
      <c r="F1016" s="546" t="s">
        <v>788</v>
      </c>
      <c r="G1016" s="546" t="s">
        <v>1576</v>
      </c>
      <c r="H1016" s="546" t="s">
        <v>1577</v>
      </c>
      <c r="I1016" s="546" t="s">
        <v>1381</v>
      </c>
    </row>
    <row r="1017" spans="3:11" x14ac:dyDescent="0.25">
      <c r="C1017" s="426">
        <v>557</v>
      </c>
      <c r="D1017" s="1103" t="s">
        <v>947</v>
      </c>
      <c r="E1017" s="426" t="s">
        <v>372</v>
      </c>
      <c r="F1017" s="546" t="s">
        <v>944</v>
      </c>
      <c r="G1017" s="546" t="s">
        <v>1578</v>
      </c>
      <c r="H1017" s="546" t="s">
        <v>1579</v>
      </c>
    </row>
    <row r="1018" spans="3:11" x14ac:dyDescent="0.25">
      <c r="C1018" s="426">
        <v>558</v>
      </c>
      <c r="D1018" s="1103" t="s">
        <v>1580</v>
      </c>
      <c r="E1018" s="426" t="s">
        <v>372</v>
      </c>
      <c r="F1018" s="546" t="s">
        <v>1581</v>
      </c>
      <c r="G1018" s="546" t="s">
        <v>1582</v>
      </c>
      <c r="H1018" s="546" t="s">
        <v>1583</v>
      </c>
      <c r="I1018" s="546" t="s">
        <v>1076</v>
      </c>
    </row>
    <row r="1019" spans="3:11" x14ac:dyDescent="0.25">
      <c r="C1019" s="426">
        <v>559</v>
      </c>
      <c r="D1019" s="1103" t="s">
        <v>1266</v>
      </c>
      <c r="E1019" s="426" t="s">
        <v>372</v>
      </c>
      <c r="F1019" s="546" t="s">
        <v>1267</v>
      </c>
      <c r="G1019" s="546" t="s">
        <v>1584</v>
      </c>
      <c r="H1019" s="546" t="s">
        <v>1585</v>
      </c>
      <c r="I1019" s="546" t="s">
        <v>1076</v>
      </c>
    </row>
    <row r="1020" spans="3:11" x14ac:dyDescent="0.25">
      <c r="C1020" s="426">
        <v>560</v>
      </c>
      <c r="D1020" s="1103" t="s">
        <v>1037</v>
      </c>
      <c r="E1020" s="426" t="s">
        <v>372</v>
      </c>
      <c r="F1020" s="546" t="s">
        <v>1038</v>
      </c>
      <c r="G1020" s="546" t="s">
        <v>1586</v>
      </c>
      <c r="H1020" s="546" t="s">
        <v>1587</v>
      </c>
      <c r="I1020" s="546" t="s">
        <v>1381</v>
      </c>
    </row>
    <row r="1021" spans="3:11" x14ac:dyDescent="0.25">
      <c r="C1021" s="426">
        <v>561</v>
      </c>
      <c r="D1021" s="1103" t="s">
        <v>1087</v>
      </c>
      <c r="E1021" s="426" t="s">
        <v>372</v>
      </c>
      <c r="F1021" s="546" t="s">
        <v>1084</v>
      </c>
      <c r="G1021" s="546" t="s">
        <v>1588</v>
      </c>
      <c r="H1021" s="546" t="s">
        <v>1589</v>
      </c>
      <c r="I1021" s="546" t="s">
        <v>1076</v>
      </c>
    </row>
    <row r="1022" spans="3:11" x14ac:dyDescent="0.25">
      <c r="C1022" s="426">
        <v>562</v>
      </c>
      <c r="D1022" s="1103" t="s">
        <v>1186</v>
      </c>
      <c r="E1022" s="426" t="s">
        <v>372</v>
      </c>
      <c r="F1022" s="546" t="s">
        <v>1187</v>
      </c>
      <c r="G1022" s="546" t="s">
        <v>1590</v>
      </c>
      <c r="H1022" s="546" t="s">
        <v>1591</v>
      </c>
    </row>
    <row r="1023" spans="3:11" x14ac:dyDescent="0.25">
      <c r="C1023" s="426">
        <v>563</v>
      </c>
      <c r="D1023" s="1103" t="s">
        <v>1592</v>
      </c>
      <c r="E1023" s="426" t="s">
        <v>372</v>
      </c>
      <c r="F1023" s="546" t="s">
        <v>1593</v>
      </c>
      <c r="G1023" s="546" t="s">
        <v>1594</v>
      </c>
      <c r="H1023" s="546" t="s">
        <v>1595</v>
      </c>
      <c r="I1023" s="546" t="s">
        <v>1076</v>
      </c>
    </row>
    <row r="1024" spans="3:11" x14ac:dyDescent="0.25">
      <c r="C1024" s="426">
        <v>564</v>
      </c>
      <c r="D1024" s="1103" t="s">
        <v>1229</v>
      </c>
      <c r="E1024" s="426" t="s">
        <v>372</v>
      </c>
      <c r="F1024" s="546" t="s">
        <v>1230</v>
      </c>
      <c r="G1024" s="546" t="s">
        <v>1596</v>
      </c>
      <c r="H1024" s="546" t="s">
        <v>1597</v>
      </c>
      <c r="I1024" s="546" t="s">
        <v>1381</v>
      </c>
    </row>
    <row r="1025" spans="3:12" x14ac:dyDescent="0.25">
      <c r="C1025" s="426">
        <v>565</v>
      </c>
      <c r="D1025" s="1103" t="s">
        <v>2032</v>
      </c>
      <c r="E1025" s="426" t="s">
        <v>372</v>
      </c>
      <c r="F1025" s="546" t="s">
        <v>1073</v>
      </c>
      <c r="G1025" s="546" t="s">
        <v>1601</v>
      </c>
      <c r="H1025" s="546" t="s">
        <v>1602</v>
      </c>
      <c r="I1025" s="546" t="s">
        <v>1076</v>
      </c>
    </row>
    <row r="1026" spans="3:12" x14ac:dyDescent="0.25">
      <c r="C1026" s="426">
        <v>566</v>
      </c>
      <c r="D1026" s="1103" t="s">
        <v>1410</v>
      </c>
      <c r="E1026" s="426" t="s">
        <v>372</v>
      </c>
      <c r="F1026" s="546" t="s">
        <v>944</v>
      </c>
      <c r="G1026" s="546" t="s">
        <v>1603</v>
      </c>
      <c r="H1026" s="546" t="s">
        <v>1604</v>
      </c>
      <c r="I1026" s="546" t="s">
        <v>1076</v>
      </c>
    </row>
    <row r="1027" spans="3:12" x14ac:dyDescent="0.25">
      <c r="C1027" s="426">
        <v>567</v>
      </c>
      <c r="D1027" s="1103" t="s">
        <v>1938</v>
      </c>
      <c r="E1027" s="426" t="s">
        <v>372</v>
      </c>
      <c r="F1027" s="546" t="s">
        <v>1605</v>
      </c>
      <c r="G1027" s="546" t="s">
        <v>1606</v>
      </c>
      <c r="H1027" s="546" t="s">
        <v>1607</v>
      </c>
      <c r="I1027" s="546" t="s">
        <v>1381</v>
      </c>
    </row>
    <row r="1028" spans="3:12" x14ac:dyDescent="0.25">
      <c r="C1028" s="426">
        <v>568</v>
      </c>
      <c r="D1028" s="1103" t="s">
        <v>2033</v>
      </c>
      <c r="E1028" s="426" t="s">
        <v>372</v>
      </c>
      <c r="F1028" s="546" t="s">
        <v>1608</v>
      </c>
      <c r="G1028" s="546" t="s">
        <v>1609</v>
      </c>
      <c r="H1028" s="546" t="s">
        <v>1610</v>
      </c>
      <c r="I1028" s="546" t="s">
        <v>1076</v>
      </c>
    </row>
    <row r="1029" spans="3:12" x14ac:dyDescent="0.25">
      <c r="C1029" s="426">
        <v>569</v>
      </c>
      <c r="D1029" s="1103" t="s">
        <v>1611</v>
      </c>
      <c r="E1029" s="426" t="s">
        <v>372</v>
      </c>
      <c r="F1029" s="546" t="s">
        <v>1612</v>
      </c>
      <c r="G1029" s="546" t="s">
        <v>1613</v>
      </c>
      <c r="H1029" s="546" t="s">
        <v>1614</v>
      </c>
      <c r="I1029" s="546" t="s">
        <v>1076</v>
      </c>
    </row>
    <row r="1030" spans="3:12" x14ac:dyDescent="0.25">
      <c r="C1030" s="426">
        <v>570</v>
      </c>
      <c r="D1030" s="1103" t="s">
        <v>2034</v>
      </c>
      <c r="E1030" s="426" t="s">
        <v>372</v>
      </c>
      <c r="F1030" s="546" t="s">
        <v>1615</v>
      </c>
      <c r="G1030" s="546" t="s">
        <v>1616</v>
      </c>
      <c r="H1030" s="546" t="s">
        <v>1617</v>
      </c>
      <c r="I1030" s="546" t="s">
        <v>1076</v>
      </c>
    </row>
    <row r="1031" spans="3:12" x14ac:dyDescent="0.25">
      <c r="C1031" s="426">
        <v>571</v>
      </c>
      <c r="D1031" s="1103" t="s">
        <v>2035</v>
      </c>
      <c r="E1031" s="426" t="s">
        <v>372</v>
      </c>
      <c r="F1031" s="546" t="s">
        <v>1618</v>
      </c>
      <c r="G1031" s="546" t="s">
        <v>1619</v>
      </c>
      <c r="H1031" s="546" t="s">
        <v>1620</v>
      </c>
      <c r="I1031" s="546" t="s">
        <v>1076</v>
      </c>
      <c r="J1031" s="426" t="s">
        <v>174</v>
      </c>
    </row>
    <row r="1032" spans="3:12" x14ac:dyDescent="0.25">
      <c r="C1032" s="426">
        <v>572</v>
      </c>
      <c r="D1032" s="1103" t="s">
        <v>532</v>
      </c>
      <c r="E1032" s="426" t="s">
        <v>372</v>
      </c>
      <c r="F1032" s="546" t="s">
        <v>533</v>
      </c>
      <c r="G1032" s="546" t="s">
        <v>1621</v>
      </c>
      <c r="H1032" s="546" t="s">
        <v>1622</v>
      </c>
    </row>
    <row r="1033" spans="3:12" x14ac:dyDescent="0.25">
      <c r="C1033" s="426">
        <v>573</v>
      </c>
      <c r="D1033" s="1103" t="s">
        <v>799</v>
      </c>
      <c r="E1033" s="426" t="s">
        <v>372</v>
      </c>
      <c r="F1033" s="546" t="s">
        <v>788</v>
      </c>
      <c r="G1033" s="546" t="s">
        <v>1623</v>
      </c>
      <c r="H1033" s="546" t="s">
        <v>1624</v>
      </c>
      <c r="I1033" s="546" t="s">
        <v>1076</v>
      </c>
    </row>
    <row r="1034" spans="3:12" x14ac:dyDescent="0.25">
      <c r="C1034" s="426">
        <v>574</v>
      </c>
      <c r="D1034" s="1103" t="s">
        <v>1625</v>
      </c>
      <c r="E1034" s="426" t="s">
        <v>372</v>
      </c>
      <c r="F1034" s="546" t="s">
        <v>1626</v>
      </c>
      <c r="G1034" s="546" t="s">
        <v>1627</v>
      </c>
      <c r="H1034" s="546" t="s">
        <v>1628</v>
      </c>
      <c r="I1034" s="546" t="s">
        <v>1076</v>
      </c>
    </row>
    <row r="1035" spans="3:12" x14ac:dyDescent="0.25">
      <c r="C1035" s="426">
        <v>575</v>
      </c>
      <c r="D1035" s="1103" t="s">
        <v>1629</v>
      </c>
      <c r="E1035" s="426" t="s">
        <v>2023</v>
      </c>
      <c r="F1035" s="546" t="s">
        <v>1020</v>
      </c>
      <c r="G1035" s="546" t="s">
        <v>1630</v>
      </c>
      <c r="H1035" s="546" t="s">
        <v>1631</v>
      </c>
      <c r="I1035" s="546" t="s">
        <v>1632</v>
      </c>
      <c r="J1035" s="426" t="s">
        <v>1633</v>
      </c>
      <c r="K1035" s="426" t="s">
        <v>1634</v>
      </c>
      <c r="L1035" s="426" t="s">
        <v>1778</v>
      </c>
    </row>
    <row r="1036" spans="3:12" x14ac:dyDescent="0.25">
      <c r="C1036" s="426">
        <v>576</v>
      </c>
      <c r="D1036" s="1103" t="s">
        <v>1635</v>
      </c>
      <c r="E1036" s="426" t="s">
        <v>372</v>
      </c>
      <c r="F1036" s="546" t="s">
        <v>1636</v>
      </c>
      <c r="G1036" s="546" t="s">
        <v>1637</v>
      </c>
      <c r="H1036" s="546" t="s">
        <v>1638</v>
      </c>
      <c r="I1036" s="546" t="s">
        <v>1076</v>
      </c>
    </row>
    <row r="1037" spans="3:12" x14ac:dyDescent="0.25">
      <c r="C1037" s="426">
        <v>577</v>
      </c>
      <c r="D1037" s="1103" t="s">
        <v>2036</v>
      </c>
      <c r="E1037" s="426" t="s">
        <v>372</v>
      </c>
      <c r="F1037" s="546" t="s">
        <v>1639</v>
      </c>
      <c r="G1037" s="546" t="s">
        <v>1640</v>
      </c>
      <c r="H1037" s="546" t="s">
        <v>1641</v>
      </c>
      <c r="I1037" s="546" t="s">
        <v>1076</v>
      </c>
    </row>
    <row r="1038" spans="3:12" x14ac:dyDescent="0.25">
      <c r="C1038" s="426">
        <v>578</v>
      </c>
      <c r="D1038" s="1103" t="s">
        <v>1642</v>
      </c>
      <c r="E1038" s="426" t="s">
        <v>2023</v>
      </c>
      <c r="F1038" s="546" t="s">
        <v>1643</v>
      </c>
      <c r="G1038" s="546" t="s">
        <v>1644</v>
      </c>
      <c r="H1038" s="546" t="s">
        <v>1645</v>
      </c>
      <c r="I1038" s="546" t="s">
        <v>1646</v>
      </c>
      <c r="L1038" s="426" t="s">
        <v>1777</v>
      </c>
    </row>
    <row r="1039" spans="3:12" x14ac:dyDescent="0.25">
      <c r="C1039" s="426">
        <v>579</v>
      </c>
      <c r="D1039" s="1103" t="s">
        <v>1087</v>
      </c>
      <c r="E1039" s="426" t="s">
        <v>372</v>
      </c>
      <c r="F1039" s="546" t="s">
        <v>1084</v>
      </c>
      <c r="G1039" s="546" t="s">
        <v>1647</v>
      </c>
      <c r="H1039" s="546" t="s">
        <v>1648</v>
      </c>
      <c r="I1039" s="546" t="s">
        <v>1076</v>
      </c>
    </row>
    <row r="1040" spans="3:12" x14ac:dyDescent="0.25">
      <c r="C1040" s="426">
        <v>580</v>
      </c>
      <c r="D1040" s="1103" t="s">
        <v>1649</v>
      </c>
      <c r="E1040" s="426" t="s">
        <v>372</v>
      </c>
      <c r="F1040" s="546" t="s">
        <v>1650</v>
      </c>
      <c r="G1040" s="546" t="s">
        <v>1651</v>
      </c>
      <c r="H1040" s="546" t="s">
        <v>1652</v>
      </c>
      <c r="I1040" s="546" t="s">
        <v>1076</v>
      </c>
    </row>
    <row r="1041" spans="3:12" x14ac:dyDescent="0.25">
      <c r="C1041" s="426">
        <v>581</v>
      </c>
      <c r="D1041" s="1103" t="s">
        <v>613</v>
      </c>
      <c r="E1041" s="426" t="s">
        <v>372</v>
      </c>
      <c r="F1041" s="546" t="s">
        <v>614</v>
      </c>
      <c r="G1041" s="546" t="s">
        <v>1653</v>
      </c>
      <c r="H1041" s="546" t="s">
        <v>1654</v>
      </c>
      <c r="I1041" s="546" t="s">
        <v>1381</v>
      </c>
    </row>
    <row r="1042" spans="3:12" x14ac:dyDescent="0.25">
      <c r="C1042" s="426">
        <v>582</v>
      </c>
      <c r="D1042" s="1103" t="s">
        <v>1655</v>
      </c>
      <c r="E1042" s="426" t="s">
        <v>2023</v>
      </c>
      <c r="F1042" s="546" t="s">
        <v>575</v>
      </c>
      <c r="G1042" s="546" t="s">
        <v>1656</v>
      </c>
      <c r="H1042" s="546" t="s">
        <v>1657</v>
      </c>
      <c r="I1042" s="546" t="s">
        <v>1658</v>
      </c>
      <c r="L1042" s="426" t="s">
        <v>1777</v>
      </c>
    </row>
    <row r="1043" spans="3:12" x14ac:dyDescent="0.25">
      <c r="C1043" s="426">
        <v>583</v>
      </c>
      <c r="D1043" s="1103" t="s">
        <v>1147</v>
      </c>
      <c r="E1043" s="426" t="s">
        <v>372</v>
      </c>
      <c r="F1043" s="546" t="s">
        <v>1148</v>
      </c>
      <c r="G1043" s="546" t="s">
        <v>1149</v>
      </c>
      <c r="H1043" s="546" t="s">
        <v>1659</v>
      </c>
      <c r="I1043" s="546" t="s">
        <v>1381</v>
      </c>
    </row>
    <row r="1044" spans="3:12" x14ac:dyDescent="0.25">
      <c r="C1044" s="426">
        <v>584</v>
      </c>
      <c r="D1044" s="1103" t="s">
        <v>947</v>
      </c>
      <c r="E1044" s="426" t="s">
        <v>372</v>
      </c>
      <c r="F1044" s="546" t="s">
        <v>944</v>
      </c>
      <c r="G1044" s="546" t="s">
        <v>1660</v>
      </c>
      <c r="H1044" s="546" t="s">
        <v>1661</v>
      </c>
      <c r="I1044" s="546" t="s">
        <v>1076</v>
      </c>
    </row>
    <row r="1045" spans="3:12" x14ac:dyDescent="0.25">
      <c r="C1045" s="426">
        <v>585</v>
      </c>
      <c r="D1045" s="1103" t="s">
        <v>1662</v>
      </c>
      <c r="E1045" s="426" t="s">
        <v>372</v>
      </c>
      <c r="F1045" s="546" t="s">
        <v>1663</v>
      </c>
      <c r="G1045" s="546" t="s">
        <v>1664</v>
      </c>
      <c r="H1045" s="546" t="s">
        <v>1665</v>
      </c>
      <c r="I1045" s="546" t="s">
        <v>1076</v>
      </c>
    </row>
    <row r="1046" spans="3:12" x14ac:dyDescent="0.25">
      <c r="C1046" s="426">
        <v>586</v>
      </c>
      <c r="D1046" s="1103" t="s">
        <v>1666</v>
      </c>
      <c r="E1046" s="426" t="s">
        <v>372</v>
      </c>
      <c r="F1046" s="546" t="s">
        <v>1667</v>
      </c>
      <c r="G1046" s="546" t="s">
        <v>1668</v>
      </c>
      <c r="H1046" s="546" t="s">
        <v>1669</v>
      </c>
    </row>
    <row r="1047" spans="3:12" x14ac:dyDescent="0.25">
      <c r="C1047" s="426">
        <v>587</v>
      </c>
      <c r="D1047" s="1103" t="s">
        <v>1670</v>
      </c>
      <c r="E1047" s="426" t="s">
        <v>372</v>
      </c>
      <c r="F1047" s="546" t="s">
        <v>1487</v>
      </c>
      <c r="G1047" s="546" t="s">
        <v>1671</v>
      </c>
      <c r="H1047" s="546" t="s">
        <v>1672</v>
      </c>
      <c r="I1047" s="546" t="s">
        <v>1076</v>
      </c>
    </row>
    <row r="1048" spans="3:12" x14ac:dyDescent="0.25">
      <c r="C1048" s="426">
        <v>588</v>
      </c>
      <c r="D1048" s="1103" t="s">
        <v>1673</v>
      </c>
      <c r="E1048" s="426" t="s">
        <v>2023</v>
      </c>
      <c r="F1048" s="546" t="s">
        <v>1674</v>
      </c>
      <c r="G1048" s="546" t="s">
        <v>1675</v>
      </c>
      <c r="H1048" s="546" t="s">
        <v>1676</v>
      </c>
      <c r="I1048" s="546" t="s">
        <v>1677</v>
      </c>
      <c r="J1048" s="426" t="s">
        <v>1678</v>
      </c>
      <c r="K1048" s="426" t="s">
        <v>1679</v>
      </c>
      <c r="L1048" s="426" t="s">
        <v>1779</v>
      </c>
    </row>
    <row r="1049" spans="3:12" x14ac:dyDescent="0.25">
      <c r="C1049" s="426">
        <v>589</v>
      </c>
      <c r="D1049" s="1103" t="s">
        <v>1072</v>
      </c>
      <c r="E1049" s="426" t="s">
        <v>372</v>
      </c>
      <c r="F1049" s="546" t="s">
        <v>1073</v>
      </c>
      <c r="G1049" s="546" t="s">
        <v>1680</v>
      </c>
      <c r="H1049" s="546" t="s">
        <v>1681</v>
      </c>
      <c r="I1049" s="546" t="s">
        <v>1076</v>
      </c>
    </row>
    <row r="1050" spans="3:12" x14ac:dyDescent="0.25">
      <c r="C1050" s="426">
        <v>590</v>
      </c>
      <c r="D1050" s="1103" t="s">
        <v>1682</v>
      </c>
      <c r="E1050" s="426" t="s">
        <v>2023</v>
      </c>
      <c r="F1050" s="546" t="s">
        <v>1455</v>
      </c>
      <c r="G1050" s="546" t="s">
        <v>1683</v>
      </c>
      <c r="H1050" s="546" t="s">
        <v>1684</v>
      </c>
      <c r="I1050" s="546" t="s">
        <v>1685</v>
      </c>
      <c r="J1050" s="426" t="s">
        <v>1686</v>
      </c>
      <c r="K1050" s="426" t="s">
        <v>1687</v>
      </c>
      <c r="L1050" s="426" t="s">
        <v>1780</v>
      </c>
    </row>
    <row r="1051" spans="3:12" x14ac:dyDescent="0.25">
      <c r="C1051" s="426">
        <v>591</v>
      </c>
      <c r="D1051" s="1103" t="s">
        <v>1688</v>
      </c>
      <c r="E1051" s="426" t="s">
        <v>2023</v>
      </c>
      <c r="F1051" s="546" t="s">
        <v>1689</v>
      </c>
      <c r="G1051" s="546" t="s">
        <v>1690</v>
      </c>
      <c r="H1051" s="546" t="s">
        <v>1691</v>
      </c>
      <c r="I1051" s="546" t="s">
        <v>1598</v>
      </c>
      <c r="J1051" s="426" t="s">
        <v>1599</v>
      </c>
      <c r="K1051" s="426" t="s">
        <v>1600</v>
      </c>
      <c r="L1051" s="426" t="s">
        <v>1776</v>
      </c>
    </row>
    <row r="1052" spans="3:12" x14ac:dyDescent="0.25">
      <c r="C1052" s="426">
        <v>592</v>
      </c>
      <c r="D1052" s="1103" t="s">
        <v>1692</v>
      </c>
      <c r="E1052" s="426" t="s">
        <v>372</v>
      </c>
      <c r="F1052" s="546" t="s">
        <v>1693</v>
      </c>
      <c r="G1052" s="546" t="s">
        <v>1694</v>
      </c>
      <c r="H1052" s="546" t="s">
        <v>1695</v>
      </c>
      <c r="I1052" s="546" t="s">
        <v>1381</v>
      </c>
    </row>
    <row r="1053" spans="3:12" x14ac:dyDescent="0.25">
      <c r="C1053" s="426">
        <v>593</v>
      </c>
      <c r="D1053" s="1103" t="s">
        <v>2037</v>
      </c>
      <c r="E1053" s="426" t="s">
        <v>372</v>
      </c>
      <c r="F1053" s="546" t="s">
        <v>1696</v>
      </c>
      <c r="G1053" s="546" t="s">
        <v>1697</v>
      </c>
      <c r="H1053" s="546" t="s">
        <v>1698</v>
      </c>
      <c r="I1053" s="546" t="s">
        <v>1076</v>
      </c>
    </row>
    <row r="1054" spans="3:12" x14ac:dyDescent="0.25">
      <c r="C1054" s="426">
        <v>594</v>
      </c>
      <c r="D1054" s="1103" t="s">
        <v>1699</v>
      </c>
      <c r="E1054" s="426" t="s">
        <v>2023</v>
      </c>
      <c r="F1054" s="546" t="s">
        <v>1181</v>
      </c>
      <c r="G1054" s="546" t="s">
        <v>1700</v>
      </c>
      <c r="H1054" s="546" t="s">
        <v>1701</v>
      </c>
      <c r="I1054" s="546" t="s">
        <v>1702</v>
      </c>
      <c r="J1054" s="426" t="s">
        <v>1703</v>
      </c>
      <c r="K1054" s="426" t="s">
        <v>1704</v>
      </c>
      <c r="L1054" s="426" t="s">
        <v>1781</v>
      </c>
    </row>
    <row r="1055" spans="3:12" x14ac:dyDescent="0.25">
      <c r="C1055" s="426">
        <v>595</v>
      </c>
      <c r="D1055" s="1103" t="s">
        <v>1705</v>
      </c>
      <c r="E1055" s="426" t="s">
        <v>2023</v>
      </c>
      <c r="F1055" s="546" t="s">
        <v>1706</v>
      </c>
      <c r="G1055" s="546" t="s">
        <v>1707</v>
      </c>
      <c r="H1055" s="546" t="s">
        <v>662</v>
      </c>
      <c r="I1055" s="546" t="s">
        <v>1708</v>
      </c>
      <c r="L1055" s="426" t="s">
        <v>1782</v>
      </c>
    </row>
    <row r="1056" spans="3:12" x14ac:dyDescent="0.25">
      <c r="C1056" s="426">
        <v>596</v>
      </c>
      <c r="D1056" s="1103" t="s">
        <v>1792</v>
      </c>
      <c r="E1056" s="426" t="s">
        <v>372</v>
      </c>
      <c r="F1056" s="546" t="s">
        <v>1709</v>
      </c>
      <c r="G1056" s="546" t="s">
        <v>1710</v>
      </c>
      <c r="H1056" s="546" t="s">
        <v>1711</v>
      </c>
      <c r="I1056" s="546" t="s">
        <v>1381</v>
      </c>
      <c r="J1056" s="426" t="s">
        <v>1381</v>
      </c>
      <c r="K1056" s="426" t="s">
        <v>1381</v>
      </c>
    </row>
    <row r="1058" spans="3:11" x14ac:dyDescent="0.25">
      <c r="C1058" s="426">
        <v>999</v>
      </c>
      <c r="D1058" s="600" t="s">
        <v>2102</v>
      </c>
      <c r="E1058" s="598" t="s">
        <v>2102</v>
      </c>
      <c r="F1058" s="546" t="s">
        <v>533</v>
      </c>
      <c r="G1058" s="546" t="s">
        <v>1302</v>
      </c>
      <c r="H1058" s="546" t="s">
        <v>1303</v>
      </c>
      <c r="I1058" s="546" t="s">
        <v>174</v>
      </c>
      <c r="J1058" s="598" t="s">
        <v>174</v>
      </c>
      <c r="K1058" s="598" t="s">
        <v>174</v>
      </c>
    </row>
  </sheetData>
  <mergeCells count="17">
    <mergeCell ref="C137:D137"/>
    <mergeCell ref="C138:D138"/>
    <mergeCell ref="C139:D139"/>
    <mergeCell ref="C140:D140"/>
    <mergeCell ref="C141:D141"/>
    <mergeCell ref="C136:D136"/>
    <mergeCell ref="C14:D14"/>
    <mergeCell ref="C16:D16"/>
    <mergeCell ref="C17:C29"/>
    <mergeCell ref="C30:C32"/>
    <mergeCell ref="C38:C42"/>
    <mergeCell ref="C50:C51"/>
    <mergeCell ref="C54:C68"/>
    <mergeCell ref="C92:C94"/>
    <mergeCell ref="C119:D119"/>
    <mergeCell ref="C128:D128"/>
    <mergeCell ref="C133:D133"/>
  </mergeCells>
  <conditionalFormatting sqref="A1:B1 D1:G1 A2:E2 H2:I2 H7:I9 G9 A11:E12 H12:I12 I10 E6:I6 C201:D201 F201:AF201 A6:B10 E7:E10 C8:D10 A3:I5">
    <cfRule type="notContainsBlanks" dxfId="17" priority="14" stopIfTrue="1">
      <formula>LEN(TRIM(A1))&gt;0</formula>
    </cfRule>
  </conditionalFormatting>
  <conditionalFormatting sqref="C2">
    <cfRule type="containsText" dxfId="16" priority="13" stopIfTrue="1" operator="containsText" text="Placówka Partnerska">
      <formula>NOT(ISERROR(SEARCH("Placówka Partnerska",C2)))</formula>
    </cfRule>
  </conditionalFormatting>
  <conditionalFormatting sqref="C1">
    <cfRule type="notContainsBlanks" dxfId="15" priority="12" stopIfTrue="1">
      <formula>LEN(TRIM(C1))&gt;0</formula>
    </cfRule>
  </conditionalFormatting>
  <conditionalFormatting sqref="F7:G7">
    <cfRule type="notContainsBlanks" dxfId="14" priority="11" stopIfTrue="1">
      <formula>LEN(TRIM(F7))&gt;0</formula>
    </cfRule>
  </conditionalFormatting>
  <conditionalFormatting sqref="H10">
    <cfRule type="notContainsBlanks" dxfId="13" priority="10" stopIfTrue="1">
      <formula>LEN(TRIM(H10))&gt;0</formula>
    </cfRule>
  </conditionalFormatting>
  <conditionalFormatting sqref="F9">
    <cfRule type="notContainsBlanks" dxfId="12" priority="9" stopIfTrue="1">
      <formula>LEN(TRIM(F9))&gt;0</formula>
    </cfRule>
  </conditionalFormatting>
  <conditionalFormatting sqref="I11">
    <cfRule type="notContainsBlanks" dxfId="11" priority="8" stopIfTrue="1">
      <formula>LEN(TRIM(I11))&gt;0</formula>
    </cfRule>
  </conditionalFormatting>
  <conditionalFormatting sqref="H1:I1">
    <cfRule type="notContainsBlanks" dxfId="10" priority="7" stopIfTrue="1">
      <formula>LEN(TRIM(H1))&gt;0</formula>
    </cfRule>
  </conditionalFormatting>
  <conditionalFormatting sqref="F10">
    <cfRule type="notContainsBlanks" dxfId="9" priority="6" stopIfTrue="1">
      <formula>LEN(TRIM(F10))&gt;0</formula>
    </cfRule>
  </conditionalFormatting>
  <conditionalFormatting sqref="F11">
    <cfRule type="notContainsBlanks" dxfId="8" priority="5" stopIfTrue="1">
      <formula>LEN(TRIM(F11))&gt;0</formula>
    </cfRule>
  </conditionalFormatting>
  <conditionalFormatting sqref="G10:G11">
    <cfRule type="notContainsBlanks" dxfId="7" priority="4" stopIfTrue="1">
      <formula>LEN(TRIM(G10))&gt;0</formula>
    </cfRule>
  </conditionalFormatting>
  <conditionalFormatting sqref="D9:D10">
    <cfRule type="cellIs" dxfId="6" priority="3" stopIfTrue="1" operator="equal">
      <formula>0</formula>
    </cfRule>
  </conditionalFormatting>
  <conditionalFormatting sqref="D7">
    <cfRule type="containsText" dxfId="5" priority="2" operator="containsText" text="MOŻESZ DRUKOWAĆ TYLKO REPREZENTATYWNE PRZYKŁADY">
      <formula>NOT(ISERROR(SEARCH("MOŻESZ DRUKOWAĆ TYLKO REPREZENTATYWNE PRZYKŁADY",D7)))</formula>
    </cfRule>
  </conditionalFormatting>
  <conditionalFormatting sqref="AG201">
    <cfRule type="notContainsBlanks" dxfId="4" priority="1" stopIfTrue="1">
      <formula>LEN(TRIM(AG201))&gt;0</formula>
    </cfRule>
  </conditionalFormatting>
  <dataValidations count="8">
    <dataValidation type="list" allowBlank="1" showInputMessage="1" showErrorMessage="1" sqref="C203:C220" xr:uid="{00000000-0002-0000-1D00-000000000000}">
      <formula1>"2.Reprezentatywnego Przykładu"</formula1>
    </dataValidation>
    <dataValidation type="list" allowBlank="1" showInputMessage="1" showErrorMessage="1" sqref="C202" xr:uid="{00000000-0002-0000-1D00-000001000000}">
      <formula1>"1.Oferty dla Klienta"</formula1>
    </dataValidation>
    <dataValidation type="list" allowBlank="1" showInputMessage="1" showErrorMessage="1" sqref="I4:I5 Q203:Q218 U203:U218" xr:uid="{00000000-0002-0000-1D00-000002000000}">
      <formula1>"TAK,NIE,NieDotyczy"</formula1>
    </dataValidation>
    <dataValidation type="list" allowBlank="1" showInputMessage="1" showErrorMessage="1" sqref="I2 F203:F218" xr:uid="{00000000-0002-0000-1D00-000003000000}">
      <formula1>"Stałe,Zmienne"</formula1>
    </dataValidation>
    <dataValidation type="list" allowBlank="1" showInputMessage="1" showErrorMessage="1" sqref="I7 Z202:Z220" xr:uid="{00000000-0002-0000-1D00-000004000000}">
      <formula1>"TAK,NIE"</formula1>
    </dataValidation>
    <dataValidation type="list" allowBlank="1" showInputMessage="1" showErrorMessage="1" sqref="D5" xr:uid="{00000000-0002-0000-1D00-000005000000}">
      <formula1>"1.Oferty dla Klienta,2.Reprezentatywnego Przykładu"</formula1>
    </dataValidation>
    <dataValidation type="list" allowBlank="1" showInputMessage="1" showErrorMessage="1" sqref="D1" xr:uid="{00000000-0002-0000-1D00-000006000000}">
      <formula1>$C$598:$C$1058</formula1>
    </dataValidation>
    <dataValidation type="list" allowBlank="1" showInputMessage="1" showErrorMessage="1" sqref="D6" xr:uid="{00000000-0002-0000-1D00-000007000000}">
      <formula1>$D$203:$D$210</formula1>
    </dataValidation>
  </dataValidations>
  <hyperlinks>
    <hyperlink ref="D37" r:id="rId1" xr:uid="{00000000-0004-0000-1D00-000000000000}"/>
    <hyperlink ref="D125" r:id="rId2" xr:uid="{00000000-0004-0000-1D00-000001000000}"/>
  </hyperlinks>
  <printOptions horizontalCentered="1"/>
  <pageMargins left="0.47244094488188981" right="0.39370078740157483" top="0.78740157480314965" bottom="0.78740157480314965" header="0" footer="0.31496062992125984"/>
  <pageSetup paperSize="9" scale="87" fitToHeight="0" orientation="portrait" blackAndWhite="1" r:id="rId3"/>
  <headerFooter scaleWithDoc="0">
    <oddFooter>Strona &amp;P z &amp;N</oddFooter>
  </headerFooter>
  <rowBreaks count="1" manualBreakCount="1">
    <brk id="136" min="2" max="3" man="1"/>
  </rowBreaks>
  <drawing r:id="rId4"/>
  <legacyDrawing r:id="rId5"/>
  <mc:AlternateContent xmlns:mc="http://schemas.openxmlformats.org/markup-compatibility/2006">
    <mc:Choice Requires="x14">
      <controls>
        <mc:AlternateContent xmlns:mc="http://schemas.openxmlformats.org/markup-compatibility/2006">
          <mc:Choice Requires="x14">
            <control shapeId="61441" r:id="rId6" name="Button 1">
              <controlPr defaultSize="0" print="0" autoFill="0" autoPict="0" macro="[0]!PRZYCISKPowrotDoGlownegoARK" altText="POWRÓT">
                <anchor moveWithCells="1" sizeWithCells="1">
                  <from>
                    <xdr:col>3</xdr:col>
                    <xdr:colOff>850900</xdr:colOff>
                    <xdr:row>8</xdr:row>
                    <xdr:rowOff>146050</xdr:rowOff>
                  </from>
                  <to>
                    <xdr:col>3</xdr:col>
                    <xdr:colOff>3041650</xdr:colOff>
                    <xdr:row>11</xdr:row>
                    <xdr:rowOff>171450</xdr:rowOff>
                  </to>
                </anchor>
              </controlPr>
            </control>
          </mc:Choice>
        </mc:AlternateContent>
        <mc:AlternateContent xmlns:mc="http://schemas.openxmlformats.org/markup-compatibility/2006">
          <mc:Choice Requires="x14">
            <control shapeId="61442" r:id="rId7" name="Button 2">
              <controlPr defaultSize="0" print="0" autoFill="0" autoPict="0" macro="[0]!PrzyciskArkFormularzWydruk">
                <anchor moveWithCells="1" sizeWithCells="1">
                  <from>
                    <xdr:col>2</xdr:col>
                    <xdr:colOff>323850</xdr:colOff>
                    <xdr:row>8</xdr:row>
                    <xdr:rowOff>152400</xdr:rowOff>
                  </from>
                  <to>
                    <xdr:col>3</xdr:col>
                    <xdr:colOff>133350</xdr:colOff>
                    <xdr:row>12</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Arkusz9"/>
  <dimension ref="A1:I3"/>
  <sheetViews>
    <sheetView workbookViewId="0">
      <selection activeCell="A3" sqref="A3"/>
    </sheetView>
  </sheetViews>
  <sheetFormatPr defaultRowHeight="12.5" x14ac:dyDescent="0.25"/>
  <cols>
    <col min="1" max="1" width="50.453125" customWidth="1"/>
    <col min="2" max="2" width="15.7265625" customWidth="1"/>
    <col min="9" max="9" width="12" bestFit="1" customWidth="1"/>
  </cols>
  <sheetData>
    <row r="1" spans="1:9" x14ac:dyDescent="0.25">
      <c r="A1" s="409" t="str">
        <f>'DOD1'!I8&amp; " zł "</f>
        <v xml:space="preserve">1000 zł </v>
      </c>
      <c r="B1" t="str">
        <f>FIXED('DOD1'!I8,-1)&amp; " zł "</f>
        <v xml:space="preserve">1 000 zł </v>
      </c>
    </row>
    <row r="2" spans="1:9" x14ac:dyDescent="0.25">
      <c r="A2" t="s">
        <v>175</v>
      </c>
    </row>
    <row r="3" spans="1:9" x14ac:dyDescent="0.25">
      <c r="A3" t="str">
        <f>"Minimalna Kwota Wybranego Produktu "&amp;I3&amp; " zł. "</f>
        <v xml:space="preserve">Minimalna Kwota Wybranego Produktu 11111111111 zł. </v>
      </c>
      <c r="B3" t="str">
        <f>"Minimalna Kwota Wybranego Produktu "&amp;FIXED(I3,0)&amp; " zł. "</f>
        <v xml:space="preserve">Minimalna Kwota Wybranego Produktu 11 111 111 111 zł. </v>
      </c>
      <c r="I3">
        <v>11111111111</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Arkusz17"/>
  <dimension ref="A1:M32"/>
  <sheetViews>
    <sheetView zoomScale="90" zoomScaleNormal="90" workbookViewId="0">
      <selection activeCell="C33" sqref="C33"/>
    </sheetView>
  </sheetViews>
  <sheetFormatPr defaultColWidth="8.81640625" defaultRowHeight="12.5" x14ac:dyDescent="0.25"/>
  <cols>
    <col min="1" max="1" width="11.26953125" style="407" bestFit="1" customWidth="1"/>
    <col min="2" max="2" width="11.453125" style="407" bestFit="1" customWidth="1"/>
    <col min="3" max="5" width="11.26953125" style="407" bestFit="1" customWidth="1"/>
    <col min="6" max="6" width="9.7265625" style="407" bestFit="1" customWidth="1"/>
    <col min="7" max="8" width="11.26953125" style="407" bestFit="1" customWidth="1"/>
    <col min="9" max="16384" width="8.81640625" style="407"/>
  </cols>
  <sheetData>
    <row r="1" spans="1:9" s="1243" customFormat="1" ht="1.9" customHeight="1" x14ac:dyDescent="0.25">
      <c r="A1" s="1242" t="s">
        <v>2129</v>
      </c>
      <c r="B1" s="1242" t="str">
        <f>IF(RodzUbezp="Jednorazowe","Płatność Klienta -UBEZPIECZENIE
(dzień uruchomienia)","Płatność Klienta -UBEZPIECZENIE
(w "&amp;WERSJA2!D13&amp;" ratach ) ")</f>
        <v xml:space="preserve">Płatność Klienta -UBEZPIECZENIE
(w 48 ratach ) </v>
      </c>
      <c r="C1" s="1242" t="s">
        <v>2017</v>
      </c>
      <c r="D1" s="1242" t="s">
        <v>2018</v>
      </c>
      <c r="E1" s="1242" t="str">
        <f>+"Płatności Klienta 
KWOTA POŻYCZKI 
(w "&amp;WERSJA2!D13&amp;" ratach ) "</f>
        <v xml:space="preserve">Płatności Klienta 
KWOTA POŻYCZKI 
(w 48 ratach ) </v>
      </c>
      <c r="F1" s="1242" t="str">
        <f>+"Płatności Klienta 
ODSETKI
(w "&amp;WERSJA2!D13&amp;" ratach ) "</f>
        <v xml:space="preserve">Płatności Klienta 
ODSETKI
(w 48 ratach ) </v>
      </c>
      <c r="G1" s="1242" t="s">
        <v>2019</v>
      </c>
      <c r="H1" s="1243" t="s">
        <v>2020</v>
      </c>
    </row>
    <row r="2" spans="1:9" s="1246" customFormat="1" ht="4.1500000000000004" customHeight="1" x14ac:dyDescent="0.25">
      <c r="A2" s="1244">
        <f>WERSJA2!D16</f>
        <v>31000</v>
      </c>
      <c r="B2" s="1244">
        <f>RATY_OE!J27</f>
        <v>0</v>
      </c>
      <c r="C2" s="1244">
        <f>WERSJA2!J5</f>
        <v>0</v>
      </c>
      <c r="D2" s="1244">
        <f>WERSJA2!J16</f>
        <v>31000</v>
      </c>
      <c r="E2" s="1244">
        <f>A2</f>
        <v>31000</v>
      </c>
      <c r="F2" s="1244">
        <f ca="1">RATY_OE!G27</f>
        <v>5676.7000000000016</v>
      </c>
      <c r="G2" s="1244">
        <f>A2</f>
        <v>31000</v>
      </c>
      <c r="H2" s="1244">
        <f ca="1">A2+B2+F2</f>
        <v>36676.700000000004</v>
      </c>
      <c r="I2" s="1245"/>
    </row>
    <row r="3" spans="1:9" s="1246" customFormat="1" ht="22.15" customHeight="1" x14ac:dyDescent="0.25"/>
    <row r="32" spans="13:13" ht="20" x14ac:dyDescent="0.4">
      <c r="M32" s="1247" t="s">
        <v>2061</v>
      </c>
    </row>
  </sheetData>
  <sheetProtection formatCells="0"/>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6321" r:id="rId4" name="Button 1">
              <controlPr defaultSize="0" print="0" autoFill="0" autoPict="0" macro="[0]!PRZYCISKPowrotDoGlownegoARK">
                <anchor moveWithCells="1" sizeWithCells="1">
                  <from>
                    <xdr:col>4</xdr:col>
                    <xdr:colOff>57150</xdr:colOff>
                    <xdr:row>29</xdr:row>
                    <xdr:rowOff>146050</xdr:rowOff>
                  </from>
                  <to>
                    <xdr:col>7</xdr:col>
                    <xdr:colOff>533400</xdr:colOff>
                    <xdr:row>31</xdr:row>
                    <xdr:rowOff>209550</xdr:rowOff>
                  </to>
                </anchor>
              </controlPr>
            </control>
          </mc:Choice>
        </mc:AlternateContent>
        <mc:AlternateContent xmlns:mc="http://schemas.openxmlformats.org/markup-compatibility/2006">
          <mc:Choice Requires="x14">
            <control shapeId="56323" r:id="rId5" name="Button 3">
              <controlPr defaultSize="0" print="0" autoFill="0" autoPict="0" macro="[0]!PRZYCISKPowrotDoGlownegoARK">
                <anchor moveWithCells="1" sizeWithCells="1">
                  <from>
                    <xdr:col>3</xdr:col>
                    <xdr:colOff>527050</xdr:colOff>
                    <xdr:row>2</xdr:row>
                    <xdr:rowOff>146050</xdr:rowOff>
                  </from>
                  <to>
                    <xdr:col>7</xdr:col>
                    <xdr:colOff>393700</xdr:colOff>
                    <xdr:row>4</xdr:row>
                    <xdr:rowOff>57150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Arkusz5"/>
  <dimension ref="A1:X6"/>
  <sheetViews>
    <sheetView workbookViewId="0">
      <selection activeCell="H7" sqref="H7"/>
    </sheetView>
  </sheetViews>
  <sheetFormatPr defaultColWidth="9.1796875" defaultRowHeight="12.5" x14ac:dyDescent="0.25"/>
  <cols>
    <col min="1" max="1" width="27.453125" customWidth="1"/>
    <col min="2" max="2" width="24" customWidth="1"/>
    <col min="3" max="3" width="19" customWidth="1"/>
    <col min="4" max="4" width="20.81640625" bestFit="1" customWidth="1"/>
    <col min="5" max="5" width="7.1796875" customWidth="1"/>
    <col min="6" max="6" width="7.81640625" customWidth="1"/>
    <col min="7" max="7" width="14.7265625" bestFit="1" customWidth="1"/>
    <col min="8" max="8" width="18.54296875" customWidth="1"/>
    <col min="9" max="9" width="14.26953125" bestFit="1" customWidth="1"/>
    <col min="10" max="10" width="9.7265625" customWidth="1"/>
    <col min="11" max="11" width="13.81640625" customWidth="1"/>
    <col min="12" max="12" width="10.54296875" customWidth="1"/>
    <col min="13" max="13" width="21.1796875" customWidth="1"/>
    <col min="14" max="14" width="14.453125" customWidth="1"/>
    <col min="15" max="15" width="15.453125" customWidth="1"/>
    <col min="16" max="16" width="26.54296875" customWidth="1"/>
    <col min="17" max="17" width="16.26953125" customWidth="1"/>
    <col min="18" max="18" width="14.26953125" customWidth="1"/>
    <col min="19" max="19" width="24.1796875" customWidth="1"/>
    <col min="20" max="20" width="11.81640625" customWidth="1"/>
    <col min="21" max="21" width="9.7265625" bestFit="1" customWidth="1"/>
    <col min="22" max="22" width="8.81640625" customWidth="1"/>
  </cols>
  <sheetData>
    <row r="1" spans="1:24" ht="13.5" thickBot="1" x14ac:dyDescent="0.35">
      <c r="A1" s="1136" t="s">
        <v>2087</v>
      </c>
    </row>
    <row r="2" spans="1:24" s="49" customFormat="1" ht="52.5" thickBot="1" x14ac:dyDescent="0.3">
      <c r="A2" s="41" t="s">
        <v>8</v>
      </c>
      <c r="B2" s="42" t="s">
        <v>4</v>
      </c>
      <c r="C2" s="42" t="s">
        <v>9</v>
      </c>
      <c r="D2" s="43" t="s">
        <v>10</v>
      </c>
      <c r="E2" s="44" t="s">
        <v>12</v>
      </c>
      <c r="F2" s="62" t="s">
        <v>13</v>
      </c>
      <c r="G2" s="45" t="s">
        <v>48</v>
      </c>
      <c r="H2" s="65" t="s">
        <v>49</v>
      </c>
      <c r="I2" s="46" t="s">
        <v>50</v>
      </c>
      <c r="J2" s="47" t="s">
        <v>51</v>
      </c>
      <c r="K2" s="86" t="s">
        <v>81</v>
      </c>
      <c r="L2" s="121" t="s">
        <v>97</v>
      </c>
      <c r="M2" s="118" t="s">
        <v>96</v>
      </c>
      <c r="N2" s="125" t="s">
        <v>102</v>
      </c>
      <c r="O2" s="125" t="s">
        <v>103</v>
      </c>
      <c r="P2" s="48" t="s">
        <v>104</v>
      </c>
      <c r="R2" s="48" t="s">
        <v>111</v>
      </c>
      <c r="S2" s="48" t="s">
        <v>112</v>
      </c>
      <c r="T2" s="48" t="s">
        <v>110</v>
      </c>
      <c r="U2" s="48" t="s">
        <v>114</v>
      </c>
      <c r="V2" s="48" t="s">
        <v>129</v>
      </c>
    </row>
    <row r="3" spans="1:24" x14ac:dyDescent="0.25">
      <c r="A3" t="s">
        <v>7</v>
      </c>
      <c r="B3" t="s">
        <v>2038</v>
      </c>
      <c r="C3" t="s">
        <v>1</v>
      </c>
      <c r="D3" t="s">
        <v>2</v>
      </c>
      <c r="E3">
        <v>60</v>
      </c>
      <c r="F3" t="s">
        <v>2089</v>
      </c>
      <c r="G3">
        <v>800</v>
      </c>
      <c r="I3">
        <v>0</v>
      </c>
      <c r="K3">
        <v>1</v>
      </c>
      <c r="L3">
        <v>12</v>
      </c>
    </row>
    <row r="4" spans="1:24" ht="13.5" thickBot="1" x14ac:dyDescent="0.35">
      <c r="A4" s="1136" t="s">
        <v>2088</v>
      </c>
    </row>
    <row r="5" spans="1:24" s="337" customFormat="1" ht="52.5" customHeight="1" thickBot="1" x14ac:dyDescent="0.3">
      <c r="A5" s="324" t="s">
        <v>8</v>
      </c>
      <c r="B5" s="325" t="s">
        <v>4</v>
      </c>
      <c r="C5" s="325" t="s">
        <v>9</v>
      </c>
      <c r="D5" s="326" t="s">
        <v>10</v>
      </c>
      <c r="E5" s="326" t="s">
        <v>12</v>
      </c>
      <c r="F5" s="326" t="s">
        <v>168</v>
      </c>
      <c r="G5" s="1138" t="s">
        <v>6</v>
      </c>
      <c r="H5" s="1139" t="s">
        <v>5</v>
      </c>
      <c r="I5" s="328" t="s">
        <v>117</v>
      </c>
      <c r="J5" s="329" t="s">
        <v>91</v>
      </c>
      <c r="K5" s="330" t="s">
        <v>126</v>
      </c>
      <c r="L5" s="331" t="s">
        <v>28</v>
      </c>
      <c r="M5" s="331" t="s">
        <v>23</v>
      </c>
      <c r="N5" s="1140" t="s">
        <v>27</v>
      </c>
      <c r="O5" s="333" t="s">
        <v>29</v>
      </c>
      <c r="P5" s="334" t="s">
        <v>93</v>
      </c>
      <c r="Q5" s="332" t="s">
        <v>22</v>
      </c>
      <c r="R5" s="335" t="s">
        <v>30</v>
      </c>
      <c r="S5" s="336" t="s">
        <v>68</v>
      </c>
      <c r="T5" s="336" t="s">
        <v>165</v>
      </c>
      <c r="U5" s="361" t="s">
        <v>169</v>
      </c>
      <c r="V5" s="690" t="s">
        <v>1831</v>
      </c>
      <c r="W5" s="690" t="s">
        <v>1832</v>
      </c>
      <c r="X5" s="690" t="s">
        <v>1834</v>
      </c>
    </row>
    <row r="6" spans="1:24" x14ac:dyDescent="0.25">
      <c r="A6" t="s">
        <v>7</v>
      </c>
      <c r="B6" t="s">
        <v>2038</v>
      </c>
      <c r="C6" t="s">
        <v>1</v>
      </c>
      <c r="D6" t="s">
        <v>2</v>
      </c>
      <c r="E6">
        <v>84</v>
      </c>
      <c r="F6" t="s">
        <v>2089</v>
      </c>
      <c r="G6" s="1137">
        <v>0.1</v>
      </c>
      <c r="H6" s="1147">
        <v>0.24</v>
      </c>
      <c r="I6">
        <v>1000</v>
      </c>
      <c r="J6" t="s">
        <v>2090</v>
      </c>
      <c r="K6">
        <v>50000</v>
      </c>
      <c r="L6">
        <v>50000</v>
      </c>
      <c r="N6" s="1141">
        <v>2.7000000000000001E-3</v>
      </c>
      <c r="O6">
        <v>5000000</v>
      </c>
      <c r="S6" t="s">
        <v>173</v>
      </c>
      <c r="U6">
        <v>7.4999999999999997E-3</v>
      </c>
      <c r="V6">
        <v>60</v>
      </c>
      <c r="W6">
        <v>18000</v>
      </c>
    </row>
  </sheetData>
  <conditionalFormatting sqref="V5">
    <cfRule type="expression" dxfId="3" priority="4" stopIfTrue="1">
      <formula>ROW(V5)=_DOD1</formula>
    </cfRule>
  </conditionalFormatting>
  <conditionalFormatting sqref="W5">
    <cfRule type="expression" dxfId="2" priority="3" stopIfTrue="1">
      <formula>ROW(W5)=_DOD1</formula>
    </cfRule>
  </conditionalFormatting>
  <conditionalFormatting sqref="X5">
    <cfRule type="expression" dxfId="1" priority="2" stopIfTrue="1">
      <formula>ROW(X5)=_DOD1</formula>
    </cfRule>
  </conditionalFormatting>
  <conditionalFormatting sqref="A5:X5">
    <cfRule type="expression" dxfId="0" priority="1" stopIfTrue="1">
      <formula>ROW(A5)=DODZ</formula>
    </cfRule>
  </conditionalFormatting>
  <pageMargins left="0.7" right="0.7" top="0.75" bottom="0.75" header="0.3" footer="0.3"/>
  <legacy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Arkusz21"/>
  <dimension ref="A1:B8"/>
  <sheetViews>
    <sheetView zoomScale="110" zoomScaleNormal="110" workbookViewId="0">
      <selection activeCell="G14" sqref="G14"/>
    </sheetView>
  </sheetViews>
  <sheetFormatPr defaultRowHeight="12.5" x14ac:dyDescent="0.25"/>
  <sheetData>
    <row r="1" spans="1:2" ht="13" x14ac:dyDescent="0.3">
      <c r="A1" s="1466" t="s">
        <v>2180</v>
      </c>
    </row>
    <row r="2" spans="1:2" x14ac:dyDescent="0.25">
      <c r="A2" s="609" t="s">
        <v>2181</v>
      </c>
      <c r="B2" s="609" t="s">
        <v>2182</v>
      </c>
    </row>
    <row r="4" spans="1:2" ht="13" x14ac:dyDescent="0.3">
      <c r="A4" s="1466" t="s">
        <v>2183</v>
      </c>
    </row>
    <row r="5" spans="1:2" x14ac:dyDescent="0.25">
      <c r="A5" s="609" t="s">
        <v>2184</v>
      </c>
    </row>
    <row r="7" spans="1:2" x14ac:dyDescent="0.25">
      <c r="A7" s="1477">
        <f>'DOD1'!J47</f>
        <v>0</v>
      </c>
    </row>
    <row r="8" spans="1:2" x14ac:dyDescent="0.25">
      <c r="A8" s="1477">
        <f>'DOD1'!J50</f>
        <v>0</v>
      </c>
    </row>
  </sheetData>
  <pageMargins left="0.7" right="0.7" top="0.75" bottom="0.75" header="0.3" footer="0.3"/>
</worksheet>
</file>

<file path=docMetadata/LabelInfo.xml><?xml version="1.0" encoding="utf-8"?>
<clbl:labelList xmlns:clbl="http://schemas.microsoft.com/office/2020/mipLabelMetadata">
  <clbl:label id="{587b6ea1-3db9-4fe1-a9d7-85d4c64ce5cc}" enabled="0" method="" siteId="{587b6ea1-3db9-4fe1-a9d7-85d4c64ce5cc}" removed="1"/>
</clbl:labelLis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35</vt:i4>
      </vt:variant>
      <vt:variant>
        <vt:lpstr>Nazwane zakresy</vt:lpstr>
      </vt:variant>
      <vt:variant>
        <vt:i4>95</vt:i4>
      </vt:variant>
    </vt:vector>
  </HeadingPairs>
  <TitlesOfParts>
    <vt:vector size="130" baseType="lpstr">
      <vt:lpstr>WERSJA2</vt:lpstr>
      <vt:lpstr>Arkusz1</vt:lpstr>
      <vt:lpstr>POZYCZKA_DANE</vt:lpstr>
      <vt:lpstr>DOD1</vt:lpstr>
      <vt:lpstr>DODZ</vt:lpstr>
      <vt:lpstr>OPROCENTOWANIE</vt:lpstr>
      <vt:lpstr>Korzyści Bezp Poż Gold Plus</vt:lpstr>
      <vt:lpstr>Korzyści Bezp Poż Silver_Plus</vt:lpstr>
      <vt:lpstr>Korzyści Pakiet Srebrny</vt:lpstr>
      <vt:lpstr>Korzyści Pakiet Złoty</vt:lpstr>
      <vt:lpstr>wskaz</vt:lpstr>
      <vt:lpstr>Miesieczne Obciazenia</vt:lpstr>
      <vt:lpstr>zdolnosc_dane</vt:lpstr>
      <vt:lpstr>TestyOfert</vt:lpstr>
      <vt:lpstr>RATY_OE</vt:lpstr>
      <vt:lpstr>HARMONOGRAM</vt:lpstr>
      <vt:lpstr>WzoryZalozenia</vt:lpstr>
      <vt:lpstr>DccOfertownik</vt:lpstr>
      <vt:lpstr>PreOfertownik</vt:lpstr>
      <vt:lpstr>F_SKROCONY</vt:lpstr>
      <vt:lpstr>Raty_RRSO_kred</vt:lpstr>
      <vt:lpstr>Raty_RRSO</vt:lpstr>
      <vt:lpstr>Raty_RRSO (+3)</vt:lpstr>
      <vt:lpstr>Raty_RRSO (+4)</vt:lpstr>
      <vt:lpstr>Raty_RRSO (+różnica)</vt:lpstr>
      <vt:lpstr>Raty_RRSO (+5)</vt:lpstr>
      <vt:lpstr>Raty_RRSO (+10)</vt:lpstr>
      <vt:lpstr>Raty_RRSO (+15)</vt:lpstr>
      <vt:lpstr>FORMULARZ</vt:lpstr>
      <vt:lpstr>FORM WYDRUK</vt:lpstr>
      <vt:lpstr>FORMULARZ (2)</vt:lpstr>
      <vt:lpstr>cwiczenia</vt:lpstr>
      <vt:lpstr>WIZUALIZACJA</vt:lpstr>
      <vt:lpstr>testowy</vt:lpstr>
      <vt:lpstr>pomocniczy</vt:lpstr>
      <vt:lpstr>adres_siedziby_posrednika</vt:lpstr>
      <vt:lpstr>APLIKACJA</vt:lpstr>
      <vt:lpstr>bufor</vt:lpstr>
      <vt:lpstr>DccStatusKliUproszcz</vt:lpstr>
      <vt:lpstr>dochod_netto</vt:lpstr>
      <vt:lpstr>RATY_OE!DzNietySpl</vt:lpstr>
      <vt:lpstr>FORMULARZ!FKredytowanaProwizja</vt:lpstr>
      <vt:lpstr>'FORMULARZ (2)'!FKredytowanaProwizja</vt:lpstr>
      <vt:lpstr>FORMULARZ!FKredytowaneSkladowe</vt:lpstr>
      <vt:lpstr>'FORMULARZ (2)'!FKredytowaneSkladowe</vt:lpstr>
      <vt:lpstr>FORMULARZ!FkredytowaneUbezpiecz</vt:lpstr>
      <vt:lpstr>'FORMULARZ (2)'!FkredytowaneUbezpiecz</vt:lpstr>
      <vt:lpstr>'FORM WYDRUK'!FRodzajPlacowki</vt:lpstr>
      <vt:lpstr>FORMULARZ!FRodzajPlacowki</vt:lpstr>
      <vt:lpstr>'FORMULARZ (2)'!FRodzajPlacowki</vt:lpstr>
      <vt:lpstr>F_SKROCONY!FWartOproc</vt:lpstr>
      <vt:lpstr>'FORMULARZ (2)'!FWartOproc</vt:lpstr>
      <vt:lpstr>FWartOproc</vt:lpstr>
      <vt:lpstr>'FORMULARZ (2)'!FWartRRSO</vt:lpstr>
      <vt:lpstr>FWartRRSO</vt:lpstr>
      <vt:lpstr>FORMULARZ!FWymagZabezpiecz</vt:lpstr>
      <vt:lpstr>'FORMULARZ (2)'!FWymagZabezpiecz</vt:lpstr>
      <vt:lpstr>ilosc_osob</vt:lpstr>
      <vt:lpstr>inne_obciazenia_o</vt:lpstr>
      <vt:lpstr>kredyty_krajowe</vt:lpstr>
      <vt:lpstr>kredyty_obce</vt:lpstr>
      <vt:lpstr>KwBrutto</vt:lpstr>
      <vt:lpstr>KwNaReke</vt:lpstr>
      <vt:lpstr>KwPoz</vt:lpstr>
      <vt:lpstr>L_RAT_DlaWnioskProd</vt:lpstr>
      <vt:lpstr>RATY_OE!LiczDniDo1RatyMAX</vt:lpstr>
      <vt:lpstr>RATY_OE!LiczDniDo1RatyMIN</vt:lpstr>
      <vt:lpstr>limity</vt:lpstr>
      <vt:lpstr>Lr</vt:lpstr>
      <vt:lpstr>LRat</vt:lpstr>
      <vt:lpstr>'Raty_RRSO (+10)'!MAX_</vt:lpstr>
      <vt:lpstr>'Raty_RRSO (+15)'!MAX_</vt:lpstr>
      <vt:lpstr>'Raty_RRSO (+3)'!MAX_</vt:lpstr>
      <vt:lpstr>'Raty_RRSO (+4)'!MAX_</vt:lpstr>
      <vt:lpstr>'Raty_RRSO (+5)'!MAX_</vt:lpstr>
      <vt:lpstr>'Raty_RRSO (+różnica)'!MAX_</vt:lpstr>
      <vt:lpstr>Raty_RRSO_kred!MAX_</vt:lpstr>
      <vt:lpstr>MAX_</vt:lpstr>
      <vt:lpstr>max_kwota_oferty</vt:lpstr>
      <vt:lpstr>F_SKROCONY!MIN</vt:lpstr>
      <vt:lpstr>'Raty_RRSO (+10)'!MIN</vt:lpstr>
      <vt:lpstr>'Raty_RRSO (+15)'!MIN</vt:lpstr>
      <vt:lpstr>'Raty_RRSO (+3)'!MIN</vt:lpstr>
      <vt:lpstr>'Raty_RRSO (+4)'!MIN</vt:lpstr>
      <vt:lpstr>'Raty_RRSO (+5)'!MIN</vt:lpstr>
      <vt:lpstr>'Raty_RRSO (+różnica)'!MIN</vt:lpstr>
      <vt:lpstr>Raty_RRSO_kred!MIN</vt:lpstr>
      <vt:lpstr>MIN</vt:lpstr>
      <vt:lpstr>nazwa_posrednika</vt:lpstr>
      <vt:lpstr>'FORM WYDRUK'!Obszar_wydruku</vt:lpstr>
      <vt:lpstr>FORMULARZ!Obszar_wydruku</vt:lpstr>
      <vt:lpstr>'FORMULARZ (2)'!Obszar_wydruku</vt:lpstr>
      <vt:lpstr>HARMONOGRAM!Obszar_wydruku</vt:lpstr>
      <vt:lpstr>Raty_RRSO!Obszar_wydruku</vt:lpstr>
      <vt:lpstr>'Raty_RRSO (+10)'!Obszar_wydruku</vt:lpstr>
      <vt:lpstr>'Raty_RRSO (+15)'!Obszar_wydruku</vt:lpstr>
      <vt:lpstr>'Raty_RRSO (+3)'!Obszar_wydruku</vt:lpstr>
      <vt:lpstr>'Raty_RRSO (+4)'!Obszar_wydruku</vt:lpstr>
      <vt:lpstr>'Raty_RRSO (+5)'!Obszar_wydruku</vt:lpstr>
      <vt:lpstr>'Raty_RRSO (+różnica)'!Obszar_wydruku</vt:lpstr>
      <vt:lpstr>Raty_RRSO_kred!Obszar_wydruku</vt:lpstr>
      <vt:lpstr>OE_oproc</vt:lpstr>
      <vt:lpstr>OE_RP_raty</vt:lpstr>
      <vt:lpstr>OE_RP_rrso</vt:lpstr>
      <vt:lpstr>OE_wynikRRSO</vt:lpstr>
      <vt:lpstr>Op</vt:lpstr>
      <vt:lpstr>PLATNOSC_UBEZPIECZ</vt:lpstr>
      <vt:lpstr>PMT_</vt:lpstr>
      <vt:lpstr>pot_brutto</vt:lpstr>
      <vt:lpstr>pot_netto</vt:lpstr>
      <vt:lpstr>potencjal_kred</vt:lpstr>
      <vt:lpstr>PreStatusKli</vt:lpstr>
      <vt:lpstr>PreStatusKliUproszcz</vt:lpstr>
      <vt:lpstr>printarea</vt:lpstr>
      <vt:lpstr>prowizja_kredytowana</vt:lpstr>
      <vt:lpstr>RodzUbezp</vt:lpstr>
      <vt:lpstr>SOWK_wynikRRSO</vt:lpstr>
      <vt:lpstr>suma_kredyty_krajowe</vt:lpstr>
      <vt:lpstr>suma_kredyty_obce</vt:lpstr>
      <vt:lpstr>suma_limity</vt:lpstr>
      <vt:lpstr>suma_zobowiazan_w</vt:lpstr>
      <vt:lpstr>WDochNETTO</vt:lpstr>
      <vt:lpstr>F_SKROCONY!Wgd</vt:lpstr>
      <vt:lpstr>Wgd</vt:lpstr>
      <vt:lpstr>WskazZdolnosc</vt:lpstr>
      <vt:lpstr>wsp_ubezp_wybranejOfe</vt:lpstr>
      <vt:lpstr>wydatki_gospodarstwa</vt:lpstr>
      <vt:lpstr>Zdolnosc_2zl</vt:lpstr>
      <vt:lpstr>zdolnosc_kredytowa</vt:lpstr>
      <vt:lpstr>ZK</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