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alcChain+xml" PartName="/xl/calcChain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drawing+xml" PartName="/xl/drawings/drawing1.xml"/>
  <Override ContentType="application/vnd.openxmlformats-officedocument.spreadsheetml.sheetMetadata+xml" PartName="/xl/metadata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theme+xml" PartName="/xl/theme/theme1.xml"/>
  <Override ContentType="application/vnd.ms-excel.sheet.macroEnabled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W:\TKH\CAHIU\Scrum 1 - Tomek Zimka\Nasze Zadania\zTK\Kalkulatory SP\"/>
    </mc:Choice>
  </mc:AlternateContent>
  <xr:revisionPtr revIDLastSave="0" documentId="13_ncr:1_{74DC2091-BC5B-4103-BC98-699B8D842FED}" xr6:coauthVersionLast="47" xr6:coauthVersionMax="47" xr10:uidLastSave="{00000000-0000-0000-0000-000000000000}"/>
  <workbookProtection workbookAlgorithmName="SHA-512" workbookHashValue="CS5ADlk8shi2/Konpo73WAcx3KBKe9VFdrlxzX7ptznhl78JzwYSuiq+fdtxjsLHpRcj+0z3PuwSmrbHvqqSGg==" workbookSaltValue="BRl7f3zwv4+D8KUt3JrYFQ==" workbookSpinCount="100000" lockStructure="1"/>
  <bookViews>
    <workbookView xWindow="-120" yWindow="-120" windowWidth="29040" windowHeight="17520" xr2:uid="{00000000-000D-0000-FFFF-FFFF00000000}"/>
  </bookViews>
  <sheets>
    <sheet name="Symulacja dochodu" sheetId="1" r:id="rId1"/>
    <sheet name="Wyliczenia" sheetId="3" state="hidden" r:id="rId2"/>
    <sheet name="LogikaFrontowa" sheetId="4" state="hidden" r:id="rId3"/>
    <sheet name="HistoriaZmian" sheetId="5" state="hidden" r:id="rId4"/>
  </sheets>
  <definedNames>
    <definedName name="miesiac">IF(LogikaFrontowa!$H$3="Cały rok",IF(MONTH(LogikaFrontowa!$C$3)&lt;=4,LogikaFrontowa!$O$3,IF(OR(DAY(LogikaFrontowa!$C$3)&gt;20,AND(DAY(LogikaFrontowa!$C$3)&lt;21,YEAR(LogikaFrontowa!$C$3)-YEAR(LogikaFrontowa!$C$5)=2,MONTH(LogikaFrontowa!$C$3)=MONTH(LogikaFrontowa!$C$5))),LogikaFrontowa!$M$5,LogikaFrontowa!$M$5:$M$6)),IF(OR(DAY(LogikaFrontowa!$C$3)&gt;20,AND(DAY(LogikaFrontowa!$C$3)&lt;21,YEAR(LogikaFrontowa!$C$3)-YEAR(LogikaFrontowa!$C$5)=2,MONTH(LogikaFrontowa!$C$3)=MONTH(LogikaFrontowa!$C$5))),LogikaFrontowa!$M$5,LogikaFrontowa!$M$5:$M$6)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4" i="3" l="1"/>
  <c r="B29" i="1" l="1"/>
  <c r="B15" i="1"/>
  <c r="B22" i="1"/>
  <c r="B31" i="1"/>
  <c r="B24" i="1"/>
  <c r="B17" i="1"/>
  <c r="B15" i="3" l="1"/>
  <c r="B9" i="3"/>
  <c r="B3" i="3"/>
  <c r="B10" i="1" l="1"/>
  <c r="C3" i="4" l="1"/>
  <c r="C8" i="4"/>
  <c r="C5" i="4"/>
  <c r="C13" i="4"/>
  <c r="J2" i="4" l="1"/>
  <c r="M19" i="4" s="1"/>
  <c r="H2" i="4"/>
  <c r="H3" i="4" s="1"/>
  <c r="I2" i="4"/>
  <c r="I3" i="4" s="1"/>
  <c r="C6" i="4"/>
  <c r="C7" i="4"/>
  <c r="AC3" i="4"/>
  <c r="AC4" i="4" s="1"/>
  <c r="AC5" i="4" s="1"/>
  <c r="K4" i="4"/>
  <c r="C9" i="4"/>
  <c r="B5" i="3" s="1"/>
  <c r="L4" i="4"/>
  <c r="C4" i="4"/>
  <c r="D9" i="4" l="1"/>
  <c r="C10" i="4"/>
  <c r="B11" i="3" s="1"/>
  <c r="M18" i="4"/>
  <c r="M20" i="4"/>
  <c r="C11" i="4" s="1"/>
  <c r="B17" i="3" s="1"/>
  <c r="F6" i="4"/>
  <c r="M4" i="4"/>
  <c r="L5" i="4"/>
  <c r="C12" i="4" l="1"/>
  <c r="L6" i="4"/>
  <c r="M6" i="4" s="1"/>
  <c r="M5" i="4"/>
  <c r="O16" i="4" s="1" a="1"/>
  <c r="O16" i="4" s="1"/>
  <c r="D15" i="3" l="1"/>
  <c r="A15" i="3"/>
  <c r="D9" i="3"/>
  <c r="A9" i="3"/>
  <c r="A3" i="3"/>
  <c r="D3" i="3" l="1"/>
  <c r="B16" i="3" l="1"/>
  <c r="B10" i="3"/>
  <c r="B4" i="3"/>
  <c r="B27" i="1"/>
  <c r="B20" i="1"/>
  <c r="B13" i="1"/>
  <c r="B18" i="3" l="1"/>
  <c r="B12" i="3"/>
  <c r="B6" i="3"/>
  <c r="L9" i="3"/>
  <c r="B19" i="3"/>
  <c r="B13" i="3"/>
  <c r="B7" i="3"/>
  <c r="H10" i="3" l="1"/>
  <c r="E35" i="3"/>
  <c r="H11" i="3"/>
  <c r="H9" i="3"/>
  <c r="D27" i="3" s="1"/>
  <c r="D35" i="3"/>
  <c r="D34" i="3"/>
  <c r="E34" i="3"/>
  <c r="D33" i="3"/>
  <c r="E33" i="3"/>
  <c r="K9" i="3"/>
  <c r="Q9" i="3"/>
  <c r="P28" i="3"/>
  <c r="P20" i="3"/>
  <c r="C11" i="1"/>
  <c r="E3" i="3" l="1"/>
  <c r="D4" i="3" s="1"/>
  <c r="B27" i="3"/>
  <c r="C18" i="1"/>
  <c r="S9" i="3" l="1"/>
  <c r="M9" i="3"/>
  <c r="P9" i="3"/>
  <c r="C25" i="1"/>
  <c r="Q10" i="3" l="1"/>
  <c r="P29" i="3"/>
  <c r="P30" i="3" s="1"/>
  <c r="Q11" i="3"/>
  <c r="K10" i="3"/>
  <c r="L10" i="3"/>
  <c r="M28" i="3" s="1"/>
  <c r="D28" i="3"/>
  <c r="D24" i="3" s="1"/>
  <c r="P21" i="3"/>
  <c r="K29" i="3" l="1"/>
  <c r="L29" i="3"/>
  <c r="E9" i="3"/>
  <c r="K28" i="3"/>
  <c r="B21" i="3"/>
  <c r="L11" i="3"/>
  <c r="P22" i="3"/>
  <c r="P23" i="3" s="1"/>
  <c r="Q12" i="3"/>
  <c r="M29" i="3"/>
  <c r="B28" i="3"/>
  <c r="L28" i="3"/>
  <c r="K11" i="3"/>
  <c r="B24" i="3" l="1"/>
  <c r="S10" i="3"/>
  <c r="D10" i="3"/>
  <c r="E15" i="3"/>
  <c r="S11" i="3" s="1"/>
  <c r="P10" i="3"/>
  <c r="M10" i="3"/>
  <c r="H4" i="3"/>
  <c r="O32" i="3"/>
  <c r="K30" i="3"/>
  <c r="M20" i="3"/>
  <c r="H12" i="3"/>
  <c r="K21" i="3"/>
  <c r="K20" i="3"/>
  <c r="H13" i="3"/>
  <c r="B29" i="3"/>
  <c r="L20" i="3"/>
  <c r="P11" i="3" l="1"/>
  <c r="H14" i="3"/>
  <c r="M11" i="3"/>
  <c r="M13" i="3" s="1"/>
  <c r="D16" i="3"/>
  <c r="M21" i="3"/>
  <c r="K22" i="3"/>
  <c r="L21" i="3"/>
  <c r="M12" i="3" l="1"/>
  <c r="M14" i="3" s="1"/>
  <c r="O22" i="3"/>
  <c r="O20" i="3"/>
  <c r="O28" i="3"/>
  <c r="O21" i="3"/>
  <c r="O29" i="3"/>
  <c r="L22" i="3"/>
  <c r="L30" i="3"/>
  <c r="O30" i="3" l="1"/>
  <c r="O23" i="3"/>
  <c r="S12" i="3"/>
  <c r="P12" i="3"/>
  <c r="P14" i="3"/>
  <c r="P13" i="3"/>
  <c r="I5" i="3" l="1"/>
  <c r="C3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Micek, J. (Jerzy)</author>
  </authors>
  <commentList>
    <comment ref="M8" authorId="0" shapeId="0" xr:uid="{00000000-0006-0000-0100-000001000000}">
      <text>
        <r>
          <rPr>
            <sz val="9"/>
            <color indexed="81"/>
            <rFont val="Tahoma"/>
            <family val="2"/>
            <charset val="238"/>
          </rPr>
          <t xml:space="preserve">
Dane uwzględniane w wyliczeniu zdolności
</t>
        </r>
        <r>
          <rPr>
            <b/>
            <sz val="9"/>
            <color indexed="81"/>
            <rFont val="Tahoma"/>
            <family val="2"/>
            <charset val="238"/>
          </rPr>
          <t>UW &lt;= UAPL</t>
        </r>
        <r>
          <rPr>
            <sz val="9"/>
            <color indexed="81"/>
            <rFont val="Tahoma"/>
            <family val="2"/>
            <charset val="238"/>
          </rPr>
          <t xml:space="preserve"> - Dp wyliczony na podstawie danych przedstawionych przez właściciela / wspólnika
</t>
        </r>
        <r>
          <rPr>
            <b/>
            <sz val="9"/>
            <color indexed="81"/>
            <rFont val="Tahoma"/>
            <family val="2"/>
            <charset val="238"/>
          </rPr>
          <t>UW &gt; UAPL</t>
        </r>
        <r>
          <rPr>
            <sz val="9"/>
            <color indexed="81"/>
            <rFont val="Tahoma"/>
            <family val="2"/>
            <charset val="238"/>
          </rPr>
          <t xml:space="preserve"> - Skorygowanie Dp do akceptowalnego przez Bank poziomu Dp = UAPL * P
// Oblicz rentowność dla wniosku
float profitabilityForApplication;
if (revenue &gt; 0) {
    profitabilityForApplication = (income / revenue) * 100;
} else {
    profitabilityForApplication = (float) (income / 0.01) * 100;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Micek, J. (Jerzy)</author>
  </authors>
  <commentList>
    <comment ref="AC2" authorId="0" shapeId="0" xr:uid="{00000000-0006-0000-0200-000001000000}">
      <text>
        <r>
          <rPr>
            <sz val="9"/>
            <color indexed="81"/>
            <rFont val="Tahoma"/>
            <family val="2"/>
            <charset val="238"/>
          </rPr>
          <t xml:space="preserve">Pola na symulacji: C10; C16; C22
</t>
        </r>
      </text>
    </comment>
    <comment ref="H3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Micek, J. (Jerzy):</t>
        </r>
        <r>
          <rPr>
            <sz val="9"/>
            <color indexed="81"/>
            <rFont val="Tahoma"/>
            <family val="2"/>
            <charset val="238"/>
          </rPr>
          <t xml:space="preserve">
do 1.05.2022 zawsze wymagamy aby działalność była porwadzna cały rok. Przywrócenie opcji "Nie cały rok" od 01.05. 
Do przywrócenia formuła: =JEŻELI(C5&lt;=H2;AE3;AE4)</t>
        </r>
      </text>
    </comment>
    <comment ref="B13" authorId="0" shapeId="0" xr:uid="{00000000-0006-0000-0200-000003000000}">
      <text>
        <r>
          <rPr>
            <sz val="9"/>
            <color indexed="81"/>
            <rFont val="Tahoma"/>
            <family val="2"/>
            <charset val="238"/>
          </rPr>
          <t>Dla wersji dla CLT - nowe zasady
Dla wersji dla SCAWK - stare zasady
Pole ukryte na froncie</t>
        </r>
      </text>
    </comment>
    <comment ref="K18" authorId="0" shapeId="0" xr:uid="{00000000-0006-0000-0200-000004000000}">
      <text>
        <r>
          <rPr>
            <sz val="9"/>
            <color indexed="81"/>
            <rFont val="Tahoma"/>
            <family val="2"/>
            <charset val="238"/>
          </rPr>
          <t xml:space="preserve">Formatowanie warunkowe dotyczące danych za określony rok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<sst xmlns="http://schemas.openxmlformats.org/spreadsheetml/2006/main" count="199" uniqueCount="150">
  <si>
    <t>białe pola należy wypełnić / wybrać pozycję z listy rozwijanej</t>
  </si>
  <si>
    <t>Nie cały rok</t>
  </si>
  <si>
    <t>październik</t>
  </si>
  <si>
    <t>Przychody za bieżący rok</t>
  </si>
  <si>
    <t>Koszty za bieżący rok</t>
  </si>
  <si>
    <t>Amortyzacja (miesiące roku bieżącego)</t>
  </si>
  <si>
    <t>Przychody za ubiegły rok</t>
  </si>
  <si>
    <t>Koszty za ubiegły rok</t>
  </si>
  <si>
    <t>Amortyzacja (ubiegły rok)</t>
  </si>
  <si>
    <t>Dochód firmy:</t>
  </si>
  <si>
    <t>Cały rok</t>
  </si>
  <si>
    <t>Forma opodatkowania</t>
  </si>
  <si>
    <t>Informatyka</t>
  </si>
  <si>
    <t>Branża</t>
  </si>
  <si>
    <t>Książka Przychodów i Rozchodów / Pełna księgowość</t>
  </si>
  <si>
    <t xml:space="preserve">SEGMENT CLN i MTG - wysokość parametru U dla poszczególnych branż: </t>
  </si>
  <si>
    <t>parametr U [%]</t>
  </si>
  <si>
    <t>Rolnictwo</t>
  </si>
  <si>
    <t>Przemysł, Produkcja</t>
  </si>
  <si>
    <t>Budownictwo</t>
  </si>
  <si>
    <t xml:space="preserve">Handel </t>
  </si>
  <si>
    <t>Transport</t>
  </si>
  <si>
    <t>Usługi finansowe, Ubezpieczenia</t>
  </si>
  <si>
    <t>Usługi (inne)</t>
  </si>
  <si>
    <t>Telekomunikacja</t>
  </si>
  <si>
    <t>Edukacja</t>
  </si>
  <si>
    <t>Opieka zdrowotna</t>
  </si>
  <si>
    <t>Inna</t>
  </si>
  <si>
    <t>dzień</t>
  </si>
  <si>
    <t>miesiąc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</si>
  <si>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</si>
  <si>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</si>
  <si>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</si>
  <si>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</si>
  <si>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</si>
  <si>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</si>
  <si>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</si>
  <si>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</si>
  <si>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</si>
  <si>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listopad</t>
  </si>
  <si>
    <t>grudzień</t>
  </si>
  <si>
    <t xml:space="preserve">         Kalkulator symulacji dochodu dla Przedsiębiorców </t>
  </si>
  <si>
    <t>Pbr</t>
  </si>
  <si>
    <t>Kbr</t>
  </si>
  <si>
    <t>Abr</t>
  </si>
  <si>
    <t>Pubr</t>
  </si>
  <si>
    <t>Kubr</t>
  </si>
  <si>
    <t>Aubr</t>
  </si>
  <si>
    <t>Pdlw</t>
  </si>
  <si>
    <t>Kdlw</t>
  </si>
  <si>
    <t>Adlw</t>
  </si>
  <si>
    <t>pl- br</t>
  </si>
  <si>
    <t>pl - ubr</t>
  </si>
  <si>
    <t>pl - dlw</t>
  </si>
  <si>
    <t>Dane za rok:</t>
  </si>
  <si>
    <t>Dane dwa lata wstecz (dlw)</t>
  </si>
  <si>
    <t>Dane ubiegły rok (ubr)</t>
  </si>
  <si>
    <t>Dochód</t>
  </si>
  <si>
    <t>Dane bieżący rok (br)</t>
  </si>
  <si>
    <t>Trend Dochodu</t>
  </si>
  <si>
    <t>Wyliczenie trendu</t>
  </si>
  <si>
    <t>ŚrDubrdwl</t>
  </si>
  <si>
    <t>Dp</t>
  </si>
  <si>
    <t>Dochód:</t>
  </si>
  <si>
    <t>Rentowność</t>
  </si>
  <si>
    <t>Uw</t>
  </si>
  <si>
    <t>Uapl</t>
  </si>
  <si>
    <t xml:space="preserve">Przychód </t>
  </si>
  <si>
    <t xml:space="preserve">Dochód </t>
  </si>
  <si>
    <t>Ryczał / Karta</t>
  </si>
  <si>
    <t>KPiR / Pełna księgowość</t>
  </si>
  <si>
    <t>Najbardziej aktualne dane finansowe za miesiąc:</t>
  </si>
  <si>
    <t>Okres prowadzenia działalności &lt; 24</t>
  </si>
  <si>
    <t>Zasady:</t>
  </si>
  <si>
    <t>Stare</t>
  </si>
  <si>
    <t>Nowe</t>
  </si>
  <si>
    <t>Stare zasady</t>
  </si>
  <si>
    <t>Dochód do analizy (po trendzie) (1)</t>
  </si>
  <si>
    <t>Dochód do analizy (2)</t>
  </si>
  <si>
    <t>KPiR (3)</t>
  </si>
  <si>
    <t>Ryczałt (4)</t>
  </si>
  <si>
    <t>KPiR (5)</t>
  </si>
  <si>
    <t>Ryczałt (6)</t>
  </si>
  <si>
    <t>Zmiana (8)</t>
  </si>
  <si>
    <t>Zmiana (7)</t>
  </si>
  <si>
    <t>Zmiana formy:</t>
  </si>
  <si>
    <t>Dochód (po trendzie)</t>
  </si>
  <si>
    <t>Najbardziej aktualne dane finansowe:</t>
  </si>
  <si>
    <t>Forma opodatkowania:</t>
  </si>
  <si>
    <t>Miesiąc analizy:</t>
  </si>
  <si>
    <t>Data analizy:</t>
  </si>
  <si>
    <t>Miesiąc założenia działalności:</t>
  </si>
  <si>
    <t>Okres prowadzenia działalności (mce):</t>
  </si>
  <si>
    <t>Data założenia działalności:</t>
  </si>
  <si>
    <t>Najbardziej aktualne dane:</t>
  </si>
  <si>
    <t>m - ilość miesięcy w roku bieżacym:</t>
  </si>
  <si>
    <t>l - ilość miesięcy ubr:</t>
  </si>
  <si>
    <t>n - ilość miesięcy dlw:</t>
  </si>
  <si>
    <t>Wybrane zasady:</t>
  </si>
  <si>
    <t>Dochód do analizy</t>
  </si>
  <si>
    <t>Data</t>
  </si>
  <si>
    <t>Zmiana</t>
  </si>
  <si>
    <t>Przychody za rok poprzedzający rok ubiegły</t>
  </si>
  <si>
    <t>Koszty za rok poprzedzający rok ubiegły</t>
  </si>
  <si>
    <t>Amortyzacja za rok poprzedzający rok ubiegły</t>
  </si>
  <si>
    <t>dane za ubiegły rok i rok poprzedzający rok ubiegły</t>
  </si>
  <si>
    <t>dlw</t>
  </si>
  <si>
    <t>ubr</t>
  </si>
  <si>
    <t>Okres prowadzenia działalności w danym roku</t>
  </si>
  <si>
    <t>Dane za rok bieżący:</t>
  </si>
  <si>
    <t>Dane za ubr:</t>
  </si>
  <si>
    <t>Dane za dlw:</t>
  </si>
  <si>
    <t>br</t>
  </si>
  <si>
    <t>Dochód z ryczałtu:
- dodanie formy opodatkowania: ryczałt
- ukrycie formy opodatkowania: karta podatkowa
- zmiana ograniczenia na polu - Działalność prowadzona od (nie mniejsza niż: z 01.01.2000 na 01.01.1900)
- zmiana formatowania na polach data (DD.MM.RRRR)</t>
  </si>
  <si>
    <t>Ryczałt / Karta podatkowa</t>
  </si>
  <si>
    <t>Dochód z party podatkowej:
- odkrycie formy opodatkowania: karta podatkowa</t>
  </si>
  <si>
    <t>Dane finansowe za okres bieżący:
- odkrycie wierszy z danymi za bieżący okres
- zablokowanie możliwości wprowadzenia danych za okres bieżący dla działalności prowadzonych niepełny rok (2 lata wstecz)
- wyłączone trendy
- ukrycie formy opodatkowania: ryczałt / karta podatkowa [V4; Zmina listy; ukrycie poł 11,17,23; przywrócenia 15.05];
- ukrycie możliwości wybrania zasad wyliczeń (stare/nowe) [wiersz 7]
- brak możliwości zmiany formy opodatkowania. [zastapianie listy, odowłaniem do pola C10 - dot. C16,C22 ]. Listy do przywrócenia gdy wdrożymy zmianę formy opodatkowania. Zablokowano pola do edycji
- brak możliwości zmiany branży</t>
  </si>
  <si>
    <t>ŚrDbr</t>
  </si>
  <si>
    <t>ŚrDubr</t>
  </si>
  <si>
    <t>ŚrDdlw</t>
  </si>
  <si>
    <t>Zmiana formy</t>
  </si>
  <si>
    <t>(Dp) Dochód do analizy (9)</t>
  </si>
  <si>
    <t>Zmiana formy &lt;24</t>
  </si>
  <si>
    <t>(Dp) Dochód do analizy (10)</t>
  </si>
  <si>
    <t>Zmiana formy opodatkowania:
- przywrócenie możliwości zmiany formy opodatkowania w poszczególnych latach [ukrycie na froncie wierszy 9,10]
- zablokowanie możliwości wyboru branży w poszczególnych latach [ukrycie na froncie wierszy 13,19,25]
- zmiana zasady dot. rentowności: wskaźnik U uwględniany dla każdego roku osobno</t>
  </si>
  <si>
    <t>roczne za dwa lata wstecz
roczne za rok ubiegły
bieżące</t>
  </si>
  <si>
    <t>roczne za dwa lata wstecz
roczne za rok ubiegły</t>
  </si>
  <si>
    <t>Trendy</t>
  </si>
  <si>
    <t>Włączenie trendów</t>
  </si>
  <si>
    <t>Data analizy (RRRR-MM-DD):</t>
  </si>
  <si>
    <t>Działalność prowadzona od (RRRR-MM-DD):</t>
  </si>
  <si>
    <r>
      <t>Brak możliwości wyboru danych za listopad w całym okresie od I do IV (również w okresie do 20.01)
Nowe zasady dla przyjmowania danych za okreslony miesiąc: "Najbardziej aktualne dane finansowe za miesiąc". Zmiany w zakładce LogikaFrontowa - dodanie pola O16 (zmiany w formule):
=JEŻELI(LogikaFrontowa!$H$3="Cały rok";JEŻELI(ORAZ(MIESIĄC($C$3)&gt;1;MIESIĄC($C$3)&lt;=4);LogikaFrontowa!$O$3;JEŻELI</t>
    </r>
    <r>
      <rPr>
        <b/>
        <sz val="11"/>
        <color theme="1"/>
        <rFont val="Calibri"/>
        <family val="2"/>
        <charset val="238"/>
        <scheme val="minor"/>
      </rPr>
      <t>(</t>
    </r>
    <r>
      <rPr>
        <b/>
        <u/>
        <sz val="11"/>
        <color theme="1"/>
        <rFont val="Calibri"/>
        <family val="2"/>
        <charset val="238"/>
        <scheme val="minor"/>
      </rPr>
      <t>LUB</t>
    </r>
    <r>
      <rPr>
        <sz val="11"/>
        <color theme="1"/>
        <rFont val="Calibri"/>
        <family val="2"/>
        <charset val="238"/>
        <scheme val="minor"/>
      </rPr>
      <t>(DZIEŃ($C$3)&gt;20;</t>
    </r>
    <r>
      <rPr>
        <b/>
        <u/>
        <sz val="11"/>
        <color theme="1"/>
        <rFont val="Calibri"/>
        <family val="2"/>
        <charset val="238"/>
        <scheme val="minor"/>
      </rPr>
      <t>ORAZ(DZIEŃ($C$3)&lt;21;ROK($C$3)-ROK($C$5)=2;MIESIĄC($C$3)=MIESIĄC($C$5)</t>
    </r>
    <r>
      <rPr>
        <sz val="11"/>
        <color theme="1"/>
        <rFont val="Calibri"/>
        <family val="2"/>
        <charset val="238"/>
        <scheme val="minor"/>
      </rPr>
      <t>));LogikaFrontowa!$M$5;LogikaFrontowa!$M$5:$M$6));JEŻELI(</t>
    </r>
    <r>
      <rPr>
        <b/>
        <u/>
        <sz val="11"/>
        <color theme="1"/>
        <rFont val="Calibri"/>
        <family val="2"/>
        <charset val="238"/>
        <scheme val="minor"/>
      </rPr>
      <t>LUB</t>
    </r>
    <r>
      <rPr>
        <sz val="11"/>
        <color theme="1"/>
        <rFont val="Calibri"/>
        <family val="2"/>
        <charset val="238"/>
        <scheme val="minor"/>
      </rPr>
      <t>(DZIEŃ($C$3)&gt;20;</t>
    </r>
    <r>
      <rPr>
        <b/>
        <u/>
        <sz val="11"/>
        <color theme="1"/>
        <rFont val="Calibri"/>
        <family val="2"/>
        <charset val="238"/>
        <scheme val="minor"/>
      </rPr>
      <t>ORAZ(DZIEŃ($C$3)&lt;21;ROK($C$3)-ROK($C$5)=2;MIESIĄC($C$3)=MIESIĄC($C$5)</t>
    </r>
    <r>
      <rPr>
        <sz val="11"/>
        <color theme="1"/>
        <rFont val="Calibri"/>
        <family val="2"/>
        <charset val="238"/>
        <scheme val="minor"/>
      </rPr>
      <t>));LogikaFrontowa!$M$5;LogikaFrontowa!$M$5:$M$6))</t>
    </r>
  </si>
  <si>
    <t>Informcaja o składkach:</t>
  </si>
  <si>
    <t>Tak</t>
  </si>
  <si>
    <t>Nie</t>
  </si>
  <si>
    <t>Koszty za bieżący rok (bez składki na ubezpieczenie społeczne)</t>
  </si>
  <si>
    <t>Składka na ubezpieczenie społeczne jest opłacana z innego źródła</t>
  </si>
  <si>
    <t>Koszty za ubiegły rok (bez składki na ubezpieczenie społeczne)</t>
  </si>
  <si>
    <t>Koszty za rok poprzedzający rok ubiegły (bez składki na ubezpieczenie społeczne)</t>
  </si>
  <si>
    <t>Składka na ubezpieczenie społeczne</t>
  </si>
  <si>
    <t>z chorobowym</t>
  </si>
  <si>
    <t>bez chorobowego</t>
  </si>
  <si>
    <t>Zmiany w sposobie ujmowania składek na ubezpieczenie społeczne</t>
  </si>
  <si>
    <t>Pełna składka na ubezpieczenie społeczne jest uwzględniana w kosztach lub opłacana z innego źródła</t>
  </si>
  <si>
    <t>Zmiany w zakresie amortyzacji</t>
  </si>
  <si>
    <t>B6</t>
  </si>
  <si>
    <t>B12</t>
  </si>
  <si>
    <t>B18</t>
  </si>
  <si>
    <t>Aktualizacja składek ZUS</t>
  </si>
  <si>
    <t>Przyjmij od klienta oświadczenie wyjaśniające powód spadku przychodów w analizowanym okresie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</si>
</sst>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yyyy"/>
  </numFmts>
  <fonts count="3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rgb="FFFFFFFF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4"/>
      <color theme="0"/>
      <name val="ING Me"/>
      <charset val="238"/>
    </font>
    <font>
      <sz val="11"/>
      <color theme="1"/>
      <name val="ING Me"/>
      <charset val="238"/>
    </font>
    <font>
      <b/>
      <sz val="10"/>
      <name val="ING Me"/>
      <charset val="238"/>
    </font>
    <font>
      <sz val="10"/>
      <color theme="1"/>
      <name val="ING Me"/>
      <charset val="238"/>
    </font>
    <font>
      <b/>
      <sz val="10"/>
      <color theme="1"/>
      <name val="ING Me"/>
      <charset val="238"/>
    </font>
    <font>
      <sz val="10"/>
      <name val="ING Me"/>
      <charset val="238"/>
    </font>
    <font>
      <b/>
      <sz val="11"/>
      <color theme="1"/>
      <name val="ING Me"/>
      <charset val="238"/>
    </font>
    <font>
      <sz val="11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2"/>
      <color theme="1"/>
      <name val="ING Me"/>
      <charset val="238"/>
    </font>
    <font>
      <b/>
      <sz val="9"/>
      <color theme="8"/>
      <name val="ING Me"/>
      <charset val="238"/>
    </font>
    <font>
      <b/>
      <sz val="18"/>
      <color theme="0"/>
      <name val="ING Me"/>
      <charset val="238"/>
    </font>
    <font>
      <b/>
      <u/>
      <sz val="11"/>
      <color theme="1"/>
      <name val="Calibri"/>
      <family val="2"/>
      <charset val="238"/>
      <scheme val="minor"/>
    </font>
    <font>
      <b/>
      <sz val="11"/>
      <color theme="0"/>
      <name val="ING Me"/>
      <charset val="238"/>
    </font>
    <font>
      <b/>
      <sz val="7"/>
      <name val="Calibri"/>
      <family val="2"/>
      <charset val="238"/>
      <scheme val="minor"/>
    </font>
    <font>
      <b/>
      <sz val="7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color theme="0" tint="-0.14999847407452621"/>
      <name val="Calibri"/>
      <family val="2"/>
      <charset val="238"/>
      <scheme val="minor"/>
    </font>
    <font>
      <sz val="11"/>
      <color theme="2"/>
      <name val="Calibri"/>
      <family val="2"/>
      <charset val="238"/>
      <scheme val="minor"/>
    </font>
    <font>
      <sz val="11"/>
      <color theme="1" tint="0.34998626667073579"/>
      <name val="Calibri"/>
      <family val="2"/>
      <charset val="238"/>
      <scheme val="minor"/>
    </font>
    <font>
      <b/>
      <sz val="8"/>
      <color theme="1" tint="0.34998626667073579"/>
      <name val="Calibri"/>
      <family val="2"/>
      <charset val="238"/>
      <scheme val="minor"/>
    </font>
    <font>
      <sz val="8"/>
      <color theme="1" tint="0.34998626667073579"/>
      <name val="Calibri"/>
      <family val="2"/>
      <charset val="238"/>
      <scheme val="minor"/>
    </font>
    <font>
      <b/>
      <sz val="9"/>
      <color theme="1" tint="0.34998626667073579"/>
      <name val="Calibri"/>
      <family val="2"/>
      <charset val="238"/>
      <scheme val="minor"/>
    </font>
    <font>
      <b/>
      <sz val="11"/>
      <color theme="1" tint="0.34998626667073579"/>
      <name val="Calibri"/>
      <family val="2"/>
      <charset val="238"/>
      <scheme val="minor"/>
    </font>
    <font>
      <sz val="11"/>
      <color theme="0" tint="-0.249977111117893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11"/>
      <color theme="0" tint="-0.34998626667073579"/>
      <name val="Calibri"/>
      <family val="2"/>
      <charset val="238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BCBCB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62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0" tint="-0.249977111117893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/>
      <bottom/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1">
    <xf numFmtId="0" fontId="0" fillId="0" borderId="0" xfId="0"/>
    <xf numFmtId="0" fontId="5" fillId="6" borderId="6" xfId="0" applyFont="1" applyFill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6" fillId="7" borderId="6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4" fontId="0" fillId="0" borderId="0" xfId="0" applyNumberFormat="1"/>
    <xf numFmtId="0" fontId="8" fillId="3" borderId="0" xfId="0" applyFont="1" applyFill="1"/>
    <xf numFmtId="0" fontId="8" fillId="0" borderId="0" xfId="0" applyFont="1"/>
    <xf numFmtId="44" fontId="11" fillId="0" borderId="6" xfId="1" applyFont="1" applyFill="1" applyBorder="1" applyProtection="1">
      <protection locked="0"/>
    </xf>
    <xf numFmtId="44" fontId="11" fillId="0" borderId="8" xfId="1" applyFont="1" applyFill="1" applyBorder="1" applyProtection="1">
      <protection locked="0"/>
    </xf>
    <xf numFmtId="0" fontId="0" fillId="0" borderId="9" xfId="0" applyBorder="1"/>
    <xf numFmtId="0" fontId="0" fillId="0" borderId="11" xfId="0" applyBorder="1"/>
    <xf numFmtId="44" fontId="0" fillId="0" borderId="12" xfId="0" applyNumberFormat="1" applyBorder="1"/>
    <xf numFmtId="0" fontId="0" fillId="5" borderId="13" xfId="0" applyFill="1" applyBorder="1"/>
    <xf numFmtId="0" fontId="0" fillId="5" borderId="14" xfId="0" applyFill="1" applyBorder="1"/>
    <xf numFmtId="0" fontId="14" fillId="0" borderId="11" xfId="0" applyFont="1" applyBorder="1"/>
    <xf numFmtId="0" fontId="0" fillId="0" borderId="12" xfId="0" applyBorder="1"/>
    <xf numFmtId="165" fontId="0" fillId="0" borderId="0" xfId="0" applyNumberFormat="1"/>
    <xf numFmtId="14" fontId="12" fillId="4" borderId="7" xfId="0" applyNumberFormat="1" applyFont="1" applyFill="1" applyBorder="1" applyAlignment="1" applyProtection="1">
      <alignment horizontal="center"/>
      <protection locked="0"/>
    </xf>
    <xf numFmtId="0" fontId="2" fillId="0" borderId="0" xfId="0" applyFont="1"/>
    <xf numFmtId="0" fontId="0" fillId="0" borderId="10" xfId="0" applyBorder="1"/>
    <xf numFmtId="2" fontId="15" fillId="0" borderId="0" xfId="0" applyNumberFormat="1" applyFont="1"/>
    <xf numFmtId="0" fontId="15" fillId="0" borderId="0" xfId="0" applyFont="1"/>
    <xf numFmtId="0" fontId="2" fillId="0" borderId="9" xfId="0" applyFont="1" applyBorder="1"/>
    <xf numFmtId="0" fontId="20" fillId="0" borderId="11" xfId="0" applyFont="1" applyBorder="1"/>
    <xf numFmtId="0" fontId="2" fillId="0" borderId="12" xfId="0" applyFont="1" applyBorder="1" applyAlignment="1">
      <alignment horizontal="center"/>
    </xf>
    <xf numFmtId="0" fontId="0" fillId="0" borderId="16" xfId="0" applyBorder="1"/>
    <xf numFmtId="0" fontId="0" fillId="0" borderId="14" xfId="0" applyBorder="1"/>
    <xf numFmtId="0" fontId="14" fillId="0" borderId="13" xfId="0" applyFont="1" applyBorder="1"/>
    <xf numFmtId="44" fontId="2" fillId="0" borderId="0" xfId="0" applyNumberFormat="1" applyFont="1"/>
    <xf numFmtId="44" fontId="2" fillId="0" borderId="16" xfId="0" applyNumberFormat="1" applyFont="1" applyBorder="1"/>
    <xf numFmtId="44" fontId="16" fillId="0" borderId="0" xfId="1" applyFont="1" applyFill="1" applyBorder="1"/>
    <xf numFmtId="0" fontId="16" fillId="0" borderId="18" xfId="0" applyFont="1" applyBorder="1"/>
    <xf numFmtId="0" fontId="14" fillId="0" borderId="20" xfId="0" applyFont="1" applyBorder="1"/>
    <xf numFmtId="0" fontId="16" fillId="0" borderId="20" xfId="0" applyFont="1" applyBorder="1"/>
    <xf numFmtId="0" fontId="16" fillId="9" borderId="21" xfId="0" applyFont="1" applyFill="1" applyBorder="1"/>
    <xf numFmtId="0" fontId="0" fillId="0" borderId="15" xfId="0" applyBorder="1"/>
    <xf numFmtId="44" fontId="16" fillId="0" borderId="17" xfId="1" applyFont="1" applyBorder="1"/>
    <xf numFmtId="0" fontId="0" fillId="0" borderId="17" xfId="0" applyBorder="1"/>
    <xf numFmtId="2" fontId="0" fillId="0" borderId="0" xfId="0" applyNumberFormat="1"/>
    <xf numFmtId="44" fontId="16" fillId="11" borderId="22" xfId="1" applyFont="1" applyFill="1" applyBorder="1"/>
    <xf numFmtId="44" fontId="14" fillId="0" borderId="17" xfId="1" applyFont="1" applyFill="1" applyBorder="1"/>
    <xf numFmtId="44" fontId="14" fillId="0" borderId="17" xfId="1" applyFont="1" applyBorder="1"/>
    <xf numFmtId="0" fontId="0" fillId="0" borderId="20" xfId="0" applyBorder="1"/>
    <xf numFmtId="0" fontId="2" fillId="13" borderId="21" xfId="0" applyFont="1" applyFill="1" applyBorder="1"/>
    <xf numFmtId="44" fontId="2" fillId="13" borderId="22" xfId="0" applyNumberFormat="1" applyFont="1" applyFill="1" applyBorder="1"/>
    <xf numFmtId="44" fontId="16" fillId="0" borderId="12" xfId="1" applyFont="1" applyFill="1" applyBorder="1"/>
    <xf numFmtId="44" fontId="16" fillId="0" borderId="14" xfId="1" applyFont="1" applyBorder="1"/>
    <xf numFmtId="14" fontId="10" fillId="0" borderId="6" xfId="0" applyNumberFormat="1" applyFont="1" applyBorder="1" applyAlignment="1" applyProtection="1">
      <alignment horizontal="center" vertical="center" wrapText="1"/>
      <protection locked="0"/>
    </xf>
    <xf numFmtId="14" fontId="10" fillId="0" borderId="7" xfId="0" applyNumberFormat="1" applyFont="1" applyBorder="1" applyAlignment="1" applyProtection="1">
      <alignment horizontal="center" vertical="center" wrapText="1"/>
      <protection locked="0"/>
    </xf>
    <xf numFmtId="0" fontId="11" fillId="0" borderId="6" xfId="0" applyFont="1" applyBorder="1" applyAlignment="1" applyProtection="1">
      <alignment horizontal="center"/>
      <protection locked="0"/>
    </xf>
    <xf numFmtId="0" fontId="10" fillId="0" borderId="6" xfId="0" applyFont="1" applyBorder="1" applyAlignment="1" applyProtection="1">
      <alignment horizontal="center"/>
      <protection locked="0"/>
    </xf>
    <xf numFmtId="0" fontId="9" fillId="10" borderId="6" xfId="0" applyFont="1" applyFill="1" applyBorder="1" applyAlignment="1">
      <alignment horizontal="right" vertical="center" wrapText="1"/>
    </xf>
    <xf numFmtId="0" fontId="9" fillId="10" borderId="7" xfId="0" applyFont="1" applyFill="1" applyBorder="1" applyAlignment="1">
      <alignment horizontal="right" vertical="center" wrapText="1"/>
    </xf>
    <xf numFmtId="0" fontId="11" fillId="10" borderId="7" xfId="0" applyFont="1" applyFill="1" applyBorder="1" applyAlignment="1">
      <alignment horizontal="right"/>
    </xf>
    <xf numFmtId="0" fontId="11" fillId="8" borderId="1" xfId="0" applyFont="1" applyFill="1" applyBorder="1" applyAlignment="1">
      <alignment horizontal="right"/>
    </xf>
    <xf numFmtId="165" fontId="11" fillId="8" borderId="2" xfId="0" applyNumberFormat="1" applyFont="1" applyFill="1" applyBorder="1" applyAlignment="1">
      <alignment horizontal="left"/>
    </xf>
    <xf numFmtId="0" fontId="11" fillId="10" borderId="6" xfId="0" applyFont="1" applyFill="1" applyBorder="1" applyAlignment="1">
      <alignment horizontal="left"/>
    </xf>
    <xf numFmtId="0" fontId="11" fillId="10" borderId="8" xfId="0" applyFont="1" applyFill="1" applyBorder="1" applyAlignment="1">
      <alignment horizontal="left"/>
    </xf>
    <xf numFmtId="0" fontId="11" fillId="10" borderId="6" xfId="0" applyFont="1" applyFill="1" applyBorder="1"/>
    <xf numFmtId="0" fontId="14" fillId="0" borderId="0" xfId="0" applyFont="1"/>
    <xf numFmtId="0" fontId="2" fillId="5" borderId="0" xfId="0" applyFont="1" applyFill="1"/>
    <xf numFmtId="2" fontId="22" fillId="0" borderId="15" xfId="2" applyNumberFormat="1" applyFont="1" applyFill="1" applyBorder="1" applyAlignment="1">
      <alignment horizontal="center" wrapText="1"/>
    </xf>
    <xf numFmtId="2" fontId="22" fillId="0" borderId="0" xfId="2" applyNumberFormat="1" applyFont="1" applyFill="1" applyBorder="1" applyAlignment="1">
      <alignment horizontal="center" wrapText="1"/>
    </xf>
    <xf numFmtId="0" fontId="23" fillId="0" borderId="12" xfId="2" applyNumberFormat="1" applyFont="1" applyFill="1" applyBorder="1" applyAlignment="1">
      <alignment horizontal="center"/>
    </xf>
    <xf numFmtId="0" fontId="0" fillId="5" borderId="9" xfId="0" applyFill="1" applyBorder="1"/>
    <xf numFmtId="0" fontId="0" fillId="5" borderId="15" xfId="0" applyFill="1" applyBorder="1"/>
    <xf numFmtId="0" fontId="0" fillId="5" borderId="11" xfId="0" applyFill="1" applyBorder="1"/>
    <xf numFmtId="0" fontId="0" fillId="5" borderId="0" xfId="0" applyFill="1"/>
    <xf numFmtId="0" fontId="0" fillId="0" borderId="13" xfId="0" applyBorder="1"/>
    <xf numFmtId="0" fontId="0" fillId="10" borderId="15" xfId="0" applyFill="1" applyBorder="1"/>
    <xf numFmtId="0" fontId="0" fillId="10" borderId="10" xfId="0" applyFill="1" applyBorder="1"/>
    <xf numFmtId="0" fontId="0" fillId="10" borderId="0" xfId="0" applyFill="1"/>
    <xf numFmtId="1" fontId="0" fillId="10" borderId="0" xfId="0" applyNumberFormat="1" applyFill="1"/>
    <xf numFmtId="0" fontId="0" fillId="10" borderId="12" xfId="0" applyFill="1" applyBorder="1"/>
    <xf numFmtId="0" fontId="0" fillId="10" borderId="16" xfId="0" applyFill="1" applyBorder="1"/>
    <xf numFmtId="1" fontId="0" fillId="10" borderId="16" xfId="0" applyNumberFormat="1" applyFill="1" applyBorder="1"/>
    <xf numFmtId="0" fontId="0" fillId="10" borderId="14" xfId="0" applyFill="1" applyBorder="1"/>
    <xf numFmtId="0" fontId="0" fillId="10" borderId="11" xfId="0" applyFill="1" applyBorder="1"/>
    <xf numFmtId="0" fontId="0" fillId="10" borderId="13" xfId="0" applyFill="1" applyBorder="1"/>
    <xf numFmtId="0" fontId="4" fillId="0" borderId="11" xfId="0" applyFont="1" applyBorder="1" applyAlignment="1">
      <alignment vertical="center"/>
    </xf>
    <xf numFmtId="0" fontId="5" fillId="6" borderId="20" xfId="0" applyFont="1" applyFill="1" applyBorder="1" applyAlignment="1">
      <alignment horizontal="center" vertical="center"/>
    </xf>
    <xf numFmtId="0" fontId="6" fillId="0" borderId="20" xfId="0" applyFont="1" applyBorder="1" applyAlignment="1">
      <alignment vertical="center"/>
    </xf>
    <xf numFmtId="0" fontId="6" fillId="7" borderId="20" xfId="0" applyFont="1" applyFill="1" applyBorder="1" applyAlignment="1">
      <alignment vertical="center"/>
    </xf>
    <xf numFmtId="0" fontId="2" fillId="0" borderId="0" xfId="0" applyFont="1" applyAlignment="1">
      <alignment horizontal="left"/>
    </xf>
    <xf numFmtId="0" fontId="0" fillId="10" borderId="29" xfId="0" applyFill="1" applyBorder="1"/>
    <xf numFmtId="0" fontId="0" fillId="10" borderId="28" xfId="0" applyFill="1" applyBorder="1"/>
    <xf numFmtId="0" fontId="0" fillId="10" borderId="30" xfId="0" applyFill="1" applyBorder="1"/>
    <xf numFmtId="165" fontId="0" fillId="10" borderId="29" xfId="0" applyNumberFormat="1" applyFill="1" applyBorder="1"/>
    <xf numFmtId="165" fontId="0" fillId="10" borderId="28" xfId="0" applyNumberFormat="1" applyFill="1" applyBorder="1"/>
    <xf numFmtId="165" fontId="0" fillId="10" borderId="30" xfId="0" applyNumberFormat="1" applyFill="1" applyBorder="1"/>
    <xf numFmtId="14" fontId="2" fillId="0" borderId="0" xfId="0" applyNumberFormat="1" applyFont="1"/>
    <xf numFmtId="0" fontId="0" fillId="0" borderId="31" xfId="0" applyBorder="1"/>
    <xf numFmtId="0" fontId="0" fillId="0" borderId="32" xfId="0" applyBorder="1"/>
    <xf numFmtId="0" fontId="2" fillId="0" borderId="0" xfId="0" applyFont="1" applyAlignment="1">
      <alignment horizontal="center"/>
    </xf>
    <xf numFmtId="0" fontId="0" fillId="0" borderId="0" xfId="0" applyAlignment="1">
      <alignment wrapText="1"/>
    </xf>
    <xf numFmtId="14" fontId="2" fillId="0" borderId="0" xfId="0" applyNumberFormat="1" applyFont="1" applyAlignment="1">
      <alignment horizontal="left" vertical="top"/>
    </xf>
    <xf numFmtId="0" fontId="11" fillId="10" borderId="6" xfId="0" applyFont="1" applyFill="1" applyBorder="1" applyAlignment="1">
      <alignment horizontal="right"/>
    </xf>
    <xf numFmtId="0" fontId="26" fillId="0" borderId="0" xfId="0" applyFont="1"/>
    <xf numFmtId="0" fontId="0" fillId="3" borderId="0" xfId="0" applyFill="1"/>
    <xf numFmtId="14" fontId="2" fillId="0" borderId="0" xfId="0" applyNumberFormat="1" applyFont="1" applyAlignment="1">
      <alignment horizontal="left"/>
    </xf>
    <xf numFmtId="0" fontId="27" fillId="0" borderId="0" xfId="0" applyFont="1"/>
    <xf numFmtId="0" fontId="27" fillId="0" borderId="37" xfId="0" applyFont="1" applyBorder="1" applyAlignment="1">
      <alignment horizontal="left"/>
    </xf>
    <xf numFmtId="44" fontId="27" fillId="0" borderId="39" xfId="1" applyFont="1" applyFill="1" applyBorder="1"/>
    <xf numFmtId="0" fontId="27" fillId="0" borderId="40" xfId="0" applyFont="1" applyBorder="1" applyAlignment="1">
      <alignment horizontal="left"/>
    </xf>
    <xf numFmtId="0" fontId="27" fillId="0" borderId="36" xfId="0" applyFont="1" applyBorder="1"/>
    <xf numFmtId="0" fontId="27" fillId="0" borderId="37" xfId="0" applyFont="1" applyBorder="1"/>
    <xf numFmtId="44" fontId="27" fillId="0" borderId="40" xfId="1" applyFont="1" applyFill="1" applyBorder="1"/>
    <xf numFmtId="0" fontId="27" fillId="0" borderId="45" xfId="0" applyFont="1" applyBorder="1"/>
    <xf numFmtId="0" fontId="0" fillId="0" borderId="46" xfId="0" applyBorder="1"/>
    <xf numFmtId="0" fontId="0" fillId="0" borderId="47" xfId="0" applyBorder="1"/>
    <xf numFmtId="44" fontId="27" fillId="0" borderId="0" xfId="1" applyFont="1"/>
    <xf numFmtId="0" fontId="27" fillId="0" borderId="0" xfId="0" applyFont="1" applyAlignment="1">
      <alignment horizontal="left"/>
    </xf>
    <xf numFmtId="44" fontId="0" fillId="0" borderId="35" xfId="1" applyFont="1" applyBorder="1"/>
    <xf numFmtId="44" fontId="2" fillId="11" borderId="48" xfId="0" applyNumberFormat="1" applyFont="1" applyFill="1" applyBorder="1"/>
    <xf numFmtId="0" fontId="0" fillId="0" borderId="29" xfId="0" applyBorder="1"/>
    <xf numFmtId="0" fontId="0" fillId="0" borderId="23" xfId="0" applyBorder="1"/>
    <xf numFmtId="0" fontId="2" fillId="9" borderId="24" xfId="0" applyFont="1" applyFill="1" applyBorder="1"/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/>
    </xf>
    <xf numFmtId="0" fontId="28" fillId="0" borderId="0" xfId="0" applyFont="1"/>
    <xf numFmtId="0" fontId="29" fillId="0" borderId="0" xfId="0" applyFont="1"/>
    <xf numFmtId="0" fontId="30" fillId="0" borderId="0" xfId="0" applyFont="1" applyAlignment="1">
      <alignment horizontal="center"/>
    </xf>
    <xf numFmtId="0" fontId="31" fillId="0" borderId="42" xfId="0" applyFont="1" applyBorder="1" applyAlignment="1">
      <alignment horizontal="center"/>
    </xf>
    <xf numFmtId="0" fontId="31" fillId="0" borderId="37" xfId="0" applyFont="1" applyBorder="1" applyAlignment="1">
      <alignment horizontal="center"/>
    </xf>
    <xf numFmtId="0" fontId="31" fillId="0" borderId="36" xfId="0" applyFont="1" applyBorder="1" applyAlignment="1">
      <alignment horizontal="center"/>
    </xf>
    <xf numFmtId="44" fontId="29" fillId="0" borderId="41" xfId="1" applyFont="1" applyFill="1" applyBorder="1"/>
    <xf numFmtId="44" fontId="29" fillId="0" borderId="40" xfId="1" applyFont="1" applyFill="1" applyBorder="1"/>
    <xf numFmtId="44" fontId="29" fillId="0" borderId="39" xfId="1" applyFont="1" applyFill="1" applyBorder="1"/>
    <xf numFmtId="0" fontId="32" fillId="0" borderId="0" xfId="0" applyFont="1" applyAlignment="1">
      <alignment horizontal="left"/>
    </xf>
    <xf numFmtId="44" fontId="29" fillId="0" borderId="37" xfId="1" applyFont="1" applyFill="1" applyBorder="1"/>
    <xf numFmtId="44" fontId="33" fillId="0" borderId="38" xfId="1" applyFont="1" applyFill="1" applyBorder="1"/>
    <xf numFmtId="0" fontId="29" fillId="0" borderId="33" xfId="0" applyFont="1" applyBorder="1"/>
    <xf numFmtId="0" fontId="30" fillId="0" borderId="45" xfId="0" applyFont="1" applyBorder="1" applyAlignment="1">
      <alignment horizontal="center"/>
    </xf>
    <xf numFmtId="0" fontId="29" fillId="0" borderId="46" xfId="0" applyFont="1" applyBorder="1"/>
    <xf numFmtId="44" fontId="29" fillId="0" borderId="40" xfId="0" applyNumberFormat="1" applyFont="1" applyBorder="1"/>
    <xf numFmtId="44" fontId="29" fillId="0" borderId="36" xfId="1" applyFont="1" applyFill="1" applyBorder="1"/>
    <xf numFmtId="0" fontId="32" fillId="0" borderId="46" xfId="0" applyFont="1" applyBorder="1" applyAlignment="1">
      <alignment horizontal="left"/>
    </xf>
    <xf numFmtId="44" fontId="33" fillId="0" borderId="40" xfId="1" applyFont="1" applyFill="1" applyBorder="1"/>
    <xf numFmtId="44" fontId="27" fillId="0" borderId="36" xfId="1" applyFont="1" applyFill="1" applyBorder="1"/>
    <xf numFmtId="0" fontId="34" fillId="0" borderId="0" xfId="0" applyFont="1"/>
    <xf numFmtId="0" fontId="23" fillId="0" borderId="0" xfId="2" applyNumberFormat="1" applyFont="1" applyFill="1" applyBorder="1" applyAlignment="1">
      <alignment horizontal="center"/>
    </xf>
    <xf numFmtId="44" fontId="16" fillId="0" borderId="0" xfId="1" applyFont="1" applyBorder="1"/>
    <xf numFmtId="44" fontId="0" fillId="0" borderId="0" xfId="1" applyFont="1"/>
    <xf numFmtId="0" fontId="14" fillId="0" borderId="1" xfId="0" applyFont="1" applyBorder="1"/>
    <xf numFmtId="44" fontId="0" fillId="0" borderId="6" xfId="0" applyNumberFormat="1" applyBorder="1"/>
    <xf numFmtId="0" fontId="2" fillId="0" borderId="18" xfId="0" applyFont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44" fontId="0" fillId="0" borderId="17" xfId="1" applyFont="1" applyBorder="1"/>
    <xf numFmtId="44" fontId="0" fillId="11" borderId="22" xfId="1" applyFont="1" applyFill="1" applyBorder="1"/>
    <xf numFmtId="44" fontId="2" fillId="0" borderId="0" xfId="1" applyFont="1" applyFill="1" applyBorder="1"/>
    <xf numFmtId="44" fontId="2" fillId="0" borderId="17" xfId="1" applyFont="1" applyBorder="1"/>
    <xf numFmtId="44" fontId="14" fillId="0" borderId="20" xfId="1" applyFont="1" applyFill="1" applyBorder="1"/>
    <xf numFmtId="0" fontId="16" fillId="0" borderId="0" xfId="0" applyFont="1"/>
    <xf numFmtId="0" fontId="0" fillId="0" borderId="0" xfId="0" applyAlignment="1">
      <alignment horizontal="center"/>
    </xf>
    <xf numFmtId="2" fontId="2" fillId="0" borderId="0" xfId="0" applyNumberFormat="1" applyFont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6" xfId="0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2" fontId="2" fillId="3" borderId="6" xfId="0" applyNumberFormat="1" applyFont="1" applyFill="1" applyBorder="1" applyAlignment="1">
      <alignment horizontal="center"/>
    </xf>
    <xf numFmtId="44" fontId="0" fillId="0" borderId="0" xfId="0" applyNumberFormat="1"/>
    <xf numFmtId="0" fontId="0" fillId="14" borderId="31" xfId="0" applyFill="1" applyBorder="1" applyAlignment="1">
      <alignment wrapText="1"/>
    </xf>
    <xf numFmtId="0" fontId="0" fillId="14" borderId="32" xfId="0" applyFill="1" applyBorder="1" applyAlignment="1">
      <alignment wrapText="1"/>
    </xf>
    <xf numFmtId="2" fontId="35" fillId="0" borderId="15" xfId="2" applyNumberFormat="1" applyFont="1" applyFill="1" applyBorder="1" applyAlignment="1">
      <alignment horizontal="center" wrapText="1"/>
    </xf>
    <xf numFmtId="0" fontId="36" fillId="0" borderId="10" xfId="2" applyNumberFormat="1" applyFont="1" applyFill="1" applyBorder="1" applyAlignment="1">
      <alignment horizontal="center" vertical="center"/>
    </xf>
    <xf numFmtId="0" fontId="11" fillId="10" borderId="6" xfId="0" applyFont="1" applyFill="1" applyBorder="1" applyAlignment="1">
      <alignment horizontal="left" wrapText="1"/>
    </xf>
    <xf numFmtId="44" fontId="11" fillId="0" borderId="2" xfId="1" applyFont="1" applyFill="1" applyBorder="1" applyAlignment="1" applyProtection="1">
      <alignment horizontal="center" vertical="center"/>
      <protection locked="0"/>
    </xf>
    <xf numFmtId="44" fontId="11" fillId="0" borderId="6" xfId="1" applyFont="1" applyFill="1" applyBorder="1" applyAlignment="1" applyProtection="1">
      <alignment horizontal="center" vertical="center"/>
      <protection locked="0"/>
    </xf>
    <xf numFmtId="0" fontId="11" fillId="10" borderId="6" xfId="0" applyFont="1" applyFill="1" applyBorder="1" applyAlignment="1">
      <alignment horizontal="left" vertical="center" wrapText="1"/>
    </xf>
    <xf numFmtId="0" fontId="11" fillId="10" borderId="6" xfId="0" applyFont="1" applyFill="1" applyBorder="1" applyAlignment="1">
      <alignment vertical="center" wrapText="1"/>
    </xf>
    <xf numFmtId="0" fontId="37" fillId="0" borderId="0" xfId="0" applyFont="1"/>
    <xf numFmtId="44" fontId="37" fillId="0" borderId="0" xfId="0" applyNumberFormat="1" applyFont="1"/>
    <xf numFmtId="0" fontId="8" fillId="4" borderId="0" xfId="0" applyFont="1" applyFill="1"/>
    <xf numFmtId="164" fontId="21" fillId="12" borderId="6" xfId="1" applyNumberFormat="1" applyFont="1" applyFill="1" applyBorder="1" applyAlignment="1" applyProtection="1">
      <alignment horizontal="right" vertical="center"/>
    </xf>
    <xf numFmtId="0" fontId="17" fillId="15" borderId="6" xfId="0" applyFont="1" applyFill="1" applyBorder="1" applyAlignment="1">
      <alignment horizontal="right" vertical="center"/>
    </xf>
    <xf numFmtId="0" fontId="8" fillId="3" borderId="0" xfId="0" applyFont="1" applyFill="1" applyAlignment="1">
      <alignment horizontal="center" vertical="center" wrapText="1"/>
    </xf>
    <xf numFmtId="0" fontId="18" fillId="3" borderId="0" xfId="0" applyFont="1" applyFill="1" applyAlignment="1">
      <alignment horizontal="center" vertical="center" wrapText="1"/>
    </xf>
    <xf numFmtId="0" fontId="19" fillId="3" borderId="0" xfId="0" applyFont="1" applyFill="1" applyAlignment="1">
      <alignment horizontal="center" vertical="center" wrapText="1"/>
    </xf>
    <xf numFmtId="14" fontId="10" fillId="3" borderId="51" xfId="0" applyNumberFormat="1" applyFont="1" applyFill="1" applyBorder="1" applyAlignment="1" applyProtection="1">
      <alignment horizontal="center" vertical="center" wrapText="1"/>
      <protection locked="0"/>
    </xf>
    <xf numFmtId="14" fontId="10" fillId="3" borderId="0" xfId="0" applyNumberFormat="1" applyFont="1" applyFill="1" applyAlignment="1" applyProtection="1">
      <alignment horizontal="center" vertical="center" wrapText="1"/>
      <protection locked="0"/>
    </xf>
    <xf numFmtId="14" fontId="12" fillId="3" borderId="0" xfId="0" applyNumberFormat="1" applyFont="1" applyFill="1" applyAlignment="1" applyProtection="1">
      <alignment horizontal="center"/>
      <protection locked="0"/>
    </xf>
    <xf numFmtId="0" fontId="10" fillId="3" borderId="0" xfId="0" applyFont="1" applyFill="1" applyAlignment="1" applyProtection="1">
      <alignment horizontal="center"/>
      <protection locked="0"/>
    </xf>
    <xf numFmtId="0" fontId="11" fillId="3" borderId="0" xfId="0" applyFont="1" applyFill="1" applyAlignment="1" applyProtection="1">
      <alignment horizontal="center"/>
      <protection locked="0"/>
    </xf>
    <xf numFmtId="165" fontId="11" fillId="3" borderId="0" xfId="0" applyNumberFormat="1" applyFont="1" applyFill="1" applyAlignment="1">
      <alignment horizontal="left"/>
    </xf>
    <xf numFmtId="44" fontId="11" fillId="3" borderId="0" xfId="1" applyFont="1" applyFill="1" applyBorder="1" applyProtection="1">
      <protection locked="0"/>
    </xf>
    <xf numFmtId="44" fontId="11" fillId="3" borderId="0" xfId="1" applyFont="1" applyFill="1" applyBorder="1" applyAlignment="1" applyProtection="1">
      <alignment horizontal="center" vertical="center"/>
      <protection locked="0"/>
    </xf>
    <xf numFmtId="164" fontId="21" fillId="3" borderId="0" xfId="1" applyNumberFormat="1" applyFont="1" applyFill="1" applyBorder="1" applyAlignment="1" applyProtection="1">
      <alignment horizontal="right" vertical="center"/>
    </xf>
    <xf numFmtId="0" fontId="13" fillId="3" borderId="0" xfId="0" applyFont="1" applyFill="1" applyAlignment="1">
      <alignment horizontal="center"/>
    </xf>
    <xf numFmtId="0" fontId="0" fillId="0" borderId="29" xfId="0" applyBorder="1" applyAlignment="1">
      <alignment wrapText="1"/>
    </xf>
    <xf numFmtId="0" fontId="0" fillId="0" borderId="28" xfId="0" applyBorder="1"/>
    <xf numFmtId="0" fontId="0" fillId="0" borderId="30" xfId="0" applyBorder="1"/>
    <xf numFmtId="0" fontId="11" fillId="4" borderId="0" xfId="0" applyFont="1" applyFill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/>
    </xf>
    <xf numFmtId="0" fontId="19" fillId="12" borderId="3" xfId="0" applyFont="1" applyFill="1" applyBorder="1" applyAlignment="1">
      <alignment horizontal="center" vertical="center" wrapText="1"/>
    </xf>
    <xf numFmtId="0" fontId="19" fillId="12" borderId="4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left" vertical="center" wrapText="1"/>
    </xf>
    <xf numFmtId="0" fontId="0" fillId="3" borderId="5" xfId="0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31" fillId="0" borderId="43" xfId="0" applyFont="1" applyBorder="1" applyAlignment="1">
      <alignment horizontal="center"/>
    </xf>
    <xf numFmtId="0" fontId="31" fillId="0" borderId="44" xfId="0" applyFont="1" applyBorder="1" applyAlignment="1">
      <alignment horizontal="center"/>
    </xf>
    <xf numFmtId="0" fontId="23" fillId="0" borderId="0" xfId="0" applyFont="1" applyAlignment="1">
      <alignment horizontal="center" wrapText="1"/>
    </xf>
    <xf numFmtId="0" fontId="30" fillId="0" borderId="0" xfId="0" applyFont="1" applyAlignment="1">
      <alignment horizontal="center"/>
    </xf>
    <xf numFmtId="0" fontId="2" fillId="9" borderId="27" xfId="0" applyFont="1" applyFill="1" applyBorder="1" applyAlignment="1">
      <alignment horizontal="left"/>
    </xf>
    <xf numFmtId="0" fontId="2" fillId="9" borderId="50" xfId="0" applyFont="1" applyFill="1" applyBorder="1" applyAlignment="1">
      <alignment horizontal="left"/>
    </xf>
    <xf numFmtId="0" fontId="16" fillId="0" borderId="26" xfId="0" applyFont="1" applyBorder="1" applyAlignment="1">
      <alignment horizontal="left"/>
    </xf>
    <xf numFmtId="0" fontId="16" fillId="0" borderId="2" xfId="0" applyFont="1" applyBorder="1" applyAlignment="1">
      <alignment horizontal="left"/>
    </xf>
    <xf numFmtId="0" fontId="3" fillId="10" borderId="11" xfId="0" applyFont="1" applyFill="1" applyBorder="1" applyAlignment="1">
      <alignment horizontal="left" vertical="center"/>
    </xf>
    <xf numFmtId="0" fontId="3" fillId="10" borderId="0" xfId="0" applyFont="1" applyFill="1" applyAlignment="1">
      <alignment horizontal="left" vertical="center"/>
    </xf>
    <xf numFmtId="0" fontId="3" fillId="10" borderId="12" xfId="0" applyFont="1" applyFill="1" applyBorder="1" applyAlignment="1">
      <alignment horizontal="left" vertical="center"/>
    </xf>
    <xf numFmtId="0" fontId="2" fillId="0" borderId="16" xfId="0" applyFont="1" applyBorder="1" applyAlignment="1">
      <alignment horizontal="left"/>
    </xf>
    <xf numFmtId="0" fontId="0" fillId="10" borderId="9" xfId="0" applyFill="1" applyBorder="1" applyAlignment="1">
      <alignment horizontal="left"/>
    </xf>
    <xf numFmtId="0" fontId="0" fillId="10" borderId="15" xfId="0" applyFill="1" applyBorder="1" applyAlignment="1">
      <alignment horizontal="left"/>
    </xf>
    <xf numFmtId="0" fontId="0" fillId="10" borderId="10" xfId="0" applyFill="1" applyBorder="1" applyAlignment="1">
      <alignment horizontal="left"/>
    </xf>
    <xf numFmtId="0" fontId="0" fillId="10" borderId="11" xfId="0" applyFill="1" applyBorder="1" applyAlignment="1">
      <alignment horizontal="left"/>
    </xf>
    <xf numFmtId="0" fontId="0" fillId="10" borderId="0" xfId="0" applyFill="1" applyAlignment="1">
      <alignment horizontal="left"/>
    </xf>
    <xf numFmtId="0" fontId="0" fillId="10" borderId="12" xfId="0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10" borderId="9" xfId="0" applyFont="1" applyFill="1" applyBorder="1" applyAlignment="1">
      <alignment horizontal="center"/>
    </xf>
    <xf numFmtId="0" fontId="2" fillId="10" borderId="15" xfId="0" applyFont="1" applyFill="1" applyBorder="1" applyAlignment="1">
      <alignment horizontal="center"/>
    </xf>
    <xf numFmtId="0" fontId="2" fillId="10" borderId="11" xfId="0" applyFont="1" applyFill="1" applyBorder="1" applyAlignment="1">
      <alignment horizontal="left"/>
    </xf>
    <xf numFmtId="0" fontId="2" fillId="10" borderId="0" xfId="0" applyFont="1" applyFill="1" applyAlignment="1">
      <alignment horizontal="left"/>
    </xf>
    <xf numFmtId="0" fontId="2" fillId="10" borderId="13" xfId="0" applyFont="1" applyFill="1" applyBorder="1" applyAlignment="1">
      <alignment horizontal="left"/>
    </xf>
    <xf numFmtId="0" fontId="2" fillId="10" borderId="16" xfId="0" applyFont="1" applyFill="1" applyBorder="1" applyAlignment="1">
      <alignment horizontal="left"/>
    </xf>
  </cellXfs>
  <cellStyles count="3">
    <cellStyle name="Normalny" xfId="0" builtinId="0"/>
    <cellStyle name="Procentowy" xfId="2" builtinId="5"/>
    <cellStyle name="Walutowy" xfId="1" builtinId="4"/>
  </cellStyles>
  <dxfs count="19">
    <dxf>
      <fill>
        <patternFill>
          <bgColor rgb="FF92D050"/>
        </patternFill>
      </fill>
    </dxf>
    <dxf>
      <border>
        <left style="thin">
          <color rgb="FFFF6200"/>
        </left>
        <right style="thin">
          <color rgb="FFFF6200"/>
        </right>
        <top style="thin">
          <color rgb="FFFF6200"/>
        </top>
        <bottom style="thin">
          <color rgb="FFFF6200"/>
        </bottom>
        <vertical/>
        <horizontal/>
      </border>
    </dxf>
    <dxf>
      <font>
        <color rgb="FFCBCBCB"/>
      </font>
      <fill>
        <patternFill>
          <fgColor rgb="FFCBCBCB"/>
          <bgColor rgb="FFCBCBCB"/>
        </patternFill>
      </fill>
    </dxf>
    <dxf>
      <font>
        <color rgb="FFCBCBCB"/>
      </font>
      <fill>
        <patternFill>
          <bgColor rgb="FFCBCBCB"/>
        </patternFill>
      </fill>
    </dxf>
    <dxf>
      <font>
        <color rgb="FFCBCBCB"/>
      </font>
      <fill>
        <patternFill>
          <bgColor rgb="FFCBCBCB"/>
        </patternFill>
      </fill>
    </dxf>
    <dxf>
      <font>
        <color rgb="FFCBCBCB"/>
      </font>
      <fill>
        <patternFill>
          <bgColor rgb="FFCBCBCB"/>
        </patternFill>
      </fill>
    </dxf>
    <dxf>
      <font>
        <color rgb="FFCBCBCB"/>
      </font>
      <fill>
        <patternFill>
          <fgColor rgb="FFCBCBCB"/>
          <bgColor rgb="FFCBCBCB"/>
        </patternFill>
      </fill>
    </dxf>
    <dxf>
      <font>
        <color rgb="FFCBCBCB"/>
      </font>
      <fill>
        <patternFill>
          <bgColor rgb="FFCBCBCB"/>
        </patternFill>
      </fill>
    </dxf>
    <dxf>
      <font>
        <color theme="4" tint="0.79998168889431442"/>
      </font>
      <fill>
        <patternFill>
          <bgColor theme="4" tint="0.79998168889431442"/>
        </patternFill>
      </fill>
    </dxf>
    <dxf>
      <font>
        <color rgb="FFCBCBCB"/>
      </font>
      <fill>
        <patternFill>
          <fgColor rgb="FFCBCBCB"/>
          <bgColor rgb="FFCBCBCB"/>
        </patternFill>
      </fill>
    </dxf>
    <dxf>
      <font>
        <color rgb="FFCBCBCB"/>
      </font>
      <fill>
        <patternFill>
          <bgColor rgb="FFCBCBCB"/>
        </patternFill>
      </fill>
    </dxf>
    <dxf>
      <font>
        <color rgb="FFCBCBCB"/>
      </font>
      <fill>
        <patternFill>
          <bgColor rgb="FFCBCBCB"/>
        </patternFill>
      </fill>
    </dxf>
    <dxf>
      <font>
        <color rgb="FFCBCBCB"/>
      </font>
      <fill>
        <patternFill>
          <bgColor theme="0" tint="-0.24994659260841701"/>
        </patternFill>
      </fill>
    </dxf>
    <dxf>
      <font>
        <color rgb="FFCBCBCB"/>
      </font>
      <fill>
        <patternFill>
          <bgColor rgb="FFCBCBCB"/>
        </patternFill>
      </fill>
    </dxf>
    <dxf>
      <font>
        <color rgb="FFCBCBCB"/>
      </font>
      <fill>
        <patternFill>
          <fgColor rgb="FFCBCBCB"/>
          <bgColor rgb="FFCBCBCB"/>
        </patternFill>
      </fill>
    </dxf>
    <dxf>
      <font>
        <color rgb="FFFF0000"/>
      </font>
    </dxf>
    <dxf>
      <font>
        <color rgb="FFFF0000"/>
      </font>
    </dxf>
    <dxf>
      <font>
        <b/>
      </font>
      <alignment horizontal="left" textRotation="0" wrapText="0" indent="0" justifyLastLine="0" shrinkToFit="0" readingOrder="0"/>
    </dxf>
    <dxf>
      <numFmt numFmtId="166" formatCode="dd/mm/yyyy"/>
    </dxf>
  </dxfs>
  <tableStyles count="0" defaultTableStyle="TableStyleMedium2" defaultPivotStyle="PivotStyleLight16"/>
  <colors>
    <mruColors>
      <color rgb="FFFF6200"/>
      <color rgb="FFCBCB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theme/theme1.xml" Type="http://schemas.openxmlformats.org/officeDocument/2006/relationships/theme"/><Relationship Id="rId6" Target="styles.xml" Type="http://schemas.openxmlformats.org/officeDocument/2006/relationships/styles"/><Relationship Id="rId7" Target="sharedStrings.xml" Type="http://schemas.openxmlformats.org/officeDocument/2006/relationships/sharedStrings"/><Relationship Id="rId8" Target="metadata.xml" Type="http://schemas.openxmlformats.org/officeDocument/2006/relationships/sheetMetadata"/><Relationship Id="rId9" Target="calcChain.xml" Type="http://schemas.openxmlformats.org/officeDocument/2006/relationships/calcChain"/></Relationships>
</file>

<file path=xl/drawings/_rels/drawing1.xml.rels><?xml version="1.0" encoding="UTF-8" standalone="yes"?><Relationships xmlns="http://schemas.openxmlformats.org/package/2006/relationships"><Relationship Id="rId1" Target="../media/image1.png" Type="http://schemas.openxmlformats.org/officeDocument/2006/relationships/image"/><Relationship Id="rId2" Target="../media/image2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1</xdr:row>
      <xdr:rowOff>9525</xdr:rowOff>
    </xdr:from>
    <xdr:to>
      <xdr:col>1</xdr:col>
      <xdr:colOff>666750</xdr:colOff>
      <xdr:row>1</xdr:row>
      <xdr:rowOff>588183</xdr:rowOff>
    </xdr:to>
    <xdr:pic>
      <xdr:nvPicPr>
        <xdr:cNvPr id="2" name="Obraz 1" descr="https://shp-app.pl.ing-ad/apps/mailsignature/Lists/Images/identifier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0025"/>
          <a:ext cx="571500" cy="56976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52915</xdr:colOff>
      <xdr:row>2</xdr:row>
      <xdr:rowOff>84667</xdr:rowOff>
    </xdr:from>
    <xdr:to>
      <xdr:col>5</xdr:col>
      <xdr:colOff>1332895</xdr:colOff>
      <xdr:row>7</xdr:row>
      <xdr:rowOff>148167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DBA81411-BAFD-4088-8F33-F5309F056D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38582" y="899584"/>
          <a:ext cx="4507896" cy="91016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ela3" displayName="Tabela3" ref="A2:B31" headerRowCount="0" totalsRowShown="0">
  <tableColumns count="2">
    <tableColumn id="1" xr3:uid="{00000000-0010-0000-0000-000001000000}" name="Kolumna1" headerRowDxfId="18" dataDxfId="17"/>
    <tableColumn id="2" xr3:uid="{00000000-0010-0000-0000-000002000000}" name="Kolumna2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/Relationships>
</file>

<file path=xl/worksheets/_rels/sheet4.xml.rels><?xml version="1.0" encoding="UTF-8" standalone="yes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tables/table1.xml" Type="http://schemas.openxmlformats.org/officeDocument/2006/relationships/table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3"/>
  <sheetViews>
    <sheetView showGridLines="0" tabSelected="1" zoomScale="90" zoomScaleNormal="90" workbookViewId="0">
      <selection activeCell="C29" sqref="C29"/>
    </sheetView>
  </sheetViews>
  <sheetFormatPr defaultColWidth="9.140625" defaultRowHeight="15" x14ac:dyDescent="0.25"/>
  <cols>
    <col min="1" max="1" width="9.140625" style="7"/>
    <col min="2" max="2" width="58.42578125" style="7" customWidth="1"/>
    <col min="3" max="3" width="53.5703125" style="7" customWidth="1"/>
    <col min="4" max="4" width="2.7109375" style="173" customWidth="1"/>
    <col min="5" max="5" width="45.7109375" style="173" customWidth="1"/>
    <col min="6" max="6" width="20.7109375" style="7" customWidth="1"/>
    <col min="7" max="8" width="9.140625" style="7"/>
    <col min="9" max="9" width="14.42578125" style="7" customWidth="1"/>
    <col min="10" max="10" width="9.140625" style="7"/>
    <col min="11" max="11" width="11.28515625" style="7" bestFit="1" customWidth="1"/>
    <col min="12" max="14" width="9.140625" style="7"/>
    <col min="15" max="15" width="29.42578125" style="7" customWidth="1"/>
    <col min="16" max="16384" width="9.140625" style="7"/>
  </cols>
  <sheetData>
    <row r="1" spans="1:15" x14ac:dyDescent="0.25">
      <c r="A1" s="6"/>
      <c r="B1" s="6"/>
      <c r="C1" s="6"/>
      <c r="D1" s="6"/>
      <c r="E1" s="6"/>
      <c r="F1" s="6"/>
    </row>
    <row r="2" spans="1:15" ht="49.5" customHeight="1" x14ac:dyDescent="0.25">
      <c r="A2" s="6"/>
      <c r="B2" s="193" t="s">
        <v>41</v>
      </c>
      <c r="C2" s="194"/>
      <c r="D2" s="176"/>
      <c r="E2" s="176"/>
      <c r="F2" s="6"/>
    </row>
    <row r="3" spans="1:15" ht="12" customHeight="1" x14ac:dyDescent="0.25">
      <c r="A3" s="6"/>
      <c r="B3" s="195" t="s">
        <v>0</v>
      </c>
      <c r="C3" s="196"/>
      <c r="D3" s="177"/>
      <c r="E3" s="200"/>
      <c r="F3" s="6"/>
    </row>
    <row r="4" spans="1:15" ht="24.75" customHeight="1" x14ac:dyDescent="0.25">
      <c r="A4" s="6"/>
      <c r="B4" s="198"/>
      <c r="C4" s="199"/>
      <c r="D4" s="178"/>
      <c r="E4" s="200"/>
      <c r="F4" s="6"/>
      <c r="O4" s="173"/>
    </row>
    <row r="5" spans="1:15" x14ac:dyDescent="0.25">
      <c r="A5" s="6"/>
      <c r="B5" s="52" t="s">
        <v>129</v>
      </c>
      <c r="C5" s="48">
        <v>46027</v>
      </c>
      <c r="D5" s="179"/>
      <c r="E5" s="200"/>
      <c r="F5" s="6"/>
      <c r="O5" s="192"/>
    </row>
    <row r="6" spans="1:15" x14ac:dyDescent="0.25">
      <c r="A6" s="6"/>
      <c r="B6" s="52" t="s">
        <v>130</v>
      </c>
      <c r="C6" s="48">
        <v>43990</v>
      </c>
      <c r="D6" s="179"/>
      <c r="E6" s="200"/>
      <c r="F6" s="6"/>
      <c r="O6" s="192"/>
    </row>
    <row r="7" spans="1:15" ht="15" hidden="1" customHeight="1" x14ac:dyDescent="0.25">
      <c r="A7" s="6"/>
      <c r="B7" s="53" t="s">
        <v>73</v>
      </c>
      <c r="C7" s="49" t="s">
        <v>75</v>
      </c>
      <c r="D7" s="180"/>
      <c r="E7" s="6"/>
      <c r="F7" s="6"/>
      <c r="O7" s="192"/>
    </row>
    <row r="8" spans="1:15" x14ac:dyDescent="0.25">
      <c r="A8" s="6"/>
      <c r="B8" s="54" t="s">
        <v>71</v>
      </c>
      <c r="C8" s="18" t="s">
        <v>105</v>
      </c>
      <c r="D8" s="181"/>
      <c r="E8" s="6"/>
      <c r="F8" s="6"/>
      <c r="O8" s="173"/>
    </row>
    <row r="9" spans="1:15" hidden="1" x14ac:dyDescent="0.25">
      <c r="A9" s="6"/>
      <c r="B9" s="97" t="s">
        <v>88</v>
      </c>
      <c r="C9" s="51" t="s">
        <v>114</v>
      </c>
      <c r="D9" s="182"/>
      <c r="E9" s="6"/>
      <c r="F9" s="6"/>
    </row>
    <row r="10" spans="1:15" x14ac:dyDescent="0.25">
      <c r="A10" s="6"/>
      <c r="B10" s="97" t="str">
        <f>IF(C9=LogikaFrontowa!U4,"Branża:","")</f>
        <v>Branża:</v>
      </c>
      <c r="C10" s="50" t="s">
        <v>19</v>
      </c>
      <c r="D10" s="183"/>
      <c r="E10" s="6"/>
      <c r="F10" s="6"/>
    </row>
    <row r="11" spans="1:15" x14ac:dyDescent="0.25">
      <c r="A11" s="6"/>
      <c r="B11" s="55" t="s">
        <v>54</v>
      </c>
      <c r="C11" s="56">
        <f>LogikaFrontowa!AC3</f>
        <v>46027</v>
      </c>
      <c r="D11" s="184"/>
      <c r="E11" s="6"/>
      <c r="F11" s="6"/>
    </row>
    <row r="12" spans="1:15" x14ac:dyDescent="0.25">
      <c r="A12" s="6"/>
      <c r="B12" s="57" t="s">
        <v>11</v>
      </c>
      <c r="C12" s="51" t="s">
        <v>114</v>
      </c>
      <c r="D12" s="182"/>
      <c r="E12" s="6"/>
      <c r="F12" s="6"/>
    </row>
    <row r="13" spans="1:15" hidden="1" x14ac:dyDescent="0.25">
      <c r="A13" s="6"/>
      <c r="B13" s="57" t="str">
        <f>IF(C12=LogikaFrontowa!U4,"Branża","")</f>
        <v>Branża</v>
      </c>
      <c r="C13" s="50" t="s">
        <v>26</v>
      </c>
      <c r="D13" s="183"/>
      <c r="E13" s="6"/>
      <c r="F13" s="6"/>
    </row>
    <row r="14" spans="1:15" x14ac:dyDescent="0.25">
      <c r="A14" s="6"/>
      <c r="B14" s="58" t="s">
        <v>3</v>
      </c>
      <c r="C14" s="9">
        <v>20000</v>
      </c>
      <c r="D14" s="185"/>
      <c r="E14" s="6"/>
      <c r="F14" s="6"/>
    </row>
    <row r="15" spans="1:15" x14ac:dyDescent="0.25">
      <c r="A15" s="6"/>
      <c r="B15" s="166" t="str">
        <f>IF(C12=LogikaFrontowa!U3,LogikaFrontowa!AQ3,LogikaFrontowa!AQ4)</f>
        <v>Koszty za bieżący rok (bez składki na ubezpieczenie społeczne)</v>
      </c>
      <c r="C15" s="8">
        <v>3000</v>
      </c>
      <c r="D15" s="185"/>
      <c r="E15" s="6"/>
      <c r="F15" s="6"/>
    </row>
    <row r="16" spans="1:15" x14ac:dyDescent="0.25">
      <c r="A16" s="6"/>
      <c r="B16" s="59" t="s">
        <v>5</v>
      </c>
      <c r="C16" s="8">
        <v>0</v>
      </c>
      <c r="D16" s="185"/>
      <c r="E16" s="6"/>
      <c r="F16" s="6"/>
    </row>
    <row r="17" spans="1:6" ht="27.75" customHeight="1" x14ac:dyDescent="0.25">
      <c r="A17" s="6"/>
      <c r="B17" s="170" t="str">
        <f>IF(C12=LogikaFrontowa!U3,LogikaFrontowa!AT3,LogikaFrontowa!AT4)</f>
        <v>Składka na ubezpieczenie społeczne jest opłacana z innego źródła</v>
      </c>
      <c r="C17" s="167" t="s">
        <v>134</v>
      </c>
      <c r="D17" s="186"/>
      <c r="E17" s="6"/>
      <c r="F17" s="6"/>
    </row>
    <row r="18" spans="1:6" x14ac:dyDescent="0.25">
      <c r="A18" s="6"/>
      <c r="B18" s="55" t="s">
        <v>54</v>
      </c>
      <c r="C18" s="56">
        <f>LogikaFrontowa!AC4</f>
        <v>45662</v>
      </c>
      <c r="D18" s="184"/>
      <c r="E18" s="6"/>
      <c r="F18" s="6"/>
    </row>
    <row r="19" spans="1:6" x14ac:dyDescent="0.25">
      <c r="A19" s="6"/>
      <c r="B19" s="57" t="s">
        <v>11</v>
      </c>
      <c r="C19" s="51" t="s">
        <v>14</v>
      </c>
      <c r="D19" s="182"/>
      <c r="E19" s="6"/>
      <c r="F19" s="6"/>
    </row>
    <row r="20" spans="1:6" hidden="1" x14ac:dyDescent="0.25">
      <c r="A20" s="6"/>
      <c r="B20" s="57" t="str">
        <f>IF(C19=LogikaFrontowa!U4,"Branża","")</f>
        <v/>
      </c>
      <c r="C20" s="50" t="s">
        <v>26</v>
      </c>
      <c r="D20" s="183"/>
      <c r="E20" s="6"/>
      <c r="F20" s="6"/>
    </row>
    <row r="21" spans="1:6" x14ac:dyDescent="0.25">
      <c r="A21" s="6"/>
      <c r="B21" s="57" t="s">
        <v>6</v>
      </c>
      <c r="C21" s="8">
        <v>175000</v>
      </c>
      <c r="D21" s="185"/>
      <c r="E21" s="6"/>
      <c r="F21" s="6"/>
    </row>
    <row r="22" spans="1:6" x14ac:dyDescent="0.25">
      <c r="A22" s="6"/>
      <c r="B22" s="166" t="str">
        <f>IF(C19=LogikaFrontowa!U3,LogikaFrontowa!AQ5,LogikaFrontowa!AQ6)</f>
        <v>Koszty za ubiegły rok</v>
      </c>
      <c r="C22" s="8">
        <v>45000</v>
      </c>
      <c r="D22" s="185"/>
      <c r="E22" s="6"/>
      <c r="F22" s="6"/>
    </row>
    <row r="23" spans="1:6" x14ac:dyDescent="0.25">
      <c r="A23" s="6"/>
      <c r="B23" s="57" t="s">
        <v>8</v>
      </c>
      <c r="C23" s="8">
        <v>0</v>
      </c>
      <c r="D23" s="185"/>
      <c r="E23" s="6"/>
      <c r="F23" s="6"/>
    </row>
    <row r="24" spans="1:6" ht="27.75" customHeight="1" x14ac:dyDescent="0.25">
      <c r="A24" s="6"/>
      <c r="B24" s="169" t="str">
        <f>IF(C19=LogikaFrontowa!U3,LogikaFrontowa!AT3,LogikaFrontowa!AT4)</f>
        <v>Pełna składka na ubezpieczenie społeczne jest uwzględniana w kosztach lub opłacana z innego źródła</v>
      </c>
      <c r="C24" s="167" t="s">
        <v>134</v>
      </c>
      <c r="D24" s="186"/>
      <c r="E24" s="6"/>
      <c r="F24" s="6"/>
    </row>
    <row r="25" spans="1:6" x14ac:dyDescent="0.25">
      <c r="A25" s="6"/>
      <c r="B25" s="55" t="s">
        <v>54</v>
      </c>
      <c r="C25" s="56">
        <f>LogikaFrontowa!AC5</f>
        <v>45297</v>
      </c>
      <c r="D25" s="184"/>
      <c r="E25" s="6"/>
      <c r="F25" s="6"/>
    </row>
    <row r="26" spans="1:6" x14ac:dyDescent="0.25">
      <c r="A26" s="6"/>
      <c r="B26" s="57" t="s">
        <v>11</v>
      </c>
      <c r="C26" s="51" t="s">
        <v>14</v>
      </c>
      <c r="D26" s="182"/>
      <c r="E26" s="6"/>
      <c r="F26" s="6"/>
    </row>
    <row r="27" spans="1:6" hidden="1" x14ac:dyDescent="0.25">
      <c r="A27" s="6"/>
      <c r="B27" s="57" t="str">
        <f>IF(C26=LogikaFrontowa!U4,"Branża","")</f>
        <v/>
      </c>
      <c r="C27" s="50" t="s">
        <v>26</v>
      </c>
      <c r="D27" s="183"/>
      <c r="E27" s="6"/>
      <c r="F27" s="6"/>
    </row>
    <row r="28" spans="1:6" x14ac:dyDescent="0.25">
      <c r="A28" s="6"/>
      <c r="B28" s="57" t="s">
        <v>102</v>
      </c>
      <c r="C28" s="8">
        <v>210000</v>
      </c>
      <c r="D28" s="185"/>
      <c r="E28" s="6"/>
      <c r="F28" s="6"/>
    </row>
    <row r="29" spans="1:6" ht="15" customHeight="1" x14ac:dyDescent="0.25">
      <c r="A29" s="6"/>
      <c r="B29" s="166" t="str">
        <f>IF(C26=LogikaFrontowa!U3,LogikaFrontowa!AQ7,LogikaFrontowa!AQ8)</f>
        <v>Koszty za rok poprzedzający rok ubiegły</v>
      </c>
      <c r="C29" s="8">
        <v>80000</v>
      </c>
      <c r="D29" s="185"/>
      <c r="E29" s="6"/>
      <c r="F29" s="6"/>
    </row>
    <row r="30" spans="1:6" x14ac:dyDescent="0.25">
      <c r="A30" s="6"/>
      <c r="B30" s="57" t="s">
        <v>104</v>
      </c>
      <c r="C30" s="8">
        <v>0</v>
      </c>
      <c r="D30" s="185"/>
      <c r="E30" s="6"/>
      <c r="F30" s="6"/>
    </row>
    <row r="31" spans="1:6" ht="27.75" customHeight="1" x14ac:dyDescent="0.25">
      <c r="A31" s="6"/>
      <c r="B31" s="169" t="str">
        <f>IF(C26=LogikaFrontowa!U3,LogikaFrontowa!AT3,LogikaFrontowa!AT4)</f>
        <v>Pełna składka na ubezpieczenie społeczne jest uwzględniana w kosztach lub opłacana z innego źródła</v>
      </c>
      <c r="C31" s="168" t="s">
        <v>134</v>
      </c>
      <c r="D31" s="186"/>
      <c r="E31" s="6"/>
      <c r="F31" s="6"/>
    </row>
    <row r="32" spans="1:6" ht="24" customHeight="1" x14ac:dyDescent="0.25">
      <c r="A32" s="6"/>
      <c r="B32" s="175" t="s">
        <v>9</v>
      </c>
      <c r="C32" s="174">
        <f>Wyliczenia!I5</f>
        <v>7326.4851000000008</v>
      </c>
      <c r="D32" s="187"/>
      <c r="E32" s="6"/>
      <c r="F32" s="6"/>
    </row>
    <row r="33" spans="1:6" x14ac:dyDescent="0.25">
      <c r="A33" s="6"/>
      <c r="B33" s="197"/>
      <c r="C33" s="197"/>
      <c r="D33" s="188"/>
      <c r="E33" s="6"/>
      <c r="F33" s="6"/>
    </row>
  </sheetData>
  <sheetProtection selectLockedCells="1" autoFilter="0"/>
  <mergeCells count="6">
    <mergeCell ref="O5:O7"/>
    <mergeCell ref="B2:C2"/>
    <mergeCell ref="B3:C3"/>
    <mergeCell ref="B33:C33"/>
    <mergeCell ref="B4:C4"/>
    <mergeCell ref="E3:E6"/>
  </mergeCells>
  <conditionalFormatting sqref="B10">
    <cfRule type="expression" dxfId="16" priority="12">
      <formula>"$B$6"="Książka Przychodów i Rozchodów / Pełna księgowość"</formula>
    </cfRule>
  </conditionalFormatting>
  <conditionalFormatting sqref="B13">
    <cfRule type="expression" dxfId="15" priority="31">
      <formula>"$B$6"="Książka Przychodów i Rozchodów / Pełna księgowość"</formula>
    </cfRule>
  </conditionalFormatting>
  <conditionalFormatting sqref="C10:D10">
    <cfRule type="expression" dxfId="14" priority="5">
      <formula>$C$9="Książka Przychodów i Rozchodów / Pełna księgowość"</formula>
    </cfRule>
  </conditionalFormatting>
  <conditionalFormatting sqref="C12:D17">
    <cfRule type="expression" dxfId="11" priority="30">
      <formula>$C$8="dane za ubiegły rok i rok poprzedzający rok ubiegły"</formula>
    </cfRule>
  </conditionalFormatting>
  <conditionalFormatting sqref="C13:D13">
    <cfRule type="expression" dxfId="9" priority="32">
      <formula>$C$12="Książka Przychodów i Rozchodów / Pełna księgowość"</formula>
    </cfRule>
  </conditionalFormatting>
  <conditionalFormatting sqref="C14:D17">
    <cfRule type="expression" dxfId="8" priority="39">
      <formula>#REF!="dane za ubiegły rok"</formula>
    </cfRule>
  </conditionalFormatting>
  <conditionalFormatting sqref="C20:D20">
    <cfRule type="expression" dxfId="6" priority="24">
      <formula>$C$19="Książka Przychodów i Rozchodów / Pełna księgowość"</formula>
    </cfRule>
  </conditionalFormatting>
  <conditionalFormatting sqref="C26:D31">
    <cfRule type="expression" dxfId="4" priority="18">
      <formula>$C$7="Stare"</formula>
    </cfRule>
  </conditionalFormatting>
  <conditionalFormatting sqref="C27:D27">
    <cfRule type="expression" dxfId="2" priority="25">
      <formula>$C$26="Książka Przychodów i Rozchodów / Pełna księgowość"</formula>
    </cfRule>
  </conditionalFormatting>
  <dataValidations count="5">
    <dataValidation type="decimal" allowBlank="1" showInputMessage="1" showErrorMessage="1" sqref="C14:D15 C21:D22 C28:D29" xr:uid="{00000000-0002-0000-0000-000000000000}">
      <formula1>0</formula1>
      <formula2>99999999.99</formula2>
    </dataValidation>
    <dataValidation type="decimal" allowBlank="1" showInputMessage="1" showErrorMessage="1" sqref="C23:D23 C16:D16 C30:D30" xr:uid="{00000000-0002-0000-0000-000001000000}">
      <formula1>0</formula1>
      <formula2>9999999.99</formula2>
    </dataValidation>
    <dataValidation type="date" operator="greaterThan" allowBlank="1" showInputMessage="1" showErrorMessage="1" sqref="C5:D5" xr:uid="{00000000-0002-0000-0000-000002000000}">
      <formula1>36526</formula1>
    </dataValidation>
    <dataValidation type="date" operator="greaterThan" allowBlank="1" showInputMessage="1" showErrorMessage="1" sqref="C6:D6" xr:uid="{00000000-0002-0000-0000-000003000000}">
      <formula1>1</formula1>
    </dataValidation>
    <dataValidation type="list" operator="greaterThan" allowBlank="1" showInputMessage="1" showErrorMessage="1" sqref="C8:D8" xr:uid="{00000000-0002-0000-0000-000008000000}">
      <formula1>miesiac</formula1>
    </dataValidation>
  </dataValidations>
  <pageMargins left="0.7" right="0.7" top="0.75" bottom="0.75" header="0.3" footer="0.3"/>
  <pageSetup paperSize="9" scale="54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A8D503DE-E621-4A4E-A756-DC83BC142D04}">
            <xm:f>LogikaFrontowa!$M$18="Nie"</xm:f>
            <x14:dxf>
              <font>
                <color rgb="FFCBCBCB"/>
              </font>
              <fill>
                <patternFill>
                  <bgColor rgb="FFCBCBCB"/>
                </patternFill>
              </fill>
            </x14:dxf>
          </x14:cfRule>
          <x14:cfRule type="expression" priority="16" id="{113113B5-62CB-4AC6-8F4D-81F3807005C4}">
            <xm:f>AND($C$8="listopada",LogikaFrontowa!$C$9=0)</xm:f>
            <x14:dxf>
              <font>
                <color rgb="FFCBCBCB"/>
              </font>
              <fill>
                <patternFill>
                  <bgColor theme="0" tint="-0.24994659260841701"/>
                </patternFill>
              </fill>
            </x14:dxf>
          </x14:cfRule>
          <x14:cfRule type="expression" priority="40" id="{F0AA07B7-68F0-4485-A8F0-D8B89A1B991A}">
            <xm:f>LogikaFrontowa!$F$1=1</xm:f>
            <x14:dxf>
              <font>
                <color rgb="FFCBCBCB"/>
              </font>
              <fill>
                <patternFill>
                  <bgColor rgb="FFCBCBCB"/>
                </patternFill>
              </fill>
            </x14:dxf>
          </x14:cfRule>
          <xm:sqref>C12:D17</xm:sqref>
        </x14:conditionalFormatting>
        <x14:conditionalFormatting xmlns:xm="http://schemas.microsoft.com/office/excel/2006/main">
          <x14:cfRule type="expression" priority="14" id="{11731DE1-719B-4F12-BE95-A95EE095D846}">
            <xm:f>LogikaFrontowa!$M$19="Nie"</xm:f>
            <x14:dxf>
              <font>
                <color rgb="FFCBCBCB"/>
              </font>
              <fill>
                <patternFill>
                  <bgColor rgb="FFCBCBCB"/>
                </patternFill>
              </fill>
            </x14:dxf>
          </x14:cfRule>
          <xm:sqref>C19:D24</xm:sqref>
        </x14:conditionalFormatting>
        <x14:conditionalFormatting xmlns:xm="http://schemas.microsoft.com/office/excel/2006/main">
          <x14:cfRule type="expression" priority="13" id="{977856B9-EF02-48CF-926B-6351FBD37EF6}">
            <xm:f>LogikaFrontowa!$M$20="Nie"</xm:f>
            <x14:dxf>
              <font>
                <color rgb="FFCBCBCB"/>
              </font>
              <fill>
                <patternFill>
                  <bgColor rgb="FFCBCBCB"/>
                </patternFill>
              </fill>
            </x14:dxf>
          </x14:cfRule>
          <x14:cfRule type="expression" priority="44" id="{93EC58FE-0F63-408B-9943-26A290B638E8}">
            <xm:f>LogikaFrontowa!$C$11=0</xm:f>
            <x14:dxf>
              <font>
                <color rgb="FFCBCBCB"/>
              </font>
              <fill>
                <patternFill>
                  <bgColor rgb="FFCBCBCB"/>
                </patternFill>
              </fill>
            </x14:dxf>
          </x14:cfRule>
          <xm:sqref>C26:D31</xm:sqref>
        </x14:conditionalFormatting>
        <x14:conditionalFormatting xmlns:xm="http://schemas.microsoft.com/office/excel/2006/main">
          <x14:cfRule type="cellIs" priority="1" operator="equal" id="{E5CD69FE-BFC2-47B4-AB17-092FE6125350}">
            <xm:f>Wyliczenia!$A$42</xm:f>
            <x14:dxf>
              <border>
                <left style="thin">
                  <color rgb="FFFF6200"/>
                </left>
                <right style="thin">
                  <color rgb="FFFF6200"/>
                </right>
                <top style="thin">
                  <color rgb="FFFF6200"/>
                </top>
                <bottom style="thin">
                  <color rgb="FFFF6200"/>
                </bottom>
                <vertical/>
                <horizontal/>
              </border>
            </x14:dxf>
          </x14:cfRule>
          <xm:sqref>E3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000-000004000000}">
          <x14:formula1>
            <xm:f>LogikaFrontowa!$U$3:$U$4</xm:f>
          </x14:formula1>
          <xm:sqref>C9:D9 C12:D12 C19:D19 C26:D26</xm:sqref>
        </x14:dataValidation>
        <x14:dataValidation type="list" operator="greaterThan" allowBlank="1" showInputMessage="1" showErrorMessage="1" xr:uid="{00000000-0002-0000-0000-000005000000}">
          <x14:formula1>
            <xm:f>LogikaFrontowa!$AA$3:$AA$4</xm:f>
          </x14:formula1>
          <xm:sqref>C7:D7</xm:sqref>
        </x14:dataValidation>
        <x14:dataValidation type="list" allowBlank="1" showInputMessage="1" showErrorMessage="1" xr:uid="{00000000-0002-0000-0000-000006000000}">
          <x14:formula1>
            <xm:f>IF(B7&gt;=12,IF(AND(MONTH($C$5)&gt;0,MONTH($C$5)&lt;=4),LogikaFrontowa!$O$3,IF(DAY($C$5)&gt;20,LogikaFrontowa!$M$5,LogikaFrontowa!$M$5:$M$6)), IF(DAY($C$5)&gt;20,LogikaFrontowa!$M$5,LogikaFrontowa!$M$5:$M$6))</xm:f>
          </x14:formula1>
          <xm:sqref>H12</xm:sqref>
        </x14:dataValidation>
        <x14:dataValidation type="list" allowBlank="1" showInputMessage="1" showErrorMessage="1" xr:uid="{00000000-0002-0000-0000-000007000000}">
          <x14:formula1>
            <xm:f>LogikaFrontowa!$B$24:$B$35</xm:f>
          </x14:formula1>
          <xm:sqref>C10:D10 C13:D13 C20:D20 C27:D27</xm:sqref>
        </x14:dataValidation>
        <x14:dataValidation type="list" allowBlank="1" showInputMessage="1" showErrorMessage="1" xr:uid="{0963B8F2-C5CC-496C-BBAC-641B6308DBAA}">
          <x14:formula1>
            <xm:f>LogikaFrontowa!$AN$3:$AN$4</xm:f>
          </x14:formula1>
          <xm:sqref>C17:D17 C24:D24 C31:D31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44"/>
  <sheetViews>
    <sheetView topLeftCell="A22" zoomScale="90" zoomScaleNormal="90" workbookViewId="0">
      <selection activeCell="G42" sqref="G42"/>
    </sheetView>
  </sheetViews>
  <sheetFormatPr defaultRowHeight="15" x14ac:dyDescent="0.25"/>
  <cols>
    <col min="1" max="1" width="44" customWidth="1"/>
    <col min="2" max="2" width="18.42578125" customWidth="1"/>
    <col min="3" max="3" width="4.42578125" customWidth="1"/>
    <col min="4" max="5" width="14.28515625" customWidth="1"/>
    <col min="6" max="6" width="4.28515625" customWidth="1"/>
    <col min="7" max="7" width="38.85546875" customWidth="1"/>
    <col min="8" max="8" width="14.7109375" customWidth="1"/>
    <col min="9" max="9" width="15.5703125" customWidth="1"/>
    <col min="10" max="10" width="28.140625" customWidth="1"/>
    <col min="11" max="11" width="16.140625" customWidth="1"/>
    <col min="12" max="12" width="15.28515625" customWidth="1"/>
    <col min="13" max="14" width="13.5703125" customWidth="1"/>
    <col min="15" max="15" width="24.85546875" customWidth="1"/>
    <col min="16" max="16" width="13.140625" customWidth="1"/>
    <col min="17" max="17" width="3.7109375" customWidth="1"/>
    <col min="18" max="18" width="25.5703125" customWidth="1"/>
    <col min="19" max="19" width="17.7109375" customWidth="1"/>
    <col min="22" max="22" width="12.85546875" customWidth="1"/>
  </cols>
  <sheetData>
    <row r="1" spans="1:29" x14ac:dyDescent="0.25">
      <c r="D1" s="202" t="s">
        <v>64</v>
      </c>
      <c r="E1" s="202"/>
      <c r="F1" s="94"/>
    </row>
    <row r="2" spans="1:29" ht="15.75" thickBot="1" x14ac:dyDescent="0.3">
      <c r="D2" s="158" t="s">
        <v>66</v>
      </c>
      <c r="E2" s="158" t="s">
        <v>65</v>
      </c>
      <c r="F2" s="155"/>
    </row>
    <row r="3" spans="1:29" x14ac:dyDescent="0.25">
      <c r="A3" s="10" t="str">
        <f>'Symulacja dochodu'!C12</f>
        <v>Ryczałt / Karta podatkowa</v>
      </c>
      <c r="B3" s="20" t="str">
        <f>'Symulacja dochodu'!C10</f>
        <v>Budownictwo</v>
      </c>
      <c r="D3" s="159">
        <f>VLOOKUP(B3,LogikaFrontowa!B24:C35,2,FALSE)</f>
        <v>30</v>
      </c>
      <c r="E3" s="160">
        <f>K9/L9*100</f>
        <v>100</v>
      </c>
      <c r="F3" s="156"/>
      <c r="H3" s="204" t="s">
        <v>99</v>
      </c>
      <c r="I3" s="205"/>
      <c r="K3" s="5"/>
    </row>
    <row r="4" spans="1:29" x14ac:dyDescent="0.25">
      <c r="A4" s="11" t="s">
        <v>42</v>
      </c>
      <c r="B4" s="12">
        <f>'Symulacja dochodu'!C14</f>
        <v>20000</v>
      </c>
      <c r="C4" s="161"/>
      <c r="D4" s="201" t="str">
        <f>IF(E3&lt;D3,"Dochód","Skorygowany przychód")</f>
        <v>Skorygowany przychód</v>
      </c>
      <c r="E4" s="201"/>
      <c r="F4" s="94"/>
      <c r="H4" s="43">
        <f>IF(AND(B21="NIE",LogikaFrontowa!C7&gt;=24,LogikaFrontowa!C13=LogikaFrontowa!AA3,A9=LogikaFrontowa!U3),1,IF(AND(B21="NIE",LogikaFrontowa!C7&gt;=24,LogikaFrontowa!C13=LogikaFrontowa!AA3,A9=LogikaFrontowa!U4),2,IF(AND(B21="NIE",LogikaFrontowa!C7&lt;24,LogikaFrontowa!C13=LogikaFrontowa!AA3,A9=LogikaFrontowa!U3),3,IF(AND(B21="NIE",LogikaFrontowa!C7&lt;24,LogikaFrontowa!C13=LogikaFrontowa!AA3,A9=LogikaFrontowa!U4),4,IF(AND(B21="NIE",LogikaFrontowa!C13=LogikaFrontowa!AA4,A9=LogikaFrontowa!U3),5,IF(AND(B21="TAK",LogikaFrontowa!C13=LogikaFrontowa!AA3,LogikaFrontowa!C7&lt;24),10,IF(AND(B21="NIE",LogikaFrontowa!C13=LogikaFrontowa!AA4,A9=LogikaFrontowa!U4),6,9)))))))</f>
        <v>1</v>
      </c>
      <c r="I4" s="38"/>
    </row>
    <row r="5" spans="1:29" ht="15.75" thickBot="1" x14ac:dyDescent="0.3">
      <c r="A5" s="11" t="s">
        <v>43</v>
      </c>
      <c r="B5" s="12">
        <f>IF('Symulacja dochodu'!C17=LogikaFrontowa!AN4,'Symulacja dochodu'!C15+LogikaFrontowa!C39*LogikaFrontowa!C9,'Symulacja dochodu'!C15)</f>
        <v>3000</v>
      </c>
      <c r="C5" s="161"/>
      <c r="D5" s="157"/>
      <c r="E5" s="157"/>
      <c r="F5" s="94"/>
      <c r="H5" s="44" t="s">
        <v>63</v>
      </c>
      <c r="I5" s="45">
        <f>IF(H4=1,H14,IF(H4=2,M14,IF(H4=3,K22,IF(H4=4,L22,IF(H4=5,K30,IF(H4=6,L30,IF(H4=7,O23,IF(H4=10,S12,P12))))))))</f>
        <v>7326.4851000000008</v>
      </c>
    </row>
    <row r="6" spans="1:29" x14ac:dyDescent="0.25">
      <c r="A6" s="11" t="s">
        <v>44</v>
      </c>
      <c r="B6" s="12">
        <f>IF(B4&lt;B5,0,IF(A3=LogikaFrontowa!U4,0,'Symulacja dochodu'!C16))</f>
        <v>0</v>
      </c>
      <c r="C6" s="161"/>
      <c r="D6" s="157"/>
      <c r="E6" s="157"/>
      <c r="F6" s="94"/>
    </row>
    <row r="7" spans="1:29" ht="15.75" thickBot="1" x14ac:dyDescent="0.3">
      <c r="A7" s="13" t="s">
        <v>51</v>
      </c>
      <c r="B7" s="14">
        <f>IF(B4-B5&lt;=0,0,0.19)</f>
        <v>0.19</v>
      </c>
      <c r="D7" s="157"/>
      <c r="E7" s="157"/>
      <c r="F7" s="94"/>
      <c r="G7" s="203" t="s">
        <v>70</v>
      </c>
      <c r="H7" s="203"/>
      <c r="K7" s="203" t="s">
        <v>69</v>
      </c>
      <c r="L7" s="203"/>
      <c r="M7" s="203"/>
      <c r="O7" s="203" t="s">
        <v>120</v>
      </c>
      <c r="P7" s="203"/>
      <c r="R7" s="203" t="s">
        <v>122</v>
      </c>
      <c r="S7" s="203"/>
    </row>
    <row r="8" spans="1:29" ht="15.75" thickBot="1" x14ac:dyDescent="0.3">
      <c r="D8" s="157"/>
      <c r="E8" s="157"/>
      <c r="F8" s="94"/>
      <c r="G8" s="32"/>
      <c r="H8" s="118" t="s">
        <v>57</v>
      </c>
      <c r="K8" s="146" t="s">
        <v>68</v>
      </c>
      <c r="L8" s="147" t="s">
        <v>67</v>
      </c>
      <c r="M8" s="148" t="s">
        <v>64</v>
      </c>
      <c r="O8" s="115"/>
      <c r="P8" s="119" t="s">
        <v>57</v>
      </c>
      <c r="R8" s="115"/>
      <c r="S8" s="119" t="s">
        <v>57</v>
      </c>
    </row>
    <row r="9" spans="1:29" x14ac:dyDescent="0.25">
      <c r="A9" s="10" t="str">
        <f>'Symulacja dochodu'!C19</f>
        <v>Książka Przychodów i Rozchodów / Pełna księgowość</v>
      </c>
      <c r="B9" s="20" t="str">
        <f>'Symulacja dochodu'!C10</f>
        <v>Budownictwo</v>
      </c>
      <c r="D9" s="159">
        <f>VLOOKUP(B9,LogikaFrontowa!B24:C35,2,FALSE)</f>
        <v>30</v>
      </c>
      <c r="E9" s="160">
        <f>K10/L10*100</f>
        <v>50.238754971428577</v>
      </c>
      <c r="F9" s="156"/>
      <c r="G9" s="33" t="s">
        <v>58</v>
      </c>
      <c r="H9" s="41">
        <f>IF(AND(LogikaFrontowa!C9&gt;0,LogikaFrontowa!C9&lt;=LogikaFrontowa!C7),((B4-B5)*(1-B7)+IF(B6=0,0,MIN(B6,0.5*((B4-B5)*(1-B7)))))/LogikaFrontowa!C9,IF(AND(LogikaFrontowa!C9&gt;0,LogikaFrontowa!C9&gt;LogikaFrontowa!C7),((B4-B5)*(1-B7)+IF(B6=0,0,MIN(B6,0.5*((B4-B5)*(1-B7)))))/LogikaFrontowa!D9,0))</f>
        <v>0</v>
      </c>
      <c r="J9" s="144" t="s">
        <v>58</v>
      </c>
      <c r="K9" s="153">
        <f>IF(LogikaFrontowa!C9&gt;0,((B4-B5)*(1-B7))/LogikaFrontowa!C9,0.000001)</f>
        <v>9.9999999999999995E-7</v>
      </c>
      <c r="L9" s="145">
        <f>IF(LogikaFrontowa!C9&gt;0,B4/LogikaFrontowa!C9,0.000001)</f>
        <v>9.9999999999999995E-7</v>
      </c>
      <c r="M9" s="149">
        <f>IF(E3&gt;D3,D3*L9/100,K9)</f>
        <v>2.9999999999999999E-7</v>
      </c>
      <c r="N9" s="143"/>
      <c r="O9" s="116" t="s">
        <v>117</v>
      </c>
      <c r="P9" s="113">
        <f>IF(A3=LogikaFrontowa!U3,H9,IF($E$3&gt;$D$3,$D$3*L9/100,K9))</f>
        <v>2.9999999999999999E-7</v>
      </c>
      <c r="Q9" s="112">
        <f>IF(LogikaFrontowa!C9&gt;=1,1,0)</f>
        <v>0</v>
      </c>
      <c r="R9" s="116" t="s">
        <v>117</v>
      </c>
      <c r="S9" s="113">
        <f>IF(A3=LogikaFrontowa!U3,H9,IF(E3&gt;$D$3,$D$3*L9/100,K9))</f>
        <v>2.9999999999999999E-7</v>
      </c>
    </row>
    <row r="10" spans="1:29" x14ac:dyDescent="0.25">
      <c r="A10" s="11" t="s">
        <v>45</v>
      </c>
      <c r="B10" s="12">
        <f>'Symulacja dochodu'!C21</f>
        <v>175000</v>
      </c>
      <c r="C10" s="161"/>
      <c r="D10" s="201" t="str">
        <f>IF(E9&lt;D9,"Dochód","Skorygowany przychód")</f>
        <v>Skorygowany przychód</v>
      </c>
      <c r="E10" s="201"/>
      <c r="F10" s="94"/>
      <c r="G10" s="33" t="s">
        <v>56</v>
      </c>
      <c r="H10" s="42">
        <f>IF(LogikaFrontowa!C10&gt;0,((B10-B11)*(1-B13)+IF(B12=0,0,MIN(B12,0.5*((B10-B11)*(1-B13)))))/LogikaFrontowa!C10,0)</f>
        <v>7326.4851000000008</v>
      </c>
      <c r="J10" s="144" t="s">
        <v>56</v>
      </c>
      <c r="K10" s="153">
        <f>IF(LogikaFrontowa!C10&gt;0,((B10-B11)*(1-B13))/LogikaFrontowa!C10,0)</f>
        <v>7326.4851000000008</v>
      </c>
      <c r="L10" s="145">
        <f>IF(LogikaFrontowa!C10&gt;0,B10/LogikaFrontowa!C10,0)</f>
        <v>14583.333333333334</v>
      </c>
      <c r="M10" s="149">
        <f>IF(E9&gt;D9,D9*L10/100,K10)</f>
        <v>4375</v>
      </c>
      <c r="N10" s="143"/>
      <c r="O10" s="116" t="s">
        <v>118</v>
      </c>
      <c r="P10" s="113">
        <f>IF(A9=LogikaFrontowa!U3,H10,IF($E$9&gt;$D$9,$D$9*L10/100,K10))</f>
        <v>7326.4851000000008</v>
      </c>
      <c r="Q10" s="112">
        <f>IF(LogikaFrontowa!C10&gt;=1,1,0)</f>
        <v>1</v>
      </c>
      <c r="R10" s="116" t="s">
        <v>118</v>
      </c>
      <c r="S10" s="113">
        <f>IF(A9=LogikaFrontowa!U3,H10,IF(E9&gt;$D$9,$D$9*L10/100,K10))</f>
        <v>7326.4851000000008</v>
      </c>
    </row>
    <row r="11" spans="1:29" x14ac:dyDescent="0.25">
      <c r="A11" s="11" t="s">
        <v>46</v>
      </c>
      <c r="B11" s="12">
        <f>IF('Symulacja dochodu'!C24=LogikaFrontowa!AN4,'Symulacja dochodu'!C22+LogikaFrontowa!C39*LogikaFrontowa!C10,'Symulacja dochodu'!C22)</f>
        <v>66459.48</v>
      </c>
      <c r="C11" s="161"/>
      <c r="D11" s="157"/>
      <c r="E11" s="157"/>
      <c r="F11" s="94"/>
      <c r="G11" s="33" t="s">
        <v>55</v>
      </c>
      <c r="H11" s="42">
        <f>IF(LogikaFrontowa!C11&gt;0,((B16-B17)*(1-B19)+IF(B18=0,0,MIN(B18,0.5*((B16-B17)*(1-B19)))))/LogikaFrontowa!C11,0)</f>
        <v>7326.4851000000008</v>
      </c>
      <c r="J11" s="144" t="s">
        <v>55</v>
      </c>
      <c r="K11" s="153">
        <f>IF(LogikaFrontowa!C11&gt;0,((B16-B17)*(1-B19)/LogikaFrontowa!C11),0)</f>
        <v>7326.4851000000008</v>
      </c>
      <c r="L11" s="145">
        <f>IF(LogikaFrontowa!C11&gt;0,B16/LogikaFrontowa!C11,0)</f>
        <v>17500</v>
      </c>
      <c r="M11" s="149">
        <f>IF(E15&gt;D15,D15*L11/100,K11)</f>
        <v>5250</v>
      </c>
      <c r="N11" s="143"/>
      <c r="O11" s="116" t="s">
        <v>119</v>
      </c>
      <c r="P11" s="113">
        <f>IF(A15=LogikaFrontowa!U3,H11,IF($E$15&gt;$D$15,$D$15*L11/100,K11))</f>
        <v>7326.4851000000008</v>
      </c>
      <c r="Q11" s="112">
        <f>IF(LogikaFrontowa!C11&gt;=1,1,0)</f>
        <v>1</v>
      </c>
      <c r="R11" s="116" t="s">
        <v>119</v>
      </c>
      <c r="S11" s="113">
        <f>IF(A15=LogikaFrontowa!U3,H11,IF(E15&gt;$D$15,$D$15*L11/100,K11))</f>
        <v>7326.4851000000008</v>
      </c>
    </row>
    <row r="12" spans="1:29" ht="15.75" thickBot="1" x14ac:dyDescent="0.3">
      <c r="A12" s="11" t="s">
        <v>47</v>
      </c>
      <c r="B12" s="12">
        <f>IF(B10&lt;B11,0,IF(A9=LogikaFrontowa!U4,0,'Symulacja dochodu'!C23))</f>
        <v>0</v>
      </c>
      <c r="C12" s="161"/>
      <c r="D12" s="157"/>
      <c r="E12" s="157"/>
      <c r="F12" s="94"/>
      <c r="G12" s="34" t="s">
        <v>61</v>
      </c>
      <c r="H12" s="37">
        <f>(H10*12+H11*12)/24</f>
        <v>7326.4851000000008</v>
      </c>
      <c r="K12" s="212" t="s">
        <v>61</v>
      </c>
      <c r="L12" s="213"/>
      <c r="M12" s="152">
        <f>(M10*12+M11*12)/24</f>
        <v>4812.5</v>
      </c>
      <c r="O12" s="117" t="s">
        <v>121</v>
      </c>
      <c r="P12" s="114">
        <f>(P9*LogikaFrontowa!C9+P10*12+P11*(12-LogikaFrontowa!C9))/MIN(LogikaFrontowa!C12,24)</f>
        <v>7326.4851000000008</v>
      </c>
      <c r="Q12" s="112">
        <f>SUM(Q9:Q11)</f>
        <v>2</v>
      </c>
      <c r="R12" s="117" t="s">
        <v>123</v>
      </c>
      <c r="S12" s="114">
        <f>(S9*LogikaFrontowa!C9+S10*LogikaFrontowa!C10+S11*LogikaFrontowa!C11)/MIN(LogikaFrontowa!C12,24)</f>
        <v>7326.4851000000008</v>
      </c>
    </row>
    <row r="13" spans="1:29" ht="15.75" thickBot="1" x14ac:dyDescent="0.3">
      <c r="A13" s="13" t="s">
        <v>52</v>
      </c>
      <c r="B13" s="14">
        <f>IF(B10-B11&lt;=0,0,0.19)</f>
        <v>0.19</v>
      </c>
      <c r="D13" s="157"/>
      <c r="E13" s="157"/>
      <c r="F13" s="94"/>
      <c r="G13" s="34" t="s">
        <v>62</v>
      </c>
      <c r="H13" s="37">
        <f>(H11*(12-LogikaFrontowa!$C$9)+H10*12+H9*LogikaFrontowa!$C$9)/24</f>
        <v>7326.4851000000008</v>
      </c>
      <c r="K13" s="212" t="s">
        <v>62</v>
      </c>
      <c r="L13" s="213"/>
      <c r="M13" s="152">
        <f>(M11*(12-LogikaFrontowa!$C$9)+M10*12+M9*LogikaFrontowa!$C$9)/24</f>
        <v>4812.5</v>
      </c>
      <c r="P13" s="111">
        <f>SUM(P9:P11)/Q12</f>
        <v>7326.485100150001</v>
      </c>
    </row>
    <row r="14" spans="1:29" ht="15.75" thickBot="1" x14ac:dyDescent="0.3">
      <c r="D14" s="157"/>
      <c r="E14" s="157"/>
      <c r="F14" s="94"/>
      <c r="G14" s="35" t="s">
        <v>77</v>
      </c>
      <c r="H14" s="40">
        <f>IF(OR(B24=LogikaFrontowa!AL3,B24="brak badania"),H12,H13)</f>
        <v>7326.4851000000008</v>
      </c>
      <c r="K14" s="210" t="s">
        <v>78</v>
      </c>
      <c r="L14" s="211"/>
      <c r="M14" s="150">
        <f>IF(LogikaFrontowa!C9=0,M12,M13)</f>
        <v>4812.5</v>
      </c>
      <c r="P14" s="140">
        <f>(P9*LogikaFrontowa!C9+P10*12+P11*(12-LogikaFrontowa!C9))/24</f>
        <v>7326.4851000000008</v>
      </c>
    </row>
    <row r="15" spans="1:29" x14ac:dyDescent="0.25">
      <c r="A15" s="10" t="str">
        <f>'Symulacja dochodu'!C26</f>
        <v>Książka Przychodów i Rozchodów / Pełna księgowość</v>
      </c>
      <c r="B15" s="20" t="str">
        <f>'Symulacja dochodu'!C10</f>
        <v>Budownictwo</v>
      </c>
      <c r="D15" s="159">
        <f>VLOOKUP(B15,LogikaFrontowa!B24:C35,2,FALSE)</f>
        <v>30</v>
      </c>
      <c r="E15" s="160">
        <f>K11/L11*100</f>
        <v>41.865629142857145</v>
      </c>
      <c r="F15" s="156"/>
      <c r="L15" s="151"/>
    </row>
    <row r="16" spans="1:29" x14ac:dyDescent="0.25">
      <c r="A16" s="11" t="s">
        <v>48</v>
      </c>
      <c r="B16" s="12">
        <f>'Symulacja dochodu'!C28</f>
        <v>210000</v>
      </c>
      <c r="C16" s="161"/>
      <c r="D16" s="201" t="str">
        <f>IF(E15&lt;D15,"Dochód","Skorygowany przychód")</f>
        <v>Skorygowany przychód</v>
      </c>
      <c r="E16" s="201"/>
      <c r="AC16" s="60"/>
    </row>
    <row r="17" spans="1:16" x14ac:dyDescent="0.25">
      <c r="A17" s="11" t="s">
        <v>49</v>
      </c>
      <c r="B17" s="12">
        <f>IF('Symulacja dochodu'!C31=LogikaFrontowa!AN4,'Symulacja dochodu'!C29+LogikaFrontowa!C39*LogikaFrontowa!C11,'Symulacja dochodu'!C29)</f>
        <v>101459.48</v>
      </c>
      <c r="C17" s="161"/>
    </row>
    <row r="18" spans="1:16" x14ac:dyDescent="0.25">
      <c r="A18" s="11" t="s">
        <v>50</v>
      </c>
      <c r="B18" s="12">
        <f>IF(B16&lt;B17,0,IF(A15=LogikaFrontowa!U4,0,'Symulacja dochodu'!C30))</f>
        <v>0</v>
      </c>
      <c r="C18" s="161"/>
      <c r="J18" s="121"/>
      <c r="K18" s="209" t="s">
        <v>72</v>
      </c>
      <c r="L18" s="209"/>
      <c r="M18" s="122"/>
      <c r="N18" s="122"/>
      <c r="O18" s="101"/>
      <c r="P18" s="101"/>
    </row>
    <row r="19" spans="1:16" ht="15.75" thickBot="1" x14ac:dyDescent="0.3">
      <c r="A19" s="13" t="s">
        <v>53</v>
      </c>
      <c r="B19" s="14">
        <f>IF(B16-B17&lt;=0,0,0.19)</f>
        <v>0.19</v>
      </c>
      <c r="J19" s="121"/>
      <c r="K19" s="123" t="s">
        <v>79</v>
      </c>
      <c r="L19" s="124" t="s">
        <v>80</v>
      </c>
      <c r="M19" s="125"/>
      <c r="N19" s="125"/>
      <c r="O19" s="105" t="s">
        <v>84</v>
      </c>
      <c r="P19" s="106"/>
    </row>
    <row r="20" spans="1:16" ht="15.75" thickBot="1" x14ac:dyDescent="0.3">
      <c r="J20" s="121"/>
      <c r="K20" s="126">
        <f>(H10*LogikaFrontowa!C10+H11*LogikaFrontowa!C11)/(LogikaFrontowa!C10+LogikaFrontowa!C11)</f>
        <v>7326.4851000000008</v>
      </c>
      <c r="L20" s="127" t="str">
        <f>IF(LogikaFrontowa!C7&gt;24,"brak odstępstwa",(K11*(LogikaFrontowa!$C$11)+K10*LogikaFrontowa!$C$10+K9*LogikaFrontowa!$C$9)/(LogikaFrontowa!C9+LogikaFrontowa!C10+LogikaFrontowa!C11))</f>
        <v>brak odstępstwa</v>
      </c>
      <c r="M20" s="128" t="str">
        <f>IF(LogikaFrontowa!C7&gt;24,"brak odstępstwa",(L11*(LogikaFrontowa!C11)+L10*LogikaFrontowa!$C$10+L9*LogikaFrontowa!$C$9)/LogikaFrontowa!C7)</f>
        <v>brak odstępstwa</v>
      </c>
      <c r="N20" s="128"/>
      <c r="O20" s="103">
        <f>IF(A3=LogikaFrontowa!U3,H9,IF($B$32&gt;$D$3,$D$3*L9/100,K9))</f>
        <v>9.9999999999999995E-7</v>
      </c>
      <c r="P20" s="104">
        <f>IF(LogikaFrontowa!C9&gt;=1,1,0)</f>
        <v>0</v>
      </c>
    </row>
    <row r="21" spans="1:16" ht="15.75" thickBot="1" x14ac:dyDescent="0.3">
      <c r="A21" s="92" t="s">
        <v>85</v>
      </c>
      <c r="B21" s="93" t="str">
        <f>IF(AND(LogikaFrontowa!C10&gt;0,LogikaFrontowa!C9=0,A9=A15),"NIE",IF(AND(LogikaFrontowa!C10&gt;0,LogikaFrontowa!C11=0,A3=A9),"NIE",IF(AND(LogikaFrontowa!C10&gt;0,LogikaFrontowa!C13="Stare",A3=A9),"NIE",IF(AND(LogikaFrontowa!C10&gt;0,LogikaFrontowa!C11&gt;0,A3=A9,A9=A15),"NIE","TAK"))))</f>
        <v>NIE</v>
      </c>
      <c r="J21" s="129" t="s">
        <v>62</v>
      </c>
      <c r="K21" s="126">
        <f>(H11*(LogikaFrontowa!C11)+H10*LogikaFrontowa!C10+H9*LogikaFrontowa!$C$9)/(LogikaFrontowa!C9+LogikaFrontowa!C10+LogikaFrontowa!C11)</f>
        <v>7326.4851000000008</v>
      </c>
      <c r="L21" s="130" t="str">
        <f>IF(LogikaFrontowa!C9=0,K12,L20)</f>
        <v>ŚrDubrdwl</v>
      </c>
      <c r="M21" s="128">
        <f>IF(LogikaFrontowa!C9=0,L12,M20)</f>
        <v>0</v>
      </c>
      <c r="N21" s="128"/>
      <c r="O21" s="103">
        <f>IF(A9=LogikaFrontowa!U3,H10,IF($B$32&gt;$D$9,$D$9*L10/100,K10))</f>
        <v>7326.4851000000008</v>
      </c>
      <c r="P21" s="104">
        <f>IF(LogikaFrontowa!C10&gt;=1,1,0)</f>
        <v>1</v>
      </c>
    </row>
    <row r="22" spans="1:16" x14ac:dyDescent="0.25">
      <c r="J22" s="129" t="s">
        <v>86</v>
      </c>
      <c r="K22" s="131">
        <f>IF(OR(B24="roczne za dwa lata wstecz + roczne za ubiegły rok",B24="brak badania"),K20,K21)</f>
        <v>7326.4851000000008</v>
      </c>
      <c r="L22" s="127" t="str">
        <f>IF(B32&gt;B33,B33*M21/100,L21)</f>
        <v>ŚrDubrdwl</v>
      </c>
      <c r="M22" s="128"/>
      <c r="N22" s="128"/>
      <c r="O22" s="103">
        <f>IF(A15=LogikaFrontowa!U3,H11,IF($B$32&gt;$D$15,$D$15*L11/100,K11))</f>
        <v>7326.4851000000008</v>
      </c>
      <c r="P22" s="104">
        <f>IF(LogikaFrontowa!C11&gt;=1,1,0)</f>
        <v>1</v>
      </c>
    </row>
    <row r="23" spans="1:16" ht="15.75" thickBot="1" x14ac:dyDescent="0.3">
      <c r="J23" s="121"/>
      <c r="K23" s="132"/>
      <c r="L23" s="121"/>
      <c r="M23" s="121"/>
      <c r="N23" s="121"/>
      <c r="O23" s="139">
        <f>SUM(O20:O22)/P23</f>
        <v>7326.485100500001</v>
      </c>
      <c r="P23" s="102">
        <f>SUM(P20:P22)</f>
        <v>2</v>
      </c>
    </row>
    <row r="24" spans="1:16" ht="36.75" customHeight="1" x14ac:dyDescent="0.25">
      <c r="A24" s="23" t="s">
        <v>59</v>
      </c>
      <c r="B24" s="164" t="str">
        <f>IF(B27="","brak badania",IF(OR((B27/B28)&gt;1,(B27/B28)&lt;0,LogikaFrontowa!C4&lt;=4,LogikaFrontowa!C12&lt;24,B21="TAK",LogikaFrontowa!H3=LogikaFrontowa!AE4),LogikaFrontowa!AK3,LogikaFrontowa!AL3))</f>
        <v>brak badania</v>
      </c>
      <c r="C24" s="62"/>
      <c r="D24" s="165" t="str">
        <f>IF(D27="","brak badania",IF(OR((D27/D28)&gt;1,(D27/D28)&lt;0,LogikaFrontowa!C10&lt;12),"roczne + bieżące","roczne"))</f>
        <v>brak badania</v>
      </c>
      <c r="E24" s="141"/>
      <c r="F24" s="141"/>
      <c r="J24" s="121"/>
      <c r="K24" s="121"/>
      <c r="L24" s="121"/>
      <c r="M24" s="121"/>
      <c r="N24" s="121"/>
      <c r="O24" s="101"/>
      <c r="P24" s="101"/>
    </row>
    <row r="25" spans="1:16" x14ac:dyDescent="0.25">
      <c r="A25" s="11"/>
      <c r="B25" s="63"/>
      <c r="C25" s="63"/>
      <c r="D25" s="64"/>
      <c r="E25" s="141"/>
      <c r="F25" s="141"/>
      <c r="J25" s="121"/>
      <c r="K25" s="121"/>
      <c r="L25" s="121"/>
      <c r="M25" s="121"/>
      <c r="N25" s="121"/>
      <c r="O25" s="101"/>
      <c r="P25" s="101"/>
    </row>
    <row r="26" spans="1:16" x14ac:dyDescent="0.25">
      <c r="A26" s="24" t="s">
        <v>60</v>
      </c>
      <c r="B26" s="19"/>
      <c r="C26" s="19"/>
      <c r="D26" s="25"/>
      <c r="E26" s="94"/>
      <c r="F26" s="94"/>
      <c r="J26" s="121"/>
      <c r="K26" s="133" t="s">
        <v>76</v>
      </c>
      <c r="L26" s="133"/>
      <c r="M26" s="133"/>
      <c r="N26" s="133"/>
      <c r="O26" s="108"/>
      <c r="P26" s="108"/>
    </row>
    <row r="27" spans="1:16" x14ac:dyDescent="0.25">
      <c r="A27" s="15" t="s">
        <v>58</v>
      </c>
      <c r="B27" s="31" t="str">
        <f>IF(LogikaFrontowa!C9&lt;&gt;0,H9,"")</f>
        <v/>
      </c>
      <c r="C27" s="31"/>
      <c r="D27" s="46" t="str">
        <f>IF(LogikaFrontowa!C9&lt;&gt;0,H9,"")</f>
        <v/>
      </c>
      <c r="E27" s="31"/>
      <c r="F27" s="31"/>
      <c r="J27" s="134"/>
      <c r="K27" s="124" t="s">
        <v>81</v>
      </c>
      <c r="L27" s="206" t="s">
        <v>82</v>
      </c>
      <c r="M27" s="207"/>
      <c r="N27" s="125"/>
      <c r="O27" s="106" t="s">
        <v>83</v>
      </c>
      <c r="P27" s="106"/>
    </row>
    <row r="28" spans="1:16" x14ac:dyDescent="0.25">
      <c r="A28" s="15" t="s">
        <v>56</v>
      </c>
      <c r="B28" s="29">
        <f>H10</f>
        <v>7326.4851000000008</v>
      </c>
      <c r="C28" s="29"/>
      <c r="D28" s="46">
        <f>H10</f>
        <v>7326.4851000000008</v>
      </c>
      <c r="E28" s="31"/>
      <c r="F28" s="31"/>
      <c r="J28" s="134"/>
      <c r="K28" s="135">
        <f>H10</f>
        <v>7326.4851000000008</v>
      </c>
      <c r="L28" s="136">
        <f>K10</f>
        <v>7326.4851000000008</v>
      </c>
      <c r="M28" s="130">
        <f>L10</f>
        <v>14583.333333333334</v>
      </c>
      <c r="N28" s="127"/>
      <c r="O28" s="107">
        <f>IF(A3=LogikaFrontowa!U3,H9,IF($B$32&gt;$D$3,$D$3*L9/100,K9))</f>
        <v>9.9999999999999995E-7</v>
      </c>
      <c r="P28" s="104">
        <f>IF(LogikaFrontowa!C9&gt;=1,1,0)</f>
        <v>0</v>
      </c>
    </row>
    <row r="29" spans="1:16" ht="15.75" thickBot="1" x14ac:dyDescent="0.3">
      <c r="A29" s="28" t="s">
        <v>55</v>
      </c>
      <c r="B29" s="30">
        <f>H11</f>
        <v>7326.4851000000008</v>
      </c>
      <c r="C29" s="30"/>
      <c r="D29" s="47"/>
      <c r="E29" s="142"/>
      <c r="F29" s="142"/>
      <c r="J29" s="137" t="s">
        <v>62</v>
      </c>
      <c r="K29" s="127" t="e">
        <f>IF(LogikaFrontowa!H3=LogikaFrontowa!#REF!,(H10*(12-LogikaFrontowa!$C$9)+H9*LogikaFrontowa!$C$9)/12,(H10*LogikaFrontowa!$C$10+H9*LogikaFrontowa!$C$9)/(LogikaFrontowa!C9+LogikaFrontowa!C10))</f>
        <v>#REF!</v>
      </c>
      <c r="L29" s="128">
        <f>((K10*IF(LogikaFrontowa!C10=12,12-LogikaFrontowa!C9,LogikaFrontowa!C10))+(K9*LogikaFrontowa!C9))/IF(LogikaFrontowa!C10=12,12,LogikaFrontowa!C9+LogikaFrontowa!C10)</f>
        <v>7326.4851000000008</v>
      </c>
      <c r="M29" s="127">
        <f>((L10*IF(LogikaFrontowa!C10=12,12-LogikaFrontowa!C9,LogikaFrontowa!C10))+(L9*LogikaFrontowa!C9))/IF(LogikaFrontowa!C10=12,12,LogikaFrontowa!C9+LogikaFrontowa!C10)</f>
        <v>14583.333333333334</v>
      </c>
      <c r="N29" s="127"/>
      <c r="O29" s="107">
        <f>IF(A9=LogikaFrontowa!U3,H10,IF($B$32&gt;$D$9,$D$9*L10/100,K10))</f>
        <v>7326.4851000000008</v>
      </c>
      <c r="P29" s="104">
        <f>IF(LogikaFrontowa!C10&gt;=1,1,0)</f>
        <v>1</v>
      </c>
    </row>
    <row r="30" spans="1:16" x14ac:dyDescent="0.25">
      <c r="J30" s="137" t="s">
        <v>86</v>
      </c>
      <c r="K30" s="138">
        <f>IF(OR(D24="roczne",D24="brak badania"),K28,K29)</f>
        <v>7326.4851000000008</v>
      </c>
      <c r="L30" s="128">
        <f>IF(B32&gt;B33,B33*M29/100,L29)</f>
        <v>7326.4851000000008</v>
      </c>
      <c r="M30" s="127"/>
      <c r="N30" s="127"/>
      <c r="O30" s="107">
        <f>SUM(O28:O29)/P30</f>
        <v>7326.4851010000011</v>
      </c>
      <c r="P30" s="104">
        <f>SUM(P28:P29)</f>
        <v>1</v>
      </c>
    </row>
    <row r="31" spans="1:16" x14ac:dyDescent="0.25">
      <c r="A31" s="154"/>
      <c r="L31" s="109"/>
      <c r="M31" s="110"/>
    </row>
    <row r="32" spans="1:16" x14ac:dyDescent="0.25">
      <c r="A32" s="60"/>
      <c r="B32" s="39"/>
      <c r="C32" s="39"/>
      <c r="G32" s="208"/>
      <c r="O32" s="120">
        <f>IF(AND(B21="NIE",LogikaFrontowa!C7&gt;=24,LogikaFrontowa!C13=LogikaFrontowa!AA3,A9=LogikaFrontowa!U3),1,IF(AND(B21="NIE",LogikaFrontowa!C7&gt;=24,LogikaFrontowa!C13=LogikaFrontowa!AA3,A9=LogikaFrontowa!U4),2,IF(AND(B21="NIE",LogikaFrontowa!C7&lt;24,LogikaFrontowa!C13=LogikaFrontowa!AA3,A9=LogikaFrontowa!U3),3,IF(AND(B21="NIE",LogikaFrontowa!C7&lt;24,LogikaFrontowa!C13=LogikaFrontowa!AA3,A9=LogikaFrontowa!U4),4,IF(AND(B21="NIE",LogikaFrontowa!C13=LogikaFrontowa!AA4,A9=LogikaFrontowa!U3),5,IF(AND(B21="NIE",LogikaFrontowa!C13=LogikaFrontowa!AA4,A9=LogikaFrontowa!U4),6,IF(AND(B21="TAK",LogikaFrontowa!C13=LogikaFrontowa!AA3,LogikaFrontowa!C7&lt;24),7,IF(AND(B21="TAK",LogikaFrontowa!C13=LogikaFrontowa!AA4),8,9))))))))</f>
        <v>1</v>
      </c>
    </row>
    <row r="33" spans="1:8" x14ac:dyDescent="0.25">
      <c r="A33" s="60"/>
      <c r="C33" s="171" t="s">
        <v>145</v>
      </c>
      <c r="D33" s="171">
        <f>MIN(B6,0.5*((B4-B5)*(1-B7)))</f>
        <v>0</v>
      </c>
      <c r="E33" s="172">
        <f>((B4-B5)*(1-B7))</f>
        <v>13770</v>
      </c>
      <c r="G33" s="208"/>
    </row>
    <row r="34" spans="1:8" x14ac:dyDescent="0.25">
      <c r="C34" s="171" t="s">
        <v>146</v>
      </c>
      <c r="D34" s="171">
        <f>MIN(B12,0.5*((B10-B11)*(1-B13)))</f>
        <v>0</v>
      </c>
      <c r="E34" s="172">
        <f>(B10-B11)*(1-B13)</f>
        <v>87917.821200000006</v>
      </c>
      <c r="G34" s="21"/>
      <c r="H34" s="22"/>
    </row>
    <row r="35" spans="1:8" x14ac:dyDescent="0.25">
      <c r="C35" s="171" t="s">
        <v>147</v>
      </c>
      <c r="D35" s="171">
        <f>MIN(B18,0.5*((B16-B17)*(1-B19)))</f>
        <v>0</v>
      </c>
      <c r="E35" s="172">
        <f>(B16-B17)*(1-B19)</f>
        <v>87917.821200000006</v>
      </c>
    </row>
    <row r="37" spans="1:8" x14ac:dyDescent="0.25">
      <c r="G37" s="98"/>
    </row>
    <row r="41" spans="1:8" ht="15.75" thickBot="1" x14ac:dyDescent="0.3"/>
    <row r="42" spans="1:8" ht="45" x14ac:dyDescent="0.25">
      <c r="A42" s="189" t="s">
        <v>149</v>
      </c>
    </row>
    <row r="43" spans="1:8" x14ac:dyDescent="0.25">
      <c r="A43" s="190"/>
    </row>
    <row r="44" spans="1:8" ht="15.75" thickBot="1" x14ac:dyDescent="0.3">
      <c r="A44" s="191">
        <f>(('Symulacja dochodu'!C21-'Symulacja dochodu'!C14)/'Symulacja dochodu'!C14)*100%</f>
        <v>7.75</v>
      </c>
    </row>
  </sheetData>
  <mergeCells count="15">
    <mergeCell ref="L27:M27"/>
    <mergeCell ref="G7:H7"/>
    <mergeCell ref="G32:G33"/>
    <mergeCell ref="K18:L18"/>
    <mergeCell ref="R7:S7"/>
    <mergeCell ref="O7:P7"/>
    <mergeCell ref="K14:L14"/>
    <mergeCell ref="K12:L12"/>
    <mergeCell ref="K13:L13"/>
    <mergeCell ref="D10:E10"/>
    <mergeCell ref="D16:E16"/>
    <mergeCell ref="D1:E1"/>
    <mergeCell ref="K7:M7"/>
    <mergeCell ref="D4:E4"/>
    <mergeCell ref="H3:I3"/>
  </mergeCells>
  <conditionalFormatting sqref="A31">
    <cfRule type="expression" dxfId="0" priority="1">
      <formula>$B$32&gt;$B$33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T40"/>
  <sheetViews>
    <sheetView topLeftCell="A16" workbookViewId="0">
      <selection activeCell="H29" sqref="H29"/>
    </sheetView>
  </sheetViews>
  <sheetFormatPr defaultRowHeight="15" x14ac:dyDescent="0.25"/>
  <cols>
    <col min="1" max="1" width="5.85546875" customWidth="1"/>
    <col min="2" max="2" width="35.28515625" customWidth="1"/>
    <col min="3" max="3" width="18.28515625" customWidth="1"/>
    <col min="8" max="9" width="16.140625" customWidth="1"/>
    <col min="10" max="10" width="13" customWidth="1"/>
    <col min="13" max="13" width="9.85546875" bestFit="1" customWidth="1"/>
    <col min="15" max="15" width="19.42578125" customWidth="1"/>
    <col min="16" max="16" width="5.85546875" customWidth="1"/>
    <col min="18" max="18" width="19.42578125" customWidth="1"/>
    <col min="29" max="29" width="11.140625" customWidth="1"/>
    <col min="31" max="31" width="11" customWidth="1"/>
    <col min="37" max="37" width="35.7109375" customWidth="1"/>
    <col min="38" max="38" width="35.140625" customWidth="1"/>
    <col min="43" max="43" width="73.5703125" customWidth="1"/>
    <col min="46" max="46" width="60.140625" customWidth="1"/>
  </cols>
  <sheetData>
    <row r="1" spans="2:46" x14ac:dyDescent="0.25">
      <c r="H1" t="s">
        <v>106</v>
      </c>
      <c r="I1" t="s">
        <v>107</v>
      </c>
      <c r="J1" t="s">
        <v>112</v>
      </c>
    </row>
    <row r="2" spans="2:46" ht="15.75" thickBot="1" x14ac:dyDescent="0.3">
      <c r="F2" s="4"/>
      <c r="H2" s="5">
        <f>DATE(YEAR(C3)-2,1,1)</f>
        <v>45292</v>
      </c>
      <c r="I2" s="5">
        <f>DATE(YEAR(C3)-1,1,1)</f>
        <v>45658</v>
      </c>
      <c r="J2" s="5">
        <f>DATE(YEAR(C3)*1,1,1)</f>
        <v>46023</v>
      </c>
      <c r="K2" s="217" t="s">
        <v>87</v>
      </c>
      <c r="L2" s="217"/>
      <c r="M2" s="217"/>
      <c r="N2" s="217"/>
      <c r="O2" s="217"/>
      <c r="P2" s="217"/>
      <c r="Q2" s="217"/>
      <c r="R2" s="217"/>
      <c r="S2" s="217"/>
      <c r="U2" s="224" t="s">
        <v>88</v>
      </c>
      <c r="V2" s="224"/>
      <c r="W2" s="224"/>
      <c r="X2" s="224"/>
      <c r="Y2" s="224"/>
      <c r="AA2" s="19" t="s">
        <v>73</v>
      </c>
      <c r="AC2" s="19" t="s">
        <v>54</v>
      </c>
      <c r="AE2" s="19" t="s">
        <v>108</v>
      </c>
      <c r="AG2" s="19"/>
      <c r="AK2" s="19" t="s">
        <v>127</v>
      </c>
      <c r="AN2" t="s">
        <v>132</v>
      </c>
    </row>
    <row r="3" spans="2:46" ht="45.75" thickBot="1" x14ac:dyDescent="0.3">
      <c r="B3" t="s">
        <v>90</v>
      </c>
      <c r="C3" s="91">
        <f>'Symulacja dochodu'!C5</f>
        <v>46027</v>
      </c>
      <c r="H3" s="61" t="str">
        <f>IF(C5&lt;=H2,AE3,AE4)</f>
        <v>Cały rok</v>
      </c>
      <c r="I3" s="61" t="str">
        <f>IF(C5&lt;=I2,AE3,AE4)</f>
        <v>Cały rok</v>
      </c>
      <c r="K3" s="65" t="s">
        <v>28</v>
      </c>
      <c r="L3" s="66" t="s">
        <v>29</v>
      </c>
      <c r="M3" s="70"/>
      <c r="N3" s="70"/>
      <c r="O3" s="70" t="s">
        <v>105</v>
      </c>
      <c r="P3" s="70">
        <v>0</v>
      </c>
      <c r="Q3" s="70"/>
      <c r="R3" s="70"/>
      <c r="S3" s="71"/>
      <c r="U3" s="218" t="s">
        <v>14</v>
      </c>
      <c r="V3" s="219"/>
      <c r="W3" s="219"/>
      <c r="X3" s="219"/>
      <c r="Y3" s="220"/>
      <c r="AA3" s="85" t="s">
        <v>75</v>
      </c>
      <c r="AC3" s="88">
        <f>C3</f>
        <v>46027</v>
      </c>
      <c r="AE3" s="85" t="s">
        <v>10</v>
      </c>
      <c r="AK3" s="162" t="s">
        <v>125</v>
      </c>
      <c r="AL3" s="163" t="s">
        <v>126</v>
      </c>
      <c r="AN3" s="85" t="s">
        <v>133</v>
      </c>
      <c r="AQ3" s="85" t="s">
        <v>4</v>
      </c>
      <c r="AT3" s="59" t="s">
        <v>143</v>
      </c>
    </row>
    <row r="4" spans="2:46" ht="15.75" thickBot="1" x14ac:dyDescent="0.3">
      <c r="B4" t="s">
        <v>89</v>
      </c>
      <c r="C4" s="19">
        <f>MONTH(C3)</f>
        <v>1</v>
      </c>
      <c r="D4" s="17"/>
      <c r="K4" s="67">
        <f>DAY(LogikaFrontowa!C3)</f>
        <v>5</v>
      </c>
      <c r="L4" s="68">
        <f>MONTH(LogikaFrontowa!C3)</f>
        <v>1</v>
      </c>
      <c r="M4" s="72" t="str">
        <f>VLOOKUP($L$4,P4:R15,3)</f>
        <v>styczeń</v>
      </c>
      <c r="N4" s="72"/>
      <c r="O4" s="72" t="s">
        <v>30</v>
      </c>
      <c r="P4" s="73">
        <v>1</v>
      </c>
      <c r="Q4" s="72">
        <v>12</v>
      </c>
      <c r="R4" s="72" t="s">
        <v>30</v>
      </c>
      <c r="S4" s="74"/>
      <c r="U4" s="221" t="s">
        <v>114</v>
      </c>
      <c r="V4" s="222"/>
      <c r="W4" s="222"/>
      <c r="X4" s="222"/>
      <c r="Y4" s="223"/>
      <c r="AA4" s="86" t="s">
        <v>74</v>
      </c>
      <c r="AC4" s="89">
        <f>AC3-365</f>
        <v>45662</v>
      </c>
      <c r="AE4" s="87" t="s">
        <v>1</v>
      </c>
      <c r="AN4" s="87" t="s">
        <v>134</v>
      </c>
      <c r="AQ4" s="86" t="s">
        <v>135</v>
      </c>
      <c r="AT4" s="59" t="s">
        <v>136</v>
      </c>
    </row>
    <row r="5" spans="2:46" ht="15.75" thickBot="1" x14ac:dyDescent="0.3">
      <c r="B5" t="s">
        <v>93</v>
      </c>
      <c r="C5" s="91">
        <f>'Symulacja dochodu'!C6</f>
        <v>43990</v>
      </c>
      <c r="I5" s="19"/>
      <c r="K5" s="78"/>
      <c r="L5" s="72">
        <f>VLOOKUP(L4,P4:Q15,2,FALSE)</f>
        <v>12</v>
      </c>
      <c r="M5" s="72" t="str">
        <f>VLOOKUP($L$5,P4:R16,3)</f>
        <v>dane za ubiegły rok i rok poprzedzający rok ubiegły</v>
      </c>
      <c r="N5" s="72"/>
      <c r="O5" s="72" t="s">
        <v>31</v>
      </c>
      <c r="P5" s="73">
        <v>2</v>
      </c>
      <c r="Q5" s="72">
        <v>1</v>
      </c>
      <c r="R5" s="72" t="s">
        <v>31</v>
      </c>
      <c r="S5" s="74"/>
      <c r="U5" s="78"/>
      <c r="V5" s="72"/>
      <c r="W5" s="72"/>
      <c r="X5" s="72"/>
      <c r="Y5" s="74"/>
      <c r="AA5" s="87"/>
      <c r="AC5" s="90">
        <f>AC4-365</f>
        <v>45297</v>
      </c>
      <c r="AQ5" s="86" t="s">
        <v>7</v>
      </c>
    </row>
    <row r="6" spans="2:46" ht="15.75" thickBot="1" x14ac:dyDescent="0.3">
      <c r="B6" t="s">
        <v>91</v>
      </c>
      <c r="C6" s="19">
        <f>MONTH(C5)</f>
        <v>6</v>
      </c>
      <c r="D6" s="17"/>
      <c r="F6" t="str">
        <f>IF(C7&lt;12,"Zbyt krótki okres osiągania dochodu","")</f>
        <v/>
      </c>
      <c r="K6" s="78"/>
      <c r="L6" s="72">
        <f>VLOOKUP(L5,P4:Q15,2,FALSE)</f>
        <v>11</v>
      </c>
      <c r="M6" s="72" t="str">
        <f>VLOOKUP($L$6,P3:R17,3)</f>
        <v>listopad</v>
      </c>
      <c r="N6" s="72"/>
      <c r="O6" s="72" t="s">
        <v>32</v>
      </c>
      <c r="P6" s="73">
        <v>3</v>
      </c>
      <c r="Q6" s="72">
        <v>2</v>
      </c>
      <c r="R6" s="72" t="s">
        <v>32</v>
      </c>
      <c r="S6" s="74"/>
      <c r="U6" s="79"/>
      <c r="V6" s="75"/>
      <c r="W6" s="75"/>
      <c r="X6" s="75"/>
      <c r="Y6" s="77"/>
      <c r="AQ6" s="86" t="s">
        <v>137</v>
      </c>
    </row>
    <row r="7" spans="2:46" x14ac:dyDescent="0.25">
      <c r="B7" t="s">
        <v>92</v>
      </c>
      <c r="C7" s="19">
        <f>DATEDIF(C5,C3,"M")</f>
        <v>66</v>
      </c>
      <c r="K7" s="78"/>
      <c r="L7" s="72"/>
      <c r="M7" s="72"/>
      <c r="N7" s="72"/>
      <c r="O7" s="72" t="s">
        <v>33</v>
      </c>
      <c r="P7" s="73">
        <v>4</v>
      </c>
      <c r="Q7" s="72">
        <v>3</v>
      </c>
      <c r="R7" s="72" t="s">
        <v>33</v>
      </c>
      <c r="S7" s="74"/>
      <c r="AQ7" s="86" t="s">
        <v>103</v>
      </c>
    </row>
    <row r="8" spans="2:46" ht="15.75" thickBot="1" x14ac:dyDescent="0.3">
      <c r="B8" t="s">
        <v>94</v>
      </c>
      <c r="C8" s="91" t="str">
        <f>'Symulacja dochodu'!C8</f>
        <v>dane za ubiegły rok i rok poprzedzający rok ubiegły</v>
      </c>
      <c r="K8" s="78"/>
      <c r="L8" s="72"/>
      <c r="M8" s="72"/>
      <c r="N8" s="72"/>
      <c r="O8" s="72" t="s">
        <v>34</v>
      </c>
      <c r="P8" s="73">
        <v>5</v>
      </c>
      <c r="Q8" s="72">
        <v>4</v>
      </c>
      <c r="R8" s="72" t="s">
        <v>34</v>
      </c>
      <c r="S8" s="74"/>
      <c r="AQ8" s="87" t="s">
        <v>138</v>
      </c>
    </row>
    <row r="9" spans="2:46" x14ac:dyDescent="0.25">
      <c r="B9" t="s">
        <v>95</v>
      </c>
      <c r="C9" s="19">
        <f>IF(AND(MONTH(C3)=1,DAY(C3)&gt;=1,DAY(C3)&lt;=20),0,VLOOKUP($C$8,LogikaFrontowa!O3:P15,2,FALSE))</f>
        <v>0</v>
      </c>
      <c r="D9" s="99">
        <f>IF(C9&lt;&gt;C7,C7,C7-1)</f>
        <v>66</v>
      </c>
      <c r="K9" s="78"/>
      <c r="L9" s="72"/>
      <c r="M9" s="72"/>
      <c r="N9" s="72"/>
      <c r="O9" s="72" t="s">
        <v>35</v>
      </c>
      <c r="P9" s="73">
        <v>6</v>
      </c>
      <c r="Q9" s="72">
        <v>5</v>
      </c>
      <c r="R9" s="72" t="s">
        <v>35</v>
      </c>
      <c r="S9" s="74"/>
    </row>
    <row r="10" spans="2:46" x14ac:dyDescent="0.25">
      <c r="B10" t="s">
        <v>96</v>
      </c>
      <c r="C10" s="19">
        <f>IF(AND(MONTH(C3)&gt;=1,MONTH(C3)&lt;=4,I3=AE3,C8="listopad"),11,IF(AND(MONTH(C3)&gt;=1,MONTH(C3)&lt;=4,I3=AE4,C8="listopad"),12-C6,IF(M19="Nie",0,IF(I3=AE4,13-C6,12))))</f>
        <v>12</v>
      </c>
      <c r="K10" s="78"/>
      <c r="L10" s="72"/>
      <c r="M10" s="72"/>
      <c r="N10" s="72"/>
      <c r="O10" s="72" t="s">
        <v>36</v>
      </c>
      <c r="P10" s="73">
        <v>7</v>
      </c>
      <c r="Q10" s="72">
        <v>6</v>
      </c>
      <c r="R10" s="72" t="s">
        <v>36</v>
      </c>
      <c r="S10" s="74"/>
    </row>
    <row r="11" spans="2:46" x14ac:dyDescent="0.25">
      <c r="B11" t="s">
        <v>97</v>
      </c>
      <c r="C11" s="19">
        <f>IF(M20="Nie",0,IF(H3=AE3,12,13-C6))</f>
        <v>12</v>
      </c>
      <c r="K11" s="78"/>
      <c r="L11" s="72"/>
      <c r="M11" s="72"/>
      <c r="N11" s="72"/>
      <c r="O11" s="72" t="s">
        <v>37</v>
      </c>
      <c r="P11" s="73">
        <v>8</v>
      </c>
      <c r="Q11" s="72">
        <v>7</v>
      </c>
      <c r="R11" s="72" t="s">
        <v>37</v>
      </c>
      <c r="S11" s="74"/>
    </row>
    <row r="12" spans="2:46" x14ac:dyDescent="0.25">
      <c r="C12">
        <f>SUM(C9:C11)</f>
        <v>24</v>
      </c>
      <c r="K12" s="78"/>
      <c r="L12" s="72"/>
      <c r="M12" s="72"/>
      <c r="N12" s="72"/>
      <c r="O12" s="72" t="s">
        <v>38</v>
      </c>
      <c r="P12" s="73">
        <v>9</v>
      </c>
      <c r="Q12" s="72">
        <v>8</v>
      </c>
      <c r="R12" s="72" t="s">
        <v>38</v>
      </c>
      <c r="S12" s="74"/>
    </row>
    <row r="13" spans="2:46" x14ac:dyDescent="0.25">
      <c r="B13" t="s">
        <v>98</v>
      </c>
      <c r="C13" s="91" t="str">
        <f>'Symulacja dochodu'!C7</f>
        <v>Nowe</v>
      </c>
      <c r="K13" s="78"/>
      <c r="L13" s="72"/>
      <c r="M13" s="72"/>
      <c r="N13" s="72"/>
      <c r="O13" s="72" t="s">
        <v>2</v>
      </c>
      <c r="P13" s="73">
        <v>10</v>
      </c>
      <c r="Q13" s="72">
        <v>9</v>
      </c>
      <c r="R13" s="72" t="s">
        <v>2</v>
      </c>
      <c r="S13" s="74"/>
    </row>
    <row r="14" spans="2:46" x14ac:dyDescent="0.25">
      <c r="K14" s="78"/>
      <c r="L14" s="72"/>
      <c r="M14" s="72"/>
      <c r="N14" s="72"/>
      <c r="O14" s="72" t="s">
        <v>39</v>
      </c>
      <c r="P14" s="73">
        <v>11</v>
      </c>
      <c r="Q14" s="72">
        <v>10</v>
      </c>
      <c r="R14" s="72" t="s">
        <v>39</v>
      </c>
      <c r="S14" s="74"/>
    </row>
    <row r="15" spans="2:46" ht="15.75" thickBot="1" x14ac:dyDescent="0.3">
      <c r="K15" s="79"/>
      <c r="L15" s="75"/>
      <c r="M15" s="75"/>
      <c r="N15" s="75"/>
      <c r="O15" s="75" t="s">
        <v>40</v>
      </c>
      <c r="P15" s="76">
        <v>12</v>
      </c>
      <c r="Q15" s="75">
        <v>11</v>
      </c>
      <c r="R15" s="75" t="s">
        <v>105</v>
      </c>
      <c r="S15" s="77"/>
    </row>
    <row r="16" spans="2:46" x14ac:dyDescent="0.25">
      <c r="O16" t="str" cm="1">
        <f t="array" ref="O16">IF(LogikaFrontowa!$H$3="Cały rok",IF(MONTH(LogikaFrontowa!$C$3)&lt;=4,LogikaFrontowa!$O$3,IF(OR(DAY(LogikaFrontowa!$C$3)&gt;20,AND(DAY(LogikaFrontowa!$C$3)&lt;21,YEAR(LogikaFrontowa!$C$3)-YEAR(LogikaFrontowa!$C$5)=2,MONTH(LogikaFrontowa!$C$3)=MONTH(LogikaFrontowa!$C$5))),LogikaFrontowa!$M$5,LogikaFrontowa!$M$5:$M$6)),IF(OR(DAY(LogikaFrontowa!$C$3)&gt;20,AND(DAY(LogikaFrontowa!$C$3)&lt;21,YEAR(LogikaFrontowa!$C$3)-YEAR(LogikaFrontowa!$C$5)=2,MONTH(LogikaFrontowa!$C$3)=MONTH(LogikaFrontowa!$C$5))),LogikaFrontowa!$M$5,LogikaFrontowa!$M$5:$M$6))</f>
        <v>dane za ubiegły rok i rok poprzedzający rok ubiegły</v>
      </c>
    </row>
    <row r="17" spans="2:13" ht="15.75" thickBot="1" x14ac:dyDescent="0.3"/>
    <row r="18" spans="2:13" x14ac:dyDescent="0.25">
      <c r="K18" s="225" t="s">
        <v>109</v>
      </c>
      <c r="L18" s="226"/>
      <c r="M18" s="20" t="str">
        <f>IF(AND(C8="listopad",C9=0),"Nie","Tak")</f>
        <v>Tak</v>
      </c>
    </row>
    <row r="19" spans="2:13" ht="15.75" thickBot="1" x14ac:dyDescent="0.3">
      <c r="K19" s="227" t="s">
        <v>110</v>
      </c>
      <c r="L19" s="228"/>
      <c r="M19" s="16" t="str">
        <f>IF(C5&lt;J2,"Tak","Nie")</f>
        <v>Tak</v>
      </c>
    </row>
    <row r="20" spans="2:13" ht="15.75" thickBot="1" x14ac:dyDescent="0.3">
      <c r="B20" s="10"/>
      <c r="C20" s="36"/>
      <c r="D20" s="36"/>
      <c r="E20" s="20"/>
      <c r="K20" s="229" t="s">
        <v>111</v>
      </c>
      <c r="L20" s="230"/>
      <c r="M20" s="27" t="str">
        <f>IF(C5&lt;I2,"Tak","Nie")</f>
        <v>Tak</v>
      </c>
    </row>
    <row r="21" spans="2:13" x14ac:dyDescent="0.25">
      <c r="B21" s="214" t="s">
        <v>15</v>
      </c>
      <c r="C21" s="215"/>
      <c r="D21" s="215"/>
      <c r="E21" s="216"/>
    </row>
    <row r="22" spans="2:13" x14ac:dyDescent="0.25">
      <c r="B22" s="80"/>
      <c r="E22" s="16"/>
    </row>
    <row r="23" spans="2:13" x14ac:dyDescent="0.25">
      <c r="B23" s="81" t="s">
        <v>13</v>
      </c>
      <c r="C23" s="1" t="s">
        <v>16</v>
      </c>
      <c r="E23" s="16"/>
    </row>
    <row r="24" spans="2:13" x14ac:dyDescent="0.25">
      <c r="B24" s="82" t="s">
        <v>17</v>
      </c>
      <c r="C24" s="2">
        <v>32</v>
      </c>
      <c r="E24" s="16"/>
    </row>
    <row r="25" spans="2:13" x14ac:dyDescent="0.25">
      <c r="B25" s="83" t="s">
        <v>18</v>
      </c>
      <c r="C25" s="3">
        <v>27</v>
      </c>
      <c r="E25" s="16"/>
    </row>
    <row r="26" spans="2:13" x14ac:dyDescent="0.25">
      <c r="B26" s="83" t="s">
        <v>19</v>
      </c>
      <c r="C26" s="3">
        <v>30</v>
      </c>
      <c r="E26" s="16"/>
    </row>
    <row r="27" spans="2:13" x14ac:dyDescent="0.25">
      <c r="B27" s="83" t="s">
        <v>20</v>
      </c>
      <c r="C27" s="3">
        <v>22</v>
      </c>
      <c r="E27" s="16"/>
    </row>
    <row r="28" spans="2:13" x14ac:dyDescent="0.25">
      <c r="B28" s="83" t="s">
        <v>21</v>
      </c>
      <c r="C28" s="3">
        <v>25</v>
      </c>
      <c r="E28" s="16"/>
    </row>
    <row r="29" spans="2:13" x14ac:dyDescent="0.25">
      <c r="B29" s="83" t="s">
        <v>22</v>
      </c>
      <c r="C29" s="3">
        <v>57</v>
      </c>
      <c r="E29" s="16"/>
    </row>
    <row r="30" spans="2:13" x14ac:dyDescent="0.25">
      <c r="B30" s="83" t="s">
        <v>23</v>
      </c>
      <c r="C30" s="3">
        <v>51</v>
      </c>
      <c r="E30" s="16"/>
    </row>
    <row r="31" spans="2:13" x14ac:dyDescent="0.25">
      <c r="B31" s="82" t="s">
        <v>24</v>
      </c>
      <c r="C31" s="2">
        <v>50</v>
      </c>
      <c r="E31" s="16"/>
    </row>
    <row r="32" spans="2:13" x14ac:dyDescent="0.25">
      <c r="B32" s="83" t="s">
        <v>12</v>
      </c>
      <c r="C32" s="3">
        <v>67</v>
      </c>
      <c r="E32" s="16"/>
    </row>
    <row r="33" spans="2:15" x14ac:dyDescent="0.25">
      <c r="B33" s="83" t="s">
        <v>25</v>
      </c>
      <c r="C33" s="3">
        <v>48</v>
      </c>
      <c r="E33" s="16"/>
      <c r="O33" s="18"/>
    </row>
    <row r="34" spans="2:15" x14ac:dyDescent="0.25">
      <c r="B34" s="83" t="s">
        <v>26</v>
      </c>
      <c r="C34" s="3">
        <v>59</v>
      </c>
      <c r="E34" s="16"/>
    </row>
    <row r="35" spans="2:15" x14ac:dyDescent="0.25">
      <c r="B35" s="83" t="s">
        <v>27</v>
      </c>
      <c r="C35" s="3">
        <v>50</v>
      </c>
      <c r="E35" s="16"/>
    </row>
    <row r="36" spans="2:15" ht="15.75" thickBot="1" x14ac:dyDescent="0.3">
      <c r="B36" s="69"/>
      <c r="C36" s="26"/>
      <c r="D36" s="26"/>
      <c r="E36" s="27"/>
    </row>
    <row r="39" spans="2:15" x14ac:dyDescent="0.25">
      <c r="B39" t="s">
        <v>139</v>
      </c>
      <c r="C39">
        <v>1788.29</v>
      </c>
      <c r="F39" t="s">
        <v>140</v>
      </c>
    </row>
    <row r="40" spans="2:15" x14ac:dyDescent="0.25">
      <c r="E40">
        <v>1788.29</v>
      </c>
      <c r="F40" t="s">
        <v>141</v>
      </c>
    </row>
  </sheetData>
  <mergeCells count="8">
    <mergeCell ref="B21:E21"/>
    <mergeCell ref="K2:S2"/>
    <mergeCell ref="U3:Y3"/>
    <mergeCell ref="U4:Y4"/>
    <mergeCell ref="U2:Y2"/>
    <mergeCell ref="K18:L18"/>
    <mergeCell ref="K19:L19"/>
    <mergeCell ref="K20:L20"/>
  </mergeCells>
  <dataValidations count="1">
    <dataValidation operator="greaterThan" allowBlank="1" showInputMessage="1" showErrorMessage="1" sqref="O33" xr:uid="{5764E825-2EA5-4509-9A00-59F71B2373FC}"/>
  </dataValidation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31"/>
  <sheetViews>
    <sheetView topLeftCell="A4" workbookViewId="0">
      <selection activeCell="B11" sqref="B11"/>
    </sheetView>
  </sheetViews>
  <sheetFormatPr defaultRowHeight="15" x14ac:dyDescent="0.25"/>
  <cols>
    <col min="1" max="1" width="15" customWidth="1"/>
    <col min="2" max="2" width="118.7109375" customWidth="1"/>
  </cols>
  <sheetData>
    <row r="1" spans="1:2" x14ac:dyDescent="0.25">
      <c r="A1" s="94" t="s">
        <v>100</v>
      </c>
      <c r="B1" s="94" t="s">
        <v>101</v>
      </c>
    </row>
    <row r="2" spans="1:2" ht="135" x14ac:dyDescent="0.25">
      <c r="A2" s="96">
        <v>44682</v>
      </c>
      <c r="B2" s="95" t="s">
        <v>116</v>
      </c>
    </row>
    <row r="3" spans="1:2" ht="75" x14ac:dyDescent="0.25">
      <c r="A3" s="96">
        <v>44696</v>
      </c>
      <c r="B3" s="95" t="s">
        <v>113</v>
      </c>
    </row>
    <row r="4" spans="1:2" ht="30" x14ac:dyDescent="0.25">
      <c r="A4" s="100">
        <v>44726</v>
      </c>
      <c r="B4" s="95" t="s">
        <v>115</v>
      </c>
    </row>
    <row r="5" spans="1:2" ht="60" x14ac:dyDescent="0.25">
      <c r="A5" s="100">
        <v>44794</v>
      </c>
      <c r="B5" s="95" t="s">
        <v>124</v>
      </c>
    </row>
    <row r="6" spans="1:2" x14ac:dyDescent="0.25">
      <c r="A6" s="100">
        <v>44885</v>
      </c>
      <c r="B6" t="s">
        <v>128</v>
      </c>
    </row>
    <row r="7" spans="1:2" ht="150" x14ac:dyDescent="0.25">
      <c r="A7" s="100">
        <v>44943</v>
      </c>
      <c r="B7" s="95" t="s">
        <v>131</v>
      </c>
    </row>
    <row r="8" spans="1:2" x14ac:dyDescent="0.25">
      <c r="A8" s="100">
        <v>44997</v>
      </c>
      <c r="B8" t="s">
        <v>142</v>
      </c>
    </row>
    <row r="9" spans="1:2" x14ac:dyDescent="0.25">
      <c r="A9" s="100">
        <v>45144</v>
      </c>
      <c r="B9" t="s">
        <v>144</v>
      </c>
    </row>
    <row r="10" spans="1:2" x14ac:dyDescent="0.25">
      <c r="A10" s="100">
        <v>45293</v>
      </c>
      <c r="B10" t="s">
        <v>148</v>
      </c>
    </row>
    <row r="11" spans="1:2" x14ac:dyDescent="0.25">
      <c r="A11" s="84"/>
    </row>
    <row r="12" spans="1:2" x14ac:dyDescent="0.25">
      <c r="A12" s="84"/>
    </row>
    <row r="13" spans="1:2" x14ac:dyDescent="0.25">
      <c r="A13" s="84"/>
    </row>
    <row r="14" spans="1:2" x14ac:dyDescent="0.25">
      <c r="A14" s="84"/>
    </row>
    <row r="15" spans="1:2" x14ac:dyDescent="0.25">
      <c r="A15" s="84"/>
    </row>
    <row r="16" spans="1:2" x14ac:dyDescent="0.25">
      <c r="A16" s="84"/>
    </row>
    <row r="17" spans="1:1" x14ac:dyDescent="0.25">
      <c r="A17" s="84"/>
    </row>
    <row r="18" spans="1:1" x14ac:dyDescent="0.25">
      <c r="A18" s="84"/>
    </row>
    <row r="19" spans="1:1" x14ac:dyDescent="0.25">
      <c r="A19" s="84"/>
    </row>
    <row r="20" spans="1:1" x14ac:dyDescent="0.25">
      <c r="A20" s="84"/>
    </row>
    <row r="21" spans="1:1" x14ac:dyDescent="0.25">
      <c r="A21" s="84"/>
    </row>
    <row r="22" spans="1:1" x14ac:dyDescent="0.25">
      <c r="A22" s="84"/>
    </row>
    <row r="23" spans="1:1" x14ac:dyDescent="0.25">
      <c r="A23" s="84"/>
    </row>
    <row r="24" spans="1:1" x14ac:dyDescent="0.25">
      <c r="A24" s="84"/>
    </row>
    <row r="25" spans="1:1" x14ac:dyDescent="0.25">
      <c r="A25" s="84"/>
    </row>
    <row r="26" spans="1:1" x14ac:dyDescent="0.25">
      <c r="A26" s="84"/>
    </row>
    <row r="27" spans="1:1" x14ac:dyDescent="0.25">
      <c r="A27" s="84"/>
    </row>
    <row r="28" spans="1:1" x14ac:dyDescent="0.25">
      <c r="A28" s="84"/>
    </row>
    <row r="29" spans="1:1" x14ac:dyDescent="0.25">
      <c r="A29" s="84"/>
    </row>
    <row r="30" spans="1:1" x14ac:dyDescent="0.25">
      <c r="A30" s="84"/>
    </row>
    <row r="31" spans="1:1" x14ac:dyDescent="0.25">
      <c r="A31" s="8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 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Symulacja dochodu</vt:lpstr>
      <vt:lpstr>Wyliczenia</vt:lpstr>
      <vt:lpstr>LogikaFrontowa</vt:lpstr>
      <vt:lpstr>HistoriaZmian</vt:lpstr>
    </vt:vector>
  </TitlesOfParts>
  <Company> </Company>
  <LinksUpToDate>false</LinksUpToDate>
  <SharedDoc>false</SharedDoc>
  <HyperlinksChanged>false</HyperlinksChanged>
  <AppVersion>1.0</AppVersion>
  <Manager> </Manager>
  <TotalTime>0</TotalTime>
  <Template> </Templ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