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W:\BRIRESGAR\Relacje Inwestorskie\Wyniki giełdowe\2024 Results\1Q 2024\FINAL\"/>
    </mc:Choice>
  </mc:AlternateContent>
  <xr:revisionPtr revIDLastSave="0" documentId="13_ncr:1_{A8B05B6B-296D-4D89-B37C-B9AD7FAAC049}" xr6:coauthVersionLast="47" xr6:coauthVersionMax="47" xr10:uidLastSave="{00000000-0000-0000-0000-000000000000}"/>
  <bookViews>
    <workbookView xWindow="-108" yWindow="-108" windowWidth="23256" windowHeight="12576" xr2:uid="{E9D5552F-C1A7-44CC-91DA-C96AC219CA38}"/>
  </bookViews>
  <sheets>
    <sheet name="Spis tresci_Table of content" sheetId="21" r:id="rId1"/>
    <sheet name="Kluczowe informacje_Key data" sheetId="20" r:id="rId2"/>
    <sheet name="RZiS_P&amp;L" sheetId="19" r:id="rId3"/>
    <sheet name="RZiS B. Korp._P&amp;L Corporate" sheetId="18" r:id="rId4"/>
    <sheet name="RZiS B. Detaliczna_P&amp;L Retail" sheetId="17" r:id="rId5"/>
    <sheet name="Wynik odsetkowy_Interest income" sheetId="1" r:id="rId6"/>
    <sheet name="Marża odsetkowa_NIM" sheetId="16" r:id="rId7"/>
    <sheet name="Wynik prowizyjny_F&amp;C income" sheetId="15" r:id="rId8"/>
    <sheet name="Pozost. dochody_Other income" sheetId="14" r:id="rId9"/>
    <sheet name="Koszty działania_Operating cost" sheetId="13" r:id="rId10"/>
    <sheet name="Koszty ryzyka_Cost of risk" sheetId="12" r:id="rId11"/>
    <sheet name="Bilans_BS" sheetId="11" r:id="rId12"/>
    <sheet name="Kredyty_loans" sheetId="10" r:id="rId13"/>
    <sheet name="Jakość portfela_Portf. quality" sheetId="9" r:id="rId14"/>
    <sheet name="Aktywa finans_Financial assets" sheetId="8" r:id="rId15"/>
    <sheet name="Depozyty_Deposits" sheetId="7" r:id="rId16"/>
    <sheet name="Łączny współ kap_TCR" sheetId="6" r:id="rId17"/>
    <sheet name="Pozostałe informacje_other info" sheetId="5" r:id="rId18"/>
    <sheet name="Depozyty i zobow_Deposits_old" sheetId="4" r:id="rId19"/>
    <sheet name="Kredyty_loans_old" sheetId="3" r:id="rId20"/>
    <sheet name="Łączny współ kap_TCR_GROUP_old" sheetId="2" r:id="rId21"/>
  </sheets>
  <definedNames>
    <definedName name="_AMO_UniqueIdentifier" hidden="1">"'7fbdc4b5-972f-4100-9e99-b44859b6f5b1'"</definedName>
    <definedName name="_xlnm.Print_Area" localSheetId="11">Bilans_BS!$A$1:$BN$50</definedName>
    <definedName name="_xlnm.Print_Area" localSheetId="18">'Depozyty i zobow_Deposits_old'!$A$2:$AT$42</definedName>
    <definedName name="_xlnm.Print_Area" localSheetId="15">Depozyty_Deposits!$A$2:$BN$29</definedName>
    <definedName name="_xlnm.Print_Area" localSheetId="1">'Kluczowe informacje_Key data'!$A$1:$BN$59</definedName>
    <definedName name="_xlnm.Print_Area" localSheetId="9">'Koszty działania_Operating cost'!$A$1:$BN$25</definedName>
    <definedName name="_xlnm.Print_Area" localSheetId="10">'Koszty ryzyka_Cost of risk'!$A$1:$BN$25</definedName>
    <definedName name="_xlnm.Print_Area" localSheetId="19">Kredyty_loans_old!$A$1:$AT$92</definedName>
    <definedName name="_xlnm.Print_Area" localSheetId="16">'Łączny współ kap_TCR'!$A$1:$BN$38</definedName>
    <definedName name="_xlnm.Print_Area" localSheetId="20">'Łączny współ kap_TCR_GROUP_old'!$A$1:$BN$74</definedName>
    <definedName name="_xlnm.Print_Area" localSheetId="6">'Marża odsetkowa_NIM'!$A$1:$BN$32</definedName>
    <definedName name="_xlnm.Print_Area" localSheetId="8">'Pozost. dochody_Other income'!$A$1:$BN$36</definedName>
    <definedName name="_xlnm.Print_Area" localSheetId="17">'Pozostałe informacje_other info'!$A$1:$BN$27</definedName>
    <definedName name="_xlnm.Print_Area" localSheetId="4">'RZiS B. Detaliczna_P&amp;L Retail'!$A$1:$BN$22</definedName>
    <definedName name="_xlnm.Print_Area" localSheetId="3">'RZiS B. Korp._P&amp;L Corporate'!$A$1:$BN$22</definedName>
    <definedName name="_xlnm.Print_Area" localSheetId="2">'RZiS_P&amp;L'!$A$1:$BN$48</definedName>
    <definedName name="_xlnm.Print_Area" localSheetId="0">'Spis tresci_Table of content'!$A$1:$F$26</definedName>
    <definedName name="_xlnm.Print_Area" localSheetId="7">'Wynik prowizyjny_F&amp;C income'!$A$1:$BN$29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S37" i="20" l="1"/>
  <c r="BS36" i="20"/>
  <c r="BS35" i="20"/>
  <c r="BS34" i="20"/>
  <c r="BK6" i="1"/>
  <c r="BL6" i="1"/>
  <c r="BM6" i="1"/>
  <c r="BN6" i="1"/>
  <c r="BO6" i="1"/>
  <c r="BP6" i="1"/>
  <c r="BQ6" i="1"/>
  <c r="BL13" i="1"/>
  <c r="BK13" i="1"/>
  <c r="BM13" i="1"/>
  <c r="BN13" i="1"/>
  <c r="BO13" i="1"/>
  <c r="BP13" i="1"/>
  <c r="BQ13" i="1"/>
  <c r="BQ33" i="1"/>
  <c r="BP33" i="1"/>
  <c r="BI33" i="1"/>
  <c r="BA33" i="1"/>
  <c r="BS13" i="1"/>
  <c r="BJ13" i="1"/>
  <c r="BG13" i="1"/>
  <c r="BE13" i="1"/>
  <c r="BC13" i="1"/>
  <c r="BB13" i="1"/>
  <c r="AY13" i="1"/>
  <c r="AW13" i="1"/>
  <c r="AU13" i="1"/>
  <c r="BI13" i="1"/>
  <c r="BH13" i="1"/>
  <c r="BF13" i="1"/>
  <c r="BD13" i="1"/>
  <c r="BA13" i="1"/>
  <c r="AZ13" i="1"/>
  <c r="AX13" i="1"/>
  <c r="AV13" i="1"/>
  <c r="AV6" i="1"/>
  <c r="BB6" i="1"/>
  <c r="BB22" i="1" s="1"/>
  <c r="BJ6" i="1"/>
  <c r="AM35" i="1"/>
  <c r="AT33" i="1"/>
  <c r="AS33" i="1"/>
  <c r="AR33" i="1"/>
  <c r="AQ33" i="1"/>
  <c r="AP33" i="1"/>
  <c r="AO33" i="1"/>
  <c r="AN33" i="1"/>
  <c r="AM33" i="1"/>
  <c r="AL33" i="1"/>
  <c r="AK33" i="1"/>
  <c r="AJ33" i="1"/>
  <c r="AI33" i="1"/>
  <c r="AH33" i="1"/>
  <c r="AG33" i="1"/>
  <c r="AF33" i="1"/>
  <c r="AE33" i="1"/>
  <c r="AB33" i="1"/>
  <c r="AA33" i="1"/>
  <c r="V33" i="1"/>
  <c r="U33" i="1"/>
  <c r="T33" i="1"/>
  <c r="S33" i="1"/>
  <c r="R33" i="1"/>
  <c r="Q33" i="1"/>
  <c r="P33" i="1"/>
  <c r="O33" i="1"/>
  <c r="L33" i="1"/>
  <c r="K33" i="1"/>
  <c r="F33" i="1"/>
  <c r="E33" i="1"/>
  <c r="D33" i="1"/>
  <c r="C33" i="1"/>
  <c r="AD25" i="1"/>
  <c r="AD33" i="1" s="1"/>
  <c r="AC25" i="1"/>
  <c r="AC33" i="1" s="1"/>
  <c r="AB25" i="1"/>
  <c r="AA25" i="1"/>
  <c r="Z25" i="1"/>
  <c r="Z33" i="1" s="1"/>
  <c r="Y25" i="1"/>
  <c r="Y33" i="1" s="1"/>
  <c r="X25" i="1"/>
  <c r="X33" i="1" s="1"/>
  <c r="W25" i="1"/>
  <c r="W33" i="1" s="1"/>
  <c r="N25" i="1"/>
  <c r="N33" i="1" s="1"/>
  <c r="M25" i="1"/>
  <c r="M33" i="1" s="1"/>
  <c r="L25" i="1"/>
  <c r="K25" i="1"/>
  <c r="J25" i="1"/>
  <c r="J33" i="1" s="1"/>
  <c r="I25" i="1"/>
  <c r="I33" i="1" s="1"/>
  <c r="H25" i="1"/>
  <c r="H33" i="1" s="1"/>
  <c r="G25" i="1"/>
  <c r="G33" i="1" s="1"/>
  <c r="AT22" i="1"/>
  <c r="AT35" i="1" s="1"/>
  <c r="AS22" i="1"/>
  <c r="AS35" i="1" s="1"/>
  <c r="AR22" i="1"/>
  <c r="AR35" i="1" s="1"/>
  <c r="AQ22" i="1"/>
  <c r="AQ35" i="1" s="1"/>
  <c r="AP22" i="1"/>
  <c r="AP35" i="1" s="1"/>
  <c r="AO22" i="1"/>
  <c r="AO35" i="1" s="1"/>
  <c r="AN22" i="1"/>
  <c r="AN35" i="1" s="1"/>
  <c r="AM22" i="1"/>
  <c r="AL22" i="1"/>
  <c r="AL35" i="1" s="1"/>
  <c r="AK22" i="1"/>
  <c r="AK35" i="1" s="1"/>
  <c r="AJ22" i="1"/>
  <c r="AJ35" i="1" s="1"/>
  <c r="AI22" i="1"/>
  <c r="AI35" i="1" s="1"/>
  <c r="AH22" i="1"/>
  <c r="AH35" i="1" s="1"/>
  <c r="AG22" i="1"/>
  <c r="AG35" i="1" s="1"/>
  <c r="AF22" i="1"/>
  <c r="AF35" i="1" s="1"/>
  <c r="AE22" i="1"/>
  <c r="AE35" i="1" s="1"/>
  <c r="AD22" i="1"/>
  <c r="AD35" i="1" s="1"/>
  <c r="AC22" i="1"/>
  <c r="AC35" i="1" s="1"/>
  <c r="AB22" i="1"/>
  <c r="AB35" i="1" s="1"/>
  <c r="AA22" i="1"/>
  <c r="AA35" i="1" s="1"/>
  <c r="Z22" i="1"/>
  <c r="Z35" i="1" s="1"/>
  <c r="W22" i="1"/>
  <c r="W35" i="1" s="1"/>
  <c r="Q22" i="1"/>
  <c r="Q35" i="1" s="1"/>
  <c r="O22" i="1"/>
  <c r="O35" i="1" s="1"/>
  <c r="N22" i="1"/>
  <c r="N35" i="1" s="1"/>
  <c r="G22" i="1"/>
  <c r="G35" i="1" s="1"/>
  <c r="F22" i="1"/>
  <c r="F35" i="1" s="1"/>
  <c r="X21" i="1"/>
  <c r="W21" i="1"/>
  <c r="V21" i="1"/>
  <c r="V22" i="1" s="1"/>
  <c r="V35" i="1" s="1"/>
  <c r="U21" i="1"/>
  <c r="U22" i="1" s="1"/>
  <c r="U35" i="1" s="1"/>
  <c r="T21" i="1"/>
  <c r="T22" i="1" s="1"/>
  <c r="T35" i="1" s="1"/>
  <c r="S21" i="1"/>
  <c r="S22" i="1" s="1"/>
  <c r="S35" i="1" s="1"/>
  <c r="R21" i="1"/>
  <c r="R22" i="1" s="1"/>
  <c r="R35" i="1" s="1"/>
  <c r="P21" i="1"/>
  <c r="O21" i="1"/>
  <c r="M21" i="1"/>
  <c r="M22" i="1" s="1"/>
  <c r="M35" i="1" s="1"/>
  <c r="L21" i="1"/>
  <c r="L22" i="1" s="1"/>
  <c r="L35" i="1" s="1"/>
  <c r="K21" i="1"/>
  <c r="J21" i="1"/>
  <c r="J22" i="1" s="1"/>
  <c r="I21" i="1"/>
  <c r="I22" i="1" s="1"/>
  <c r="H21" i="1"/>
  <c r="H22" i="1" s="1"/>
  <c r="G21" i="1"/>
  <c r="E21" i="1"/>
  <c r="E22" i="1" s="1"/>
  <c r="E35" i="1" s="1"/>
  <c r="D21" i="1"/>
  <c r="D22" i="1" s="1"/>
  <c r="D35" i="1" s="1"/>
  <c r="C21" i="1"/>
  <c r="C22" i="1" s="1"/>
  <c r="C35" i="1" s="1"/>
  <c r="Y17" i="1"/>
  <c r="K17" i="1"/>
  <c r="K22" i="1" s="1"/>
  <c r="K35" i="1" s="1"/>
  <c r="Y16" i="1"/>
  <c r="Y22" i="1" s="1"/>
  <c r="P16" i="1"/>
  <c r="P22" i="1" s="1"/>
  <c r="P35" i="1" s="1"/>
  <c r="X7" i="1"/>
  <c r="X22" i="1" s="1"/>
  <c r="X35" i="1" s="1"/>
  <c r="W7" i="1"/>
  <c r="BM45" i="20"/>
  <c r="BE45" i="20"/>
  <c r="AY45" i="20"/>
  <c r="AX45" i="20"/>
  <c r="AW45" i="20"/>
  <c r="AV45" i="20"/>
  <c r="AU45" i="20"/>
  <c r="AT45" i="20"/>
  <c r="AS45" i="20"/>
  <c r="AR45" i="20"/>
  <c r="AQ45" i="20"/>
  <c r="AP45" i="20"/>
  <c r="AO45" i="20"/>
  <c r="AN45" i="20"/>
  <c r="AM45" i="20"/>
  <c r="AL45" i="20"/>
  <c r="AK45" i="20"/>
  <c r="AJ45" i="20"/>
  <c r="AI45" i="20"/>
  <c r="AH45" i="20"/>
  <c r="AG45" i="20"/>
  <c r="AF45" i="20"/>
  <c r="AE45" i="20"/>
  <c r="AD45" i="20"/>
  <c r="AC45" i="20"/>
  <c r="AB45" i="20"/>
  <c r="AA45" i="20"/>
  <c r="Z45" i="20"/>
  <c r="Y45" i="20"/>
  <c r="X45" i="20"/>
  <c r="W45" i="20"/>
  <c r="V45" i="20"/>
  <c r="U45" i="20"/>
  <c r="T45" i="20"/>
  <c r="S45" i="20"/>
  <c r="R45" i="20"/>
  <c r="Q45" i="20"/>
  <c r="P45" i="20"/>
  <c r="O45" i="20"/>
  <c r="N45" i="20"/>
  <c r="M45" i="20"/>
  <c r="L45" i="20"/>
  <c r="K45" i="20"/>
  <c r="J45" i="20"/>
  <c r="I45" i="20"/>
  <c r="H45" i="20"/>
  <c r="G45" i="20"/>
  <c r="F45" i="20"/>
  <c r="E45" i="20"/>
  <c r="D45" i="20"/>
  <c r="C45" i="20"/>
  <c r="X43" i="20"/>
  <c r="W43" i="20"/>
  <c r="V43" i="20"/>
  <c r="U43" i="20"/>
  <c r="T43" i="20"/>
  <c r="S43" i="20"/>
  <c r="R43" i="20"/>
  <c r="Q43" i="20"/>
  <c r="P43" i="20"/>
  <c r="O43" i="20"/>
  <c r="N43" i="20"/>
  <c r="M43" i="20"/>
  <c r="L43" i="20"/>
  <c r="K43" i="20"/>
  <c r="J43" i="20"/>
  <c r="I43" i="20"/>
  <c r="H43" i="20"/>
  <c r="G43" i="20"/>
  <c r="F43" i="20"/>
  <c r="E43" i="20"/>
  <c r="D43" i="20"/>
  <c r="C43" i="20"/>
  <c r="BS41" i="20"/>
  <c r="BS45" i="20" s="1"/>
  <c r="BR41" i="20"/>
  <c r="BR45" i="20" s="1"/>
  <c r="BQ41" i="20"/>
  <c r="BQ45" i="20" s="1"/>
  <c r="BP41" i="20"/>
  <c r="BP45" i="20" s="1"/>
  <c r="BO41" i="20"/>
  <c r="BO45" i="20" s="1"/>
  <c r="BN41" i="20"/>
  <c r="BN45" i="20" s="1"/>
  <c r="BM41" i="20"/>
  <c r="BL41" i="20"/>
  <c r="BL45" i="20" s="1"/>
  <c r="BK41" i="20"/>
  <c r="BK45" i="20" s="1"/>
  <c r="BJ41" i="20"/>
  <c r="BJ45" i="20" s="1"/>
  <c r="BI41" i="20"/>
  <c r="BI45" i="20" s="1"/>
  <c r="BH41" i="20"/>
  <c r="BH45" i="20" s="1"/>
  <c r="BG41" i="20"/>
  <c r="BG45" i="20" s="1"/>
  <c r="BF41" i="20"/>
  <c r="BF45" i="20" s="1"/>
  <c r="BE41" i="20"/>
  <c r="BD41" i="20"/>
  <c r="BD45" i="20" s="1"/>
  <c r="BC41" i="20"/>
  <c r="BC45" i="20" s="1"/>
  <c r="BB41" i="20"/>
  <c r="BB45" i="20" s="1"/>
  <c r="BA41" i="20"/>
  <c r="BA45" i="20" s="1"/>
  <c r="AZ41" i="20"/>
  <c r="AZ45" i="20" s="1"/>
  <c r="AO42" i="20"/>
  <c r="AO43" i="20" s="1"/>
  <c r="AN42" i="20"/>
  <c r="AN43" i="20" s="1"/>
  <c r="AM42" i="20"/>
  <c r="AM43" i="20" s="1"/>
  <c r="AL42" i="20"/>
  <c r="AL43" i="20" s="1"/>
  <c r="AK42" i="20"/>
  <c r="AK43" i="20" s="1"/>
  <c r="AJ42" i="20"/>
  <c r="AJ43" i="20" s="1"/>
  <c r="AI42" i="20"/>
  <c r="AI43" i="20" s="1"/>
  <c r="AH42" i="20"/>
  <c r="AH43" i="20" s="1"/>
  <c r="AG42" i="20"/>
  <c r="AG43" i="20" s="1"/>
  <c r="AF42" i="20"/>
  <c r="AF43" i="20" s="1"/>
  <c r="AE42" i="20"/>
  <c r="AE43" i="20" s="1"/>
  <c r="AD42" i="20"/>
  <c r="AD43" i="20" s="1"/>
  <c r="AC42" i="20"/>
  <c r="AC43" i="20" s="1"/>
  <c r="AB42" i="20"/>
  <c r="AB43" i="20" s="1"/>
  <c r="AA42" i="20"/>
  <c r="AA43" i="20" s="1"/>
  <c r="Z42" i="20"/>
  <c r="Z43" i="20" s="1"/>
  <c r="Y42" i="20"/>
  <c r="Y43" i="20" s="1"/>
  <c r="AP44" i="20"/>
  <c r="AO44" i="20"/>
  <c r="AK44" i="20"/>
  <c r="AJ44" i="20"/>
  <c r="AI44" i="20"/>
  <c r="AH44" i="20"/>
  <c r="AG44" i="20"/>
  <c r="AC44" i="20"/>
  <c r="AB44" i="20"/>
  <c r="AA44" i="20"/>
  <c r="Z44" i="20"/>
  <c r="Y44" i="20"/>
  <c r="U44" i="20"/>
  <c r="T44" i="20"/>
  <c r="S44" i="20"/>
  <c r="R44" i="20"/>
  <c r="Q44" i="20"/>
  <c r="M44" i="20"/>
  <c r="L44" i="20"/>
  <c r="K44" i="20"/>
  <c r="J44" i="20"/>
  <c r="I44" i="20"/>
  <c r="E44" i="20"/>
  <c r="D44" i="20"/>
  <c r="C44" i="20"/>
  <c r="BN42" i="19"/>
  <c r="BF42" i="19"/>
  <c r="AX42" i="19"/>
  <c r="BO42" i="19"/>
  <c r="AY42" i="19"/>
  <c r="BL42" i="19"/>
  <c r="BD42" i="19"/>
  <c r="AV42" i="19"/>
  <c r="BM37" i="19"/>
  <c r="AW37" i="19"/>
  <c r="BP37" i="19"/>
  <c r="BH37" i="19"/>
  <c r="AZ37" i="19"/>
  <c r="BS37" i="19"/>
  <c r="BQ37" i="19"/>
  <c r="BK37" i="19"/>
  <c r="BI37" i="19"/>
  <c r="BC37" i="19"/>
  <c r="BB37" i="19"/>
  <c r="BA37" i="19"/>
  <c r="AU37" i="19"/>
  <c r="BR37" i="19"/>
  <c r="AD30" i="19"/>
  <c r="AC30" i="19"/>
  <c r="AB30" i="19"/>
  <c r="AA30" i="19"/>
  <c r="U30" i="19"/>
  <c r="J28" i="19"/>
  <c r="AD25" i="19"/>
  <c r="AB25" i="19"/>
  <c r="AI20" i="19"/>
  <c r="AE20" i="19"/>
  <c r="AC20" i="19"/>
  <c r="AB20" i="19"/>
  <c r="AA20" i="19"/>
  <c r="V20" i="19"/>
  <c r="U20" i="19"/>
  <c r="AI19" i="19"/>
  <c r="AE19" i="19"/>
  <c r="AC19" i="19"/>
  <c r="AB19" i="19"/>
  <c r="AA19" i="19"/>
  <c r="AF14" i="19"/>
  <c r="AE14" i="19"/>
  <c r="AC14" i="19"/>
  <c r="AB14" i="19"/>
  <c r="AA14" i="19"/>
  <c r="T14" i="19"/>
  <c r="AP13" i="19"/>
  <c r="H13" i="19"/>
  <c r="AO12" i="19"/>
  <c r="AN12" i="19"/>
  <c r="AM12" i="19"/>
  <c r="AL12" i="19"/>
  <c r="AK12" i="19"/>
  <c r="AJ12" i="19"/>
  <c r="AI12" i="19"/>
  <c r="AH12" i="19"/>
  <c r="AG12" i="19"/>
  <c r="AF12" i="19"/>
  <c r="AE12" i="19"/>
  <c r="AD12" i="19"/>
  <c r="AC12" i="19"/>
  <c r="AB12" i="19"/>
  <c r="AA12" i="19"/>
  <c r="Z12" i="19"/>
  <c r="Y12" i="19"/>
  <c r="X12" i="19"/>
  <c r="W12" i="19"/>
  <c r="V12" i="19"/>
  <c r="U12" i="19"/>
  <c r="T12" i="19"/>
  <c r="S12" i="19"/>
  <c r="R12" i="19"/>
  <c r="Q12" i="19"/>
  <c r="P12" i="19"/>
  <c r="O12" i="19"/>
  <c r="N12" i="19"/>
  <c r="M12" i="19"/>
  <c r="L12" i="19"/>
  <c r="K12" i="19"/>
  <c r="J12" i="19"/>
  <c r="J13" i="19" s="1"/>
  <c r="I12" i="19"/>
  <c r="I13" i="19" s="1"/>
  <c r="H12" i="19"/>
  <c r="G12" i="19"/>
  <c r="G13" i="19" s="1"/>
  <c r="F12" i="19"/>
  <c r="F13" i="19" s="1"/>
  <c r="E12" i="19"/>
  <c r="D12" i="19"/>
  <c r="D13" i="19" s="1"/>
  <c r="C12" i="19"/>
  <c r="C13" i="19" s="1"/>
  <c r="BS13" i="19"/>
  <c r="BP13" i="19"/>
  <c r="BO13" i="19"/>
  <c r="BN13" i="19"/>
  <c r="BM13" i="19"/>
  <c r="BK13" i="19"/>
  <c r="BH13" i="19"/>
  <c r="BG13" i="19"/>
  <c r="BF13" i="19"/>
  <c r="BE13" i="19"/>
  <c r="BC13" i="19"/>
  <c r="AZ13" i="19"/>
  <c r="AY13" i="19"/>
  <c r="AX13" i="19"/>
  <c r="AW13" i="19"/>
  <c r="AU13" i="19"/>
  <c r="AR13" i="19"/>
  <c r="AQ13" i="19"/>
  <c r="AO11" i="19"/>
  <c r="AO13" i="19" s="1"/>
  <c r="AN11" i="19"/>
  <c r="AN13" i="19" s="1"/>
  <c r="AM11" i="19"/>
  <c r="AM13" i="19" s="1"/>
  <c r="AL11" i="19"/>
  <c r="AL13" i="19" s="1"/>
  <c r="AK11" i="19"/>
  <c r="AK13" i="19" s="1"/>
  <c r="AK22" i="19" s="1"/>
  <c r="AK29" i="19" s="1"/>
  <c r="AK31" i="19" s="1"/>
  <c r="AK32" i="19" s="1"/>
  <c r="AJ11" i="19"/>
  <c r="AJ13" i="19" s="1"/>
  <c r="AI11" i="19"/>
  <c r="AI13" i="19" s="1"/>
  <c r="AH11" i="19"/>
  <c r="AH13" i="19" s="1"/>
  <c r="AG11" i="19"/>
  <c r="AG13" i="19" s="1"/>
  <c r="AF11" i="19"/>
  <c r="AF13" i="19" s="1"/>
  <c r="AE11" i="19"/>
  <c r="AE13" i="19" s="1"/>
  <c r="AD11" i="19"/>
  <c r="AD13" i="19" s="1"/>
  <c r="AC11" i="19"/>
  <c r="AC13" i="19" s="1"/>
  <c r="AC22" i="19" s="1"/>
  <c r="AC29" i="19" s="1"/>
  <c r="AC31" i="19" s="1"/>
  <c r="AC32" i="19" s="1"/>
  <c r="AB11" i="19"/>
  <c r="AB13" i="19" s="1"/>
  <c r="AA11" i="19"/>
  <c r="AA13" i="19" s="1"/>
  <c r="Z11" i="19"/>
  <c r="Z13" i="19" s="1"/>
  <c r="Y11" i="19"/>
  <c r="Y13" i="19" s="1"/>
  <c r="X11" i="19"/>
  <c r="X13" i="19" s="1"/>
  <c r="W11" i="19"/>
  <c r="W13" i="19" s="1"/>
  <c r="V11" i="19"/>
  <c r="V13" i="19" s="1"/>
  <c r="U11" i="19"/>
  <c r="U13" i="19" s="1"/>
  <c r="U22" i="19" s="1"/>
  <c r="U29" i="19" s="1"/>
  <c r="U31" i="19" s="1"/>
  <c r="U32" i="19" s="1"/>
  <c r="T11" i="19"/>
  <c r="T13" i="19" s="1"/>
  <c r="S11" i="19"/>
  <c r="S13" i="19" s="1"/>
  <c r="R11" i="19"/>
  <c r="R13" i="19" s="1"/>
  <c r="Q11" i="19"/>
  <c r="Q13" i="19" s="1"/>
  <c r="P11" i="19"/>
  <c r="P13" i="19" s="1"/>
  <c r="O11" i="19"/>
  <c r="O13" i="19" s="1"/>
  <c r="N11" i="19"/>
  <c r="N13" i="19" s="1"/>
  <c r="M11" i="19"/>
  <c r="M13" i="19" s="1"/>
  <c r="M22" i="19" s="1"/>
  <c r="M29" i="19" s="1"/>
  <c r="M31" i="19" s="1"/>
  <c r="M32" i="19" s="1"/>
  <c r="L11" i="19"/>
  <c r="L13" i="19" s="1"/>
  <c r="K11" i="19"/>
  <c r="K13" i="19" s="1"/>
  <c r="E11" i="19"/>
  <c r="E13" i="19" s="1"/>
  <c r="E22" i="19" s="1"/>
  <c r="E29" i="19" s="1"/>
  <c r="E31" i="19" s="1"/>
  <c r="E32" i="19" s="1"/>
  <c r="AP10" i="19"/>
  <c r="AP22" i="19" s="1"/>
  <c r="AP29" i="19" s="1"/>
  <c r="AP31" i="19" s="1"/>
  <c r="AP32" i="19" s="1"/>
  <c r="AO10" i="19"/>
  <c r="AO22" i="19" s="1"/>
  <c r="AO29" i="19" s="1"/>
  <c r="AO31" i="19" s="1"/>
  <c r="AO32" i="19" s="1"/>
  <c r="AN10" i="19"/>
  <c r="AM10" i="19"/>
  <c r="AM22" i="19" s="1"/>
  <c r="AM29" i="19" s="1"/>
  <c r="AM31" i="19" s="1"/>
  <c r="AM32" i="19" s="1"/>
  <c r="AL10" i="19"/>
  <c r="AL22" i="19" s="1"/>
  <c r="AL29" i="19" s="1"/>
  <c r="AL31" i="19" s="1"/>
  <c r="AL32" i="19" s="1"/>
  <c r="AK10" i="19"/>
  <c r="AJ10" i="19"/>
  <c r="AI10" i="19"/>
  <c r="AI22" i="19" s="1"/>
  <c r="AI29" i="19" s="1"/>
  <c r="AI31" i="19" s="1"/>
  <c r="AI32" i="19" s="1"/>
  <c r="AH10" i="19"/>
  <c r="AG10" i="19"/>
  <c r="AG22" i="19" s="1"/>
  <c r="AG29" i="19" s="1"/>
  <c r="AG31" i="19" s="1"/>
  <c r="AG32" i="19" s="1"/>
  <c r="AF10" i="19"/>
  <c r="AE10" i="19"/>
  <c r="AE22" i="19" s="1"/>
  <c r="AE29" i="19" s="1"/>
  <c r="AE31" i="19" s="1"/>
  <c r="AE32" i="19" s="1"/>
  <c r="AD10" i="19"/>
  <c r="AD22" i="19" s="1"/>
  <c r="AD29" i="19" s="1"/>
  <c r="AD31" i="19" s="1"/>
  <c r="AD32" i="19" s="1"/>
  <c r="AC10" i="19"/>
  <c r="AB10" i="19"/>
  <c r="AA10" i="19"/>
  <c r="AA22" i="19" s="1"/>
  <c r="AA29" i="19" s="1"/>
  <c r="AA31" i="19" s="1"/>
  <c r="AA32" i="19" s="1"/>
  <c r="Z10" i="19"/>
  <c r="Y10" i="19"/>
  <c r="Y22" i="19" s="1"/>
  <c r="Y29" i="19" s="1"/>
  <c r="Y31" i="19" s="1"/>
  <c r="Y32" i="19" s="1"/>
  <c r="X10" i="19"/>
  <c r="W10" i="19"/>
  <c r="W22" i="19" s="1"/>
  <c r="W29" i="19" s="1"/>
  <c r="W31" i="19" s="1"/>
  <c r="W32" i="19" s="1"/>
  <c r="V10" i="19"/>
  <c r="V22" i="19" s="1"/>
  <c r="V29" i="19" s="1"/>
  <c r="V31" i="19" s="1"/>
  <c r="V32" i="19" s="1"/>
  <c r="U10" i="19"/>
  <c r="T10" i="19"/>
  <c r="S10" i="19"/>
  <c r="S22" i="19" s="1"/>
  <c r="S29" i="19" s="1"/>
  <c r="S31" i="19" s="1"/>
  <c r="S32" i="19" s="1"/>
  <c r="R10" i="19"/>
  <c r="Q10" i="19"/>
  <c r="Q22" i="19" s="1"/>
  <c r="Q29" i="19" s="1"/>
  <c r="Q31" i="19" s="1"/>
  <c r="Q32" i="19" s="1"/>
  <c r="P10" i="19"/>
  <c r="O10" i="19"/>
  <c r="O22" i="19" s="1"/>
  <c r="O29" i="19" s="1"/>
  <c r="O31" i="19" s="1"/>
  <c r="O32" i="19" s="1"/>
  <c r="N10" i="19"/>
  <c r="N22" i="19" s="1"/>
  <c r="N29" i="19" s="1"/>
  <c r="N31" i="19" s="1"/>
  <c r="N32" i="19" s="1"/>
  <c r="M10" i="19"/>
  <c r="L10" i="19"/>
  <c r="K10" i="19"/>
  <c r="K22" i="19" s="1"/>
  <c r="K29" i="19" s="1"/>
  <c r="K31" i="19" s="1"/>
  <c r="K32" i="19" s="1"/>
  <c r="J10" i="19"/>
  <c r="J22" i="19" s="1"/>
  <c r="J29" i="19" s="1"/>
  <c r="J31" i="19" s="1"/>
  <c r="J32" i="19" s="1"/>
  <c r="I10" i="19"/>
  <c r="I22" i="19" s="1"/>
  <c r="I29" i="19" s="1"/>
  <c r="I31" i="19" s="1"/>
  <c r="I32" i="19" s="1"/>
  <c r="H10" i="19"/>
  <c r="H22" i="19" s="1"/>
  <c r="H29" i="19" s="1"/>
  <c r="H31" i="19" s="1"/>
  <c r="H32" i="19" s="1"/>
  <c r="G10" i="19"/>
  <c r="G22" i="19" s="1"/>
  <c r="G29" i="19" s="1"/>
  <c r="G31" i="19" s="1"/>
  <c r="G32" i="19" s="1"/>
  <c r="F10" i="19"/>
  <c r="E10" i="19"/>
  <c r="D10" i="19"/>
  <c r="C9" i="19"/>
  <c r="C10" i="19" s="1"/>
  <c r="C22" i="19" s="1"/>
  <c r="C29" i="19" s="1"/>
  <c r="C31" i="19" s="1"/>
  <c r="C32" i="19" s="1"/>
  <c r="BR7" i="19"/>
  <c r="BQ7" i="19"/>
  <c r="BP7" i="19"/>
  <c r="BO10" i="19"/>
  <c r="BL10" i="19"/>
  <c r="BJ7" i="19"/>
  <c r="BI7" i="19"/>
  <c r="BH7" i="19"/>
  <c r="BG10" i="19"/>
  <c r="BF7" i="19"/>
  <c r="BD10" i="19"/>
  <c r="BB7" i="19"/>
  <c r="BA7" i="19"/>
  <c r="AZ7" i="19"/>
  <c r="AY10" i="19"/>
  <c r="AX7" i="19"/>
  <c r="AV10" i="19"/>
  <c r="AT10" i="19"/>
  <c r="AS10" i="19"/>
  <c r="AR10" i="19"/>
  <c r="AQ10" i="19"/>
  <c r="AO18" i="18"/>
  <c r="AN18" i="18"/>
  <c r="AO16" i="18"/>
  <c r="AL16" i="18"/>
  <c r="AN15" i="18"/>
  <c r="AN19" i="18" s="1"/>
  <c r="AM15" i="18"/>
  <c r="AM19" i="18" s="1"/>
  <c r="AF15" i="18"/>
  <c r="AF19" i="18" s="1"/>
  <c r="AE15" i="18"/>
  <c r="AE19" i="18" s="1"/>
  <c r="X15" i="18"/>
  <c r="X19" i="18" s="1"/>
  <c r="W15" i="18"/>
  <c r="W19" i="18" s="1"/>
  <c r="P15" i="18"/>
  <c r="P19" i="18" s="1"/>
  <c r="O15" i="18"/>
  <c r="O19" i="18" s="1"/>
  <c r="H15" i="18"/>
  <c r="H19" i="18" s="1"/>
  <c r="G15" i="18"/>
  <c r="G19" i="18" s="1"/>
  <c r="BQ11" i="18"/>
  <c r="BM11" i="18"/>
  <c r="BI11" i="18"/>
  <c r="BE11" i="18"/>
  <c r="AW11" i="18"/>
  <c r="AS11" i="18"/>
  <c r="AO14" i="18"/>
  <c r="BR11" i="18"/>
  <c r="BJ11" i="18"/>
  <c r="BB11" i="18"/>
  <c r="AX11" i="18"/>
  <c r="AT11" i="18"/>
  <c r="BP11" i="18"/>
  <c r="BL11" i="18"/>
  <c r="BH11" i="18"/>
  <c r="BD11" i="18"/>
  <c r="AZ11" i="18"/>
  <c r="AV11" i="18"/>
  <c r="AR11" i="18"/>
  <c r="BA11" i="18"/>
  <c r="AP11" i="18"/>
  <c r="AO11" i="18"/>
  <c r="AN11" i="18"/>
  <c r="AM11" i="18"/>
  <c r="AL11" i="18"/>
  <c r="AK11" i="18"/>
  <c r="AJ11" i="18"/>
  <c r="AI11" i="18"/>
  <c r="AH11" i="18"/>
  <c r="AG11" i="18"/>
  <c r="AF11" i="18"/>
  <c r="AE11" i="18"/>
  <c r="AD11" i="18"/>
  <c r="AC11" i="18"/>
  <c r="AB11" i="18"/>
  <c r="AA11" i="18"/>
  <c r="Z11" i="18"/>
  <c r="Y11" i="18"/>
  <c r="X11" i="18"/>
  <c r="W11" i="18"/>
  <c r="V11" i="18"/>
  <c r="U11" i="18"/>
  <c r="T11" i="18"/>
  <c r="S11" i="18"/>
  <c r="R11" i="18"/>
  <c r="Q11" i="18"/>
  <c r="P11" i="18"/>
  <c r="O11" i="18"/>
  <c r="N11" i="18"/>
  <c r="M11" i="18"/>
  <c r="L11" i="18"/>
  <c r="K11" i="18"/>
  <c r="J11" i="18"/>
  <c r="I11" i="18"/>
  <c r="H11" i="18"/>
  <c r="G11" i="18"/>
  <c r="F11" i="18"/>
  <c r="E11" i="18"/>
  <c r="D11" i="18"/>
  <c r="C11" i="18"/>
  <c r="BP6" i="18"/>
  <c r="BP15" i="18" s="1"/>
  <c r="BH6" i="18"/>
  <c r="BH15" i="18" s="1"/>
  <c r="AZ6" i="18"/>
  <c r="AZ15" i="18" s="1"/>
  <c r="AR6" i="18"/>
  <c r="AR15" i="18" s="1"/>
  <c r="AO9" i="18"/>
  <c r="AL9" i="18"/>
  <c r="T9" i="18"/>
  <c r="AO8" i="18"/>
  <c r="AN8" i="18"/>
  <c r="AL8" i="18"/>
  <c r="BL6" i="18"/>
  <c r="BJ6" i="18"/>
  <c r="BB6" i="18"/>
  <c r="AT6" i="18"/>
  <c r="AO7" i="18"/>
  <c r="AO6" i="18" s="1"/>
  <c r="AO15" i="18" s="1"/>
  <c r="AO19" i="18" s="1"/>
  <c r="AN7" i="18"/>
  <c r="AL7" i="18"/>
  <c r="BS6" i="18"/>
  <c r="BR6" i="18"/>
  <c r="BR15" i="18" s="1"/>
  <c r="BR19" i="18" s="1"/>
  <c r="BO6" i="18"/>
  <c r="BK6" i="18"/>
  <c r="BG6" i="18"/>
  <c r="BD6" i="18"/>
  <c r="AY6" i="18"/>
  <c r="AV6" i="18"/>
  <c r="AQ6" i="18"/>
  <c r="AP6" i="18"/>
  <c r="AP15" i="18" s="1"/>
  <c r="AP19" i="18" s="1"/>
  <c r="AN6" i="18"/>
  <c r="AM6" i="18"/>
  <c r="AL6" i="18"/>
  <c r="AL15" i="18" s="1"/>
  <c r="AL19" i="18" s="1"/>
  <c r="AK6" i="18"/>
  <c r="AK15" i="18" s="1"/>
  <c r="AK19" i="18" s="1"/>
  <c r="AJ6" i="18"/>
  <c r="AJ15" i="18" s="1"/>
  <c r="AJ19" i="18" s="1"/>
  <c r="AI6" i="18"/>
  <c r="AI15" i="18" s="1"/>
  <c r="AI19" i="18" s="1"/>
  <c r="AH6" i="18"/>
  <c r="AH15" i="18" s="1"/>
  <c r="AH19" i="18" s="1"/>
  <c r="AG6" i="18"/>
  <c r="AG15" i="18" s="1"/>
  <c r="AG19" i="18" s="1"/>
  <c r="AF6" i="18"/>
  <c r="AE6" i="18"/>
  <c r="AD6" i="18"/>
  <c r="AD15" i="18" s="1"/>
  <c r="AD19" i="18" s="1"/>
  <c r="AC6" i="18"/>
  <c r="AC15" i="18" s="1"/>
  <c r="AC19" i="18" s="1"/>
  <c r="AB6" i="18"/>
  <c r="AB15" i="18" s="1"/>
  <c r="AB19" i="18" s="1"/>
  <c r="AA6" i="18"/>
  <c r="AA15" i="18" s="1"/>
  <c r="AA19" i="18" s="1"/>
  <c r="Z6" i="18"/>
  <c r="Z15" i="18" s="1"/>
  <c r="Z19" i="18" s="1"/>
  <c r="Y6" i="18"/>
  <c r="Y15" i="18" s="1"/>
  <c r="Y19" i="18" s="1"/>
  <c r="X6" i="18"/>
  <c r="W6" i="18"/>
  <c r="V6" i="18"/>
  <c r="V15" i="18" s="1"/>
  <c r="V19" i="18" s="1"/>
  <c r="U6" i="18"/>
  <c r="U15" i="18" s="1"/>
  <c r="U19" i="18" s="1"/>
  <c r="T6" i="18"/>
  <c r="T15" i="18" s="1"/>
  <c r="T19" i="18" s="1"/>
  <c r="S6" i="18"/>
  <c r="S15" i="18" s="1"/>
  <c r="S19" i="18" s="1"/>
  <c r="R6" i="18"/>
  <c r="R15" i="18" s="1"/>
  <c r="R19" i="18" s="1"/>
  <c r="Q6" i="18"/>
  <c r="Q15" i="18" s="1"/>
  <c r="Q19" i="18" s="1"/>
  <c r="P6" i="18"/>
  <c r="O6" i="18"/>
  <c r="N6" i="18"/>
  <c r="N15" i="18" s="1"/>
  <c r="N19" i="18" s="1"/>
  <c r="M6" i="18"/>
  <c r="M15" i="18" s="1"/>
  <c r="M19" i="18" s="1"/>
  <c r="L6" i="18"/>
  <c r="L15" i="18" s="1"/>
  <c r="L19" i="18" s="1"/>
  <c r="K6" i="18"/>
  <c r="K15" i="18" s="1"/>
  <c r="K19" i="18" s="1"/>
  <c r="J6" i="18"/>
  <c r="J15" i="18" s="1"/>
  <c r="J19" i="18" s="1"/>
  <c r="I6" i="18"/>
  <c r="I15" i="18" s="1"/>
  <c r="I19" i="18" s="1"/>
  <c r="H6" i="18"/>
  <c r="G6" i="18"/>
  <c r="F6" i="18"/>
  <c r="F15" i="18" s="1"/>
  <c r="F19" i="18" s="1"/>
  <c r="E6" i="18"/>
  <c r="E15" i="18" s="1"/>
  <c r="E19" i="18" s="1"/>
  <c r="D6" i="18"/>
  <c r="D15" i="18" s="1"/>
  <c r="D19" i="18" s="1"/>
  <c r="C6" i="18"/>
  <c r="C15" i="18" s="1"/>
  <c r="C19" i="18" s="1"/>
  <c r="AO18" i="17"/>
  <c r="AN18" i="17"/>
  <c r="AO16" i="17"/>
  <c r="AL16" i="17"/>
  <c r="AM15" i="17"/>
  <c r="AM19" i="17" s="1"/>
  <c r="AE15" i="17"/>
  <c r="AE19" i="17" s="1"/>
  <c r="W15" i="17"/>
  <c r="W19" i="17" s="1"/>
  <c r="O15" i="17"/>
  <c r="O19" i="17" s="1"/>
  <c r="G15" i="17"/>
  <c r="G19" i="17" s="1"/>
  <c r="BK11" i="17"/>
  <c r="BQ11" i="17"/>
  <c r="BO11" i="17"/>
  <c r="BN11" i="17"/>
  <c r="BL11" i="17"/>
  <c r="BI11" i="17"/>
  <c r="BD11" i="17"/>
  <c r="AV11" i="17"/>
  <c r="AS11" i="17"/>
  <c r="BS11" i="17"/>
  <c r="BF11" i="17"/>
  <c r="BC11" i="17"/>
  <c r="BA11" i="17"/>
  <c r="AX11" i="17"/>
  <c r="AP11" i="17"/>
  <c r="AO11" i="17"/>
  <c r="AN11" i="17"/>
  <c r="AM11" i="17"/>
  <c r="AL11" i="17"/>
  <c r="AK11" i="17"/>
  <c r="AJ11" i="17"/>
  <c r="AI11" i="17"/>
  <c r="AH11" i="17"/>
  <c r="AG11" i="17"/>
  <c r="AF11" i="17"/>
  <c r="AE11" i="17"/>
  <c r="AD11" i="17"/>
  <c r="AC11" i="17"/>
  <c r="AB11" i="17"/>
  <c r="AA11" i="17"/>
  <c r="Z11" i="17"/>
  <c r="Y11" i="17"/>
  <c r="X11" i="17"/>
  <c r="W11" i="17"/>
  <c r="V11" i="17"/>
  <c r="U11" i="17"/>
  <c r="T11" i="17"/>
  <c r="S11" i="17"/>
  <c r="R11" i="17"/>
  <c r="Q11" i="17"/>
  <c r="P11" i="17"/>
  <c r="O11" i="17"/>
  <c r="N11" i="17"/>
  <c r="M11" i="17"/>
  <c r="L11" i="17"/>
  <c r="K11" i="17"/>
  <c r="J11" i="17"/>
  <c r="I11" i="17"/>
  <c r="H11" i="17"/>
  <c r="G11" i="17"/>
  <c r="F11" i="17"/>
  <c r="E11" i="17"/>
  <c r="D11" i="17"/>
  <c r="C11" i="17"/>
  <c r="BN6" i="17"/>
  <c r="BN15" i="17" s="1"/>
  <c r="BN19" i="17" s="1"/>
  <c r="AX6" i="17"/>
  <c r="AX15" i="17" s="1"/>
  <c r="AX19" i="17" s="1"/>
  <c r="AO9" i="17"/>
  <c r="AL9" i="17"/>
  <c r="T9" i="17"/>
  <c r="AO8" i="17"/>
  <c r="AN8" i="17"/>
  <c r="AL8" i="17"/>
  <c r="BM6" i="17"/>
  <c r="BJ6" i="17"/>
  <c r="BI6" i="17"/>
  <c r="BI15" i="17" s="1"/>
  <c r="BH6" i="17"/>
  <c r="BB6" i="17"/>
  <c r="BA6" i="17"/>
  <c r="AZ6" i="17"/>
  <c r="AU6" i="17"/>
  <c r="AT6" i="17"/>
  <c r="AS6" i="17"/>
  <c r="AR6" i="17"/>
  <c r="AO7" i="17"/>
  <c r="AN7" i="17"/>
  <c r="AL7" i="17"/>
  <c r="BR6" i="17"/>
  <c r="BQ6" i="17"/>
  <c r="BP6" i="17"/>
  <c r="BO6" i="17"/>
  <c r="BG6" i="17"/>
  <c r="BE6" i="17"/>
  <c r="AY6" i="17"/>
  <c r="AW6" i="17"/>
  <c r="AQ6" i="17"/>
  <c r="AP6" i="17"/>
  <c r="AP15" i="17" s="1"/>
  <c r="AP19" i="17" s="1"/>
  <c r="AO6" i="17"/>
  <c r="AO15" i="17" s="1"/>
  <c r="AO19" i="17" s="1"/>
  <c r="AN6" i="17"/>
  <c r="AN15" i="17" s="1"/>
  <c r="AN19" i="17" s="1"/>
  <c r="AM6" i="17"/>
  <c r="AL6" i="17"/>
  <c r="AL15" i="17" s="1"/>
  <c r="AL19" i="17" s="1"/>
  <c r="AK6" i="17"/>
  <c r="AK15" i="17" s="1"/>
  <c r="AK19" i="17" s="1"/>
  <c r="AJ6" i="17"/>
  <c r="AJ15" i="17" s="1"/>
  <c r="AJ19" i="17" s="1"/>
  <c r="AI6" i="17"/>
  <c r="AI15" i="17" s="1"/>
  <c r="AI19" i="17" s="1"/>
  <c r="AH6" i="17"/>
  <c r="AH15" i="17" s="1"/>
  <c r="AH19" i="17" s="1"/>
  <c r="AG6" i="17"/>
  <c r="AG15" i="17" s="1"/>
  <c r="AG19" i="17" s="1"/>
  <c r="AF6" i="17"/>
  <c r="AF15" i="17" s="1"/>
  <c r="AF19" i="17" s="1"/>
  <c r="AE6" i="17"/>
  <c r="AD6" i="17"/>
  <c r="AD15" i="17" s="1"/>
  <c r="AD19" i="17" s="1"/>
  <c r="AC6" i="17"/>
  <c r="AC15" i="17" s="1"/>
  <c r="AC19" i="17" s="1"/>
  <c r="AB6" i="17"/>
  <c r="AB15" i="17" s="1"/>
  <c r="AB19" i="17" s="1"/>
  <c r="AA6" i="17"/>
  <c r="AA15" i="17" s="1"/>
  <c r="AA19" i="17" s="1"/>
  <c r="Z6" i="17"/>
  <c r="Z15" i="17" s="1"/>
  <c r="Z19" i="17" s="1"/>
  <c r="Y6" i="17"/>
  <c r="Y15" i="17" s="1"/>
  <c r="Y19" i="17" s="1"/>
  <c r="X6" i="17"/>
  <c r="X15" i="17" s="1"/>
  <c r="X19" i="17" s="1"/>
  <c r="W6" i="17"/>
  <c r="V6" i="17"/>
  <c r="V15" i="17" s="1"/>
  <c r="V19" i="17" s="1"/>
  <c r="U6" i="17"/>
  <c r="U15" i="17" s="1"/>
  <c r="U19" i="17" s="1"/>
  <c r="T6" i="17"/>
  <c r="T15" i="17" s="1"/>
  <c r="T19" i="17" s="1"/>
  <c r="S6" i="17"/>
  <c r="S15" i="17" s="1"/>
  <c r="S19" i="17" s="1"/>
  <c r="R6" i="17"/>
  <c r="R15" i="17" s="1"/>
  <c r="R19" i="17" s="1"/>
  <c r="Q6" i="17"/>
  <c r="Q15" i="17" s="1"/>
  <c r="Q19" i="17" s="1"/>
  <c r="P6" i="17"/>
  <c r="P15" i="17" s="1"/>
  <c r="P19" i="17" s="1"/>
  <c r="O6" i="17"/>
  <c r="N6" i="17"/>
  <c r="N15" i="17" s="1"/>
  <c r="N19" i="17" s="1"/>
  <c r="M6" i="17"/>
  <c r="M15" i="17" s="1"/>
  <c r="M19" i="17" s="1"/>
  <c r="L6" i="17"/>
  <c r="L15" i="17" s="1"/>
  <c r="L19" i="17" s="1"/>
  <c r="K6" i="17"/>
  <c r="K15" i="17" s="1"/>
  <c r="K19" i="17" s="1"/>
  <c r="J6" i="17"/>
  <c r="J15" i="17" s="1"/>
  <c r="J19" i="17" s="1"/>
  <c r="I6" i="17"/>
  <c r="I15" i="17" s="1"/>
  <c r="I19" i="17" s="1"/>
  <c r="H6" i="17"/>
  <c r="H15" i="17" s="1"/>
  <c r="H19" i="17" s="1"/>
  <c r="G6" i="17"/>
  <c r="F6" i="17"/>
  <c r="F15" i="17" s="1"/>
  <c r="F19" i="17" s="1"/>
  <c r="E6" i="17"/>
  <c r="E15" i="17" s="1"/>
  <c r="E19" i="17" s="1"/>
  <c r="D6" i="17"/>
  <c r="D15" i="17" s="1"/>
  <c r="D19" i="17" s="1"/>
  <c r="C6" i="17"/>
  <c r="C15" i="17" s="1"/>
  <c r="C19" i="17" s="1"/>
  <c r="X21" i="16"/>
  <c r="C21" i="16"/>
  <c r="AO26" i="15"/>
  <c r="AN26" i="15"/>
  <c r="AM26" i="15"/>
  <c r="AL26" i="15"/>
  <c r="AK26" i="15"/>
  <c r="AJ26" i="15"/>
  <c r="AI26" i="15"/>
  <c r="AH26" i="15"/>
  <c r="AG26" i="15"/>
  <c r="AF26" i="15"/>
  <c r="AE26" i="15"/>
  <c r="AD26" i="15"/>
  <c r="AC26" i="15"/>
  <c r="AB26" i="15"/>
  <c r="AA26" i="15"/>
  <c r="Z26" i="15"/>
  <c r="Y26" i="15"/>
  <c r="X26" i="15"/>
  <c r="W26" i="15"/>
  <c r="V26" i="15"/>
  <c r="U26" i="15"/>
  <c r="T26" i="15"/>
  <c r="S26" i="15"/>
  <c r="R26" i="15"/>
  <c r="Q26" i="15"/>
  <c r="P26" i="15"/>
  <c r="O26" i="15"/>
  <c r="N26" i="15"/>
  <c r="M26" i="15"/>
  <c r="L26" i="15"/>
  <c r="K26" i="15"/>
  <c r="J26" i="15"/>
  <c r="I26" i="15"/>
  <c r="H26" i="15"/>
  <c r="G26" i="15"/>
  <c r="F26" i="15"/>
  <c r="E26" i="15"/>
  <c r="D26" i="15"/>
  <c r="C26" i="15"/>
  <c r="AP24" i="15"/>
  <c r="AP28" i="15" s="1"/>
  <c r="P24" i="15"/>
  <c r="P28" i="15" s="1"/>
  <c r="M24" i="15"/>
  <c r="M28" i="15" s="1"/>
  <c r="J24" i="15"/>
  <c r="J28" i="15" s="1"/>
  <c r="I24" i="15"/>
  <c r="I28" i="15" s="1"/>
  <c r="H24" i="15"/>
  <c r="H28" i="15" s="1"/>
  <c r="G24" i="15"/>
  <c r="G28" i="15" s="1"/>
  <c r="F24" i="15"/>
  <c r="F28" i="15" s="1"/>
  <c r="D24" i="15"/>
  <c r="D28" i="15" s="1"/>
  <c r="C24" i="15"/>
  <c r="C28" i="15" s="1"/>
  <c r="AO23" i="15"/>
  <c r="AN23" i="15"/>
  <c r="AM23" i="15"/>
  <c r="AI23" i="15"/>
  <c r="AA23" i="15"/>
  <c r="Z23" i="15"/>
  <c r="Y23" i="15"/>
  <c r="X23" i="15"/>
  <c r="W23" i="15"/>
  <c r="E23" i="15"/>
  <c r="E24" i="15" s="1"/>
  <c r="E28" i="15" s="1"/>
  <c r="AO18" i="15"/>
  <c r="AO24" i="15" s="1"/>
  <c r="AO28" i="15" s="1"/>
  <c r="AN18" i="15"/>
  <c r="AN24" i="15" s="1"/>
  <c r="AN28" i="15" s="1"/>
  <c r="AM18" i="15"/>
  <c r="AM24" i="15" s="1"/>
  <c r="AM28" i="15" s="1"/>
  <c r="AL18" i="15"/>
  <c r="AK18" i="15"/>
  <c r="AJ18" i="15"/>
  <c r="AI18" i="15"/>
  <c r="AH18" i="15"/>
  <c r="AG18" i="15"/>
  <c r="AF18" i="15"/>
  <c r="AF24" i="15" s="1"/>
  <c r="AF28" i="15" s="1"/>
  <c r="AE18" i="15"/>
  <c r="AD18" i="15"/>
  <c r="AC18" i="15"/>
  <c r="AB18" i="15"/>
  <c r="AA18" i="15"/>
  <c r="Z18" i="15"/>
  <c r="Y18" i="15"/>
  <c r="X18" i="15"/>
  <c r="X24" i="15" s="1"/>
  <c r="X28" i="15" s="1"/>
  <c r="W18" i="15"/>
  <c r="Z16" i="15"/>
  <c r="Y16" i="15"/>
  <c r="X16" i="15"/>
  <c r="W16" i="15"/>
  <c r="AA12" i="15"/>
  <c r="BG9" i="15"/>
  <c r="AY9" i="15"/>
  <c r="BQ9" i="15"/>
  <c r="BN9" i="15"/>
  <c r="BI9" i="15"/>
  <c r="BF9" i="15"/>
  <c r="BA9" i="15"/>
  <c r="AX9" i="15"/>
  <c r="BS9" i="15"/>
  <c r="BR9" i="15"/>
  <c r="BO9" i="15"/>
  <c r="BM9" i="15"/>
  <c r="BL9" i="15"/>
  <c r="BK9" i="15"/>
  <c r="BJ9" i="15"/>
  <c r="BE9" i="15"/>
  <c r="BD9" i="15"/>
  <c r="BC9" i="15"/>
  <c r="BB9" i="15"/>
  <c r="AW9" i="15"/>
  <c r="AV9" i="15"/>
  <c r="AU9" i="15"/>
  <c r="AL9" i="15"/>
  <c r="AL24" i="15" s="1"/>
  <c r="AL28" i="15" s="1"/>
  <c r="AK9" i="15"/>
  <c r="AK24" i="15" s="1"/>
  <c r="AK28" i="15" s="1"/>
  <c r="AJ9" i="15"/>
  <c r="AJ24" i="15" s="1"/>
  <c r="AJ28" i="15" s="1"/>
  <c r="AI9" i="15"/>
  <c r="AI24" i="15" s="1"/>
  <c r="AI28" i="15" s="1"/>
  <c r="AH9" i="15"/>
  <c r="AH24" i="15" s="1"/>
  <c r="AH28" i="15" s="1"/>
  <c r="AG9" i="15"/>
  <c r="AF9" i="15"/>
  <c r="AE9" i="15"/>
  <c r="AE24" i="15" s="1"/>
  <c r="AE28" i="15" s="1"/>
  <c r="AD9" i="15"/>
  <c r="AC9" i="15"/>
  <c r="AB9" i="15"/>
  <c r="AA9" i="15"/>
  <c r="Z9" i="15"/>
  <c r="Y9" i="15"/>
  <c r="X9" i="15"/>
  <c r="W9" i="15"/>
  <c r="V9" i="15"/>
  <c r="U9" i="15"/>
  <c r="T9" i="15"/>
  <c r="S9" i="15"/>
  <c r="R9" i="15"/>
  <c r="Q9" i="15"/>
  <c r="O9" i="15"/>
  <c r="O24" i="15" s="1"/>
  <c r="O28" i="15" s="1"/>
  <c r="N9" i="15"/>
  <c r="N24" i="15" s="1"/>
  <c r="N28" i="15" s="1"/>
  <c r="K9" i="15"/>
  <c r="K24" i="15" s="1"/>
  <c r="K28" i="15" s="1"/>
  <c r="AG8" i="15"/>
  <c r="AG24" i="15" s="1"/>
  <c r="AG28" i="15" s="1"/>
  <c r="AF8" i="15"/>
  <c r="AD8" i="15"/>
  <c r="AD24" i="15" s="1"/>
  <c r="AD28" i="15" s="1"/>
  <c r="AC8" i="15"/>
  <c r="AB8" i="15"/>
  <c r="AA8" i="15"/>
  <c r="AA24" i="15" s="1"/>
  <c r="AA28" i="15" s="1"/>
  <c r="Z8" i="15"/>
  <c r="Z24" i="15" s="1"/>
  <c r="Z28" i="15" s="1"/>
  <c r="Y8" i="15"/>
  <c r="Y24" i="15" s="1"/>
  <c r="Y28" i="15" s="1"/>
  <c r="X8" i="15"/>
  <c r="W8" i="15"/>
  <c r="W24" i="15" s="1"/>
  <c r="W28" i="15" s="1"/>
  <c r="V8" i="15"/>
  <c r="V24" i="15" s="1"/>
  <c r="V28" i="15" s="1"/>
  <c r="U8" i="15"/>
  <c r="U24" i="15" s="1"/>
  <c r="U28" i="15" s="1"/>
  <c r="T8" i="15"/>
  <c r="T24" i="15" s="1"/>
  <c r="T28" i="15" s="1"/>
  <c r="S8" i="15"/>
  <c r="S24" i="15" s="1"/>
  <c r="S28" i="15" s="1"/>
  <c r="R8" i="15"/>
  <c r="R24" i="15" s="1"/>
  <c r="R28" i="15" s="1"/>
  <c r="Q8" i="15"/>
  <c r="Q24" i="15" s="1"/>
  <c r="Q28" i="15" s="1"/>
  <c r="P8" i="15"/>
  <c r="L8" i="15"/>
  <c r="L24" i="15" s="1"/>
  <c r="L28" i="15" s="1"/>
  <c r="BS24" i="15"/>
  <c r="BS28" i="15" s="1"/>
  <c r="BN24" i="15"/>
  <c r="BN28" i="15" s="1"/>
  <c r="BM24" i="15"/>
  <c r="BM28" i="15" s="1"/>
  <c r="BK24" i="15"/>
  <c r="BK28" i="15" s="1"/>
  <c r="BF24" i="15"/>
  <c r="BF28" i="15" s="1"/>
  <c r="BE24" i="15"/>
  <c r="BE28" i="15" s="1"/>
  <c r="AX24" i="15"/>
  <c r="AX28" i="15" s="1"/>
  <c r="AW24" i="15"/>
  <c r="AW28" i="15" s="1"/>
  <c r="AU24" i="15"/>
  <c r="AU28" i="15" s="1"/>
  <c r="AC7" i="15"/>
  <c r="AC24" i="15" s="1"/>
  <c r="AC28" i="15" s="1"/>
  <c r="AB7" i="15"/>
  <c r="AB24" i="15" s="1"/>
  <c r="AB28" i="15" s="1"/>
  <c r="AM35" i="14"/>
  <c r="AK35" i="14"/>
  <c r="AE35" i="14"/>
  <c r="W35" i="14"/>
  <c r="U35" i="14"/>
  <c r="O35" i="14"/>
  <c r="M35" i="14"/>
  <c r="G35" i="14"/>
  <c r="E35" i="14"/>
  <c r="BR33" i="14"/>
  <c r="BQ33" i="14"/>
  <c r="BP33" i="14"/>
  <c r="BO33" i="14"/>
  <c r="BN33" i="14"/>
  <c r="BM33" i="14"/>
  <c r="BL33" i="14"/>
  <c r="BK33" i="14"/>
  <c r="BJ33" i="14"/>
  <c r="BI33" i="14"/>
  <c r="BH33" i="14"/>
  <c r="BG33" i="14"/>
  <c r="BF33" i="14"/>
  <c r="BE33" i="14"/>
  <c r="BD33" i="14"/>
  <c r="BC33" i="14"/>
  <c r="BA33" i="14"/>
  <c r="AZ33" i="14"/>
  <c r="AY33" i="14"/>
  <c r="AX33" i="14"/>
  <c r="AW33" i="14"/>
  <c r="AV33" i="14"/>
  <c r="AU33" i="14"/>
  <c r="AS33" i="14"/>
  <c r="AR33" i="14"/>
  <c r="AQ33" i="14"/>
  <c r="BS33" i="14"/>
  <c r="BB33" i="14"/>
  <c r="AT33" i="14"/>
  <c r="AL33" i="14"/>
  <c r="AK33" i="14"/>
  <c r="AJ33" i="14"/>
  <c r="AG33" i="14"/>
  <c r="AF33" i="14"/>
  <c r="AE33" i="14"/>
  <c r="AD33" i="14"/>
  <c r="AC33" i="14"/>
  <c r="AB33" i="14"/>
  <c r="AA33" i="14"/>
  <c r="Z33" i="14"/>
  <c r="Y33" i="14"/>
  <c r="X33" i="14"/>
  <c r="W33" i="14"/>
  <c r="V33" i="14"/>
  <c r="U33" i="14"/>
  <c r="T33" i="14"/>
  <c r="S33" i="14"/>
  <c r="R33" i="14"/>
  <c r="Q33" i="14"/>
  <c r="P33" i="14"/>
  <c r="O33" i="14"/>
  <c r="N33" i="14"/>
  <c r="M33" i="14"/>
  <c r="L33" i="14"/>
  <c r="K33" i="14"/>
  <c r="J33" i="14"/>
  <c r="I33" i="14"/>
  <c r="H33" i="14"/>
  <c r="G33" i="14"/>
  <c r="F33" i="14"/>
  <c r="E33" i="14"/>
  <c r="D33" i="14"/>
  <c r="C33" i="14"/>
  <c r="BB30" i="14"/>
  <c r="BB35" i="14" s="1"/>
  <c r="AT30" i="14"/>
  <c r="AT35" i="14" s="1"/>
  <c r="AE32" i="14"/>
  <c r="AC32" i="14"/>
  <c r="AB32" i="14"/>
  <c r="AA32" i="14"/>
  <c r="BS30" i="14"/>
  <c r="BS35" i="14" s="1"/>
  <c r="BQ30" i="14"/>
  <c r="BM30" i="14"/>
  <c r="BK30" i="14"/>
  <c r="BI30" i="14"/>
  <c r="BH30" i="14"/>
  <c r="BE30" i="14"/>
  <c r="BC30" i="14"/>
  <c r="BA30" i="14"/>
  <c r="AZ30" i="14"/>
  <c r="AW30" i="14"/>
  <c r="AU30" i="14"/>
  <c r="AU35" i="14" s="1"/>
  <c r="AS30" i="14"/>
  <c r="AR30" i="14"/>
  <c r="AR35" i="14" s="1"/>
  <c r="AE31" i="14"/>
  <c r="AC31" i="14"/>
  <c r="AC30" i="14" s="1"/>
  <c r="AC35" i="14" s="1"/>
  <c r="AB31" i="14"/>
  <c r="AB30" i="14" s="1"/>
  <c r="AB35" i="14" s="1"/>
  <c r="AA31" i="14"/>
  <c r="AA30" i="14" s="1"/>
  <c r="AA35" i="14" s="1"/>
  <c r="BP30" i="14"/>
  <c r="BO30" i="14"/>
  <c r="BO35" i="14" s="1"/>
  <c r="BN30" i="14"/>
  <c r="BL30" i="14"/>
  <c r="BG30" i="14"/>
  <c r="BG35" i="14" s="1"/>
  <c r="BF30" i="14"/>
  <c r="BF35" i="14" s="1"/>
  <c r="BD30" i="14"/>
  <c r="AY30" i="14"/>
  <c r="AY35" i="14" s="1"/>
  <c r="AX30" i="14"/>
  <c r="AX35" i="14" s="1"/>
  <c r="AV30" i="14"/>
  <c r="AQ30" i="14"/>
  <c r="AQ35" i="14" s="1"/>
  <c r="AP30" i="14"/>
  <c r="AP35" i="14" s="1"/>
  <c r="AO30" i="14"/>
  <c r="AO35" i="14" s="1"/>
  <c r="AN30" i="14"/>
  <c r="AN35" i="14" s="1"/>
  <c r="AM30" i="14"/>
  <c r="AL30" i="14"/>
  <c r="AL35" i="14" s="1"/>
  <c r="AK30" i="14"/>
  <c r="AJ30" i="14"/>
  <c r="AJ35" i="14" s="1"/>
  <c r="AI30" i="14"/>
  <c r="AI35" i="14" s="1"/>
  <c r="AH30" i="14"/>
  <c r="AH35" i="14" s="1"/>
  <c r="AG30" i="14"/>
  <c r="AG35" i="14" s="1"/>
  <c r="AF30" i="14"/>
  <c r="AF35" i="14" s="1"/>
  <c r="AE30" i="14"/>
  <c r="AD30" i="14"/>
  <c r="AD35" i="14" s="1"/>
  <c r="Z30" i="14"/>
  <c r="Z35" i="14" s="1"/>
  <c r="Y30" i="14"/>
  <c r="Y35" i="14" s="1"/>
  <c r="X30" i="14"/>
  <c r="X35" i="14" s="1"/>
  <c r="W30" i="14"/>
  <c r="V30" i="14"/>
  <c r="V35" i="14" s="1"/>
  <c r="U30" i="14"/>
  <c r="T30" i="14"/>
  <c r="T35" i="14" s="1"/>
  <c r="S30" i="14"/>
  <c r="S35" i="14" s="1"/>
  <c r="R30" i="14"/>
  <c r="R35" i="14" s="1"/>
  <c r="Q30" i="14"/>
  <c r="Q35" i="14" s="1"/>
  <c r="P30" i="14"/>
  <c r="P35" i="14" s="1"/>
  <c r="O30" i="14"/>
  <c r="N30" i="14"/>
  <c r="N35" i="14" s="1"/>
  <c r="M30" i="14"/>
  <c r="L30" i="14"/>
  <c r="L35" i="14" s="1"/>
  <c r="K30" i="14"/>
  <c r="K35" i="14" s="1"/>
  <c r="J30" i="14"/>
  <c r="J35" i="14" s="1"/>
  <c r="I30" i="14"/>
  <c r="I35" i="14" s="1"/>
  <c r="H30" i="14"/>
  <c r="H35" i="14" s="1"/>
  <c r="G30" i="14"/>
  <c r="F30" i="14"/>
  <c r="F35" i="14" s="1"/>
  <c r="E30" i="14"/>
  <c r="D30" i="14"/>
  <c r="D35" i="14" s="1"/>
  <c r="C30" i="14"/>
  <c r="C35" i="14" s="1"/>
  <c r="AP28" i="14"/>
  <c r="AO28" i="14"/>
  <c r="AN28" i="14"/>
  <c r="AM28" i="14"/>
  <c r="AL28" i="14"/>
  <c r="AK28" i="14"/>
  <c r="AJ28" i="14"/>
  <c r="AI28" i="14"/>
  <c r="AH28" i="14"/>
  <c r="AG28" i="14"/>
  <c r="AF28" i="14"/>
  <c r="AD28" i="14"/>
  <c r="AB28" i="14"/>
  <c r="Z28" i="14"/>
  <c r="Y28" i="14"/>
  <c r="W28" i="14"/>
  <c r="V28" i="14"/>
  <c r="U28" i="14"/>
  <c r="T28" i="14"/>
  <c r="S28" i="14"/>
  <c r="R28" i="14"/>
  <c r="Q28" i="14"/>
  <c r="P28" i="14"/>
  <c r="N28" i="14"/>
  <c r="M28" i="14"/>
  <c r="L28" i="14"/>
  <c r="K28" i="14"/>
  <c r="J28" i="14"/>
  <c r="I28" i="14"/>
  <c r="H28" i="14"/>
  <c r="G28" i="14"/>
  <c r="F28" i="14"/>
  <c r="E28" i="14"/>
  <c r="D28" i="14"/>
  <c r="C28" i="14"/>
  <c r="O25" i="14"/>
  <c r="O28" i="14" s="1"/>
  <c r="AE24" i="14"/>
  <c r="AE28" i="14" s="1"/>
  <c r="AC24" i="14"/>
  <c r="AC28" i="14" s="1"/>
  <c r="AB24" i="14"/>
  <c r="AA24" i="14"/>
  <c r="AA28" i="14" s="1"/>
  <c r="AQ28" i="14"/>
  <c r="X23" i="14"/>
  <c r="X28" i="14" s="1"/>
  <c r="BQ28" i="14"/>
  <c r="BL28" i="14"/>
  <c r="BK28" i="14"/>
  <c r="BI28" i="14"/>
  <c r="BG28" i="14"/>
  <c r="BD28" i="14"/>
  <c r="BC28" i="14"/>
  <c r="BA28" i="14"/>
  <c r="AY28" i="14"/>
  <c r="AV28" i="14"/>
  <c r="AU28" i="14"/>
  <c r="AO19" i="14"/>
  <c r="AI19" i="14"/>
  <c r="AG19" i="14"/>
  <c r="J17" i="14"/>
  <c r="AT15" i="14"/>
  <c r="AC15" i="14"/>
  <c r="AB15" i="14"/>
  <c r="AA15" i="14"/>
  <c r="Z15" i="14"/>
  <c r="Y15" i="14"/>
  <c r="Y19" i="14" s="1"/>
  <c r="X15" i="14"/>
  <c r="W15" i="14"/>
  <c r="V15" i="14"/>
  <c r="U15" i="14"/>
  <c r="T15" i="14"/>
  <c r="S15" i="14"/>
  <c r="S19" i="14" s="1"/>
  <c r="R15" i="14"/>
  <c r="Q15" i="14"/>
  <c r="Q19" i="14" s="1"/>
  <c r="P15" i="14"/>
  <c r="O15" i="14"/>
  <c r="N15" i="14"/>
  <c r="M15" i="14"/>
  <c r="L15" i="14"/>
  <c r="K15" i="14"/>
  <c r="K19" i="14" s="1"/>
  <c r="J15" i="14"/>
  <c r="I15" i="14"/>
  <c r="I19" i="14" s="1"/>
  <c r="H15" i="14"/>
  <c r="G15" i="14"/>
  <c r="F15" i="14"/>
  <c r="E15" i="14"/>
  <c r="D15" i="14"/>
  <c r="C15" i="14"/>
  <c r="C19" i="14" s="1"/>
  <c r="AE9" i="14"/>
  <c r="AC9" i="14"/>
  <c r="AB9" i="14"/>
  <c r="AA9" i="14"/>
  <c r="AA19" i="14" s="1"/>
  <c r="BN6" i="14"/>
  <c r="BN19" i="14" s="1"/>
  <c r="BF6" i="14"/>
  <c r="BF19" i="14" s="1"/>
  <c r="AX6" i="14"/>
  <c r="AX19" i="14" s="1"/>
  <c r="BS6" i="14"/>
  <c r="BS19" i="14" s="1"/>
  <c r="BQ6" i="14"/>
  <c r="BQ19" i="14" s="1"/>
  <c r="BO6" i="14"/>
  <c r="BK6" i="14"/>
  <c r="BK19" i="14" s="1"/>
  <c r="BI6" i="14"/>
  <c r="BI19" i="14" s="1"/>
  <c r="BG6" i="14"/>
  <c r="BC6" i="14"/>
  <c r="BC19" i="14" s="1"/>
  <c r="BA6" i="14"/>
  <c r="BA19" i="14" s="1"/>
  <c r="AY6" i="14"/>
  <c r="AU6" i="14"/>
  <c r="AU19" i="14" s="1"/>
  <c r="AS6" i="14"/>
  <c r="AQ6" i="14"/>
  <c r="AC7" i="14"/>
  <c r="AB7" i="14"/>
  <c r="BP6" i="14"/>
  <c r="BP19" i="14" s="1"/>
  <c r="BM6" i="14"/>
  <c r="BH6" i="14"/>
  <c r="BE6" i="14"/>
  <c r="AZ6" i="14"/>
  <c r="AZ19" i="14" s="1"/>
  <c r="AW6" i="14"/>
  <c r="AR6" i="14"/>
  <c r="AP6" i="14"/>
  <c r="AP19" i="14" s="1"/>
  <c r="AO6" i="14"/>
  <c r="AN6" i="14"/>
  <c r="AN19" i="14" s="1"/>
  <c r="AM6" i="14"/>
  <c r="AM19" i="14" s="1"/>
  <c r="AL6" i="14"/>
  <c r="AL19" i="14" s="1"/>
  <c r="AK6" i="14"/>
  <c r="AK19" i="14" s="1"/>
  <c r="AJ6" i="14"/>
  <c r="AJ19" i="14" s="1"/>
  <c r="AI6" i="14"/>
  <c r="AH6" i="14"/>
  <c r="AH19" i="14" s="1"/>
  <c r="AG6" i="14"/>
  <c r="AF6" i="14"/>
  <c r="AF19" i="14" s="1"/>
  <c r="AE6" i="14"/>
  <c r="AE19" i="14" s="1"/>
  <c r="AD6" i="14"/>
  <c r="AD19" i="14" s="1"/>
  <c r="AC6" i="14"/>
  <c r="AC19" i="14" s="1"/>
  <c r="AB6" i="14"/>
  <c r="AB19" i="14" s="1"/>
  <c r="AA6" i="14"/>
  <c r="Z6" i="14"/>
  <c r="Z19" i="14" s="1"/>
  <c r="Y6" i="14"/>
  <c r="X6" i="14"/>
  <c r="X19" i="14" s="1"/>
  <c r="W6" i="14"/>
  <c r="W19" i="14" s="1"/>
  <c r="V6" i="14"/>
  <c r="V19" i="14" s="1"/>
  <c r="U6" i="14"/>
  <c r="U19" i="14" s="1"/>
  <c r="T6" i="14"/>
  <c r="T19" i="14" s="1"/>
  <c r="S6" i="14"/>
  <c r="R6" i="14"/>
  <c r="R19" i="14" s="1"/>
  <c r="Q6" i="14"/>
  <c r="P6" i="14"/>
  <c r="P19" i="14" s="1"/>
  <c r="O6" i="14"/>
  <c r="O19" i="14" s="1"/>
  <c r="N6" i="14"/>
  <c r="N19" i="14" s="1"/>
  <c r="M6" i="14"/>
  <c r="M19" i="14" s="1"/>
  <c r="L6" i="14"/>
  <c r="L19" i="14" s="1"/>
  <c r="K6" i="14"/>
  <c r="J6" i="14"/>
  <c r="J19" i="14" s="1"/>
  <c r="I6" i="14"/>
  <c r="H6" i="14"/>
  <c r="H19" i="14" s="1"/>
  <c r="G6" i="14"/>
  <c r="G19" i="14" s="1"/>
  <c r="F6" i="14"/>
  <c r="F19" i="14" s="1"/>
  <c r="E6" i="14"/>
  <c r="E19" i="14" s="1"/>
  <c r="D6" i="14"/>
  <c r="D19" i="14" s="1"/>
  <c r="C6" i="14"/>
  <c r="AR6" i="13"/>
  <c r="AP6" i="13"/>
  <c r="AO6" i="13"/>
  <c r="AN6" i="13"/>
  <c r="AM6" i="13"/>
  <c r="AL6" i="13"/>
  <c r="AK6" i="13"/>
  <c r="AJ6" i="13"/>
  <c r="AI6" i="13"/>
  <c r="AH6" i="13"/>
  <c r="AG6" i="13"/>
  <c r="AF6" i="13"/>
  <c r="AE6" i="13"/>
  <c r="AD6" i="13"/>
  <c r="AC6" i="13"/>
  <c r="AB6" i="13"/>
  <c r="AA6" i="13"/>
  <c r="Z6" i="13"/>
  <c r="Y6" i="13"/>
  <c r="X6" i="13"/>
  <c r="W6" i="13"/>
  <c r="V6" i="13"/>
  <c r="U6" i="13"/>
  <c r="T6" i="13"/>
  <c r="S6" i="13"/>
  <c r="BE16" i="12"/>
  <c r="BS16" i="12"/>
  <c r="BR16" i="12"/>
  <c r="BQ16" i="12"/>
  <c r="BP16" i="12"/>
  <c r="BO16" i="12"/>
  <c r="BN16" i="12"/>
  <c r="BM16" i="12"/>
  <c r="BK16" i="12"/>
  <c r="BJ16" i="12"/>
  <c r="BI16" i="12"/>
  <c r="BH16" i="12"/>
  <c r="BG16" i="12"/>
  <c r="BF16" i="12"/>
  <c r="BC16" i="12"/>
  <c r="BB16" i="12"/>
  <c r="BA16" i="12"/>
  <c r="AZ16" i="12"/>
  <c r="AY16" i="12"/>
  <c r="AX16" i="12"/>
  <c r="AW16" i="12"/>
  <c r="AU16" i="12"/>
  <c r="AT16" i="12"/>
  <c r="AS16" i="12"/>
  <c r="AR16" i="12"/>
  <c r="AQ16" i="12"/>
  <c r="K12" i="12"/>
  <c r="AT8" i="12"/>
  <c r="AR8" i="12"/>
  <c r="AQ8" i="12"/>
  <c r="AN8" i="12"/>
  <c r="AL8" i="12"/>
  <c r="AJ8" i="12"/>
  <c r="AI8" i="12"/>
  <c r="AF8" i="12"/>
  <c r="AD8" i="12"/>
  <c r="AB8" i="12"/>
  <c r="AA8" i="12"/>
  <c r="X8" i="12"/>
  <c r="V8" i="12"/>
  <c r="T8" i="12"/>
  <c r="S8" i="12"/>
  <c r="P8" i="12"/>
  <c r="N8" i="12"/>
  <c r="L8" i="12"/>
  <c r="K8" i="12"/>
  <c r="H8" i="12"/>
  <c r="AK47" i="11"/>
  <c r="AI47" i="11"/>
  <c r="AC47" i="11"/>
  <c r="AA47" i="11"/>
  <c r="U47" i="11"/>
  <c r="S47" i="11"/>
  <c r="M47" i="11"/>
  <c r="K47" i="11"/>
  <c r="AO44" i="11"/>
  <c r="AO47" i="11" s="1"/>
  <c r="AN44" i="11"/>
  <c r="AN47" i="11" s="1"/>
  <c r="AN49" i="11" s="1"/>
  <c r="AM44" i="11"/>
  <c r="AM47" i="11" s="1"/>
  <c r="AL44" i="11"/>
  <c r="AL47" i="11" s="1"/>
  <c r="AL49" i="11" s="1"/>
  <c r="AK44" i="11"/>
  <c r="AJ44" i="11"/>
  <c r="AJ47" i="11" s="1"/>
  <c r="AI44" i="11"/>
  <c r="AH44" i="11"/>
  <c r="AH47" i="11" s="1"/>
  <c r="AG44" i="11"/>
  <c r="AG47" i="11" s="1"/>
  <c r="AF44" i="11"/>
  <c r="AF47" i="11" s="1"/>
  <c r="AF49" i="11" s="1"/>
  <c r="AE44" i="11"/>
  <c r="AE47" i="11" s="1"/>
  <c r="AD44" i="11"/>
  <c r="AD47" i="11" s="1"/>
  <c r="AD49" i="11" s="1"/>
  <c r="AC44" i="11"/>
  <c r="AB44" i="11"/>
  <c r="AB47" i="11" s="1"/>
  <c r="AA44" i="11"/>
  <c r="Z44" i="11"/>
  <c r="Z47" i="11" s="1"/>
  <c r="Y44" i="11"/>
  <c r="Y47" i="11" s="1"/>
  <c r="X44" i="11"/>
  <c r="X47" i="11" s="1"/>
  <c r="X49" i="11" s="1"/>
  <c r="W44" i="11"/>
  <c r="W47" i="11" s="1"/>
  <c r="V44" i="11"/>
  <c r="V47" i="11" s="1"/>
  <c r="V49" i="11" s="1"/>
  <c r="U44" i="11"/>
  <c r="T44" i="11"/>
  <c r="T47" i="11" s="1"/>
  <c r="S44" i="11"/>
  <c r="R44" i="11"/>
  <c r="R47" i="11" s="1"/>
  <c r="Q44" i="11"/>
  <c r="Q47" i="11" s="1"/>
  <c r="P44" i="11"/>
  <c r="P47" i="11" s="1"/>
  <c r="P49" i="11" s="1"/>
  <c r="O44" i="11"/>
  <c r="O47" i="11" s="1"/>
  <c r="N44" i="11"/>
  <c r="N47" i="11" s="1"/>
  <c r="N49" i="11" s="1"/>
  <c r="M44" i="11"/>
  <c r="L44" i="11"/>
  <c r="L47" i="11" s="1"/>
  <c r="K44" i="11"/>
  <c r="J44" i="11"/>
  <c r="J47" i="11" s="1"/>
  <c r="I44" i="11"/>
  <c r="I47" i="11" s="1"/>
  <c r="H44" i="11"/>
  <c r="H47" i="11" s="1"/>
  <c r="H49" i="11" s="1"/>
  <c r="G44" i="11"/>
  <c r="G47" i="11" s="1"/>
  <c r="F44" i="11"/>
  <c r="F47" i="11" s="1"/>
  <c r="F49" i="11" s="1"/>
  <c r="E40" i="11"/>
  <c r="E44" i="11" s="1"/>
  <c r="E47" i="11" s="1"/>
  <c r="D40" i="11"/>
  <c r="D44" i="11" s="1"/>
  <c r="D47" i="11" s="1"/>
  <c r="C40" i="11"/>
  <c r="C44" i="11" s="1"/>
  <c r="C47" i="11" s="1"/>
  <c r="BS44" i="11"/>
  <c r="BS47" i="11" s="1"/>
  <c r="BQ44" i="11"/>
  <c r="BQ47" i="11" s="1"/>
  <c r="BP44" i="11"/>
  <c r="BO44" i="11"/>
  <c r="BO47" i="11" s="1"/>
  <c r="BM44" i="11"/>
  <c r="BM47" i="11" s="1"/>
  <c r="BK44" i="11"/>
  <c r="BK47" i="11" s="1"/>
  <c r="BI44" i="11"/>
  <c r="BI47" i="11" s="1"/>
  <c r="BH44" i="11"/>
  <c r="BG44" i="11"/>
  <c r="BG47" i="11" s="1"/>
  <c r="BE44" i="11"/>
  <c r="BE47" i="11" s="1"/>
  <c r="BC44" i="11"/>
  <c r="BC47" i="11" s="1"/>
  <c r="BA44" i="11"/>
  <c r="BA47" i="11" s="1"/>
  <c r="AZ44" i="11"/>
  <c r="AY44" i="11"/>
  <c r="AY47" i="11" s="1"/>
  <c r="AW44" i="11"/>
  <c r="AW47" i="11" s="1"/>
  <c r="AU44" i="11"/>
  <c r="AU47" i="11" s="1"/>
  <c r="AS44" i="11"/>
  <c r="AS47" i="11" s="1"/>
  <c r="AR44" i="11"/>
  <c r="AQ44" i="11"/>
  <c r="AQ47" i="11" s="1"/>
  <c r="AO37" i="11"/>
  <c r="AO49" i="11" s="1"/>
  <c r="AN37" i="11"/>
  <c r="AM37" i="11"/>
  <c r="AL37" i="11"/>
  <c r="AK37" i="11"/>
  <c r="AK49" i="11" s="1"/>
  <c r="AJ37" i="11"/>
  <c r="AJ49" i="11" s="1"/>
  <c r="AI37" i="11"/>
  <c r="AI49" i="11" s="1"/>
  <c r="AH37" i="11"/>
  <c r="AH49" i="11" s="1"/>
  <c r="AG37" i="11"/>
  <c r="AG49" i="11" s="1"/>
  <c r="AF37" i="11"/>
  <c r="AE37" i="11"/>
  <c r="AD37" i="11"/>
  <c r="AC37" i="11"/>
  <c r="AC49" i="11" s="1"/>
  <c r="AB37" i="11"/>
  <c r="AB49" i="11" s="1"/>
  <c r="AA37" i="11"/>
  <c r="AA49" i="11" s="1"/>
  <c r="Z37" i="11"/>
  <c r="Z49" i="11" s="1"/>
  <c r="Y37" i="11"/>
  <c r="Y49" i="11" s="1"/>
  <c r="X37" i="11"/>
  <c r="W37" i="11"/>
  <c r="V37" i="11"/>
  <c r="U37" i="11"/>
  <c r="U49" i="11" s="1"/>
  <c r="T37" i="11"/>
  <c r="T49" i="11" s="1"/>
  <c r="S37" i="11"/>
  <c r="S49" i="11" s="1"/>
  <c r="R37" i="11"/>
  <c r="R49" i="11" s="1"/>
  <c r="Q37" i="11"/>
  <c r="Q49" i="11" s="1"/>
  <c r="P37" i="11"/>
  <c r="O37" i="11"/>
  <c r="N37" i="11"/>
  <c r="M37" i="11"/>
  <c r="M49" i="11" s="1"/>
  <c r="L37" i="11"/>
  <c r="L49" i="11" s="1"/>
  <c r="K37" i="11"/>
  <c r="K49" i="11" s="1"/>
  <c r="J37" i="11"/>
  <c r="J49" i="11" s="1"/>
  <c r="I37" i="11"/>
  <c r="I49" i="11" s="1"/>
  <c r="H37" i="11"/>
  <c r="G37" i="11"/>
  <c r="F37" i="11"/>
  <c r="E37" i="11"/>
  <c r="D37" i="11"/>
  <c r="C37" i="11"/>
  <c r="C49" i="11" s="1"/>
  <c r="BS37" i="11"/>
  <c r="BQ37" i="11"/>
  <c r="BQ49" i="11" s="1"/>
  <c r="BO37" i="11"/>
  <c r="BM37" i="11"/>
  <c r="BL37" i="11"/>
  <c r="BK37" i="11"/>
  <c r="BI37" i="11"/>
  <c r="BI49" i="11" s="1"/>
  <c r="BG37" i="11"/>
  <c r="BE37" i="11"/>
  <c r="BD37" i="11"/>
  <c r="BC37" i="11"/>
  <c r="BA37" i="11"/>
  <c r="BA49" i="11" s="1"/>
  <c r="AY37" i="11"/>
  <c r="AW37" i="11"/>
  <c r="AV37" i="11"/>
  <c r="AU37" i="11"/>
  <c r="AS37" i="11"/>
  <c r="AS49" i="11" s="1"/>
  <c r="AQ37" i="11"/>
  <c r="AO22" i="11"/>
  <c r="AN22" i="11"/>
  <c r="AM22" i="11"/>
  <c r="AL22" i="11"/>
  <c r="AK22" i="11"/>
  <c r="AJ22" i="11"/>
  <c r="AI22" i="11"/>
  <c r="AH22" i="11"/>
  <c r="AG22" i="11"/>
  <c r="AF22" i="11"/>
  <c r="AE22" i="11"/>
  <c r="AD22" i="11"/>
  <c r="AC22" i="11"/>
  <c r="AB22" i="11"/>
  <c r="AA22" i="11"/>
  <c r="Z22" i="11"/>
  <c r="Y22" i="11"/>
  <c r="X22" i="11"/>
  <c r="W22" i="11"/>
  <c r="V22" i="11"/>
  <c r="U22" i="11"/>
  <c r="T22" i="11"/>
  <c r="S22" i="11"/>
  <c r="R22" i="11"/>
  <c r="Q22" i="11"/>
  <c r="P22" i="11"/>
  <c r="O22" i="11"/>
  <c r="N22" i="11"/>
  <c r="M22" i="11"/>
  <c r="L22" i="11"/>
  <c r="K22" i="11"/>
  <c r="J22" i="11"/>
  <c r="I22" i="11"/>
  <c r="H22" i="11"/>
  <c r="G22" i="11"/>
  <c r="F22" i="11"/>
  <c r="E22" i="11"/>
  <c r="D22" i="11"/>
  <c r="C22" i="11"/>
  <c r="BR22" i="11"/>
  <c r="BP22" i="11"/>
  <c r="BO22" i="11"/>
  <c r="BN22" i="11"/>
  <c r="BL22" i="11"/>
  <c r="BJ22" i="11"/>
  <c r="BH22" i="11"/>
  <c r="BG22" i="11"/>
  <c r="BF22" i="11"/>
  <c r="BD22" i="11"/>
  <c r="BB22" i="11"/>
  <c r="AZ22" i="11"/>
  <c r="AY22" i="11"/>
  <c r="AX22" i="11"/>
  <c r="AV22" i="11"/>
  <c r="AT22" i="11"/>
  <c r="AR22" i="11"/>
  <c r="AQ22" i="11"/>
  <c r="AP22" i="11"/>
  <c r="BM55" i="10"/>
  <c r="BE55" i="10"/>
  <c r="AW55" i="10"/>
  <c r="BC55" i="10"/>
  <c r="AU55" i="10"/>
  <c r="BQ55" i="10"/>
  <c r="BI55" i="10"/>
  <c r="BA55" i="10"/>
  <c r="AS55" i="10"/>
  <c r="BR55" i="10"/>
  <c r="BN55" i="10"/>
  <c r="BJ55" i="10"/>
  <c r="BG55" i="10"/>
  <c r="AY55" i="10"/>
  <c r="AQ55" i="10"/>
  <c r="BP55" i="10"/>
  <c r="BL55" i="10"/>
  <c r="BH55" i="10"/>
  <c r="BF55" i="10"/>
  <c r="BD55" i="10"/>
  <c r="BB55" i="10"/>
  <c r="AZ55" i="10"/>
  <c r="AX55" i="10"/>
  <c r="AV55" i="10"/>
  <c r="AT55" i="10"/>
  <c r="AR55" i="10"/>
  <c r="AP55" i="10"/>
  <c r="BP50" i="10"/>
  <c r="BO50" i="10"/>
  <c r="BH50" i="10"/>
  <c r="AZ50" i="10"/>
  <c r="AY50" i="10"/>
  <c r="AQ50" i="10"/>
  <c r="AX50" i="10"/>
  <c r="AP50" i="10"/>
  <c r="BR44" i="10"/>
  <c r="BQ44" i="10"/>
  <c r="BM44" i="10"/>
  <c r="BI44" i="10"/>
  <c r="BE44" i="10"/>
  <c r="BA44" i="10"/>
  <c r="AW44" i="10"/>
  <c r="AT44" i="10"/>
  <c r="AS44" i="10"/>
  <c r="BS44" i="10"/>
  <c r="BK44" i="10"/>
  <c r="BJ44" i="10"/>
  <c r="BC44" i="10"/>
  <c r="AU44" i="10"/>
  <c r="AW39" i="10"/>
  <c r="AV39" i="10"/>
  <c r="AV37" i="10" s="1"/>
  <c r="BR39" i="10"/>
  <c r="BR37" i="10" s="1"/>
  <c r="BJ39" i="10"/>
  <c r="BJ37" i="10" s="1"/>
  <c r="AU39" i="10"/>
  <c r="AT39" i="10"/>
  <c r="AT37" i="10" s="1"/>
  <c r="AR39" i="10"/>
  <c r="BP39" i="10"/>
  <c r="BP37" i="10" s="1"/>
  <c r="BI39" i="10"/>
  <c r="BH39" i="10"/>
  <c r="BH37" i="10" s="1"/>
  <c r="AZ39" i="10"/>
  <c r="AZ37" i="10" s="1"/>
  <c r="AS39" i="10"/>
  <c r="BS83" i="10"/>
  <c r="BR83" i="10"/>
  <c r="BQ83" i="10"/>
  <c r="BP83" i="10"/>
  <c r="BO83" i="10"/>
  <c r="BN83" i="10"/>
  <c r="BL83" i="10"/>
  <c r="BK83" i="10"/>
  <c r="BJ83" i="10"/>
  <c r="BI83" i="10"/>
  <c r="BH83" i="10"/>
  <c r="BG83" i="10"/>
  <c r="BF83" i="10"/>
  <c r="BD83" i="10"/>
  <c r="BC83" i="10"/>
  <c r="BB83" i="10"/>
  <c r="BA83" i="10"/>
  <c r="AZ83" i="10"/>
  <c r="AY83" i="10"/>
  <c r="AX83" i="10"/>
  <c r="AV83" i="10"/>
  <c r="AU83" i="10"/>
  <c r="AT83" i="10"/>
  <c r="AS83" i="10"/>
  <c r="AR83" i="10"/>
  <c r="AQ83" i="10"/>
  <c r="AP83" i="10"/>
  <c r="BQ82" i="10"/>
  <c r="BP82" i="10"/>
  <c r="BO82" i="10"/>
  <c r="BN82" i="10"/>
  <c r="BM82" i="10"/>
  <c r="BI82" i="10"/>
  <c r="BH82" i="10"/>
  <c r="BG82" i="10"/>
  <c r="BF82" i="10"/>
  <c r="BE82" i="10"/>
  <c r="BD82" i="10"/>
  <c r="BA82" i="10"/>
  <c r="AZ82" i="10"/>
  <c r="AY82" i="10"/>
  <c r="AX82" i="10"/>
  <c r="AW82" i="10"/>
  <c r="AS82" i="10"/>
  <c r="AR82" i="10"/>
  <c r="AQ82" i="10"/>
  <c r="AP82" i="10"/>
  <c r="BS81" i="10"/>
  <c r="BR81" i="10"/>
  <c r="BP81" i="10"/>
  <c r="BO81" i="10"/>
  <c r="BN81" i="10"/>
  <c r="BM81" i="10"/>
  <c r="BL81" i="10"/>
  <c r="BK81" i="10"/>
  <c r="BJ81" i="10"/>
  <c r="BH81" i="10"/>
  <c r="BG81" i="10"/>
  <c r="BF81" i="10"/>
  <c r="BE81" i="10"/>
  <c r="BD81" i="10"/>
  <c r="BC81" i="10"/>
  <c r="BB81" i="10"/>
  <c r="AZ81" i="10"/>
  <c r="AY81" i="10"/>
  <c r="AX81" i="10"/>
  <c r="AW81" i="10"/>
  <c r="AV81" i="10"/>
  <c r="AU81" i="10"/>
  <c r="AT81" i="10"/>
  <c r="AR81" i="10"/>
  <c r="AQ81" i="10"/>
  <c r="AP81" i="10"/>
  <c r="BS80" i="10"/>
  <c r="BR80" i="10"/>
  <c r="BQ80" i="10"/>
  <c r="BP80" i="10"/>
  <c r="BM80" i="10"/>
  <c r="BL80" i="10"/>
  <c r="BK80" i="10"/>
  <c r="BJ80" i="10"/>
  <c r="BI80" i="10"/>
  <c r="BH80" i="10"/>
  <c r="BH79" i="10" s="1"/>
  <c r="BE80" i="10"/>
  <c r="BD80" i="10"/>
  <c r="BB80" i="10"/>
  <c r="BA80" i="10"/>
  <c r="AZ80" i="10"/>
  <c r="AZ79" i="10" s="1"/>
  <c r="AW80" i="10"/>
  <c r="AV80" i="10"/>
  <c r="AT80" i="10"/>
  <c r="AS80" i="10"/>
  <c r="AR80" i="10"/>
  <c r="BM31" i="10"/>
  <c r="BE31" i="10"/>
  <c r="BS78" i="10"/>
  <c r="BR78" i="10"/>
  <c r="BQ78" i="10"/>
  <c r="BP78" i="10"/>
  <c r="BN78" i="10"/>
  <c r="BL78" i="10"/>
  <c r="BK78" i="10"/>
  <c r="BJ78" i="10"/>
  <c r="BI78" i="10"/>
  <c r="BH78" i="10"/>
  <c r="BG78" i="10"/>
  <c r="BF78" i="10"/>
  <c r="BD78" i="10"/>
  <c r="BC78" i="10"/>
  <c r="BA78" i="10"/>
  <c r="AZ78" i="10"/>
  <c r="AY78" i="10"/>
  <c r="AX78" i="10"/>
  <c r="AV78" i="10"/>
  <c r="AU78" i="10"/>
  <c r="AT78" i="10"/>
  <c r="AS78" i="10"/>
  <c r="AR78" i="10"/>
  <c r="AQ78" i="10"/>
  <c r="AP78" i="10"/>
  <c r="BR77" i="10"/>
  <c r="BQ77" i="10"/>
  <c r="BO77" i="10"/>
  <c r="BN77" i="10"/>
  <c r="BM77" i="10"/>
  <c r="BL77" i="10"/>
  <c r="BJ77" i="10"/>
  <c r="BI77" i="10"/>
  <c r="BG77" i="10"/>
  <c r="BF77" i="10"/>
  <c r="BE77" i="10"/>
  <c r="BD77" i="10"/>
  <c r="BB77" i="10"/>
  <c r="BA77" i="10"/>
  <c r="AY77" i="10"/>
  <c r="AX77" i="10"/>
  <c r="AW77" i="10"/>
  <c r="AT77" i="10"/>
  <c r="AS77" i="10"/>
  <c r="AQ77" i="10"/>
  <c r="AP77" i="10"/>
  <c r="BS76" i="10"/>
  <c r="BR76" i="10"/>
  <c r="BP76" i="10"/>
  <c r="BM76" i="10"/>
  <c r="BL76" i="10"/>
  <c r="BK76" i="10"/>
  <c r="BJ76" i="10"/>
  <c r="BH76" i="10"/>
  <c r="BE76" i="10"/>
  <c r="BD76" i="10"/>
  <c r="AZ76" i="10"/>
  <c r="AW76" i="10"/>
  <c r="AV76" i="10"/>
  <c r="AU76" i="10"/>
  <c r="AT76" i="10"/>
  <c r="AR76" i="10"/>
  <c r="BS75" i="10"/>
  <c r="BR75" i="10"/>
  <c r="BP75" i="10"/>
  <c r="BN75" i="10"/>
  <c r="BK75" i="10"/>
  <c r="BJ75" i="10"/>
  <c r="BI75" i="10"/>
  <c r="BH75" i="10"/>
  <c r="BF75" i="10"/>
  <c r="BC75" i="10"/>
  <c r="BB75" i="10"/>
  <c r="AZ75" i="10"/>
  <c r="AX75" i="10"/>
  <c r="AU75" i="10"/>
  <c r="AT75" i="10"/>
  <c r="AP75" i="10"/>
  <c r="BS26" i="10"/>
  <c r="BJ26" i="10"/>
  <c r="BS73" i="10"/>
  <c r="BQ73" i="10"/>
  <c r="BP73" i="10"/>
  <c r="BO73" i="10"/>
  <c r="BN73" i="10"/>
  <c r="BM73" i="10"/>
  <c r="BL73" i="10"/>
  <c r="BK73" i="10"/>
  <c r="BI73" i="10"/>
  <c r="BH73" i="10"/>
  <c r="BG73" i="10"/>
  <c r="BF73" i="10"/>
  <c r="BE73" i="10"/>
  <c r="BD73" i="10"/>
  <c r="BC73" i="10"/>
  <c r="BA73" i="10"/>
  <c r="AZ73" i="10"/>
  <c r="AY73" i="10"/>
  <c r="AX73" i="10"/>
  <c r="AW73" i="10"/>
  <c r="AV73" i="10"/>
  <c r="AU73" i="10"/>
  <c r="AS73" i="10"/>
  <c r="AR73" i="10"/>
  <c r="AQ73" i="10"/>
  <c r="AP73" i="10"/>
  <c r="BS72" i="10"/>
  <c r="BQ72" i="10"/>
  <c r="BO72" i="10"/>
  <c r="BN72" i="10"/>
  <c r="BM72" i="10"/>
  <c r="BL72" i="10"/>
  <c r="BK72" i="10"/>
  <c r="BJ72" i="10"/>
  <c r="BI72" i="10"/>
  <c r="BG72" i="10"/>
  <c r="BF72" i="10"/>
  <c r="BE72" i="10"/>
  <c r="BD72" i="10"/>
  <c r="BC72" i="10"/>
  <c r="BB72" i="10"/>
  <c r="BA72" i="10"/>
  <c r="AY72" i="10"/>
  <c r="AX72" i="10"/>
  <c r="AW72" i="10"/>
  <c r="AV72" i="10"/>
  <c r="AS72" i="10"/>
  <c r="AQ72" i="10"/>
  <c r="AP72" i="10"/>
  <c r="BS71" i="10"/>
  <c r="BR71" i="10"/>
  <c r="BQ71" i="10"/>
  <c r="BP71" i="10"/>
  <c r="BO71" i="10"/>
  <c r="BM71" i="10"/>
  <c r="BK71" i="10"/>
  <c r="BJ71" i="10"/>
  <c r="BI71" i="10"/>
  <c r="BH71" i="10"/>
  <c r="BG71" i="10"/>
  <c r="BE71" i="10"/>
  <c r="BC71" i="10"/>
  <c r="BB71" i="10"/>
  <c r="BA71" i="10"/>
  <c r="AZ71" i="10"/>
  <c r="AY71" i="10"/>
  <c r="AW71" i="10"/>
  <c r="AU71" i="10"/>
  <c r="AT71" i="10"/>
  <c r="AS71" i="10"/>
  <c r="AR71" i="10"/>
  <c r="AQ71" i="10"/>
  <c r="BR70" i="10"/>
  <c r="BQ70" i="10"/>
  <c r="BP70" i="10"/>
  <c r="BO70" i="10"/>
  <c r="BM70" i="10"/>
  <c r="BJ70" i="10"/>
  <c r="BI70" i="10"/>
  <c r="BH70" i="10"/>
  <c r="BF70" i="10"/>
  <c r="BE70" i="10"/>
  <c r="BB70" i="10"/>
  <c r="BA70" i="10"/>
  <c r="AZ70" i="10"/>
  <c r="AX70" i="10"/>
  <c r="AW70" i="10"/>
  <c r="AT70" i="10"/>
  <c r="AS70" i="10"/>
  <c r="AR70" i="10"/>
  <c r="BS69" i="10"/>
  <c r="BO69" i="10"/>
  <c r="BN69" i="10"/>
  <c r="BL69" i="10"/>
  <c r="BK69" i="10"/>
  <c r="BG69" i="10"/>
  <c r="BF69" i="10"/>
  <c r="BD69" i="10"/>
  <c r="BC69" i="10"/>
  <c r="AY69" i="10"/>
  <c r="AX69" i="10"/>
  <c r="AW69" i="10"/>
  <c r="AV69" i="10"/>
  <c r="AU69" i="10"/>
  <c r="AQ69" i="10"/>
  <c r="AP69" i="10"/>
  <c r="BN20" i="10"/>
  <c r="AX20" i="10"/>
  <c r="BS66" i="10"/>
  <c r="BQ66" i="10"/>
  <c r="BP66" i="10"/>
  <c r="BM66" i="10"/>
  <c r="BL66" i="10"/>
  <c r="BK66" i="10"/>
  <c r="BI66" i="10"/>
  <c r="BH66" i="10"/>
  <c r="BE66" i="10"/>
  <c r="BD66" i="10"/>
  <c r="BC66" i="10"/>
  <c r="BA66" i="10"/>
  <c r="AZ66" i="10"/>
  <c r="AY66" i="10"/>
  <c r="AW66" i="10"/>
  <c r="AV66" i="10"/>
  <c r="AU66" i="10"/>
  <c r="AS66" i="10"/>
  <c r="AR66" i="10"/>
  <c r="AQ66" i="10"/>
  <c r="BS65" i="10"/>
  <c r="BR65" i="10"/>
  <c r="BP65" i="10"/>
  <c r="BO65" i="10"/>
  <c r="BN65" i="10"/>
  <c r="BM15" i="10"/>
  <c r="BM13" i="10" s="1"/>
  <c r="BK65" i="10"/>
  <c r="BJ65" i="10"/>
  <c r="BH65" i="10"/>
  <c r="BG65" i="10"/>
  <c r="BF65" i="10"/>
  <c r="BE65" i="10"/>
  <c r="BC65" i="10"/>
  <c r="BB65" i="10"/>
  <c r="AZ65" i="10"/>
  <c r="AY65" i="10"/>
  <c r="AX65" i="10"/>
  <c r="AW65" i="10"/>
  <c r="AU65" i="10"/>
  <c r="AT65" i="10"/>
  <c r="AR65" i="10"/>
  <c r="AQ65" i="10"/>
  <c r="AP65" i="10"/>
  <c r="BS15" i="10"/>
  <c r="BQ64" i="10"/>
  <c r="BP64" i="10"/>
  <c r="BM64" i="10"/>
  <c r="BL64" i="10"/>
  <c r="BK15" i="10"/>
  <c r="BI64" i="10"/>
  <c r="BH64" i="10"/>
  <c r="BE64" i="10"/>
  <c r="BD64" i="10"/>
  <c r="BC15" i="10"/>
  <c r="BA64" i="10"/>
  <c r="AZ64" i="10"/>
  <c r="AW64" i="10"/>
  <c r="AV64" i="10"/>
  <c r="AU64" i="10"/>
  <c r="AU63" i="10" s="1"/>
  <c r="AS64" i="10"/>
  <c r="AR64" i="10"/>
  <c r="BL15" i="10"/>
  <c r="BE15" i="10"/>
  <c r="BE13" i="10" s="1"/>
  <c r="AV15" i="10"/>
  <c r="AT101" i="9"/>
  <c r="AS101" i="9"/>
  <c r="AR101" i="9"/>
  <c r="AQ101" i="9"/>
  <c r="AP101" i="9"/>
  <c r="AO101" i="9"/>
  <c r="AN101" i="9"/>
  <c r="AM101" i="9"/>
  <c r="AL101" i="9"/>
  <c r="AK101" i="9"/>
  <c r="AJ101" i="9"/>
  <c r="AI101" i="9"/>
  <c r="AH101" i="9"/>
  <c r="AG101" i="9"/>
  <c r="AF101" i="9"/>
  <c r="AD101" i="9"/>
  <c r="AC101" i="9"/>
  <c r="AB101" i="9"/>
  <c r="AA101" i="9"/>
  <c r="Z101" i="9"/>
  <c r="Y101" i="9"/>
  <c r="X101" i="9"/>
  <c r="W101" i="9"/>
  <c r="V101" i="9"/>
  <c r="U101" i="9"/>
  <c r="T101" i="9"/>
  <c r="S101" i="9"/>
  <c r="R101" i="9"/>
  <c r="Q101" i="9"/>
  <c r="P101" i="9"/>
  <c r="O101" i="9"/>
  <c r="N101" i="9"/>
  <c r="M101" i="9"/>
  <c r="L101" i="9"/>
  <c r="K101" i="9"/>
  <c r="J101" i="9"/>
  <c r="I101" i="9"/>
  <c r="H101" i="9"/>
  <c r="AT97" i="9"/>
  <c r="AS97" i="9"/>
  <c r="AR97" i="9"/>
  <c r="AQ97" i="9"/>
  <c r="AP97" i="9"/>
  <c r="AO97" i="9"/>
  <c r="AN97" i="9"/>
  <c r="AM97" i="9"/>
  <c r="AM95" i="9" s="1"/>
  <c r="AL97" i="9"/>
  <c r="AK97" i="9"/>
  <c r="AJ97" i="9"/>
  <c r="AI97" i="9"/>
  <c r="AH97" i="9"/>
  <c r="AG97" i="9"/>
  <c r="AF97" i="9"/>
  <c r="AE97" i="9"/>
  <c r="AE95" i="9" s="1"/>
  <c r="AD97" i="9"/>
  <c r="AC97" i="9"/>
  <c r="AB97" i="9"/>
  <c r="AA97" i="9"/>
  <c r="Z97" i="9"/>
  <c r="Y97" i="9"/>
  <c r="X97" i="9"/>
  <c r="W97" i="9"/>
  <c r="W95" i="9" s="1"/>
  <c r="V97" i="9"/>
  <c r="U97" i="9"/>
  <c r="T97" i="9"/>
  <c r="S97" i="9"/>
  <c r="R97" i="9"/>
  <c r="Q97" i="9"/>
  <c r="P97" i="9"/>
  <c r="O97" i="9"/>
  <c r="O95" i="9" s="1"/>
  <c r="N97" i="9"/>
  <c r="M97" i="9"/>
  <c r="L97" i="9"/>
  <c r="K97" i="9"/>
  <c r="J97" i="9"/>
  <c r="I97" i="9"/>
  <c r="H97" i="9"/>
  <c r="AT96" i="9"/>
  <c r="AT95" i="9" s="1"/>
  <c r="AS96" i="9"/>
  <c r="AR96" i="9"/>
  <c r="AR95" i="9" s="1"/>
  <c r="AQ96" i="9"/>
  <c r="AP96" i="9"/>
  <c r="AO96" i="9"/>
  <c r="AN96" i="9"/>
  <c r="AM96" i="9"/>
  <c r="AL96" i="9"/>
  <c r="AL95" i="9" s="1"/>
  <c r="AK96" i="9"/>
  <c r="AJ96" i="9"/>
  <c r="AJ95" i="9" s="1"/>
  <c r="AI96" i="9"/>
  <c r="AH96" i="9"/>
  <c r="AG96" i="9"/>
  <c r="AF96" i="9"/>
  <c r="AE96" i="9"/>
  <c r="AD96" i="9"/>
  <c r="AD95" i="9" s="1"/>
  <c r="AC96" i="9"/>
  <c r="AB96" i="9"/>
  <c r="AB95" i="9" s="1"/>
  <c r="AA96" i="9"/>
  <c r="Z96" i="9"/>
  <c r="Y96" i="9"/>
  <c r="X96" i="9"/>
  <c r="W96" i="9"/>
  <c r="V96" i="9"/>
  <c r="V95" i="9" s="1"/>
  <c r="U96" i="9"/>
  <c r="T96" i="9"/>
  <c r="T95" i="9" s="1"/>
  <c r="S96" i="9"/>
  <c r="R96" i="9"/>
  <c r="Q96" i="9"/>
  <c r="P96" i="9"/>
  <c r="O96" i="9"/>
  <c r="N96" i="9"/>
  <c r="N95" i="9" s="1"/>
  <c r="M96" i="9"/>
  <c r="L96" i="9"/>
  <c r="L95" i="9" s="1"/>
  <c r="K96" i="9"/>
  <c r="J96" i="9"/>
  <c r="I96" i="9"/>
  <c r="H96" i="9"/>
  <c r="AS95" i="9"/>
  <c r="AQ95" i="9"/>
  <c r="AP95" i="9"/>
  <c r="AO95" i="9"/>
  <c r="AN95" i="9"/>
  <c r="AK95" i="9"/>
  <c r="AI95" i="9"/>
  <c r="AH95" i="9"/>
  <c r="AG95" i="9"/>
  <c r="AF95" i="9"/>
  <c r="AC95" i="9"/>
  <c r="AA95" i="9"/>
  <c r="Z95" i="9"/>
  <c r="Y95" i="9"/>
  <c r="X95" i="9"/>
  <c r="U95" i="9"/>
  <c r="S95" i="9"/>
  <c r="R95" i="9"/>
  <c r="Q95" i="9"/>
  <c r="P95" i="9"/>
  <c r="M95" i="9"/>
  <c r="K95" i="9"/>
  <c r="J95" i="9"/>
  <c r="J99" i="9" s="1"/>
  <c r="I95" i="9"/>
  <c r="H95" i="9"/>
  <c r="AR93" i="9"/>
  <c r="AR100" i="9" s="1"/>
  <c r="AP93" i="9"/>
  <c r="AP100" i="9" s="1"/>
  <c r="AJ93" i="9"/>
  <c r="AJ100" i="9" s="1"/>
  <c r="AH93" i="9"/>
  <c r="AH100" i="9" s="1"/>
  <c r="AB93" i="9"/>
  <c r="AB100" i="9" s="1"/>
  <c r="Z93" i="9"/>
  <c r="Z100" i="9" s="1"/>
  <c r="T93" i="9"/>
  <c r="T100" i="9" s="1"/>
  <c r="R93" i="9"/>
  <c r="R100" i="9" s="1"/>
  <c r="J93" i="9"/>
  <c r="J100" i="9" s="1"/>
  <c r="AT91" i="9"/>
  <c r="AS91" i="9"/>
  <c r="AR91" i="9"/>
  <c r="AQ91" i="9"/>
  <c r="AP91" i="9"/>
  <c r="AO91" i="9"/>
  <c r="AN91" i="9"/>
  <c r="AM91" i="9"/>
  <c r="AL91" i="9"/>
  <c r="AK91" i="9"/>
  <c r="AJ91" i="9"/>
  <c r="AI91" i="9"/>
  <c r="AH91" i="9"/>
  <c r="AG91" i="9"/>
  <c r="AF91" i="9"/>
  <c r="AE91" i="9"/>
  <c r="AD91" i="9"/>
  <c r="AC91" i="9"/>
  <c r="AB91" i="9"/>
  <c r="AA91" i="9"/>
  <c r="Z91" i="9"/>
  <c r="Y91" i="9"/>
  <c r="X91" i="9"/>
  <c r="W91" i="9"/>
  <c r="V91" i="9"/>
  <c r="U91" i="9"/>
  <c r="T91" i="9"/>
  <c r="S91" i="9"/>
  <c r="R91" i="9"/>
  <c r="Q91" i="9"/>
  <c r="P91" i="9"/>
  <c r="O91" i="9"/>
  <c r="N91" i="9"/>
  <c r="M91" i="9"/>
  <c r="L91" i="9"/>
  <c r="K91" i="9"/>
  <c r="J91" i="9"/>
  <c r="I91" i="9"/>
  <c r="H91" i="9"/>
  <c r="AP90" i="9"/>
  <c r="AH90" i="9"/>
  <c r="Z90" i="9"/>
  <c r="R90" i="9"/>
  <c r="J90" i="9"/>
  <c r="AT85" i="9"/>
  <c r="AS85" i="9"/>
  <c r="AR85" i="9"/>
  <c r="AQ85" i="9"/>
  <c r="AP85" i="9"/>
  <c r="AO85" i="9"/>
  <c r="AN85" i="9"/>
  <c r="AM85" i="9"/>
  <c r="AL85" i="9"/>
  <c r="AK85" i="9"/>
  <c r="AJ85" i="9"/>
  <c r="AI85" i="9"/>
  <c r="AH85" i="9"/>
  <c r="AG85" i="9"/>
  <c r="AF85" i="9"/>
  <c r="AE85" i="9"/>
  <c r="AD85" i="9"/>
  <c r="AC85" i="9"/>
  <c r="AB85" i="9"/>
  <c r="AA85" i="9"/>
  <c r="Z85" i="9"/>
  <c r="Y85" i="9"/>
  <c r="X85" i="9"/>
  <c r="W85" i="9"/>
  <c r="V85" i="9"/>
  <c r="U85" i="9"/>
  <c r="T85" i="9"/>
  <c r="S85" i="9"/>
  <c r="R85" i="9"/>
  <c r="Q85" i="9"/>
  <c r="P85" i="9"/>
  <c r="O85" i="9"/>
  <c r="N85" i="9"/>
  <c r="M85" i="9"/>
  <c r="L85" i="9"/>
  <c r="K85" i="9"/>
  <c r="J85" i="9"/>
  <c r="I85" i="9"/>
  <c r="H85" i="9"/>
  <c r="AT82" i="9"/>
  <c r="AT90" i="9" s="1"/>
  <c r="AS82" i="9"/>
  <c r="AS90" i="9" s="1"/>
  <c r="AR82" i="9"/>
  <c r="AR90" i="9" s="1"/>
  <c r="AQ82" i="9"/>
  <c r="AQ90" i="9" s="1"/>
  <c r="AP82" i="9"/>
  <c r="AO82" i="9"/>
  <c r="AO90" i="9" s="1"/>
  <c r="AN82" i="9"/>
  <c r="AN90" i="9" s="1"/>
  <c r="AM82" i="9"/>
  <c r="AM90" i="9" s="1"/>
  <c r="AL82" i="9"/>
  <c r="AL90" i="9" s="1"/>
  <c r="AK82" i="9"/>
  <c r="AK90" i="9" s="1"/>
  <c r="AJ82" i="9"/>
  <c r="AJ90" i="9" s="1"/>
  <c r="AI82" i="9"/>
  <c r="AI90" i="9" s="1"/>
  <c r="AH82" i="9"/>
  <c r="AG82" i="9"/>
  <c r="AG90" i="9" s="1"/>
  <c r="AF82" i="9"/>
  <c r="AF90" i="9" s="1"/>
  <c r="AE82" i="9"/>
  <c r="AE90" i="9" s="1"/>
  <c r="AD82" i="9"/>
  <c r="AD90" i="9" s="1"/>
  <c r="AC82" i="9"/>
  <c r="AC90" i="9" s="1"/>
  <c r="AB82" i="9"/>
  <c r="AB90" i="9" s="1"/>
  <c r="AA82" i="9"/>
  <c r="AA90" i="9" s="1"/>
  <c r="Z82" i="9"/>
  <c r="Y82" i="9"/>
  <c r="Y90" i="9" s="1"/>
  <c r="X82" i="9"/>
  <c r="X90" i="9" s="1"/>
  <c r="W82" i="9"/>
  <c r="W90" i="9" s="1"/>
  <c r="V82" i="9"/>
  <c r="V90" i="9" s="1"/>
  <c r="U82" i="9"/>
  <c r="U90" i="9" s="1"/>
  <c r="T82" i="9"/>
  <c r="T90" i="9" s="1"/>
  <c r="S82" i="9"/>
  <c r="S90" i="9" s="1"/>
  <c r="R82" i="9"/>
  <c r="Q82" i="9"/>
  <c r="Q90" i="9" s="1"/>
  <c r="P82" i="9"/>
  <c r="P90" i="9" s="1"/>
  <c r="O82" i="9"/>
  <c r="O90" i="9" s="1"/>
  <c r="N82" i="9"/>
  <c r="N90" i="9" s="1"/>
  <c r="M82" i="9"/>
  <c r="M90" i="9" s="1"/>
  <c r="L82" i="9"/>
  <c r="L90" i="9" s="1"/>
  <c r="K82" i="9"/>
  <c r="K90" i="9" s="1"/>
  <c r="J82" i="9"/>
  <c r="I82" i="9"/>
  <c r="I90" i="9" s="1"/>
  <c r="H82" i="9"/>
  <c r="H90" i="9" s="1"/>
  <c r="AT79" i="9"/>
  <c r="AS79" i="9"/>
  <c r="AR79" i="9"/>
  <c r="AQ79" i="9"/>
  <c r="AP79" i="9"/>
  <c r="AO79" i="9"/>
  <c r="AN79" i="9"/>
  <c r="AM79" i="9"/>
  <c r="AL79" i="9"/>
  <c r="AK79" i="9"/>
  <c r="AJ79" i="9"/>
  <c r="AI79" i="9"/>
  <c r="AH79" i="9"/>
  <c r="AG79" i="9"/>
  <c r="AF79" i="9"/>
  <c r="AE79" i="9"/>
  <c r="AD79" i="9"/>
  <c r="AC79" i="9"/>
  <c r="AB79" i="9"/>
  <c r="AA79" i="9"/>
  <c r="Z79" i="9"/>
  <c r="Y79" i="9"/>
  <c r="X79" i="9"/>
  <c r="W79" i="9"/>
  <c r="V79" i="9"/>
  <c r="U79" i="9"/>
  <c r="T79" i="9"/>
  <c r="S79" i="9"/>
  <c r="R79" i="9"/>
  <c r="Q79" i="9"/>
  <c r="P79" i="9"/>
  <c r="O79" i="9"/>
  <c r="N79" i="9"/>
  <c r="M79" i="9"/>
  <c r="L79" i="9"/>
  <c r="K79" i="9"/>
  <c r="J79" i="9"/>
  <c r="I79" i="9"/>
  <c r="H79" i="9"/>
  <c r="AT78" i="9"/>
  <c r="AR78" i="9"/>
  <c r="AL78" i="9"/>
  <c r="AJ78" i="9"/>
  <c r="AD78" i="9"/>
  <c r="AB78" i="9"/>
  <c r="T78" i="9"/>
  <c r="N78" i="9"/>
  <c r="AT73" i="9"/>
  <c r="AS73" i="9"/>
  <c r="AR73" i="9"/>
  <c r="AQ73" i="9"/>
  <c r="AP73" i="9"/>
  <c r="AO73" i="9"/>
  <c r="AN73" i="9"/>
  <c r="AM73" i="9"/>
  <c r="AL73" i="9"/>
  <c r="AK73" i="9"/>
  <c r="AJ73" i="9"/>
  <c r="AI73" i="9"/>
  <c r="AH73" i="9"/>
  <c r="AG73" i="9"/>
  <c r="AF73" i="9"/>
  <c r="AE73" i="9"/>
  <c r="AD73" i="9"/>
  <c r="AC73" i="9"/>
  <c r="AB73" i="9"/>
  <c r="AA73" i="9"/>
  <c r="Z73" i="9"/>
  <c r="Y73" i="9"/>
  <c r="X73" i="9"/>
  <c r="W73" i="9"/>
  <c r="V73" i="9"/>
  <c r="U73" i="9"/>
  <c r="T73" i="9"/>
  <c r="S73" i="9"/>
  <c r="R73" i="9"/>
  <c r="Q73" i="9"/>
  <c r="P73" i="9"/>
  <c r="O73" i="9"/>
  <c r="N73" i="9"/>
  <c r="M73" i="9"/>
  <c r="L73" i="9"/>
  <c r="K73" i="9"/>
  <c r="J73" i="9"/>
  <c r="I73" i="9"/>
  <c r="H73" i="9"/>
  <c r="AE72" i="9"/>
  <c r="AE101" i="9" s="1"/>
  <c r="AH71" i="9"/>
  <c r="AG71" i="9"/>
  <c r="AF71" i="9"/>
  <c r="AE71" i="9"/>
  <c r="AD71" i="9"/>
  <c r="AC71" i="9"/>
  <c r="AB71" i="9"/>
  <c r="AA71" i="9"/>
  <c r="Z71" i="9"/>
  <c r="Y71" i="9"/>
  <c r="X71" i="9"/>
  <c r="V71" i="9"/>
  <c r="V70" i="9" s="1"/>
  <c r="V93" i="9" s="1"/>
  <c r="V100" i="9" s="1"/>
  <c r="U71" i="9"/>
  <c r="T71" i="9"/>
  <c r="S71" i="9"/>
  <c r="R71" i="9"/>
  <c r="Q71" i="9"/>
  <c r="O71" i="9"/>
  <c r="M71" i="9"/>
  <c r="L71" i="9"/>
  <c r="L70" i="9" s="1"/>
  <c r="L93" i="9" s="1"/>
  <c r="L100" i="9" s="1"/>
  <c r="AT70" i="9"/>
  <c r="AS70" i="9"/>
  <c r="AS93" i="9" s="1"/>
  <c r="AS100" i="9" s="1"/>
  <c r="AR70" i="9"/>
  <c r="AQ70" i="9"/>
  <c r="AQ78" i="9" s="1"/>
  <c r="AP70" i="9"/>
  <c r="AP78" i="9" s="1"/>
  <c r="AO70" i="9"/>
  <c r="AN70" i="9"/>
  <c r="AN93" i="9" s="1"/>
  <c r="AN100" i="9" s="1"/>
  <c r="AM70" i="9"/>
  <c r="AL70" i="9"/>
  <c r="AK70" i="9"/>
  <c r="AK93" i="9" s="1"/>
  <c r="AK100" i="9" s="1"/>
  <c r="AJ70" i="9"/>
  <c r="AI70" i="9"/>
  <c r="AI78" i="9" s="1"/>
  <c r="AH70" i="9"/>
  <c r="AH78" i="9" s="1"/>
  <c r="AG70" i="9"/>
  <c r="AF70" i="9"/>
  <c r="AF93" i="9" s="1"/>
  <c r="AF100" i="9" s="1"/>
  <c r="AE70" i="9"/>
  <c r="AE93" i="9" s="1"/>
  <c r="AE100" i="9" s="1"/>
  <c r="AD70" i="9"/>
  <c r="AC70" i="9"/>
  <c r="AC93" i="9" s="1"/>
  <c r="AC100" i="9" s="1"/>
  <c r="AB70" i="9"/>
  <c r="AA70" i="9"/>
  <c r="AA78" i="9" s="1"/>
  <c r="Z70" i="9"/>
  <c r="Z78" i="9" s="1"/>
  <c r="Y70" i="9"/>
  <c r="X70" i="9"/>
  <c r="X93" i="9" s="1"/>
  <c r="X100" i="9" s="1"/>
  <c r="W70" i="9"/>
  <c r="U70" i="9"/>
  <c r="U93" i="9" s="1"/>
  <c r="U100" i="9" s="1"/>
  <c r="T70" i="9"/>
  <c r="S70" i="9"/>
  <c r="S78" i="9" s="1"/>
  <c r="R70" i="9"/>
  <c r="R78" i="9" s="1"/>
  <c r="Q70" i="9"/>
  <c r="P70" i="9"/>
  <c r="P93" i="9" s="1"/>
  <c r="P100" i="9" s="1"/>
  <c r="O70" i="9"/>
  <c r="N70" i="9"/>
  <c r="N93" i="9" s="1"/>
  <c r="N100" i="9" s="1"/>
  <c r="M70" i="9"/>
  <c r="M93" i="9" s="1"/>
  <c r="M100" i="9" s="1"/>
  <c r="K70" i="9"/>
  <c r="K78" i="9" s="1"/>
  <c r="J70" i="9"/>
  <c r="J78" i="9" s="1"/>
  <c r="I70" i="9"/>
  <c r="H70" i="9"/>
  <c r="H93" i="9" s="1"/>
  <c r="H100" i="9" s="1"/>
  <c r="BH29" i="9"/>
  <c r="AZ29" i="9"/>
  <c r="BS29" i="9"/>
  <c r="BM29" i="9"/>
  <c r="BK29" i="9"/>
  <c r="BE29" i="9"/>
  <c r="BC29" i="9"/>
  <c r="AW29" i="9"/>
  <c r="AU29" i="9"/>
  <c r="BP29" i="9"/>
  <c r="BO29" i="9"/>
  <c r="BN29" i="9"/>
  <c r="BG29" i="9"/>
  <c r="BF29" i="9"/>
  <c r="BD29" i="9"/>
  <c r="AY29" i="9"/>
  <c r="AX29" i="9"/>
  <c r="BS38" i="9"/>
  <c r="BR38" i="9"/>
  <c r="BQ38" i="9"/>
  <c r="BP38" i="9"/>
  <c r="BN38" i="9"/>
  <c r="BM38" i="9"/>
  <c r="BL38" i="9"/>
  <c r="BK38" i="9"/>
  <c r="BJ38" i="9"/>
  <c r="BI38" i="9"/>
  <c r="BH38" i="9"/>
  <c r="BF38" i="9"/>
  <c r="BE38" i="9"/>
  <c r="BD38" i="9"/>
  <c r="BC38" i="9"/>
  <c r="BB38" i="9"/>
  <c r="BA38" i="9"/>
  <c r="AZ38" i="9"/>
  <c r="AX38" i="9"/>
  <c r="AW38" i="9"/>
  <c r="AV38" i="9"/>
  <c r="AU38" i="9"/>
  <c r="BS37" i="9"/>
  <c r="BR37" i="9"/>
  <c r="BQ37" i="9"/>
  <c r="BO37" i="9"/>
  <c r="BM37" i="9"/>
  <c r="BL37" i="9"/>
  <c r="BK37" i="9"/>
  <c r="BJ37" i="9"/>
  <c r="BI37" i="9"/>
  <c r="BG37" i="9"/>
  <c r="BE37" i="9"/>
  <c r="BD37" i="9"/>
  <c r="BC37" i="9"/>
  <c r="BB37" i="9"/>
  <c r="BA37" i="9"/>
  <c r="AY37" i="9"/>
  <c r="AW37" i="9"/>
  <c r="AV37" i="9"/>
  <c r="AU37" i="9"/>
  <c r="BS36" i="9"/>
  <c r="BR36" i="9"/>
  <c r="BP36" i="9"/>
  <c r="BN36" i="9"/>
  <c r="BM36" i="9"/>
  <c r="BL36" i="9"/>
  <c r="BK36" i="9"/>
  <c r="BJ36" i="9"/>
  <c r="BH36" i="9"/>
  <c r="BF36" i="9"/>
  <c r="BE36" i="9"/>
  <c r="BD36" i="9"/>
  <c r="BC36" i="9"/>
  <c r="BB36" i="9"/>
  <c r="AZ36" i="9"/>
  <c r="AY24" i="9"/>
  <c r="AX36" i="9"/>
  <c r="AW36" i="9"/>
  <c r="AV36" i="9"/>
  <c r="AU36" i="9"/>
  <c r="BS35" i="9"/>
  <c r="BQ35" i="9"/>
  <c r="BP24" i="9"/>
  <c r="BO35" i="9"/>
  <c r="BN35" i="9"/>
  <c r="BM35" i="9"/>
  <c r="BL35" i="9"/>
  <c r="BK35" i="9"/>
  <c r="BI35" i="9"/>
  <c r="BH24" i="9"/>
  <c r="BG35" i="9"/>
  <c r="BF35" i="9"/>
  <c r="BE35" i="9"/>
  <c r="BD35" i="9"/>
  <c r="BC35" i="9"/>
  <c r="BA35" i="9"/>
  <c r="AZ24" i="9"/>
  <c r="AY35" i="9"/>
  <c r="AX35" i="9"/>
  <c r="AW35" i="9"/>
  <c r="AV35" i="9"/>
  <c r="AU35" i="9"/>
  <c r="BS24" i="9"/>
  <c r="BQ24" i="9"/>
  <c r="BM24" i="9"/>
  <c r="BL24" i="9"/>
  <c r="BI24" i="9"/>
  <c r="BE24" i="9"/>
  <c r="BD24" i="9"/>
  <c r="AW24" i="9"/>
  <c r="BS50" i="9"/>
  <c r="BQ50" i="9"/>
  <c r="BP50" i="9"/>
  <c r="BN50" i="9"/>
  <c r="BM50" i="9"/>
  <c r="BL50" i="9"/>
  <c r="BK50" i="9"/>
  <c r="BI50" i="9"/>
  <c r="BH50" i="9"/>
  <c r="BF50" i="9"/>
  <c r="BE50" i="9"/>
  <c r="BD50" i="9"/>
  <c r="BC50" i="9"/>
  <c r="BA50" i="9"/>
  <c r="AZ50" i="9"/>
  <c r="AX50" i="9"/>
  <c r="AW50" i="9"/>
  <c r="AV50" i="9"/>
  <c r="AU50" i="9"/>
  <c r="BR49" i="9"/>
  <c r="BQ49" i="9"/>
  <c r="BO49" i="9"/>
  <c r="BN49" i="9"/>
  <c r="BM49" i="9"/>
  <c r="BL49" i="9"/>
  <c r="BJ49" i="9"/>
  <c r="BI49" i="9"/>
  <c r="BG49" i="9"/>
  <c r="BF49" i="9"/>
  <c r="BE49" i="9"/>
  <c r="BD49" i="9"/>
  <c r="BB49" i="9"/>
  <c r="BA49" i="9"/>
  <c r="AY49" i="9"/>
  <c r="AX49" i="9"/>
  <c r="AW49" i="9"/>
  <c r="AV49" i="9"/>
  <c r="BS48" i="9"/>
  <c r="BR48" i="9"/>
  <c r="BP48" i="9"/>
  <c r="BO48" i="9"/>
  <c r="BN48" i="9"/>
  <c r="BM48" i="9"/>
  <c r="BK48" i="9"/>
  <c r="BJ48" i="9"/>
  <c r="BH48" i="9"/>
  <c r="BG48" i="9"/>
  <c r="BF48" i="9"/>
  <c r="BE48" i="9"/>
  <c r="BC48" i="9"/>
  <c r="BB48" i="9"/>
  <c r="AZ48" i="9"/>
  <c r="AY48" i="9"/>
  <c r="AX48" i="9"/>
  <c r="AW48" i="9"/>
  <c r="AU48" i="9"/>
  <c r="BS47" i="9"/>
  <c r="BQ47" i="9"/>
  <c r="BP47" i="9"/>
  <c r="BO47" i="9"/>
  <c r="BN47" i="9"/>
  <c r="BM12" i="9"/>
  <c r="BK47" i="9"/>
  <c r="BI47" i="9"/>
  <c r="BH47" i="9"/>
  <c r="BG47" i="9"/>
  <c r="BF47" i="9"/>
  <c r="BE12" i="9"/>
  <c r="BC47" i="9"/>
  <c r="BA47" i="9"/>
  <c r="AZ47" i="9"/>
  <c r="AY47" i="9"/>
  <c r="AX47" i="9"/>
  <c r="AW12" i="9"/>
  <c r="AU47" i="9"/>
  <c r="BS21" i="9"/>
  <c r="BR45" i="9"/>
  <c r="BQ45" i="9"/>
  <c r="BP45" i="9"/>
  <c r="BK45" i="9"/>
  <c r="BJ45" i="9"/>
  <c r="BI45" i="9"/>
  <c r="BH45" i="9"/>
  <c r="BC45" i="9"/>
  <c r="BB45" i="9"/>
  <c r="BA45" i="9"/>
  <c r="AZ45" i="9"/>
  <c r="AU21" i="9"/>
  <c r="BS44" i="9"/>
  <c r="BQ44" i="9"/>
  <c r="BN20" i="9"/>
  <c r="BL20" i="9"/>
  <c r="BK44" i="9"/>
  <c r="BI44" i="9"/>
  <c r="BD44" i="9"/>
  <c r="BC44" i="9"/>
  <c r="BA44" i="9"/>
  <c r="AV44" i="9"/>
  <c r="AU44" i="9"/>
  <c r="BS19" i="9"/>
  <c r="BS53" i="9" s="1"/>
  <c r="BR19" i="9"/>
  <c r="BQ19" i="9"/>
  <c r="BP19" i="9"/>
  <c r="BP53" i="9" s="1"/>
  <c r="BM43" i="9"/>
  <c r="BL43" i="9"/>
  <c r="BK19" i="9"/>
  <c r="BK53" i="9" s="1"/>
  <c r="BJ19" i="9"/>
  <c r="BI19" i="9"/>
  <c r="BH19" i="9"/>
  <c r="BH53" i="9" s="1"/>
  <c r="BE43" i="9"/>
  <c r="BD43" i="9"/>
  <c r="BC19" i="9"/>
  <c r="BC53" i="9" s="1"/>
  <c r="BB19" i="9"/>
  <c r="BA19" i="9"/>
  <c r="AZ19" i="9"/>
  <c r="AZ53" i="9" s="1"/>
  <c r="AW43" i="9"/>
  <c r="AV43" i="9"/>
  <c r="AU19" i="9"/>
  <c r="AU53" i="9" s="1"/>
  <c r="BS18" i="9"/>
  <c r="BR18" i="9"/>
  <c r="BN42" i="9"/>
  <c r="BM42" i="9"/>
  <c r="BL18" i="9"/>
  <c r="BK18" i="9"/>
  <c r="BJ18" i="9"/>
  <c r="BF42" i="9"/>
  <c r="BE42" i="9"/>
  <c r="BD18" i="9"/>
  <c r="BD52" i="9" s="1"/>
  <c r="BC18" i="9"/>
  <c r="BB18" i="9"/>
  <c r="BA42" i="9"/>
  <c r="AX42" i="9"/>
  <c r="AW42" i="9"/>
  <c r="AV18" i="9"/>
  <c r="AU18" i="9"/>
  <c r="BQ32" i="8"/>
  <c r="BQ36" i="8" s="1"/>
  <c r="BI32" i="8"/>
  <c r="BI36" i="8" s="1"/>
  <c r="BS32" i="8"/>
  <c r="BS36" i="8" s="1"/>
  <c r="BK32" i="8"/>
  <c r="BK36" i="8" s="1"/>
  <c r="BC32" i="8"/>
  <c r="BC36" i="8" s="1"/>
  <c r="BM32" i="8"/>
  <c r="BM36" i="8" s="1"/>
  <c r="BE32" i="8"/>
  <c r="BE36" i="8" s="1"/>
  <c r="AJ30" i="8"/>
  <c r="AB30" i="8"/>
  <c r="T30" i="8"/>
  <c r="L30" i="8"/>
  <c r="D30" i="8"/>
  <c r="AT28" i="8"/>
  <c r="AR28" i="8"/>
  <c r="AS28" i="8"/>
  <c r="AQ28" i="8"/>
  <c r="AP28" i="8"/>
  <c r="AO28" i="8"/>
  <c r="AO30" i="8" s="1"/>
  <c r="AN28" i="8"/>
  <c r="AM28" i="8"/>
  <c r="AL28" i="8"/>
  <c r="AK28" i="8"/>
  <c r="AJ28" i="8"/>
  <c r="AI28" i="8"/>
  <c r="AH28" i="8"/>
  <c r="AG28" i="8"/>
  <c r="AG30" i="8" s="1"/>
  <c r="AF28" i="8"/>
  <c r="AE28" i="8"/>
  <c r="AD28" i="8"/>
  <c r="AC28" i="8"/>
  <c r="AB28" i="8"/>
  <c r="AA28" i="8"/>
  <c r="Z28" i="8"/>
  <c r="Y28" i="8"/>
  <c r="Y30" i="8" s="1"/>
  <c r="X28" i="8"/>
  <c r="W28" i="8"/>
  <c r="V28" i="8"/>
  <c r="U28" i="8"/>
  <c r="T28" i="8"/>
  <c r="S28" i="8"/>
  <c r="R28" i="8"/>
  <c r="Q28" i="8"/>
  <c r="Q30" i="8" s="1"/>
  <c r="P28" i="8"/>
  <c r="O28" i="8"/>
  <c r="N28" i="8"/>
  <c r="M28" i="8"/>
  <c r="L28" i="8"/>
  <c r="K28" i="8"/>
  <c r="J28" i="8"/>
  <c r="I28" i="8"/>
  <c r="I30" i="8" s="1"/>
  <c r="H28" i="8"/>
  <c r="G28" i="8"/>
  <c r="F28" i="8"/>
  <c r="E28" i="8"/>
  <c r="D28" i="8"/>
  <c r="C28" i="8"/>
  <c r="AR25" i="8"/>
  <c r="AQ25" i="8"/>
  <c r="AP25" i="8"/>
  <c r="AO25" i="8"/>
  <c r="AN25" i="8"/>
  <c r="AN30" i="8" s="1"/>
  <c r="AM25" i="8"/>
  <c r="AM30" i="8" s="1"/>
  <c r="AL25" i="8"/>
  <c r="AL30" i="8" s="1"/>
  <c r="AK25" i="8"/>
  <c r="AK30" i="8" s="1"/>
  <c r="AJ25" i="8"/>
  <c r="AI25" i="8"/>
  <c r="AI30" i="8" s="1"/>
  <c r="AH25" i="8"/>
  <c r="AH30" i="8" s="1"/>
  <c r="AG25" i="8"/>
  <c r="AF25" i="8"/>
  <c r="AF30" i="8" s="1"/>
  <c r="AE25" i="8"/>
  <c r="AE30" i="8" s="1"/>
  <c r="AD25" i="8"/>
  <c r="AD30" i="8" s="1"/>
  <c r="AC25" i="8"/>
  <c r="AC30" i="8" s="1"/>
  <c r="AB25" i="8"/>
  <c r="AA25" i="8"/>
  <c r="AA30" i="8" s="1"/>
  <c r="Z25" i="8"/>
  <c r="Z30" i="8" s="1"/>
  <c r="Y25" i="8"/>
  <c r="X25" i="8"/>
  <c r="X30" i="8" s="1"/>
  <c r="W25" i="8"/>
  <c r="W30" i="8" s="1"/>
  <c r="V25" i="8"/>
  <c r="V30" i="8" s="1"/>
  <c r="U25" i="8"/>
  <c r="U30" i="8" s="1"/>
  <c r="T25" i="8"/>
  <c r="S25" i="8"/>
  <c r="S30" i="8" s="1"/>
  <c r="R25" i="8"/>
  <c r="R30" i="8" s="1"/>
  <c r="Q25" i="8"/>
  <c r="P25" i="8"/>
  <c r="P30" i="8" s="1"/>
  <c r="O25" i="8"/>
  <c r="O30" i="8" s="1"/>
  <c r="N25" i="8"/>
  <c r="N30" i="8" s="1"/>
  <c r="M25" i="8"/>
  <c r="M30" i="8" s="1"/>
  <c r="L25" i="8"/>
  <c r="K25" i="8"/>
  <c r="K30" i="8" s="1"/>
  <c r="J25" i="8"/>
  <c r="J30" i="8" s="1"/>
  <c r="I25" i="8"/>
  <c r="H25" i="8"/>
  <c r="H30" i="8" s="1"/>
  <c r="G25" i="8"/>
  <c r="G30" i="8" s="1"/>
  <c r="F25" i="8"/>
  <c r="F30" i="8" s="1"/>
  <c r="E25" i="8"/>
  <c r="E30" i="8" s="1"/>
  <c r="D25" i="8"/>
  <c r="C25" i="8"/>
  <c r="C30" i="8" s="1"/>
  <c r="BQ23" i="8"/>
  <c r="BP23" i="8"/>
  <c r="BO23" i="8"/>
  <c r="BL23" i="8"/>
  <c r="BI23" i="8"/>
  <c r="BH23" i="8"/>
  <c r="BG23" i="8"/>
  <c r="BF23" i="8"/>
  <c r="BD23" i="8"/>
  <c r="BA23" i="8"/>
  <c r="AZ23" i="8"/>
  <c r="AY23" i="8"/>
  <c r="AX23" i="8"/>
  <c r="AV23" i="8"/>
  <c r="BS23" i="8"/>
  <c r="BR23" i="8"/>
  <c r="BN23" i="8"/>
  <c r="BM23" i="8"/>
  <c r="BK23" i="8"/>
  <c r="BJ23" i="8"/>
  <c r="BE23" i="8"/>
  <c r="BC23" i="8"/>
  <c r="BB23" i="8"/>
  <c r="AW23" i="8"/>
  <c r="AU23" i="8"/>
  <c r="BP20" i="8"/>
  <c r="BM20" i="8"/>
  <c r="BM30" i="8" s="1"/>
  <c r="BH20" i="8"/>
  <c r="BH30" i="8" s="1"/>
  <c r="BE20" i="8"/>
  <c r="BE30" i="8" s="1"/>
  <c r="AZ20" i="8"/>
  <c r="AW20" i="8"/>
  <c r="AW30" i="8" s="1"/>
  <c r="BS20" i="8"/>
  <c r="BS30" i="8" s="1"/>
  <c r="BQ20" i="8"/>
  <c r="BO20" i="8"/>
  <c r="BK20" i="8"/>
  <c r="BK30" i="8" s="1"/>
  <c r="BI20" i="8"/>
  <c r="BG20" i="8"/>
  <c r="BC20" i="8"/>
  <c r="BC30" i="8" s="1"/>
  <c r="BA20" i="8"/>
  <c r="AY20" i="8"/>
  <c r="AU20" i="8"/>
  <c r="AU30" i="8" s="1"/>
  <c r="BL20" i="8"/>
  <c r="BL30" i="8" s="1"/>
  <c r="BD20" i="8"/>
  <c r="AV20" i="8"/>
  <c r="AV30" i="8" s="1"/>
  <c r="AO18" i="8"/>
  <c r="AN18" i="8"/>
  <c r="AM18" i="8"/>
  <c r="AL18" i="8"/>
  <c r="AK18" i="8"/>
  <c r="AJ18" i="8"/>
  <c r="AI18" i="8"/>
  <c r="AH18" i="8"/>
  <c r="AG18" i="8"/>
  <c r="AF18" i="8"/>
  <c r="AE18" i="8"/>
  <c r="AD18" i="8"/>
  <c r="AC18" i="8"/>
  <c r="AB18" i="8"/>
  <c r="AA18" i="8"/>
  <c r="Z18" i="8"/>
  <c r="Y18" i="8"/>
  <c r="X18" i="8"/>
  <c r="W18" i="8"/>
  <c r="V18" i="8"/>
  <c r="U18" i="8"/>
  <c r="T18" i="8"/>
  <c r="S18" i="8"/>
  <c r="R18" i="8"/>
  <c r="Q18" i="8"/>
  <c r="P18" i="8"/>
  <c r="O18" i="8"/>
  <c r="N18" i="8"/>
  <c r="M18" i="8"/>
  <c r="L18" i="8"/>
  <c r="K18" i="8"/>
  <c r="J18" i="8"/>
  <c r="I18" i="8"/>
  <c r="H18" i="8"/>
  <c r="G18" i="8"/>
  <c r="F18" i="8"/>
  <c r="E18" i="8"/>
  <c r="D18" i="8"/>
  <c r="C18" i="8"/>
  <c r="BR15" i="8"/>
  <c r="BO15" i="8"/>
  <c r="BJ15" i="8"/>
  <c r="BB15" i="8"/>
  <c r="AY15" i="8"/>
  <c r="BP15" i="8"/>
  <c r="BM15" i="8"/>
  <c r="BK15" i="8"/>
  <c r="BH15" i="8"/>
  <c r="BE15" i="8"/>
  <c r="AZ15" i="8"/>
  <c r="AW15" i="8"/>
  <c r="AU15" i="8"/>
  <c r="BQ15" i="8"/>
  <c r="BN15" i="8"/>
  <c r="BI15" i="8"/>
  <c r="BG15" i="8"/>
  <c r="BF15" i="8"/>
  <c r="BA15" i="8"/>
  <c r="AX15" i="8"/>
  <c r="BQ18" i="8"/>
  <c r="BM18" i="8"/>
  <c r="BL18" i="8"/>
  <c r="BI18" i="8"/>
  <c r="BE18" i="8"/>
  <c r="BD18" i="8"/>
  <c r="BA18" i="8"/>
  <c r="AW18" i="8"/>
  <c r="AV18" i="8"/>
  <c r="AT18" i="8"/>
  <c r="AS18" i="8"/>
  <c r="AO29" i="7"/>
  <c r="AN29" i="7"/>
  <c r="BM23" i="7"/>
  <c r="BE23" i="7"/>
  <c r="AW23" i="7"/>
  <c r="BR23" i="7"/>
  <c r="BJ23" i="7"/>
  <c r="BB23" i="7"/>
  <c r="AT23" i="7"/>
  <c r="BQ23" i="7"/>
  <c r="BP23" i="7"/>
  <c r="BI23" i="7"/>
  <c r="BH23" i="7"/>
  <c r="BA23" i="7"/>
  <c r="AZ23" i="7"/>
  <c r="AS23" i="7"/>
  <c r="AR23" i="7"/>
  <c r="BO23" i="7"/>
  <c r="BN23" i="7"/>
  <c r="BG23" i="7"/>
  <c r="BF23" i="7"/>
  <c r="BD23" i="7"/>
  <c r="AY23" i="7"/>
  <c r="AX23" i="7"/>
  <c r="AQ23" i="7"/>
  <c r="AP23" i="7"/>
  <c r="BQ18" i="7"/>
  <c r="BM18" i="7"/>
  <c r="BI18" i="7"/>
  <c r="BA18" i="7"/>
  <c r="AW18" i="7"/>
  <c r="AS18" i="7"/>
  <c r="BO18" i="7"/>
  <c r="BG18" i="7"/>
  <c r="BD18" i="7"/>
  <c r="AY18" i="7"/>
  <c r="AV18" i="7"/>
  <c r="AQ18" i="7"/>
  <c r="BL18" i="7"/>
  <c r="BE18" i="7"/>
  <c r="BQ14" i="7"/>
  <c r="BQ13" i="7" s="1"/>
  <c r="BI14" i="7"/>
  <c r="BI13" i="7" s="1"/>
  <c r="BA14" i="7"/>
  <c r="BA13" i="7" s="1"/>
  <c r="AS14" i="7"/>
  <c r="AS13" i="7" s="1"/>
  <c r="BO14" i="7"/>
  <c r="BO13" i="7" s="1"/>
  <c r="BG14" i="7"/>
  <c r="BG13" i="7" s="1"/>
  <c r="BD14" i="7"/>
  <c r="BD13" i="7" s="1"/>
  <c r="AY14" i="7"/>
  <c r="AY13" i="7" s="1"/>
  <c r="AV14" i="7"/>
  <c r="AV13" i="7" s="1"/>
  <c r="AQ14" i="7"/>
  <c r="AQ13" i="7" s="1"/>
  <c r="BM14" i="7"/>
  <c r="BL14" i="7"/>
  <c r="BL13" i="7" s="1"/>
  <c r="BE14" i="7"/>
  <c r="BE13" i="7" s="1"/>
  <c r="AW14" i="7"/>
  <c r="BS9" i="7"/>
  <c r="BR9" i="7"/>
  <c r="BK9" i="7"/>
  <c r="BJ9" i="7"/>
  <c r="BC9" i="7"/>
  <c r="BB9" i="7"/>
  <c r="AU9" i="7"/>
  <c r="BM9" i="7"/>
  <c r="BL9" i="7"/>
  <c r="BE9" i="7"/>
  <c r="BD9" i="7"/>
  <c r="AW9" i="7"/>
  <c r="AV9" i="7"/>
  <c r="AT9" i="7"/>
  <c r="AW51" i="6"/>
  <c r="BK51" i="6"/>
  <c r="BQ51" i="6"/>
  <c r="BO51" i="6"/>
  <c r="BN51" i="6"/>
  <c r="BN63" i="6" s="1"/>
  <c r="BI51" i="6"/>
  <c r="BG51" i="6"/>
  <c r="BF51" i="6"/>
  <c r="BF63" i="6" s="1"/>
  <c r="AY51" i="6"/>
  <c r="AX51" i="6"/>
  <c r="AX63" i="6" s="1"/>
  <c r="AX62" i="6" s="1"/>
  <c r="AS51" i="6"/>
  <c r="AQ51" i="6"/>
  <c r="AP51" i="6"/>
  <c r="AP63" i="6" s="1"/>
  <c r="AP62" i="6" s="1"/>
  <c r="AU51" i="6"/>
  <c r="BQ44" i="6"/>
  <c r="BI44" i="6"/>
  <c r="BI59" i="6" s="1"/>
  <c r="BI58" i="6" s="1"/>
  <c r="AS44" i="6"/>
  <c r="BR44" i="6"/>
  <c r="BG44" i="6"/>
  <c r="BG59" i="6" s="1"/>
  <c r="BG58" i="6" s="1"/>
  <c r="AT44" i="6"/>
  <c r="BS44" i="6"/>
  <c r="BK44" i="6"/>
  <c r="BH44" i="6"/>
  <c r="BC44" i="6"/>
  <c r="AU44" i="6"/>
  <c r="BL38" i="6"/>
  <c r="BE38" i="6"/>
  <c r="BD38" i="6"/>
  <c r="AW38" i="6"/>
  <c r="AV38" i="6"/>
  <c r="BE14" i="6"/>
  <c r="BS14" i="6"/>
  <c r="BK14" i="6"/>
  <c r="BC14" i="6"/>
  <c r="AU14" i="6"/>
  <c r="BQ14" i="6"/>
  <c r="BB14" i="6"/>
  <c r="BB26" i="6" s="1"/>
  <c r="BB25" i="6" s="1"/>
  <c r="BA14" i="6"/>
  <c r="BO14" i="6"/>
  <c r="BM14" i="6"/>
  <c r="BL14" i="6"/>
  <c r="BG14" i="6"/>
  <c r="BD14" i="6"/>
  <c r="AY14" i="6"/>
  <c r="AW14" i="6"/>
  <c r="AV14" i="6"/>
  <c r="AQ14" i="6"/>
  <c r="BR14" i="6"/>
  <c r="BI14" i="6"/>
  <c r="AS14" i="6"/>
  <c r="BM7" i="6"/>
  <c r="BM22" i="6" s="1"/>
  <c r="BM21" i="6" s="1"/>
  <c r="BE7" i="6"/>
  <c r="AW7" i="6"/>
  <c r="AW22" i="6" s="1"/>
  <c r="AW21" i="6" s="1"/>
  <c r="BK7" i="6"/>
  <c r="BK22" i="6" s="1"/>
  <c r="BK21" i="6" s="1"/>
  <c r="AU7" i="6"/>
  <c r="AU22" i="6" s="1"/>
  <c r="AU21" i="6" s="1"/>
  <c r="BQ7" i="6"/>
  <c r="BO7" i="6"/>
  <c r="BI7" i="6"/>
  <c r="BG7" i="6"/>
  <c r="BA7" i="6"/>
  <c r="AY7" i="6"/>
  <c r="AS7" i="6"/>
  <c r="BS18" i="5"/>
  <c r="BR18" i="5"/>
  <c r="BQ18" i="5"/>
  <c r="BP18" i="5"/>
  <c r="BO18" i="5"/>
  <c r="BN18" i="5"/>
  <c r="BM18" i="5"/>
  <c r="BL18" i="5"/>
  <c r="BK18" i="5"/>
  <c r="BJ18" i="5"/>
  <c r="BI18" i="5"/>
  <c r="BH18" i="5"/>
  <c r="BG18" i="5"/>
  <c r="BF18" i="5"/>
  <c r="BE18" i="5"/>
  <c r="BD18" i="5"/>
  <c r="BC18" i="5"/>
  <c r="BB18" i="5"/>
  <c r="BA18" i="5"/>
  <c r="AZ18" i="5"/>
  <c r="AY18" i="5"/>
  <c r="AX18" i="5"/>
  <c r="AW18" i="5"/>
  <c r="AV18" i="5"/>
  <c r="AU18" i="5"/>
  <c r="AT18" i="5"/>
  <c r="AS18" i="5"/>
  <c r="AR18" i="5"/>
  <c r="AQ18" i="5"/>
  <c r="AP18" i="5"/>
  <c r="AC18" i="5"/>
  <c r="AB18" i="5"/>
  <c r="AA18" i="5"/>
  <c r="Z18" i="5"/>
  <c r="Y18" i="5"/>
  <c r="X18" i="5"/>
  <c r="W18" i="5"/>
  <c r="V18" i="5"/>
  <c r="U18" i="5"/>
  <c r="T18" i="5"/>
  <c r="S18" i="5"/>
  <c r="R18" i="5"/>
  <c r="Q18" i="5"/>
  <c r="P18" i="5"/>
  <c r="O18" i="5"/>
  <c r="N18" i="5"/>
  <c r="M18" i="5"/>
  <c r="L18" i="5"/>
  <c r="K18" i="5"/>
  <c r="J18" i="5"/>
  <c r="I18" i="5"/>
  <c r="H18" i="5"/>
  <c r="G18" i="5"/>
  <c r="F18" i="5"/>
  <c r="E18" i="5"/>
  <c r="D18" i="5"/>
  <c r="C18" i="5"/>
  <c r="AT42" i="4"/>
  <c r="AR42" i="4"/>
  <c r="AO42" i="4"/>
  <c r="AO12" i="4" s="1"/>
  <c r="AL42" i="4"/>
  <c r="AJ42" i="4"/>
  <c r="AG42" i="4"/>
  <c r="AG12" i="4" s="1"/>
  <c r="AD42" i="4"/>
  <c r="AB42" i="4"/>
  <c r="Y42" i="4"/>
  <c r="Y12" i="4" s="1"/>
  <c r="V42" i="4"/>
  <c r="T42" i="4"/>
  <c r="Q42" i="4"/>
  <c r="Q12" i="4" s="1"/>
  <c r="N42" i="4"/>
  <c r="L42" i="4"/>
  <c r="I42" i="4"/>
  <c r="I12" i="4" s="1"/>
  <c r="F42" i="4"/>
  <c r="E40" i="4"/>
  <c r="D40" i="4"/>
  <c r="D38" i="4" s="1"/>
  <c r="C40" i="4"/>
  <c r="AT38" i="4"/>
  <c r="AS38" i="4"/>
  <c r="AS42" i="4" s="1"/>
  <c r="AS12" i="4" s="1"/>
  <c r="AR38" i="4"/>
  <c r="AQ38" i="4"/>
  <c r="AQ42" i="4" s="1"/>
  <c r="AQ12" i="4" s="1"/>
  <c r="AP38" i="4"/>
  <c r="AP42" i="4" s="1"/>
  <c r="AP12" i="4" s="1"/>
  <c r="AO38" i="4"/>
  <c r="AN38" i="4"/>
  <c r="AN7" i="4" s="1"/>
  <c r="AN9" i="4" s="1"/>
  <c r="AM38" i="4"/>
  <c r="AM42" i="4" s="1"/>
  <c r="AM12" i="4" s="1"/>
  <c r="AL38" i="4"/>
  <c r="AK38" i="4"/>
  <c r="AK42" i="4" s="1"/>
  <c r="AK12" i="4" s="1"/>
  <c r="AJ38" i="4"/>
  <c r="AI38" i="4"/>
  <c r="AI42" i="4" s="1"/>
  <c r="AI12" i="4" s="1"/>
  <c r="AH38" i="4"/>
  <c r="AH42" i="4" s="1"/>
  <c r="AH12" i="4" s="1"/>
  <c r="AG38" i="4"/>
  <c r="AF38" i="4"/>
  <c r="AF7" i="4" s="1"/>
  <c r="AF9" i="4" s="1"/>
  <c r="AE38" i="4"/>
  <c r="AE42" i="4" s="1"/>
  <c r="AE12" i="4" s="1"/>
  <c r="AD38" i="4"/>
  <c r="AC38" i="4"/>
  <c r="AC42" i="4" s="1"/>
  <c r="AC12" i="4" s="1"/>
  <c r="AB38" i="4"/>
  <c r="AA38" i="4"/>
  <c r="AA42" i="4" s="1"/>
  <c r="AA12" i="4" s="1"/>
  <c r="Z38" i="4"/>
  <c r="Z42" i="4" s="1"/>
  <c r="Z12" i="4" s="1"/>
  <c r="Y38" i="4"/>
  <c r="X38" i="4"/>
  <c r="X7" i="4" s="1"/>
  <c r="X9" i="4" s="1"/>
  <c r="W38" i="4"/>
  <c r="W42" i="4" s="1"/>
  <c r="W12" i="4" s="1"/>
  <c r="V38" i="4"/>
  <c r="U38" i="4"/>
  <c r="U42" i="4" s="1"/>
  <c r="U12" i="4" s="1"/>
  <c r="T38" i="4"/>
  <c r="S38" i="4"/>
  <c r="S42" i="4" s="1"/>
  <c r="S12" i="4" s="1"/>
  <c r="R38" i="4"/>
  <c r="R42" i="4" s="1"/>
  <c r="R12" i="4" s="1"/>
  <c r="Q38" i="4"/>
  <c r="P38" i="4"/>
  <c r="P7" i="4" s="1"/>
  <c r="P9" i="4" s="1"/>
  <c r="O38" i="4"/>
  <c r="O42" i="4" s="1"/>
  <c r="O12" i="4" s="1"/>
  <c r="N38" i="4"/>
  <c r="M38" i="4"/>
  <c r="M42" i="4" s="1"/>
  <c r="M12" i="4" s="1"/>
  <c r="L38" i="4"/>
  <c r="K38" i="4"/>
  <c r="K42" i="4" s="1"/>
  <c r="K12" i="4" s="1"/>
  <c r="J38" i="4"/>
  <c r="J42" i="4" s="1"/>
  <c r="J12" i="4" s="1"/>
  <c r="I38" i="4"/>
  <c r="H38" i="4"/>
  <c r="H7" i="4" s="1"/>
  <c r="H9" i="4" s="1"/>
  <c r="G38" i="4"/>
  <c r="G42" i="4" s="1"/>
  <c r="G12" i="4" s="1"/>
  <c r="F38" i="4"/>
  <c r="E38" i="4"/>
  <c r="E42" i="4" s="1"/>
  <c r="E12" i="4" s="1"/>
  <c r="C38" i="4"/>
  <c r="C42" i="4" s="1"/>
  <c r="C12" i="4" s="1"/>
  <c r="AT32" i="4"/>
  <c r="AS32" i="4"/>
  <c r="AR32" i="4"/>
  <c r="AQ32" i="4"/>
  <c r="AQ30" i="4" s="1"/>
  <c r="AP32" i="4"/>
  <c r="AT30" i="4"/>
  <c r="AS30" i="4"/>
  <c r="AS29" i="4" s="1"/>
  <c r="AR30" i="4"/>
  <c r="AP30" i="4"/>
  <c r="AP29" i="4" s="1"/>
  <c r="AO30" i="4"/>
  <c r="AN30" i="4"/>
  <c r="AN29" i="4" s="1"/>
  <c r="AM30" i="4"/>
  <c r="AL30" i="4"/>
  <c r="AK30" i="4"/>
  <c r="AK29" i="4" s="1"/>
  <c r="AJ30" i="4"/>
  <c r="AI30" i="4"/>
  <c r="AH30" i="4"/>
  <c r="AH29" i="4" s="1"/>
  <c r="AG30" i="4"/>
  <c r="AF30" i="4"/>
  <c r="AF29" i="4" s="1"/>
  <c r="AE30" i="4"/>
  <c r="AD30" i="4"/>
  <c r="AC30" i="4"/>
  <c r="AC29" i="4" s="1"/>
  <c r="AB30" i="4"/>
  <c r="AA30" i="4"/>
  <c r="Z30" i="4"/>
  <c r="Z29" i="4" s="1"/>
  <c r="Y30" i="4"/>
  <c r="X30" i="4"/>
  <c r="X29" i="4" s="1"/>
  <c r="W30" i="4"/>
  <c r="V30" i="4"/>
  <c r="U30" i="4"/>
  <c r="U29" i="4" s="1"/>
  <c r="T30" i="4"/>
  <c r="S30" i="4"/>
  <c r="R30" i="4"/>
  <c r="R29" i="4" s="1"/>
  <c r="Q30" i="4"/>
  <c r="P30" i="4"/>
  <c r="P29" i="4" s="1"/>
  <c r="O30" i="4"/>
  <c r="N30" i="4"/>
  <c r="M30" i="4"/>
  <c r="M29" i="4" s="1"/>
  <c r="L30" i="4"/>
  <c r="K30" i="4"/>
  <c r="J30" i="4"/>
  <c r="J29" i="4" s="1"/>
  <c r="I30" i="4"/>
  <c r="H30" i="4"/>
  <c r="H29" i="4" s="1"/>
  <c r="G30" i="4"/>
  <c r="F30" i="4"/>
  <c r="E30" i="4"/>
  <c r="E29" i="4" s="1"/>
  <c r="D30" i="4"/>
  <c r="C30" i="4"/>
  <c r="AT29" i="4"/>
  <c r="AR29" i="4"/>
  <c r="AO29" i="4"/>
  <c r="AM29" i="4"/>
  <c r="AL29" i="4"/>
  <c r="AJ29" i="4"/>
  <c r="AI29" i="4"/>
  <c r="AG29" i="4"/>
  <c r="AE29" i="4"/>
  <c r="AD29" i="4"/>
  <c r="AB29" i="4"/>
  <c r="AA29" i="4"/>
  <c r="Y29" i="4"/>
  <c r="W29" i="4"/>
  <c r="V29" i="4"/>
  <c r="T29" i="4"/>
  <c r="S29" i="4"/>
  <c r="Q29" i="4"/>
  <c r="O29" i="4"/>
  <c r="N29" i="4"/>
  <c r="L29" i="4"/>
  <c r="K29" i="4"/>
  <c r="I29" i="4"/>
  <c r="G29" i="4"/>
  <c r="F29" i="4"/>
  <c r="D29" i="4"/>
  <c r="C29" i="4"/>
  <c r="AT27" i="4"/>
  <c r="AS27" i="4"/>
  <c r="AR27" i="4"/>
  <c r="AQ27" i="4"/>
  <c r="AP27" i="4"/>
  <c r="AP25" i="4" s="1"/>
  <c r="AG27" i="4"/>
  <c r="AS26" i="4"/>
  <c r="AS25" i="4" s="1"/>
  <c r="AT25" i="4"/>
  <c r="AR25" i="4"/>
  <c r="AR24" i="4" s="1"/>
  <c r="AR34" i="4" s="1"/>
  <c r="AR11" i="4" s="1"/>
  <c r="AQ25" i="4"/>
  <c r="AO25" i="4"/>
  <c r="AO24" i="4" s="1"/>
  <c r="AO34" i="4" s="1"/>
  <c r="AO11" i="4" s="1"/>
  <c r="AN25" i="4"/>
  <c r="AM25" i="4"/>
  <c r="AM24" i="4" s="1"/>
  <c r="AM34" i="4" s="1"/>
  <c r="AM11" i="4" s="1"/>
  <c r="AL25" i="4"/>
  <c r="AK25" i="4"/>
  <c r="AJ25" i="4"/>
  <c r="AJ24" i="4" s="1"/>
  <c r="AJ34" i="4" s="1"/>
  <c r="AJ11" i="4" s="1"/>
  <c r="AI25" i="4"/>
  <c r="AH25" i="4"/>
  <c r="AG25" i="4"/>
  <c r="AG24" i="4" s="1"/>
  <c r="AG34" i="4" s="1"/>
  <c r="AG11" i="4" s="1"/>
  <c r="AF25" i="4"/>
  <c r="AE25" i="4"/>
  <c r="AE24" i="4" s="1"/>
  <c r="AE34" i="4" s="1"/>
  <c r="AE11" i="4" s="1"/>
  <c r="AD25" i="4"/>
  <c r="AC25" i="4"/>
  <c r="AB25" i="4"/>
  <c r="AB24" i="4" s="1"/>
  <c r="AB34" i="4" s="1"/>
  <c r="AB11" i="4" s="1"/>
  <c r="AA25" i="4"/>
  <c r="Z25" i="4"/>
  <c r="Y25" i="4"/>
  <c r="Y24" i="4" s="1"/>
  <c r="Y34" i="4" s="1"/>
  <c r="Y11" i="4" s="1"/>
  <c r="X25" i="4"/>
  <c r="W25" i="4"/>
  <c r="W24" i="4" s="1"/>
  <c r="W34" i="4" s="1"/>
  <c r="W11" i="4" s="1"/>
  <c r="V25" i="4"/>
  <c r="U25" i="4"/>
  <c r="T25" i="4"/>
  <c r="T24" i="4" s="1"/>
  <c r="T34" i="4" s="1"/>
  <c r="T11" i="4" s="1"/>
  <c r="S25" i="4"/>
  <c r="R25" i="4"/>
  <c r="Q25" i="4"/>
  <c r="Q24" i="4" s="1"/>
  <c r="Q34" i="4" s="1"/>
  <c r="Q11" i="4" s="1"/>
  <c r="P25" i="4"/>
  <c r="O25" i="4"/>
  <c r="O24" i="4" s="1"/>
  <c r="O34" i="4" s="1"/>
  <c r="O11" i="4" s="1"/>
  <c r="N25" i="4"/>
  <c r="M25" i="4"/>
  <c r="L25" i="4"/>
  <c r="L24" i="4" s="1"/>
  <c r="L34" i="4" s="1"/>
  <c r="L11" i="4" s="1"/>
  <c r="K25" i="4"/>
  <c r="J25" i="4"/>
  <c r="I25" i="4"/>
  <c r="I24" i="4" s="1"/>
  <c r="I34" i="4" s="1"/>
  <c r="I11" i="4" s="1"/>
  <c r="H25" i="4"/>
  <c r="G25" i="4"/>
  <c r="G24" i="4" s="1"/>
  <c r="G34" i="4" s="1"/>
  <c r="G11" i="4" s="1"/>
  <c r="F25" i="4"/>
  <c r="E25" i="4"/>
  <c r="D25" i="4"/>
  <c r="D24" i="4" s="1"/>
  <c r="D34" i="4" s="1"/>
  <c r="D11" i="4" s="1"/>
  <c r="C25" i="4"/>
  <c r="AT24" i="4"/>
  <c r="AT34" i="4" s="1"/>
  <c r="AT11" i="4" s="1"/>
  <c r="AQ24" i="4"/>
  <c r="AN24" i="4"/>
  <c r="AN34" i="4" s="1"/>
  <c r="AN11" i="4" s="1"/>
  <c r="AL24" i="4"/>
  <c r="AL34" i="4" s="1"/>
  <c r="AL11" i="4" s="1"/>
  <c r="AK24" i="4"/>
  <c r="AK34" i="4" s="1"/>
  <c r="AK11" i="4" s="1"/>
  <c r="AI24" i="4"/>
  <c r="AI34" i="4" s="1"/>
  <c r="AI11" i="4" s="1"/>
  <c r="AH24" i="4"/>
  <c r="AF24" i="4"/>
  <c r="AF34" i="4" s="1"/>
  <c r="AF11" i="4" s="1"/>
  <c r="AD24" i="4"/>
  <c r="AD34" i="4" s="1"/>
  <c r="AD11" i="4" s="1"/>
  <c r="AC24" i="4"/>
  <c r="AC34" i="4" s="1"/>
  <c r="AC11" i="4" s="1"/>
  <c r="AA24" i="4"/>
  <c r="AA34" i="4" s="1"/>
  <c r="AA11" i="4" s="1"/>
  <c r="Z24" i="4"/>
  <c r="Z34" i="4" s="1"/>
  <c r="Z11" i="4" s="1"/>
  <c r="X24" i="4"/>
  <c r="X34" i="4" s="1"/>
  <c r="X11" i="4" s="1"/>
  <c r="V24" i="4"/>
  <c r="V34" i="4" s="1"/>
  <c r="V11" i="4" s="1"/>
  <c r="U24" i="4"/>
  <c r="S24" i="4"/>
  <c r="S34" i="4" s="1"/>
  <c r="S11" i="4" s="1"/>
  <c r="R24" i="4"/>
  <c r="P24" i="4"/>
  <c r="P34" i="4" s="1"/>
  <c r="P11" i="4" s="1"/>
  <c r="N24" i="4"/>
  <c r="N34" i="4" s="1"/>
  <c r="N11" i="4" s="1"/>
  <c r="M24" i="4"/>
  <c r="M34" i="4" s="1"/>
  <c r="M11" i="4" s="1"/>
  <c r="K24" i="4"/>
  <c r="K34" i="4" s="1"/>
  <c r="K11" i="4" s="1"/>
  <c r="J24" i="4"/>
  <c r="H24" i="4"/>
  <c r="H34" i="4" s="1"/>
  <c r="H11" i="4" s="1"/>
  <c r="F24" i="4"/>
  <c r="F34" i="4" s="1"/>
  <c r="F11" i="4" s="1"/>
  <c r="E24" i="4"/>
  <c r="C24" i="4"/>
  <c r="C34" i="4" s="1"/>
  <c r="C11" i="4" s="1"/>
  <c r="E19" i="4"/>
  <c r="E18" i="4"/>
  <c r="E16" i="4" s="1"/>
  <c r="D18" i="4"/>
  <c r="C18" i="4"/>
  <c r="C16" i="4" s="1"/>
  <c r="AT16" i="4"/>
  <c r="AT20" i="4" s="1"/>
  <c r="AT10" i="4" s="1"/>
  <c r="AS16" i="4"/>
  <c r="AS20" i="4" s="1"/>
  <c r="AS10" i="4" s="1"/>
  <c r="AR16" i="4"/>
  <c r="AR20" i="4" s="1"/>
  <c r="AR10" i="4" s="1"/>
  <c r="AQ16" i="4"/>
  <c r="AQ20" i="4" s="1"/>
  <c r="AQ10" i="4" s="1"/>
  <c r="AP16" i="4"/>
  <c r="AP20" i="4" s="1"/>
  <c r="AP10" i="4" s="1"/>
  <c r="AO16" i="4"/>
  <c r="AO20" i="4" s="1"/>
  <c r="AO10" i="4" s="1"/>
  <c r="AN16" i="4"/>
  <c r="AN20" i="4" s="1"/>
  <c r="AN10" i="4" s="1"/>
  <c r="AM16" i="4"/>
  <c r="AM20" i="4" s="1"/>
  <c r="AM10" i="4" s="1"/>
  <c r="AL16" i="4"/>
  <c r="AL20" i="4" s="1"/>
  <c r="AL10" i="4" s="1"/>
  <c r="AK16" i="4"/>
  <c r="AK20" i="4" s="1"/>
  <c r="AK10" i="4" s="1"/>
  <c r="AJ16" i="4"/>
  <c r="AJ20" i="4" s="1"/>
  <c r="AJ10" i="4" s="1"/>
  <c r="AI16" i="4"/>
  <c r="AI20" i="4" s="1"/>
  <c r="AI10" i="4" s="1"/>
  <c r="AH16" i="4"/>
  <c r="AH20" i="4" s="1"/>
  <c r="AH10" i="4" s="1"/>
  <c r="AG16" i="4"/>
  <c r="AG20" i="4" s="1"/>
  <c r="AG10" i="4" s="1"/>
  <c r="AF16" i="4"/>
  <c r="AF20" i="4" s="1"/>
  <c r="AF10" i="4" s="1"/>
  <c r="AE16" i="4"/>
  <c r="AE20" i="4" s="1"/>
  <c r="AE10" i="4" s="1"/>
  <c r="AD16" i="4"/>
  <c r="AD20" i="4" s="1"/>
  <c r="AD10" i="4" s="1"/>
  <c r="AC16" i="4"/>
  <c r="AC20" i="4" s="1"/>
  <c r="AC10" i="4" s="1"/>
  <c r="AB16" i="4"/>
  <c r="AB20" i="4" s="1"/>
  <c r="AB10" i="4" s="1"/>
  <c r="AA16" i="4"/>
  <c r="AA20" i="4" s="1"/>
  <c r="AA10" i="4" s="1"/>
  <c r="Z16" i="4"/>
  <c r="Z20" i="4" s="1"/>
  <c r="Z10" i="4" s="1"/>
  <c r="Y16" i="4"/>
  <c r="Y20" i="4" s="1"/>
  <c r="Y10" i="4" s="1"/>
  <c r="X16" i="4"/>
  <c r="X20" i="4" s="1"/>
  <c r="X10" i="4" s="1"/>
  <c r="W16" i="4"/>
  <c r="W20" i="4" s="1"/>
  <c r="W10" i="4" s="1"/>
  <c r="V16" i="4"/>
  <c r="V20" i="4" s="1"/>
  <c r="V10" i="4" s="1"/>
  <c r="U16" i="4"/>
  <c r="U20" i="4" s="1"/>
  <c r="U10" i="4" s="1"/>
  <c r="T16" i="4"/>
  <c r="T20" i="4" s="1"/>
  <c r="T10" i="4" s="1"/>
  <c r="S16" i="4"/>
  <c r="S20" i="4" s="1"/>
  <c r="S10" i="4" s="1"/>
  <c r="R16" i="4"/>
  <c r="R20" i="4" s="1"/>
  <c r="R10" i="4" s="1"/>
  <c r="Q16" i="4"/>
  <c r="Q20" i="4" s="1"/>
  <c r="Q10" i="4" s="1"/>
  <c r="P16" i="4"/>
  <c r="P20" i="4" s="1"/>
  <c r="P10" i="4" s="1"/>
  <c r="O16" i="4"/>
  <c r="O20" i="4" s="1"/>
  <c r="O10" i="4" s="1"/>
  <c r="N16" i="4"/>
  <c r="N20" i="4" s="1"/>
  <c r="N10" i="4" s="1"/>
  <c r="M16" i="4"/>
  <c r="M20" i="4" s="1"/>
  <c r="M10" i="4" s="1"/>
  <c r="L16" i="4"/>
  <c r="L20" i="4" s="1"/>
  <c r="L10" i="4" s="1"/>
  <c r="K16" i="4"/>
  <c r="K20" i="4" s="1"/>
  <c r="K10" i="4" s="1"/>
  <c r="J16" i="4"/>
  <c r="J20" i="4" s="1"/>
  <c r="J10" i="4" s="1"/>
  <c r="I16" i="4"/>
  <c r="I20" i="4" s="1"/>
  <c r="I10" i="4" s="1"/>
  <c r="H16" i="4"/>
  <c r="H20" i="4" s="1"/>
  <c r="H10" i="4" s="1"/>
  <c r="G16" i="4"/>
  <c r="G20" i="4" s="1"/>
  <c r="G10" i="4" s="1"/>
  <c r="F16" i="4"/>
  <c r="F20" i="4" s="1"/>
  <c r="F10" i="4" s="1"/>
  <c r="D16" i="4"/>
  <c r="D20" i="4" s="1"/>
  <c r="D10" i="4" s="1"/>
  <c r="AT12" i="4"/>
  <c r="AR12" i="4"/>
  <c r="AL12" i="4"/>
  <c r="AJ12" i="4"/>
  <c r="AD12" i="4"/>
  <c r="AB12" i="4"/>
  <c r="V12" i="4"/>
  <c r="T12" i="4"/>
  <c r="N12" i="4"/>
  <c r="L12" i="4"/>
  <c r="F12" i="4"/>
  <c r="AT8" i="4"/>
  <c r="AS8" i="4"/>
  <c r="AR8" i="4"/>
  <c r="AQ8" i="4"/>
  <c r="AP8" i="4"/>
  <c r="AO8" i="4"/>
  <c r="AN8" i="4"/>
  <c r="AM8" i="4"/>
  <c r="AL8" i="4"/>
  <c r="AK8" i="4"/>
  <c r="AJ8" i="4"/>
  <c r="AI8" i="4"/>
  <c r="AH8" i="4"/>
  <c r="AG8" i="4"/>
  <c r="AF8" i="4"/>
  <c r="AE8" i="4"/>
  <c r="AD8" i="4"/>
  <c r="AC8" i="4"/>
  <c r="AB8" i="4"/>
  <c r="AA8" i="4"/>
  <c r="Z8" i="4"/>
  <c r="Y8" i="4"/>
  <c r="X8" i="4"/>
  <c r="W8" i="4"/>
  <c r="V8" i="4"/>
  <c r="U8" i="4"/>
  <c r="T8" i="4"/>
  <c r="S8" i="4"/>
  <c r="R8" i="4"/>
  <c r="Q8" i="4"/>
  <c r="P8" i="4"/>
  <c r="O8" i="4"/>
  <c r="N8" i="4"/>
  <c r="M8" i="4"/>
  <c r="L8" i="4"/>
  <c r="K8" i="4"/>
  <c r="J8" i="4"/>
  <c r="I8" i="4"/>
  <c r="H8" i="4"/>
  <c r="G8" i="4"/>
  <c r="F8" i="4"/>
  <c r="E8" i="4"/>
  <c r="D8" i="4"/>
  <c r="C8" i="4"/>
  <c r="AT7" i="4"/>
  <c r="AT9" i="4" s="1"/>
  <c r="AR7" i="4"/>
  <c r="AR9" i="4" s="1"/>
  <c r="AO7" i="4"/>
  <c r="AO9" i="4" s="1"/>
  <c r="AM7" i="4"/>
  <c r="AM9" i="4" s="1"/>
  <c r="AL7" i="4"/>
  <c r="AL9" i="4" s="1"/>
  <c r="AJ7" i="4"/>
  <c r="AJ9" i="4" s="1"/>
  <c r="AI7" i="4"/>
  <c r="AI9" i="4" s="1"/>
  <c r="AH7" i="4"/>
  <c r="AH9" i="4" s="1"/>
  <c r="AG7" i="4"/>
  <c r="AG9" i="4" s="1"/>
  <c r="AE7" i="4"/>
  <c r="AE9" i="4" s="1"/>
  <c r="AD7" i="4"/>
  <c r="AD9" i="4" s="1"/>
  <c r="AB7" i="4"/>
  <c r="AB9" i="4" s="1"/>
  <c r="AA7" i="4"/>
  <c r="AA9" i="4" s="1"/>
  <c r="Z7" i="4"/>
  <c r="Z9" i="4" s="1"/>
  <c r="Y7" i="4"/>
  <c r="Y9" i="4" s="1"/>
  <c r="W7" i="4"/>
  <c r="W9" i="4" s="1"/>
  <c r="V7" i="4"/>
  <c r="V9" i="4" s="1"/>
  <c r="T7" i="4"/>
  <c r="T9" i="4" s="1"/>
  <c r="S7" i="4"/>
  <c r="S9" i="4" s="1"/>
  <c r="R7" i="4"/>
  <c r="R9" i="4" s="1"/>
  <c r="Q7" i="4"/>
  <c r="Q9" i="4" s="1"/>
  <c r="O7" i="4"/>
  <c r="O9" i="4" s="1"/>
  <c r="N7" i="4"/>
  <c r="N9" i="4" s="1"/>
  <c r="L7" i="4"/>
  <c r="L9" i="4" s="1"/>
  <c r="K7" i="4"/>
  <c r="K9" i="4" s="1"/>
  <c r="J7" i="4"/>
  <c r="J9" i="4" s="1"/>
  <c r="I7" i="4"/>
  <c r="I9" i="4" s="1"/>
  <c r="G7" i="4"/>
  <c r="G9" i="4" s="1"/>
  <c r="F7" i="4"/>
  <c r="F9" i="4" s="1"/>
  <c r="AL92" i="3"/>
  <c r="AL27" i="3" s="1"/>
  <c r="AE92" i="3"/>
  <c r="AE27" i="3" s="1"/>
  <c r="W92" i="3"/>
  <c r="V92" i="3"/>
  <c r="V27" i="3" s="1"/>
  <c r="O92" i="3"/>
  <c r="O27" i="3" s="1"/>
  <c r="F92" i="3"/>
  <c r="F27" i="3" s="1"/>
  <c r="AT87" i="3"/>
  <c r="AS87" i="3"/>
  <c r="AR87" i="3"/>
  <c r="AQ87" i="3"/>
  <c r="AP87" i="3"/>
  <c r="AO87" i="3"/>
  <c r="AN87" i="3"/>
  <c r="AM87" i="3"/>
  <c r="AL87" i="3"/>
  <c r="AK87" i="3"/>
  <c r="AJ87" i="3"/>
  <c r="AI87" i="3"/>
  <c r="AH87" i="3"/>
  <c r="AG87" i="3"/>
  <c r="AF87" i="3"/>
  <c r="AE87" i="3"/>
  <c r="AD87" i="3"/>
  <c r="AC87" i="3"/>
  <c r="AB87" i="3"/>
  <c r="AA87" i="3"/>
  <c r="Z87" i="3"/>
  <c r="Y87" i="3"/>
  <c r="X87" i="3"/>
  <c r="W87" i="3"/>
  <c r="V87" i="3"/>
  <c r="U87" i="3"/>
  <c r="T87" i="3"/>
  <c r="S87" i="3"/>
  <c r="R87" i="3"/>
  <c r="Q87" i="3"/>
  <c r="P87" i="3"/>
  <c r="O87" i="3"/>
  <c r="N87" i="3"/>
  <c r="M87" i="3"/>
  <c r="L87" i="3"/>
  <c r="K87" i="3"/>
  <c r="J87" i="3"/>
  <c r="I87" i="3"/>
  <c r="H87" i="3"/>
  <c r="G87" i="3"/>
  <c r="F87" i="3"/>
  <c r="E87" i="3"/>
  <c r="D87" i="3"/>
  <c r="C87" i="3"/>
  <c r="AT86" i="3"/>
  <c r="AT92" i="3" s="1"/>
  <c r="AT27" i="3" s="1"/>
  <c r="AM86" i="3"/>
  <c r="AM92" i="3" s="1"/>
  <c r="AM27" i="3" s="1"/>
  <c r="AL86" i="3"/>
  <c r="AE86" i="3"/>
  <c r="AD86" i="3"/>
  <c r="AD92" i="3" s="1"/>
  <c r="AD27" i="3" s="1"/>
  <c r="W86" i="3"/>
  <c r="V86" i="3"/>
  <c r="O86" i="3"/>
  <c r="N86" i="3"/>
  <c r="N92" i="3" s="1"/>
  <c r="N27" i="3" s="1"/>
  <c r="G86" i="3"/>
  <c r="G92" i="3" s="1"/>
  <c r="G27" i="3" s="1"/>
  <c r="F86" i="3"/>
  <c r="F82" i="3"/>
  <c r="E82" i="3"/>
  <c r="D82" i="3"/>
  <c r="C82" i="3"/>
  <c r="U80" i="3"/>
  <c r="U78" i="3" s="1"/>
  <c r="U86" i="3" s="1"/>
  <c r="U92" i="3" s="1"/>
  <c r="U27" i="3" s="1"/>
  <c r="T80" i="3"/>
  <c r="Q80" i="3"/>
  <c r="P80" i="3"/>
  <c r="L80" i="3"/>
  <c r="K80" i="3"/>
  <c r="J80" i="3"/>
  <c r="I80" i="3"/>
  <c r="I78" i="3" s="1"/>
  <c r="H80" i="3"/>
  <c r="H78" i="3" s="1"/>
  <c r="G80" i="3"/>
  <c r="F80" i="3"/>
  <c r="E80" i="3"/>
  <c r="D80" i="3"/>
  <c r="C80" i="3"/>
  <c r="AH79" i="3"/>
  <c r="AG79" i="3"/>
  <c r="AF79" i="3"/>
  <c r="AE79" i="3"/>
  <c r="AD79" i="3"/>
  <c r="AC79" i="3"/>
  <c r="AB79" i="3"/>
  <c r="AA79" i="3"/>
  <c r="Z79" i="3"/>
  <c r="Y79" i="3"/>
  <c r="X79" i="3"/>
  <c r="V79" i="3"/>
  <c r="U79" i="3"/>
  <c r="T79" i="3"/>
  <c r="T78" i="3" s="1"/>
  <c r="T86" i="3" s="1"/>
  <c r="T92" i="3" s="1"/>
  <c r="T27" i="3" s="1"/>
  <c r="S79" i="3"/>
  <c r="R79" i="3"/>
  <c r="Q79" i="3"/>
  <c r="O79" i="3"/>
  <c r="O78" i="3" s="1"/>
  <c r="M79" i="3"/>
  <c r="M78" i="3" s="1"/>
  <c r="M86" i="3" s="1"/>
  <c r="M92" i="3" s="1"/>
  <c r="M27" i="3" s="1"/>
  <c r="L79" i="3"/>
  <c r="AT78" i="3"/>
  <c r="AS78" i="3"/>
  <c r="AS86" i="3" s="1"/>
  <c r="AS92" i="3" s="1"/>
  <c r="AS27" i="3" s="1"/>
  <c r="AR78" i="3"/>
  <c r="AR86" i="3" s="1"/>
  <c r="AR92" i="3" s="1"/>
  <c r="AR27" i="3" s="1"/>
  <c r="AQ78" i="3"/>
  <c r="AQ86" i="3" s="1"/>
  <c r="AP78" i="3"/>
  <c r="AP86" i="3" s="1"/>
  <c r="AO78" i="3"/>
  <c r="AO86" i="3" s="1"/>
  <c r="AO92" i="3" s="1"/>
  <c r="AN78" i="3"/>
  <c r="AN86" i="3" s="1"/>
  <c r="AN92" i="3" s="1"/>
  <c r="AM78" i="3"/>
  <c r="AL78" i="3"/>
  <c r="AK78" i="3"/>
  <c r="AK86" i="3" s="1"/>
  <c r="AK92" i="3" s="1"/>
  <c r="AK27" i="3" s="1"/>
  <c r="AJ78" i="3"/>
  <c r="AJ86" i="3" s="1"/>
  <c r="AJ92" i="3" s="1"/>
  <c r="AJ27" i="3" s="1"/>
  <c r="AI78" i="3"/>
  <c r="AI86" i="3" s="1"/>
  <c r="AH78" i="3"/>
  <c r="AH86" i="3" s="1"/>
  <c r="AG78" i="3"/>
  <c r="AG86" i="3" s="1"/>
  <c r="AG92" i="3" s="1"/>
  <c r="AG27" i="3" s="1"/>
  <c r="AF78" i="3"/>
  <c r="AF86" i="3" s="1"/>
  <c r="AF92" i="3" s="1"/>
  <c r="AF27" i="3" s="1"/>
  <c r="AE78" i="3"/>
  <c r="AD78" i="3"/>
  <c r="AC78" i="3"/>
  <c r="AC86" i="3" s="1"/>
  <c r="AC92" i="3" s="1"/>
  <c r="AC27" i="3" s="1"/>
  <c r="AB78" i="3"/>
  <c r="AB86" i="3" s="1"/>
  <c r="AB92" i="3" s="1"/>
  <c r="AB27" i="3" s="1"/>
  <c r="AA78" i="3"/>
  <c r="AA86" i="3" s="1"/>
  <c r="Z78" i="3"/>
  <c r="Z86" i="3" s="1"/>
  <c r="Y78" i="3"/>
  <c r="Y86" i="3" s="1"/>
  <c r="Y92" i="3" s="1"/>
  <c r="Y27" i="3" s="1"/>
  <c r="X78" i="3"/>
  <c r="X86" i="3" s="1"/>
  <c r="X92" i="3" s="1"/>
  <c r="X27" i="3" s="1"/>
  <c r="W78" i="3"/>
  <c r="V78" i="3"/>
  <c r="S78" i="3"/>
  <c r="S86" i="3" s="1"/>
  <c r="R78" i="3"/>
  <c r="R86" i="3" s="1"/>
  <c r="Q78" i="3"/>
  <c r="Q86" i="3" s="1"/>
  <c r="Q92" i="3" s="1"/>
  <c r="Q27" i="3" s="1"/>
  <c r="P78" i="3"/>
  <c r="P86" i="3" s="1"/>
  <c r="P92" i="3" s="1"/>
  <c r="N78" i="3"/>
  <c r="L78" i="3"/>
  <c r="L86" i="3" s="1"/>
  <c r="L92" i="3" s="1"/>
  <c r="L27" i="3" s="1"/>
  <c r="K78" i="3"/>
  <c r="K86" i="3" s="1"/>
  <c r="K92" i="3" s="1"/>
  <c r="K27" i="3" s="1"/>
  <c r="J78" i="3"/>
  <c r="J86" i="3" s="1"/>
  <c r="G78" i="3"/>
  <c r="F78" i="3"/>
  <c r="E78" i="3"/>
  <c r="E86" i="3" s="1"/>
  <c r="E92" i="3" s="1"/>
  <c r="E27" i="3" s="1"/>
  <c r="D78" i="3"/>
  <c r="D86" i="3" s="1"/>
  <c r="D92" i="3" s="1"/>
  <c r="D27" i="3" s="1"/>
  <c r="C78" i="3"/>
  <c r="C86" i="3" s="1"/>
  <c r="C92" i="3" s="1"/>
  <c r="C27" i="3" s="1"/>
  <c r="D74" i="3"/>
  <c r="D26" i="3" s="1"/>
  <c r="AC71" i="3"/>
  <c r="AT69" i="3"/>
  <c r="AS69" i="3"/>
  <c r="AR69" i="3"/>
  <c r="AQ69" i="3"/>
  <c r="AP69" i="3"/>
  <c r="AO69" i="3"/>
  <c r="AO62" i="3" s="1"/>
  <c r="AN69" i="3"/>
  <c r="AM69" i="3"/>
  <c r="AL69" i="3"/>
  <c r="AK69" i="3"/>
  <c r="AJ69" i="3"/>
  <c r="AI69" i="3"/>
  <c r="AH69" i="3"/>
  <c r="AG69" i="3"/>
  <c r="AF69" i="3"/>
  <c r="AE69" i="3"/>
  <c r="AD69" i="3"/>
  <c r="AC69" i="3"/>
  <c r="AB69" i="3"/>
  <c r="AA69" i="3"/>
  <c r="Z69" i="3"/>
  <c r="Y69" i="3"/>
  <c r="X69" i="3"/>
  <c r="W69" i="3"/>
  <c r="V69" i="3"/>
  <c r="U69" i="3"/>
  <c r="T69" i="3"/>
  <c r="S69" i="3"/>
  <c r="R69" i="3"/>
  <c r="Q69" i="3"/>
  <c r="P69" i="3"/>
  <c r="O69" i="3"/>
  <c r="N69" i="3"/>
  <c r="M69" i="3"/>
  <c r="L69" i="3"/>
  <c r="K69" i="3"/>
  <c r="J69" i="3"/>
  <c r="I69" i="3"/>
  <c r="H69" i="3"/>
  <c r="G69" i="3"/>
  <c r="F69" i="3"/>
  <c r="E69" i="3"/>
  <c r="D69" i="3"/>
  <c r="C69" i="3"/>
  <c r="AT63" i="3"/>
  <c r="AT62" i="3" s="1"/>
  <c r="AS63" i="3"/>
  <c r="AS62" i="3" s="1"/>
  <c r="AR63" i="3"/>
  <c r="AQ63" i="3"/>
  <c r="AP63" i="3"/>
  <c r="AO63" i="3"/>
  <c r="AN63" i="3"/>
  <c r="AM63" i="3"/>
  <c r="AM62" i="3" s="1"/>
  <c r="AL63" i="3"/>
  <c r="AL62" i="3" s="1"/>
  <c r="AK63" i="3"/>
  <c r="AK62" i="3" s="1"/>
  <c r="AJ63" i="3"/>
  <c r="AI63" i="3"/>
  <c r="AH63" i="3"/>
  <c r="AG63" i="3"/>
  <c r="AF63" i="3"/>
  <c r="AE63" i="3"/>
  <c r="AE62" i="3" s="1"/>
  <c r="AD63" i="3"/>
  <c r="AD62" i="3" s="1"/>
  <c r="AC63" i="3"/>
  <c r="AC62" i="3" s="1"/>
  <c r="AB63" i="3"/>
  <c r="AA63" i="3"/>
  <c r="Z63" i="3"/>
  <c r="Y63" i="3"/>
  <c r="X63" i="3"/>
  <c r="W63" i="3"/>
  <c r="W62" i="3" s="1"/>
  <c r="V63" i="3"/>
  <c r="V62" i="3" s="1"/>
  <c r="U63" i="3"/>
  <c r="U62" i="3" s="1"/>
  <c r="T63" i="3"/>
  <c r="S63" i="3"/>
  <c r="R63" i="3"/>
  <c r="Q63" i="3"/>
  <c r="P63" i="3"/>
  <c r="O63" i="3"/>
  <c r="O62" i="3" s="1"/>
  <c r="N63" i="3"/>
  <c r="N62" i="3" s="1"/>
  <c r="M63" i="3"/>
  <c r="M62" i="3" s="1"/>
  <c r="L63" i="3"/>
  <c r="K63" i="3"/>
  <c r="J63" i="3"/>
  <c r="I63" i="3"/>
  <c r="H63" i="3"/>
  <c r="G63" i="3"/>
  <c r="G62" i="3" s="1"/>
  <c r="F63" i="3"/>
  <c r="F62" i="3" s="1"/>
  <c r="E63" i="3"/>
  <c r="E62" i="3" s="1"/>
  <c r="D63" i="3"/>
  <c r="C63" i="3"/>
  <c r="AR62" i="3"/>
  <c r="AQ62" i="3"/>
  <c r="AP62" i="3"/>
  <c r="AN62" i="3"/>
  <c r="AJ62" i="3"/>
  <c r="AI62" i="3"/>
  <c r="AH62" i="3"/>
  <c r="AG62" i="3"/>
  <c r="AF62" i="3"/>
  <c r="AB62" i="3"/>
  <c r="AA62" i="3"/>
  <c r="Z62" i="3"/>
  <c r="Y62" i="3"/>
  <c r="X62" i="3"/>
  <c r="T62" i="3"/>
  <c r="S62" i="3"/>
  <c r="R62" i="3"/>
  <c r="Q62" i="3"/>
  <c r="P62" i="3"/>
  <c r="L62" i="3"/>
  <c r="K62" i="3"/>
  <c r="J62" i="3"/>
  <c r="I62" i="3"/>
  <c r="H62" i="3"/>
  <c r="D62" i="3"/>
  <c r="C62" i="3"/>
  <c r="AS61" i="3"/>
  <c r="AS74" i="3" s="1"/>
  <c r="AS26" i="3" s="1"/>
  <c r="V61" i="3"/>
  <c r="V74" i="3" s="1"/>
  <c r="V26" i="3" s="1"/>
  <c r="U61" i="3"/>
  <c r="U74" i="3" s="1"/>
  <c r="U26" i="3" s="1"/>
  <c r="E61" i="3"/>
  <c r="E74" i="3" s="1"/>
  <c r="E26" i="3" s="1"/>
  <c r="Q57" i="3"/>
  <c r="P57" i="3"/>
  <c r="O57" i="3"/>
  <c r="N57" i="3"/>
  <c r="N55" i="3" s="1"/>
  <c r="N54" i="3" s="1"/>
  <c r="M57" i="3"/>
  <c r="M55" i="3" s="1"/>
  <c r="M54" i="3" s="1"/>
  <c r="L57" i="3"/>
  <c r="L55" i="3" s="1"/>
  <c r="L54" i="3" s="1"/>
  <c r="K57" i="3"/>
  <c r="J57" i="3"/>
  <c r="I57" i="3"/>
  <c r="H57" i="3"/>
  <c r="G57" i="3"/>
  <c r="F57" i="3"/>
  <c r="F55" i="3" s="1"/>
  <c r="F7" i="3" s="1"/>
  <c r="F6" i="3" s="1"/>
  <c r="E57" i="3"/>
  <c r="E55" i="3" s="1"/>
  <c r="E54" i="3" s="1"/>
  <c r="D57" i="3"/>
  <c r="D55" i="3" s="1"/>
  <c r="D54" i="3" s="1"/>
  <c r="C57" i="3"/>
  <c r="AN55" i="3"/>
  <c r="AM55" i="3"/>
  <c r="AL55" i="3"/>
  <c r="AK55" i="3"/>
  <c r="AJ55" i="3"/>
  <c r="AJ54" i="3" s="1"/>
  <c r="AI55" i="3"/>
  <c r="AI54" i="3" s="1"/>
  <c r="AH55" i="3"/>
  <c r="AH54" i="3" s="1"/>
  <c r="AG55" i="3"/>
  <c r="AF55" i="3"/>
  <c r="AE55" i="3"/>
  <c r="AD55" i="3"/>
  <c r="AC55" i="3"/>
  <c r="AB55" i="3"/>
  <c r="AB54" i="3" s="1"/>
  <c r="AA55" i="3"/>
  <c r="AA54" i="3" s="1"/>
  <c r="Z55" i="3"/>
  <c r="Z54" i="3" s="1"/>
  <c r="Y55" i="3"/>
  <c r="X55" i="3"/>
  <c r="W55" i="3"/>
  <c r="V55" i="3"/>
  <c r="U55" i="3"/>
  <c r="T55" i="3"/>
  <c r="T54" i="3" s="1"/>
  <c r="S55" i="3"/>
  <c r="S54" i="3" s="1"/>
  <c r="R55" i="3"/>
  <c r="R54" i="3" s="1"/>
  <c r="Q55" i="3"/>
  <c r="P55" i="3"/>
  <c r="O55" i="3"/>
  <c r="K55" i="3"/>
  <c r="K54" i="3" s="1"/>
  <c r="J55" i="3"/>
  <c r="J54" i="3" s="1"/>
  <c r="I55" i="3"/>
  <c r="H55" i="3"/>
  <c r="G55" i="3"/>
  <c r="C55" i="3"/>
  <c r="C54" i="3" s="1"/>
  <c r="AT54" i="3"/>
  <c r="AT61" i="3" s="1"/>
  <c r="AT74" i="3" s="1"/>
  <c r="AT26" i="3" s="1"/>
  <c r="AS54" i="3"/>
  <c r="AR54" i="3"/>
  <c r="AQ54" i="3"/>
  <c r="AP54" i="3"/>
  <c r="AO54" i="3"/>
  <c r="AN54" i="3"/>
  <c r="AM54" i="3"/>
  <c r="AL54" i="3"/>
  <c r="AK54" i="3"/>
  <c r="AG54" i="3"/>
  <c r="AF54" i="3"/>
  <c r="AE54" i="3"/>
  <c r="AD54" i="3"/>
  <c r="AC54" i="3"/>
  <c r="Y54" i="3"/>
  <c r="X54" i="3"/>
  <c r="W54" i="3"/>
  <c r="V54" i="3"/>
  <c r="U54" i="3"/>
  <c r="Q54" i="3"/>
  <c r="P54" i="3"/>
  <c r="O54" i="3"/>
  <c r="I54" i="3"/>
  <c r="H54" i="3"/>
  <c r="G54" i="3"/>
  <c r="D52" i="3"/>
  <c r="R49" i="3"/>
  <c r="Q49" i="3"/>
  <c r="Q47" i="3" s="1"/>
  <c r="Q46" i="3" s="1"/>
  <c r="Q61" i="3" s="1"/>
  <c r="Q74" i="3" s="1"/>
  <c r="Q26" i="3" s="1"/>
  <c r="P49" i="3"/>
  <c r="P47" i="3" s="1"/>
  <c r="P46" i="3" s="1"/>
  <c r="P61" i="3" s="1"/>
  <c r="P74" i="3" s="1"/>
  <c r="O49" i="3"/>
  <c r="O47" i="3" s="1"/>
  <c r="O46" i="3" s="1"/>
  <c r="O61" i="3" s="1"/>
  <c r="O74" i="3" s="1"/>
  <c r="O26" i="3" s="1"/>
  <c r="N49" i="3"/>
  <c r="M49" i="3"/>
  <c r="L49" i="3"/>
  <c r="K49" i="3"/>
  <c r="J49" i="3"/>
  <c r="I49" i="3"/>
  <c r="I47" i="3" s="1"/>
  <c r="I46" i="3" s="1"/>
  <c r="I61" i="3" s="1"/>
  <c r="I74" i="3" s="1"/>
  <c r="I26" i="3" s="1"/>
  <c r="H49" i="3"/>
  <c r="H47" i="3" s="1"/>
  <c r="H46" i="3" s="1"/>
  <c r="H61" i="3" s="1"/>
  <c r="H74" i="3" s="1"/>
  <c r="G49" i="3"/>
  <c r="G47" i="3" s="1"/>
  <c r="G46" i="3" s="1"/>
  <c r="G61" i="3" s="1"/>
  <c r="G74" i="3" s="1"/>
  <c r="G26" i="3" s="1"/>
  <c r="F49" i="3"/>
  <c r="E49" i="3"/>
  <c r="D49" i="3"/>
  <c r="C49" i="3"/>
  <c r="AN47" i="3"/>
  <c r="AM47" i="3"/>
  <c r="AM46" i="3" s="1"/>
  <c r="AL47" i="3"/>
  <c r="AL46" i="3" s="1"/>
  <c r="AL61" i="3" s="1"/>
  <c r="AL74" i="3" s="1"/>
  <c r="AL26" i="3" s="1"/>
  <c r="AK47" i="3"/>
  <c r="AK46" i="3" s="1"/>
  <c r="AK61" i="3" s="1"/>
  <c r="AK74" i="3" s="1"/>
  <c r="AK26" i="3" s="1"/>
  <c r="AJ47" i="3"/>
  <c r="AI47" i="3"/>
  <c r="AH47" i="3"/>
  <c r="AG47" i="3"/>
  <c r="AF47" i="3"/>
  <c r="AE47" i="3"/>
  <c r="AE46" i="3" s="1"/>
  <c r="AD47" i="3"/>
  <c r="AD46" i="3" s="1"/>
  <c r="AD61" i="3" s="1"/>
  <c r="AD74" i="3" s="1"/>
  <c r="AD26" i="3" s="1"/>
  <c r="AC47" i="3"/>
  <c r="AC46" i="3" s="1"/>
  <c r="AC61" i="3" s="1"/>
  <c r="AC74" i="3" s="1"/>
  <c r="AC26" i="3" s="1"/>
  <c r="AB47" i="3"/>
  <c r="AA47" i="3"/>
  <c r="Z47" i="3"/>
  <c r="Y47" i="3"/>
  <c r="X47" i="3"/>
  <c r="W47" i="3"/>
  <c r="W46" i="3" s="1"/>
  <c r="W61" i="3" s="1"/>
  <c r="W74" i="3" s="1"/>
  <c r="W26" i="3" s="1"/>
  <c r="V47" i="3"/>
  <c r="V46" i="3" s="1"/>
  <c r="U47" i="3"/>
  <c r="U46" i="3" s="1"/>
  <c r="T47" i="3"/>
  <c r="S47" i="3"/>
  <c r="R47" i="3"/>
  <c r="N47" i="3"/>
  <c r="N46" i="3" s="1"/>
  <c r="M47" i="3"/>
  <c r="M46" i="3" s="1"/>
  <c r="M61" i="3" s="1"/>
  <c r="M74" i="3" s="1"/>
  <c r="M26" i="3" s="1"/>
  <c r="L47" i="3"/>
  <c r="K47" i="3"/>
  <c r="J47" i="3"/>
  <c r="F47" i="3"/>
  <c r="F46" i="3" s="1"/>
  <c r="E47" i="3"/>
  <c r="E46" i="3" s="1"/>
  <c r="D47" i="3"/>
  <c r="C47" i="3"/>
  <c r="AT46" i="3"/>
  <c r="AS46" i="3"/>
  <c r="AR46" i="3"/>
  <c r="AR61" i="3" s="1"/>
  <c r="AR74" i="3" s="1"/>
  <c r="AR26" i="3" s="1"/>
  <c r="AQ46" i="3"/>
  <c r="AQ61" i="3" s="1"/>
  <c r="AQ74" i="3" s="1"/>
  <c r="AP46" i="3"/>
  <c r="AP61" i="3" s="1"/>
  <c r="AO46" i="3"/>
  <c r="AO61" i="3" s="1"/>
  <c r="AN46" i="3"/>
  <c r="AN61" i="3" s="1"/>
  <c r="AN74" i="3" s="1"/>
  <c r="AN26" i="3" s="1"/>
  <c r="AJ46" i="3"/>
  <c r="AJ61" i="3" s="1"/>
  <c r="AJ74" i="3" s="1"/>
  <c r="AJ26" i="3" s="1"/>
  <c r="AI46" i="3"/>
  <c r="AI61" i="3" s="1"/>
  <c r="AI74" i="3" s="1"/>
  <c r="AI26" i="3" s="1"/>
  <c r="AH46" i="3"/>
  <c r="AH61" i="3" s="1"/>
  <c r="AH74" i="3" s="1"/>
  <c r="AH26" i="3" s="1"/>
  <c r="AG46" i="3"/>
  <c r="AG61" i="3" s="1"/>
  <c r="AF46" i="3"/>
  <c r="AF61" i="3" s="1"/>
  <c r="AF74" i="3" s="1"/>
  <c r="AB46" i="3"/>
  <c r="AA46" i="3"/>
  <c r="AA61" i="3" s="1"/>
  <c r="AA74" i="3" s="1"/>
  <c r="AA26" i="3" s="1"/>
  <c r="Z46" i="3"/>
  <c r="Z61" i="3" s="1"/>
  <c r="Z74" i="3" s="1"/>
  <c r="Z26" i="3" s="1"/>
  <c r="Y46" i="3"/>
  <c r="Y61" i="3" s="1"/>
  <c r="Y74" i="3" s="1"/>
  <c r="Y26" i="3" s="1"/>
  <c r="X46" i="3"/>
  <c r="X61" i="3" s="1"/>
  <c r="X74" i="3" s="1"/>
  <c r="T46" i="3"/>
  <c r="S46" i="3"/>
  <c r="S61" i="3" s="1"/>
  <c r="S74" i="3" s="1"/>
  <c r="S26" i="3" s="1"/>
  <c r="R46" i="3"/>
  <c r="R61" i="3" s="1"/>
  <c r="L46" i="3"/>
  <c r="L61" i="3" s="1"/>
  <c r="L74" i="3" s="1"/>
  <c r="L26" i="3" s="1"/>
  <c r="K46" i="3"/>
  <c r="K61" i="3" s="1"/>
  <c r="K74" i="3" s="1"/>
  <c r="K26" i="3" s="1"/>
  <c r="J46" i="3"/>
  <c r="J61" i="3" s="1"/>
  <c r="J74" i="3" s="1"/>
  <c r="J26" i="3" s="1"/>
  <c r="D46" i="3"/>
  <c r="D61" i="3" s="1"/>
  <c r="C46" i="3"/>
  <c r="C61" i="3" s="1"/>
  <c r="C74" i="3" s="1"/>
  <c r="C26" i="3" s="1"/>
  <c r="AT39" i="3"/>
  <c r="AS39" i="3"/>
  <c r="AR39" i="3"/>
  <c r="AQ39" i="3"/>
  <c r="AP39" i="3"/>
  <c r="AO39" i="3"/>
  <c r="AN39" i="3"/>
  <c r="AM39" i="3"/>
  <c r="AL39" i="3"/>
  <c r="AK39" i="3"/>
  <c r="AJ39" i="3"/>
  <c r="AI39" i="3"/>
  <c r="AH39" i="3"/>
  <c r="AG39" i="3"/>
  <c r="AF39" i="3"/>
  <c r="AE39" i="3"/>
  <c r="AD39" i="3"/>
  <c r="AC39" i="3"/>
  <c r="AB39" i="3"/>
  <c r="AA39" i="3"/>
  <c r="Z39" i="3"/>
  <c r="Y39" i="3"/>
  <c r="X39" i="3"/>
  <c r="W39" i="3"/>
  <c r="V39" i="3"/>
  <c r="U39" i="3"/>
  <c r="T39" i="3"/>
  <c r="S39" i="3"/>
  <c r="R39" i="3"/>
  <c r="Q39" i="3"/>
  <c r="P39" i="3"/>
  <c r="O39" i="3"/>
  <c r="N39" i="3"/>
  <c r="M39" i="3"/>
  <c r="L39" i="3"/>
  <c r="K39" i="3"/>
  <c r="J39" i="3"/>
  <c r="I39" i="3"/>
  <c r="H39" i="3"/>
  <c r="G39" i="3"/>
  <c r="F39" i="3"/>
  <c r="E39" i="3"/>
  <c r="D39" i="3"/>
  <c r="C39" i="3"/>
  <c r="AT38" i="3"/>
  <c r="AT42" i="3" s="1"/>
  <c r="AT25" i="3" s="1"/>
  <c r="AS38" i="3"/>
  <c r="AS42" i="3" s="1"/>
  <c r="AS25" i="3" s="1"/>
  <c r="AL38" i="3"/>
  <c r="AL42" i="3" s="1"/>
  <c r="AL25" i="3" s="1"/>
  <c r="AK38" i="3"/>
  <c r="AK42" i="3" s="1"/>
  <c r="AK25" i="3" s="1"/>
  <c r="AD38" i="3"/>
  <c r="AD42" i="3" s="1"/>
  <c r="AD25" i="3" s="1"/>
  <c r="AC38" i="3"/>
  <c r="AC42" i="3" s="1"/>
  <c r="AC25" i="3" s="1"/>
  <c r="V38" i="3"/>
  <c r="V42" i="3" s="1"/>
  <c r="V25" i="3" s="1"/>
  <c r="U38" i="3"/>
  <c r="U42" i="3" s="1"/>
  <c r="U25" i="3" s="1"/>
  <c r="N38" i="3"/>
  <c r="N42" i="3" s="1"/>
  <c r="N25" i="3" s="1"/>
  <c r="M38" i="3"/>
  <c r="M42" i="3" s="1"/>
  <c r="M25" i="3" s="1"/>
  <c r="F38" i="3"/>
  <c r="F42" i="3" s="1"/>
  <c r="F25" i="3" s="1"/>
  <c r="E38" i="3"/>
  <c r="E42" i="3" s="1"/>
  <c r="E25" i="3" s="1"/>
  <c r="E37" i="3"/>
  <c r="D37" i="3"/>
  <c r="E33" i="3"/>
  <c r="D33" i="3"/>
  <c r="D31" i="3" s="1"/>
  <c r="D38" i="3" s="1"/>
  <c r="D42" i="3" s="1"/>
  <c r="D25" i="3" s="1"/>
  <c r="C33" i="3"/>
  <c r="C31" i="3" s="1"/>
  <c r="C38" i="3" s="1"/>
  <c r="C42" i="3" s="1"/>
  <c r="C25" i="3" s="1"/>
  <c r="AT31" i="3"/>
  <c r="AS31" i="3"/>
  <c r="AR31" i="3"/>
  <c r="AR38" i="3" s="1"/>
  <c r="AR42" i="3" s="1"/>
  <c r="AR25" i="3" s="1"/>
  <c r="AQ31" i="3"/>
  <c r="AQ38" i="3" s="1"/>
  <c r="AQ42" i="3" s="1"/>
  <c r="AP31" i="3"/>
  <c r="AP38" i="3" s="1"/>
  <c r="AO31" i="3"/>
  <c r="AO38" i="3" s="1"/>
  <c r="AO42" i="3" s="1"/>
  <c r="AN31" i="3"/>
  <c r="AN38" i="3" s="1"/>
  <c r="AN42" i="3" s="1"/>
  <c r="AN25" i="3" s="1"/>
  <c r="AM31" i="3"/>
  <c r="AM38" i="3" s="1"/>
  <c r="AM42" i="3" s="1"/>
  <c r="AM25" i="3" s="1"/>
  <c r="AL31" i="3"/>
  <c r="AK31" i="3"/>
  <c r="AJ31" i="3"/>
  <c r="AJ38" i="3" s="1"/>
  <c r="AJ42" i="3" s="1"/>
  <c r="AJ25" i="3" s="1"/>
  <c r="AI31" i="3"/>
  <c r="AI38" i="3" s="1"/>
  <c r="AI42" i="3" s="1"/>
  <c r="AI25" i="3" s="1"/>
  <c r="AH31" i="3"/>
  <c r="AH38" i="3" s="1"/>
  <c r="AG31" i="3"/>
  <c r="AG38" i="3" s="1"/>
  <c r="AG42" i="3" s="1"/>
  <c r="AF31" i="3"/>
  <c r="AF38" i="3" s="1"/>
  <c r="AF42" i="3" s="1"/>
  <c r="AF25" i="3" s="1"/>
  <c r="AE31" i="3"/>
  <c r="AE38" i="3" s="1"/>
  <c r="AE42" i="3" s="1"/>
  <c r="AE25" i="3" s="1"/>
  <c r="AD31" i="3"/>
  <c r="AC31" i="3"/>
  <c r="AB31" i="3"/>
  <c r="AB38" i="3" s="1"/>
  <c r="AB42" i="3" s="1"/>
  <c r="AB25" i="3" s="1"/>
  <c r="AA31" i="3"/>
  <c r="AA38" i="3" s="1"/>
  <c r="AA42" i="3" s="1"/>
  <c r="AA25" i="3" s="1"/>
  <c r="Z31" i="3"/>
  <c r="Z38" i="3" s="1"/>
  <c r="Y31" i="3"/>
  <c r="Y38" i="3" s="1"/>
  <c r="Y42" i="3" s="1"/>
  <c r="X31" i="3"/>
  <c r="X38" i="3" s="1"/>
  <c r="X42" i="3" s="1"/>
  <c r="X25" i="3" s="1"/>
  <c r="W31" i="3"/>
  <c r="W38" i="3" s="1"/>
  <c r="W42" i="3" s="1"/>
  <c r="W25" i="3" s="1"/>
  <c r="V31" i="3"/>
  <c r="U31" i="3"/>
  <c r="T31" i="3"/>
  <c r="T38" i="3" s="1"/>
  <c r="T42" i="3" s="1"/>
  <c r="T25" i="3" s="1"/>
  <c r="S31" i="3"/>
  <c r="S38" i="3" s="1"/>
  <c r="S42" i="3" s="1"/>
  <c r="S25" i="3" s="1"/>
  <c r="R31" i="3"/>
  <c r="R38" i="3" s="1"/>
  <c r="Q31" i="3"/>
  <c r="Q38" i="3" s="1"/>
  <c r="Q42" i="3" s="1"/>
  <c r="P31" i="3"/>
  <c r="P38" i="3" s="1"/>
  <c r="P42" i="3" s="1"/>
  <c r="P25" i="3" s="1"/>
  <c r="O31" i="3"/>
  <c r="O38" i="3" s="1"/>
  <c r="O42" i="3" s="1"/>
  <c r="O25" i="3" s="1"/>
  <c r="N31" i="3"/>
  <c r="M31" i="3"/>
  <c r="L31" i="3"/>
  <c r="L38" i="3" s="1"/>
  <c r="L42" i="3" s="1"/>
  <c r="L25" i="3" s="1"/>
  <c r="K31" i="3"/>
  <c r="K38" i="3" s="1"/>
  <c r="K42" i="3" s="1"/>
  <c r="K25" i="3" s="1"/>
  <c r="J31" i="3"/>
  <c r="J38" i="3" s="1"/>
  <c r="I31" i="3"/>
  <c r="I38" i="3" s="1"/>
  <c r="I42" i="3" s="1"/>
  <c r="H31" i="3"/>
  <c r="H38" i="3" s="1"/>
  <c r="H42" i="3" s="1"/>
  <c r="H25" i="3" s="1"/>
  <c r="G31" i="3"/>
  <c r="G38" i="3" s="1"/>
  <c r="G42" i="3" s="1"/>
  <c r="G25" i="3" s="1"/>
  <c r="F31" i="3"/>
  <c r="E31" i="3"/>
  <c r="AN27" i="3"/>
  <c r="W27" i="3"/>
  <c r="P27" i="3"/>
  <c r="AF26" i="3"/>
  <c r="X26" i="3"/>
  <c r="P26" i="3"/>
  <c r="H26" i="3"/>
  <c r="AG25" i="3"/>
  <c r="Y25" i="3"/>
  <c r="Q25" i="3"/>
  <c r="I25" i="3"/>
  <c r="AT23" i="3"/>
  <c r="AS23" i="3"/>
  <c r="AR23" i="3"/>
  <c r="AP23" i="3"/>
  <c r="AO23" i="3"/>
  <c r="AN23" i="3"/>
  <c r="AN21" i="3" s="1"/>
  <c r="AM23" i="3"/>
  <c r="AL23" i="3"/>
  <c r="AK23" i="3"/>
  <c r="AJ23" i="3"/>
  <c r="AI23" i="3"/>
  <c r="AH23" i="3"/>
  <c r="AG23" i="3"/>
  <c r="AF23" i="3"/>
  <c r="AE23" i="3"/>
  <c r="AD23" i="3"/>
  <c r="AC23" i="3"/>
  <c r="AB23" i="3"/>
  <c r="AA23" i="3"/>
  <c r="Z23" i="3"/>
  <c r="Y23" i="3"/>
  <c r="X23" i="3"/>
  <c r="X21" i="3" s="1"/>
  <c r="W23" i="3"/>
  <c r="V23" i="3"/>
  <c r="U23" i="3"/>
  <c r="T23" i="3"/>
  <c r="S23" i="3"/>
  <c r="R23" i="3"/>
  <c r="Q23" i="3"/>
  <c r="P23" i="3"/>
  <c r="P21" i="3" s="1"/>
  <c r="O23" i="3"/>
  <c r="N23" i="3"/>
  <c r="M23" i="3"/>
  <c r="L23" i="3"/>
  <c r="K23" i="3"/>
  <c r="J23" i="3"/>
  <c r="I23" i="3"/>
  <c r="H23" i="3"/>
  <c r="H21" i="3" s="1"/>
  <c r="H15" i="3" s="1"/>
  <c r="G23" i="3"/>
  <c r="F23" i="3"/>
  <c r="E23" i="3"/>
  <c r="D23" i="3"/>
  <c r="C23" i="3"/>
  <c r="AT22" i="3"/>
  <c r="AT21" i="3" s="1"/>
  <c r="AS22" i="3"/>
  <c r="AS21" i="3" s="1"/>
  <c r="AR22" i="3"/>
  <c r="AR21" i="3" s="1"/>
  <c r="AQ22" i="3"/>
  <c r="AP22" i="3"/>
  <c r="AO22" i="3"/>
  <c r="AN22" i="3"/>
  <c r="AM22" i="3"/>
  <c r="AL22" i="3"/>
  <c r="AL21" i="3" s="1"/>
  <c r="AK22" i="3"/>
  <c r="AK21" i="3" s="1"/>
  <c r="AJ22" i="3"/>
  <c r="AJ21" i="3" s="1"/>
  <c r="AI22" i="3"/>
  <c r="AH22" i="3"/>
  <c r="AG22" i="3"/>
  <c r="AF22" i="3"/>
  <c r="AE22" i="3"/>
  <c r="AD22" i="3"/>
  <c r="AD21" i="3" s="1"/>
  <c r="AC22" i="3"/>
  <c r="AC21" i="3" s="1"/>
  <c r="AB22" i="3"/>
  <c r="AB21" i="3" s="1"/>
  <c r="AA22" i="3"/>
  <c r="Z22" i="3"/>
  <c r="Y22" i="3"/>
  <c r="X22" i="3"/>
  <c r="W22" i="3"/>
  <c r="V22" i="3"/>
  <c r="U22" i="3"/>
  <c r="U21" i="3" s="1"/>
  <c r="T22" i="3"/>
  <c r="T21" i="3" s="1"/>
  <c r="S22" i="3"/>
  <c r="R22" i="3"/>
  <c r="Q22" i="3"/>
  <c r="P22" i="3"/>
  <c r="O22" i="3"/>
  <c r="N22" i="3"/>
  <c r="M22" i="3"/>
  <c r="M21" i="3" s="1"/>
  <c r="L22" i="3"/>
  <c r="L21" i="3" s="1"/>
  <c r="K22" i="3"/>
  <c r="J22" i="3"/>
  <c r="I22" i="3"/>
  <c r="H22" i="3"/>
  <c r="G22" i="3"/>
  <c r="F22" i="3"/>
  <c r="E22" i="3"/>
  <c r="E21" i="3" s="1"/>
  <c r="D22" i="3"/>
  <c r="D21" i="3" s="1"/>
  <c r="C22" i="3"/>
  <c r="AQ21" i="3"/>
  <c r="AP21" i="3"/>
  <c r="AO21" i="3"/>
  <c r="AM21" i="3"/>
  <c r="AI21" i="3"/>
  <c r="AH21" i="3"/>
  <c r="AG21" i="3"/>
  <c r="AF21" i="3"/>
  <c r="AE21" i="3"/>
  <c r="AA21" i="3"/>
  <c r="Z21" i="3"/>
  <c r="Y21" i="3"/>
  <c r="W21" i="3"/>
  <c r="V21" i="3"/>
  <c r="S21" i="3"/>
  <c r="R21" i="3"/>
  <c r="Q21" i="3"/>
  <c r="O21" i="3"/>
  <c r="N21" i="3"/>
  <c r="K21" i="3"/>
  <c r="J21" i="3"/>
  <c r="I21" i="3"/>
  <c r="G21" i="3"/>
  <c r="F21" i="3"/>
  <c r="C21" i="3"/>
  <c r="AT20" i="3"/>
  <c r="AS20" i="3"/>
  <c r="AR20" i="3"/>
  <c r="AR16" i="3" s="1"/>
  <c r="AR15" i="3" s="1"/>
  <c r="AN20" i="3"/>
  <c r="AM20" i="3"/>
  <c r="AL20" i="3"/>
  <c r="AK20" i="3"/>
  <c r="AJ20" i="3"/>
  <c r="AI20" i="3"/>
  <c r="AH20" i="3"/>
  <c r="AG20" i="3"/>
  <c r="AF20" i="3"/>
  <c r="AE20" i="3"/>
  <c r="AD20" i="3"/>
  <c r="AC20" i="3"/>
  <c r="AB20" i="3"/>
  <c r="AA20" i="3"/>
  <c r="Z20" i="3"/>
  <c r="Y20" i="3"/>
  <c r="Y16" i="3" s="1"/>
  <c r="Y15" i="3" s="1"/>
  <c r="X20" i="3"/>
  <c r="W20" i="3"/>
  <c r="V20" i="3"/>
  <c r="U20" i="3"/>
  <c r="T20" i="3"/>
  <c r="S20" i="3"/>
  <c r="R20" i="3"/>
  <c r="Q20" i="3"/>
  <c r="P20" i="3"/>
  <c r="O20" i="3"/>
  <c r="N20" i="3"/>
  <c r="M20" i="3"/>
  <c r="L20" i="3"/>
  <c r="K20" i="3"/>
  <c r="J20" i="3"/>
  <c r="I20" i="3"/>
  <c r="I16" i="3" s="1"/>
  <c r="I15" i="3" s="1"/>
  <c r="H20" i="3"/>
  <c r="G20" i="3"/>
  <c r="F20" i="3"/>
  <c r="E20" i="3"/>
  <c r="D20" i="3"/>
  <c r="C20" i="3"/>
  <c r="AT19" i="3"/>
  <c r="AS19" i="3"/>
  <c r="AS16" i="3" s="1"/>
  <c r="AS15" i="3" s="1"/>
  <c r="AR19" i="3"/>
  <c r="AN19" i="3"/>
  <c r="AM19" i="3"/>
  <c r="AL19" i="3"/>
  <c r="AK19" i="3"/>
  <c r="AJ19" i="3"/>
  <c r="AI19" i="3"/>
  <c r="AH19" i="3"/>
  <c r="AH16" i="3" s="1"/>
  <c r="AH15" i="3" s="1"/>
  <c r="AG19" i="3"/>
  <c r="AF19" i="3"/>
  <c r="AE19" i="3"/>
  <c r="AD19" i="3"/>
  <c r="AC19" i="3"/>
  <c r="AB19" i="3"/>
  <c r="AA19" i="3"/>
  <c r="Z19" i="3"/>
  <c r="Z16" i="3" s="1"/>
  <c r="Z15" i="3" s="1"/>
  <c r="Y19" i="3"/>
  <c r="X19" i="3"/>
  <c r="W19" i="3"/>
  <c r="V19" i="3"/>
  <c r="U19" i="3"/>
  <c r="T19" i="3"/>
  <c r="S19" i="3"/>
  <c r="R19" i="3"/>
  <c r="R16" i="3" s="1"/>
  <c r="R15" i="3" s="1"/>
  <c r="Q19" i="3"/>
  <c r="P19" i="3"/>
  <c r="O19" i="3"/>
  <c r="N19" i="3"/>
  <c r="M19" i="3"/>
  <c r="L19" i="3"/>
  <c r="K19" i="3"/>
  <c r="J19" i="3"/>
  <c r="J16" i="3" s="1"/>
  <c r="J15" i="3" s="1"/>
  <c r="I19" i="3"/>
  <c r="H19" i="3"/>
  <c r="G19" i="3"/>
  <c r="F19" i="3"/>
  <c r="E19" i="3"/>
  <c r="D19" i="3"/>
  <c r="C19" i="3"/>
  <c r="AT18" i="3"/>
  <c r="AT16" i="3" s="1"/>
  <c r="AT15" i="3" s="1"/>
  <c r="AS18" i="3"/>
  <c r="AR18" i="3"/>
  <c r="AN18" i="3"/>
  <c r="AM18" i="3"/>
  <c r="AL18" i="3"/>
  <c r="AK18" i="3"/>
  <c r="AJ18" i="3"/>
  <c r="AI18" i="3"/>
  <c r="AI16" i="3" s="1"/>
  <c r="AI15" i="3" s="1"/>
  <c r="AH18" i="3"/>
  <c r="AG18" i="3"/>
  <c r="AF18" i="3"/>
  <c r="AE18" i="3"/>
  <c r="AD18" i="3"/>
  <c r="AC18" i="3"/>
  <c r="AB18" i="3"/>
  <c r="AA18" i="3"/>
  <c r="AA16" i="3" s="1"/>
  <c r="AA15" i="3" s="1"/>
  <c r="Z18" i="3"/>
  <c r="Y18" i="3"/>
  <c r="X18" i="3"/>
  <c r="W18" i="3"/>
  <c r="V18" i="3"/>
  <c r="U18" i="3"/>
  <c r="T18" i="3"/>
  <c r="S18" i="3"/>
  <c r="S16" i="3" s="1"/>
  <c r="S15" i="3" s="1"/>
  <c r="R18" i="3"/>
  <c r="Q18" i="3"/>
  <c r="P18" i="3"/>
  <c r="O18" i="3"/>
  <c r="N18" i="3"/>
  <c r="M18" i="3"/>
  <c r="L18" i="3"/>
  <c r="K18" i="3"/>
  <c r="K16" i="3" s="1"/>
  <c r="K15" i="3" s="1"/>
  <c r="J18" i="3"/>
  <c r="I18" i="3"/>
  <c r="H18" i="3"/>
  <c r="G18" i="3"/>
  <c r="F18" i="3"/>
  <c r="E18" i="3"/>
  <c r="D18" i="3"/>
  <c r="C18" i="3"/>
  <c r="AT17" i="3"/>
  <c r="AS17" i="3"/>
  <c r="AR17" i="3"/>
  <c r="AN17" i="3"/>
  <c r="AM17" i="3"/>
  <c r="AL17" i="3"/>
  <c r="AK17" i="3"/>
  <c r="AK16" i="3" s="1"/>
  <c r="AK15" i="3" s="1"/>
  <c r="AJ17" i="3"/>
  <c r="AJ16" i="3" s="1"/>
  <c r="AJ15" i="3" s="1"/>
  <c r="AI17" i="3"/>
  <c r="AH17" i="3"/>
  <c r="AG17" i="3"/>
  <c r="AF17" i="3"/>
  <c r="AE17" i="3"/>
  <c r="AD17" i="3"/>
  <c r="AC17" i="3"/>
  <c r="AC16" i="3" s="1"/>
  <c r="AB17" i="3"/>
  <c r="AB16" i="3" s="1"/>
  <c r="AB15" i="3" s="1"/>
  <c r="AA17" i="3"/>
  <c r="Z17" i="3"/>
  <c r="Y17" i="3"/>
  <c r="X17" i="3"/>
  <c r="W17" i="3"/>
  <c r="V17" i="3"/>
  <c r="U17" i="3"/>
  <c r="U16" i="3" s="1"/>
  <c r="T17" i="3"/>
  <c r="T16" i="3" s="1"/>
  <c r="T15" i="3" s="1"/>
  <c r="S17" i="3"/>
  <c r="R17" i="3"/>
  <c r="Q17" i="3"/>
  <c r="P17" i="3"/>
  <c r="O17" i="3"/>
  <c r="N17" i="3"/>
  <c r="M17" i="3"/>
  <c r="M16" i="3" s="1"/>
  <c r="L17" i="3"/>
  <c r="L16" i="3" s="1"/>
  <c r="L15" i="3" s="1"/>
  <c r="K17" i="3"/>
  <c r="J17" i="3"/>
  <c r="I17" i="3"/>
  <c r="H17" i="3"/>
  <c r="G17" i="3"/>
  <c r="F17" i="3"/>
  <c r="E17" i="3"/>
  <c r="E16" i="3" s="1"/>
  <c r="D17" i="3"/>
  <c r="D16" i="3" s="1"/>
  <c r="D15" i="3" s="1"/>
  <c r="C17" i="3"/>
  <c r="AQ16" i="3"/>
  <c r="AP16" i="3"/>
  <c r="AO16" i="3"/>
  <c r="AO15" i="3" s="1"/>
  <c r="AN16" i="3"/>
  <c r="AN15" i="3" s="1"/>
  <c r="AM16" i="3"/>
  <c r="AL16" i="3"/>
  <c r="AG16" i="3"/>
  <c r="AG15" i="3" s="1"/>
  <c r="AF16" i="3"/>
  <c r="AF15" i="3" s="1"/>
  <c r="AE16" i="3"/>
  <c r="AD16" i="3"/>
  <c r="X16" i="3"/>
  <c r="X15" i="3" s="1"/>
  <c r="W16" i="3"/>
  <c r="V16" i="3"/>
  <c r="Q16" i="3"/>
  <c r="Q15" i="3" s="1"/>
  <c r="P16" i="3"/>
  <c r="P15" i="3" s="1"/>
  <c r="O16" i="3"/>
  <c r="N16" i="3"/>
  <c r="H16" i="3"/>
  <c r="G16" i="3"/>
  <c r="F16" i="3"/>
  <c r="C16" i="3"/>
  <c r="C15" i="3" s="1"/>
  <c r="AQ15" i="3"/>
  <c r="AP15" i="3"/>
  <c r="AM15" i="3"/>
  <c r="AL15" i="3"/>
  <c r="AE15" i="3"/>
  <c r="AD15" i="3"/>
  <c r="AC15" i="3"/>
  <c r="W15" i="3"/>
  <c r="V15" i="3"/>
  <c r="U15" i="3"/>
  <c r="O15" i="3"/>
  <c r="N15" i="3"/>
  <c r="M15" i="3"/>
  <c r="G15" i="3"/>
  <c r="F15" i="3"/>
  <c r="E15" i="3"/>
  <c r="AP14" i="3"/>
  <c r="AP24" i="3" s="1"/>
  <c r="AO14" i="3"/>
  <c r="AO24" i="3" s="1"/>
  <c r="AT13" i="3"/>
  <c r="AS13" i="3"/>
  <c r="AS11" i="3" s="1"/>
  <c r="AR13" i="3"/>
  <c r="AN13" i="3"/>
  <c r="AM13" i="3"/>
  <c r="AL13" i="3"/>
  <c r="AL11" i="3" s="1"/>
  <c r="AK13" i="3"/>
  <c r="AJ13" i="3"/>
  <c r="AI13" i="3"/>
  <c r="AH13" i="3"/>
  <c r="AH11" i="3" s="1"/>
  <c r="AG13" i="3"/>
  <c r="AF13" i="3"/>
  <c r="AE13" i="3"/>
  <c r="AD13" i="3"/>
  <c r="AD11" i="3" s="1"/>
  <c r="AC13" i="3"/>
  <c r="AB13" i="3"/>
  <c r="AA13" i="3"/>
  <c r="Z13" i="3"/>
  <c r="Z11" i="3" s="1"/>
  <c r="Y13" i="3"/>
  <c r="X13" i="3"/>
  <c r="W13" i="3"/>
  <c r="V13" i="3"/>
  <c r="V11" i="3" s="1"/>
  <c r="U13" i="3"/>
  <c r="T13" i="3"/>
  <c r="S13" i="3"/>
  <c r="R13" i="3"/>
  <c r="R11" i="3" s="1"/>
  <c r="Q13" i="3"/>
  <c r="P13" i="3"/>
  <c r="O13" i="3"/>
  <c r="N13" i="3"/>
  <c r="N11" i="3" s="1"/>
  <c r="M13" i="3"/>
  <c r="L13" i="3"/>
  <c r="K13" i="3"/>
  <c r="J13" i="3"/>
  <c r="J11" i="3" s="1"/>
  <c r="I13" i="3"/>
  <c r="H13" i="3"/>
  <c r="G13" i="3"/>
  <c r="F13" i="3"/>
  <c r="F11" i="3" s="1"/>
  <c r="E13" i="3"/>
  <c r="D13" i="3"/>
  <c r="C13" i="3"/>
  <c r="AT12" i="3"/>
  <c r="AT11" i="3" s="1"/>
  <c r="AS12" i="3"/>
  <c r="AR12" i="3"/>
  <c r="AN12" i="3"/>
  <c r="AM12" i="3"/>
  <c r="AL12" i="3"/>
  <c r="AK12" i="3"/>
  <c r="AK11" i="3" s="1"/>
  <c r="AJ12" i="3"/>
  <c r="AJ11" i="3" s="1"/>
  <c r="AI12" i="3"/>
  <c r="AI11" i="3" s="1"/>
  <c r="AH12" i="3"/>
  <c r="AG12" i="3"/>
  <c r="AF12" i="3"/>
  <c r="AE12" i="3"/>
  <c r="AD12" i="3"/>
  <c r="AC12" i="3"/>
  <c r="AC11" i="3" s="1"/>
  <c r="AB12" i="3"/>
  <c r="AB11" i="3" s="1"/>
  <c r="AA12" i="3"/>
  <c r="AA11" i="3" s="1"/>
  <c r="Z12" i="3"/>
  <c r="Y12" i="3"/>
  <c r="X12" i="3"/>
  <c r="W12" i="3"/>
  <c r="V12" i="3"/>
  <c r="U12" i="3"/>
  <c r="U11" i="3" s="1"/>
  <c r="T12" i="3"/>
  <c r="T11" i="3" s="1"/>
  <c r="S12" i="3"/>
  <c r="S11" i="3" s="1"/>
  <c r="R12" i="3"/>
  <c r="Q12" i="3"/>
  <c r="P12" i="3"/>
  <c r="O12" i="3"/>
  <c r="N12" i="3"/>
  <c r="M12" i="3"/>
  <c r="M11" i="3" s="1"/>
  <c r="L12" i="3"/>
  <c r="L11" i="3" s="1"/>
  <c r="K12" i="3"/>
  <c r="K11" i="3" s="1"/>
  <c r="J12" i="3"/>
  <c r="I12" i="3"/>
  <c r="H12" i="3"/>
  <c r="G12" i="3"/>
  <c r="F12" i="3"/>
  <c r="E12" i="3"/>
  <c r="E11" i="3" s="1"/>
  <c r="D12" i="3"/>
  <c r="D11" i="3" s="1"/>
  <c r="C12" i="3"/>
  <c r="C11" i="3" s="1"/>
  <c r="AR11" i="3"/>
  <c r="AQ11" i="3"/>
  <c r="AP11" i="3"/>
  <c r="AO11" i="3"/>
  <c r="AN11" i="3"/>
  <c r="AM11" i="3"/>
  <c r="AG11" i="3"/>
  <c r="AF11" i="3"/>
  <c r="AE11" i="3"/>
  <c r="Y11" i="3"/>
  <c r="X11" i="3"/>
  <c r="W11" i="3"/>
  <c r="Q11" i="3"/>
  <c r="P11" i="3"/>
  <c r="O11" i="3"/>
  <c r="I11" i="3"/>
  <c r="H11" i="3"/>
  <c r="G11" i="3"/>
  <c r="AT10" i="3"/>
  <c r="AS10" i="3"/>
  <c r="AR10" i="3"/>
  <c r="AN10" i="3"/>
  <c r="AM10" i="3"/>
  <c r="AL10" i="3"/>
  <c r="AK10" i="3"/>
  <c r="AJ10" i="3"/>
  <c r="AI10" i="3"/>
  <c r="AH10" i="3"/>
  <c r="AG10" i="3"/>
  <c r="AF10" i="3"/>
  <c r="AE10" i="3"/>
  <c r="AD10" i="3"/>
  <c r="AC10" i="3"/>
  <c r="AB10" i="3"/>
  <c r="AA10" i="3"/>
  <c r="Z10" i="3"/>
  <c r="Y10" i="3"/>
  <c r="X10" i="3"/>
  <c r="W10" i="3"/>
  <c r="V10" i="3"/>
  <c r="U10" i="3"/>
  <c r="T10" i="3"/>
  <c r="S10" i="3"/>
  <c r="R10" i="3"/>
  <c r="Q10" i="3"/>
  <c r="P10" i="3"/>
  <c r="P6" i="3" s="1"/>
  <c r="P14" i="3" s="1"/>
  <c r="P24" i="3" s="1"/>
  <c r="O10" i="3"/>
  <c r="N10" i="3"/>
  <c r="M10" i="3"/>
  <c r="L10" i="3"/>
  <c r="K10" i="3"/>
  <c r="J10" i="3"/>
  <c r="I10" i="3"/>
  <c r="H10" i="3"/>
  <c r="G10" i="3"/>
  <c r="F10" i="3"/>
  <c r="E10" i="3"/>
  <c r="D10" i="3"/>
  <c r="C10" i="3"/>
  <c r="AT9" i="3"/>
  <c r="AS9" i="3"/>
  <c r="AR9" i="3"/>
  <c r="AR6" i="3" s="1"/>
  <c r="AR14" i="3" s="1"/>
  <c r="AR24" i="3" s="1"/>
  <c r="AN9" i="3"/>
  <c r="AM9" i="3"/>
  <c r="AL9" i="3"/>
  <c r="AK9" i="3"/>
  <c r="AJ9" i="3"/>
  <c r="AI9" i="3"/>
  <c r="AH9" i="3"/>
  <c r="AG9" i="3"/>
  <c r="AG6" i="3" s="1"/>
  <c r="AG14" i="3" s="1"/>
  <c r="AG24" i="3" s="1"/>
  <c r="AF9" i="3"/>
  <c r="AE9" i="3"/>
  <c r="AD9" i="3"/>
  <c r="AC9" i="3"/>
  <c r="AB9" i="3"/>
  <c r="AA9" i="3"/>
  <c r="Z9" i="3"/>
  <c r="Y9" i="3"/>
  <c r="Y6" i="3" s="1"/>
  <c r="Y14" i="3" s="1"/>
  <c r="Y24" i="3" s="1"/>
  <c r="X9" i="3"/>
  <c r="W9" i="3"/>
  <c r="V9" i="3"/>
  <c r="U9" i="3"/>
  <c r="T9" i="3"/>
  <c r="S9" i="3"/>
  <c r="R9" i="3"/>
  <c r="Q9" i="3"/>
  <c r="P9" i="3"/>
  <c r="O9" i="3"/>
  <c r="N9" i="3"/>
  <c r="M9" i="3"/>
  <c r="L9" i="3"/>
  <c r="K9" i="3"/>
  <c r="J9" i="3"/>
  <c r="I9" i="3"/>
  <c r="H9" i="3"/>
  <c r="G9" i="3"/>
  <c r="F9" i="3"/>
  <c r="E9" i="3"/>
  <c r="D9" i="3"/>
  <c r="C9" i="3"/>
  <c r="AT8" i="3"/>
  <c r="AS8" i="3"/>
  <c r="AS6" i="3" s="1"/>
  <c r="AS14" i="3" s="1"/>
  <c r="AS24" i="3" s="1"/>
  <c r="AR8" i="3"/>
  <c r="AN8" i="3"/>
  <c r="AM8" i="3"/>
  <c r="AL8" i="3"/>
  <c r="AL6" i="3" s="1"/>
  <c r="AL14" i="3" s="1"/>
  <c r="AL24" i="3" s="1"/>
  <c r="AK8" i="3"/>
  <c r="AJ8" i="3"/>
  <c r="AI8" i="3"/>
  <c r="AH8" i="3"/>
  <c r="AH6" i="3" s="1"/>
  <c r="AH14" i="3" s="1"/>
  <c r="AH24" i="3" s="1"/>
  <c r="AG8" i="3"/>
  <c r="AF8" i="3"/>
  <c r="AE8" i="3"/>
  <c r="AD8" i="3"/>
  <c r="AD6" i="3" s="1"/>
  <c r="AD14" i="3" s="1"/>
  <c r="AD24" i="3" s="1"/>
  <c r="AC8" i="3"/>
  <c r="AB8" i="3"/>
  <c r="AA8" i="3"/>
  <c r="Z8" i="3"/>
  <c r="Z6" i="3" s="1"/>
  <c r="Z14" i="3" s="1"/>
  <c r="Z24" i="3" s="1"/>
  <c r="Y8" i="3"/>
  <c r="X8" i="3"/>
  <c r="W8" i="3"/>
  <c r="V8" i="3"/>
  <c r="V6" i="3" s="1"/>
  <c r="V14" i="3" s="1"/>
  <c r="V24" i="3" s="1"/>
  <c r="U8" i="3"/>
  <c r="T8" i="3"/>
  <c r="S8" i="3"/>
  <c r="R8" i="3"/>
  <c r="R6" i="3" s="1"/>
  <c r="R14" i="3" s="1"/>
  <c r="R24" i="3" s="1"/>
  <c r="Q8" i="3"/>
  <c r="P8" i="3"/>
  <c r="O8" i="3"/>
  <c r="N8" i="3"/>
  <c r="M8" i="3"/>
  <c r="L8" i="3"/>
  <c r="K8" i="3"/>
  <c r="J8" i="3"/>
  <c r="I8" i="3"/>
  <c r="H8" i="3"/>
  <c r="G8" i="3"/>
  <c r="F8" i="3"/>
  <c r="E8" i="3"/>
  <c r="D8" i="3"/>
  <c r="C8" i="3"/>
  <c r="AT7" i="3"/>
  <c r="AT6" i="3" s="1"/>
  <c r="AT14" i="3" s="1"/>
  <c r="AT24" i="3" s="1"/>
  <c r="AS7" i="3"/>
  <c r="AR7" i="3"/>
  <c r="AM7" i="3"/>
  <c r="AL7" i="3"/>
  <c r="AJ7" i="3"/>
  <c r="AJ6" i="3" s="1"/>
  <c r="AJ14" i="3" s="1"/>
  <c r="AJ24" i="3" s="1"/>
  <c r="AI7" i="3"/>
  <c r="AI6" i="3" s="1"/>
  <c r="AI14" i="3" s="1"/>
  <c r="AI24" i="3" s="1"/>
  <c r="AH7" i="3"/>
  <c r="AG7" i="3"/>
  <c r="AE7" i="3"/>
  <c r="AD7" i="3"/>
  <c r="AB7" i="3"/>
  <c r="AB6" i="3" s="1"/>
  <c r="AB14" i="3" s="1"/>
  <c r="AB24" i="3" s="1"/>
  <c r="AA7" i="3"/>
  <c r="AA6" i="3" s="1"/>
  <c r="AA14" i="3" s="1"/>
  <c r="AA24" i="3" s="1"/>
  <c r="Z7" i="3"/>
  <c r="Y7" i="3"/>
  <c r="W7" i="3"/>
  <c r="V7" i="3"/>
  <c r="T7" i="3"/>
  <c r="T6" i="3" s="1"/>
  <c r="T14" i="3" s="1"/>
  <c r="S7" i="3"/>
  <c r="S6" i="3" s="1"/>
  <c r="S14" i="3" s="1"/>
  <c r="S24" i="3" s="1"/>
  <c r="R7" i="3"/>
  <c r="P7" i="3"/>
  <c r="O7" i="3"/>
  <c r="L7" i="3"/>
  <c r="L6" i="3" s="1"/>
  <c r="L14" i="3" s="1"/>
  <c r="L24" i="3" s="1"/>
  <c r="K7" i="3"/>
  <c r="K6" i="3" s="1"/>
  <c r="K14" i="3" s="1"/>
  <c r="K24" i="3" s="1"/>
  <c r="G7" i="3"/>
  <c r="E7" i="3"/>
  <c r="E6" i="3" s="1"/>
  <c r="D7" i="3"/>
  <c r="D6" i="3" s="1"/>
  <c r="D14" i="3" s="1"/>
  <c r="D24" i="3" s="1"/>
  <c r="C7" i="3"/>
  <c r="C6" i="3" s="1"/>
  <c r="C14" i="3" s="1"/>
  <c r="C24" i="3" s="1"/>
  <c r="AQ6" i="3"/>
  <c r="AQ14" i="3" s="1"/>
  <c r="AQ24" i="3" s="1"/>
  <c r="AP6" i="3"/>
  <c r="AO6" i="3"/>
  <c r="AM6" i="3"/>
  <c r="AM14" i="3" s="1"/>
  <c r="AM24" i="3" s="1"/>
  <c r="AE6" i="3"/>
  <c r="AE14" i="3" s="1"/>
  <c r="AE24" i="3" s="1"/>
  <c r="W6" i="3"/>
  <c r="W14" i="3" s="1"/>
  <c r="W24" i="3" s="1"/>
  <c r="O6" i="3"/>
  <c r="O14" i="3" s="1"/>
  <c r="O24" i="3" s="1"/>
  <c r="G6" i="3"/>
  <c r="G14" i="3" s="1"/>
  <c r="G24" i="3" s="1"/>
  <c r="BK74" i="2"/>
  <c r="BJ74" i="2"/>
  <c r="BI74" i="2"/>
  <c r="BH74" i="2"/>
  <c r="BG74" i="2"/>
  <c r="BF74" i="2"/>
  <c r="BE74" i="2"/>
  <c r="BD74" i="2"/>
  <c r="BC74" i="2"/>
  <c r="BB74" i="2"/>
  <c r="BA74" i="2"/>
  <c r="AZ74" i="2"/>
  <c r="AY74" i="2"/>
  <c r="AX74" i="2"/>
  <c r="AW74" i="2"/>
  <c r="AV74" i="2"/>
  <c r="AU74" i="2"/>
  <c r="BK73" i="2"/>
  <c r="BJ73" i="2"/>
  <c r="BI73" i="2"/>
  <c r="BH73" i="2"/>
  <c r="BG73" i="2"/>
  <c r="BF73" i="2"/>
  <c r="BE73" i="2"/>
  <c r="BD73" i="2"/>
  <c r="BC73" i="2"/>
  <c r="BB73" i="2"/>
  <c r="BA73" i="2"/>
  <c r="AZ73" i="2"/>
  <c r="AY73" i="2"/>
  <c r="AX73" i="2"/>
  <c r="AW73" i="2"/>
  <c r="AV73" i="2"/>
  <c r="AU73" i="2"/>
  <c r="AA63" i="2"/>
  <c r="Z63" i="2"/>
  <c r="Y63" i="2"/>
  <c r="X63" i="2"/>
  <c r="W63" i="2"/>
  <c r="V63" i="2"/>
  <c r="U63" i="2"/>
  <c r="T63" i="2"/>
  <c r="T60" i="2" s="1"/>
  <c r="S63" i="2"/>
  <c r="S60" i="2" s="1"/>
  <c r="R63" i="2"/>
  <c r="Q63" i="2"/>
  <c r="Q60" i="2" s="1"/>
  <c r="P63" i="2"/>
  <c r="P60" i="2" s="1"/>
  <c r="O63" i="2"/>
  <c r="O60" i="2" s="1"/>
  <c r="N63" i="2"/>
  <c r="N60" i="2" s="1"/>
  <c r="M63" i="2"/>
  <c r="L63" i="2"/>
  <c r="L60" i="2" s="1"/>
  <c r="K63" i="2"/>
  <c r="K60" i="2" s="1"/>
  <c r="J63" i="2"/>
  <c r="I63" i="2"/>
  <c r="I60" i="2" s="1"/>
  <c r="H63" i="2"/>
  <c r="H60" i="2" s="1"/>
  <c r="G63" i="2"/>
  <c r="G60" i="2" s="1"/>
  <c r="F63" i="2"/>
  <c r="F60" i="2" s="1"/>
  <c r="E63" i="2"/>
  <c r="D63" i="2"/>
  <c r="D60" i="2" s="1"/>
  <c r="C63" i="2"/>
  <c r="C60" i="2" s="1"/>
  <c r="BJ61" i="2"/>
  <c r="BI61" i="2"/>
  <c r="BH61" i="2"/>
  <c r="BG61" i="2"/>
  <c r="BE61" i="2"/>
  <c r="BE60" i="2" s="1"/>
  <c r="BD61" i="2"/>
  <c r="BD60" i="2" s="1"/>
  <c r="BB61" i="2"/>
  <c r="BA61" i="2"/>
  <c r="AZ61" i="2"/>
  <c r="AY61" i="2"/>
  <c r="AW61" i="2"/>
  <c r="AW60" i="2" s="1"/>
  <c r="AV61" i="2"/>
  <c r="AV60" i="2" s="1"/>
  <c r="AT61" i="2"/>
  <c r="AS61" i="2"/>
  <c r="AR61" i="2"/>
  <c r="AQ61" i="2"/>
  <c r="AO61" i="2"/>
  <c r="AO60" i="2" s="1"/>
  <c r="AN61" i="2"/>
  <c r="AN60" i="2" s="1"/>
  <c r="AM61" i="2"/>
  <c r="AL61" i="2"/>
  <c r="AK61" i="2"/>
  <c r="AJ61" i="2"/>
  <c r="AI61" i="2"/>
  <c r="AH61" i="2"/>
  <c r="AG61" i="2"/>
  <c r="AG60" i="2" s="1"/>
  <c r="AF61" i="2"/>
  <c r="AF60" i="2" s="1"/>
  <c r="AE61" i="2"/>
  <c r="AD61" i="2"/>
  <c r="AC61" i="2"/>
  <c r="AB61" i="2"/>
  <c r="AA61" i="2"/>
  <c r="Z61" i="2"/>
  <c r="Y61" i="2"/>
  <c r="X61" i="2"/>
  <c r="W61" i="2"/>
  <c r="V61" i="2"/>
  <c r="BJ60" i="2"/>
  <c r="BI60" i="2"/>
  <c r="BH60" i="2"/>
  <c r="BG60" i="2"/>
  <c r="BB60" i="2"/>
  <c r="BA60" i="2"/>
  <c r="AZ60" i="2"/>
  <c r="AY60" i="2"/>
  <c r="AT60" i="2"/>
  <c r="AS60" i="2"/>
  <c r="AR60" i="2"/>
  <c r="AQ60" i="2"/>
  <c r="AM60" i="2"/>
  <c r="AL60" i="2"/>
  <c r="AK60" i="2"/>
  <c r="AJ60" i="2"/>
  <c r="AI60" i="2"/>
  <c r="AH60" i="2"/>
  <c r="AE60" i="2"/>
  <c r="AD60" i="2"/>
  <c r="AC60" i="2"/>
  <c r="AB60" i="2"/>
  <c r="AA60" i="2"/>
  <c r="Z60" i="2"/>
  <c r="Y60" i="2"/>
  <c r="X60" i="2"/>
  <c r="W60" i="2"/>
  <c r="V60" i="2"/>
  <c r="U60" i="2"/>
  <c r="R60" i="2"/>
  <c r="M60" i="2"/>
  <c r="J60" i="2"/>
  <c r="E60" i="2"/>
  <c r="AA58" i="2"/>
  <c r="Z58" i="2"/>
  <c r="Y58" i="2"/>
  <c r="X58" i="2"/>
  <c r="W58" i="2"/>
  <c r="V58" i="2"/>
  <c r="U58" i="2"/>
  <c r="T58" i="2"/>
  <c r="T55" i="2" s="1"/>
  <c r="S58" i="2"/>
  <c r="S55" i="2" s="1"/>
  <c r="R58" i="2"/>
  <c r="Q58" i="2"/>
  <c r="Q55" i="2" s="1"/>
  <c r="P58" i="2"/>
  <c r="P55" i="2" s="1"/>
  <c r="O58" i="2"/>
  <c r="O55" i="2" s="1"/>
  <c r="N58" i="2"/>
  <c r="N55" i="2" s="1"/>
  <c r="M58" i="2"/>
  <c r="L58" i="2"/>
  <c r="L55" i="2" s="1"/>
  <c r="K58" i="2"/>
  <c r="K55" i="2" s="1"/>
  <c r="J58" i="2"/>
  <c r="I58" i="2"/>
  <c r="I55" i="2" s="1"/>
  <c r="H58" i="2"/>
  <c r="H55" i="2" s="1"/>
  <c r="G58" i="2"/>
  <c r="G55" i="2" s="1"/>
  <c r="F58" i="2"/>
  <c r="F55" i="2" s="1"/>
  <c r="E58" i="2"/>
  <c r="D58" i="2"/>
  <c r="D55" i="2" s="1"/>
  <c r="C58" i="2"/>
  <c r="C55" i="2" s="1"/>
  <c r="BH56" i="2"/>
  <c r="BG56" i="2"/>
  <c r="BE56" i="2"/>
  <c r="BE55" i="2" s="1"/>
  <c r="BD56" i="2"/>
  <c r="BD55" i="2" s="1"/>
  <c r="AZ56" i="2"/>
  <c r="AY56" i="2"/>
  <c r="AW56" i="2"/>
  <c r="AW55" i="2" s="1"/>
  <c r="AV56" i="2"/>
  <c r="AV55" i="2" s="1"/>
  <c r="AR56" i="2"/>
  <c r="AQ56" i="2"/>
  <c r="BH55" i="2"/>
  <c r="BG55" i="2"/>
  <c r="AZ55" i="2"/>
  <c r="AY55" i="2"/>
  <c r="AR55" i="2"/>
  <c r="AQ55" i="2"/>
  <c r="U55" i="2"/>
  <c r="R55" i="2"/>
  <c r="M55" i="2"/>
  <c r="J55" i="2"/>
  <c r="E55" i="2"/>
  <c r="BK51" i="2"/>
  <c r="BK61" i="2" s="1"/>
  <c r="BK60" i="2" s="1"/>
  <c r="BJ51" i="2"/>
  <c r="BI51" i="2"/>
  <c r="BH51" i="2"/>
  <c r="BG51" i="2"/>
  <c r="BF51" i="2"/>
  <c r="BF61" i="2" s="1"/>
  <c r="BF60" i="2" s="1"/>
  <c r="BE51" i="2"/>
  <c r="BD51" i="2"/>
  <c r="BC51" i="2"/>
  <c r="BC61" i="2" s="1"/>
  <c r="BC60" i="2" s="1"/>
  <c r="BB51" i="2"/>
  <c r="BA51" i="2"/>
  <c r="AZ51" i="2"/>
  <c r="AY51" i="2"/>
  <c r="AX51" i="2"/>
  <c r="AX61" i="2" s="1"/>
  <c r="AX60" i="2" s="1"/>
  <c r="AW51" i="2"/>
  <c r="AV51" i="2"/>
  <c r="AU51" i="2"/>
  <c r="AU61" i="2" s="1"/>
  <c r="AU60" i="2" s="1"/>
  <c r="AT51" i="2"/>
  <c r="AS51" i="2"/>
  <c r="AR51" i="2"/>
  <c r="AQ51" i="2"/>
  <c r="AP51" i="2"/>
  <c r="AP61" i="2" s="1"/>
  <c r="AP60" i="2" s="1"/>
  <c r="BK31" i="2"/>
  <c r="BK56" i="2" s="1"/>
  <c r="BK55" i="2" s="1"/>
  <c r="BJ31" i="2"/>
  <c r="BJ56" i="2" s="1"/>
  <c r="BJ55" i="2" s="1"/>
  <c r="BI31" i="2"/>
  <c r="BI56" i="2" s="1"/>
  <c r="BI55" i="2" s="1"/>
  <c r="BH31" i="2"/>
  <c r="BG31" i="2"/>
  <c r="BF31" i="2"/>
  <c r="BE31" i="2"/>
  <c r="BD31" i="2"/>
  <c r="BC31" i="2"/>
  <c r="BC56" i="2" s="1"/>
  <c r="BC55" i="2" s="1"/>
  <c r="BB31" i="2"/>
  <c r="BB56" i="2" s="1"/>
  <c r="BB55" i="2" s="1"/>
  <c r="BA31" i="2"/>
  <c r="BA56" i="2" s="1"/>
  <c r="BA55" i="2" s="1"/>
  <c r="AZ31" i="2"/>
  <c r="AY31" i="2"/>
  <c r="AX31" i="2"/>
  <c r="AW31" i="2"/>
  <c r="AV31" i="2"/>
  <c r="AU31" i="2"/>
  <c r="AU56" i="2" s="1"/>
  <c r="AU55" i="2" s="1"/>
  <c r="AT31" i="2"/>
  <c r="AT56" i="2" s="1"/>
  <c r="AT55" i="2" s="1"/>
  <c r="AS31" i="2"/>
  <c r="AS56" i="2" s="1"/>
  <c r="AS55" i="2" s="1"/>
  <c r="AR31" i="2"/>
  <c r="AQ31" i="2"/>
  <c r="AP31" i="2"/>
  <c r="AL31" i="2"/>
  <c r="AL56" i="2" s="1"/>
  <c r="AL55" i="2" s="1"/>
  <c r="AK31" i="2"/>
  <c r="AK56" i="2" s="1"/>
  <c r="AK55" i="2" s="1"/>
  <c r="AD31" i="2"/>
  <c r="AD56" i="2" s="1"/>
  <c r="AD55" i="2" s="1"/>
  <c r="AC31" i="2"/>
  <c r="AC56" i="2" s="1"/>
  <c r="AC55" i="2" s="1"/>
  <c r="V31" i="2"/>
  <c r="V56" i="2" s="1"/>
  <c r="BK18" i="2"/>
  <c r="BK17" i="2" s="1"/>
  <c r="BJ18" i="2"/>
  <c r="BI18" i="2"/>
  <c r="BH18" i="2"/>
  <c r="BG18" i="2"/>
  <c r="BG17" i="2" s="1"/>
  <c r="BF18" i="2"/>
  <c r="BF17" i="2" s="1"/>
  <c r="BE18" i="2"/>
  <c r="BE17" i="2" s="1"/>
  <c r="BD18" i="2"/>
  <c r="BD17" i="2" s="1"/>
  <c r="BC18" i="2"/>
  <c r="BC17" i="2" s="1"/>
  <c r="BB18" i="2"/>
  <c r="BA18" i="2"/>
  <c r="AZ18" i="2"/>
  <c r="AY18" i="2"/>
  <c r="AY17" i="2" s="1"/>
  <c r="AX18" i="2"/>
  <c r="AX17" i="2" s="1"/>
  <c r="AW18" i="2"/>
  <c r="AW17" i="2" s="1"/>
  <c r="AV18" i="2"/>
  <c r="AV17" i="2" s="1"/>
  <c r="AU18" i="2"/>
  <c r="AU17" i="2" s="1"/>
  <c r="AT18" i="2"/>
  <c r="AS18" i="2"/>
  <c r="AR18" i="2"/>
  <c r="AQ18" i="2"/>
  <c r="AQ17" i="2" s="1"/>
  <c r="AP18" i="2"/>
  <c r="AP17" i="2" s="1"/>
  <c r="AO18" i="2"/>
  <c r="AO17" i="2" s="1"/>
  <c r="AN18" i="2"/>
  <c r="AN17" i="2" s="1"/>
  <c r="AM18" i="2"/>
  <c r="AM31" i="2" s="1"/>
  <c r="AM56" i="2" s="1"/>
  <c r="AM55" i="2" s="1"/>
  <c r="AL18" i="2"/>
  <c r="AK18" i="2"/>
  <c r="AJ18" i="2"/>
  <c r="AJ31" i="2" s="1"/>
  <c r="AJ56" i="2" s="1"/>
  <c r="AJ55" i="2" s="1"/>
  <c r="AI18" i="2"/>
  <c r="AI17" i="2" s="1"/>
  <c r="AH18" i="2"/>
  <c r="AH17" i="2" s="1"/>
  <c r="AG18" i="2"/>
  <c r="AG31" i="2" s="1"/>
  <c r="AG56" i="2" s="1"/>
  <c r="AG55" i="2" s="1"/>
  <c r="AF18" i="2"/>
  <c r="AF17" i="2" s="1"/>
  <c r="AE18" i="2"/>
  <c r="AE31" i="2" s="1"/>
  <c r="AE56" i="2" s="1"/>
  <c r="AE55" i="2" s="1"/>
  <c r="AD18" i="2"/>
  <c r="AC18" i="2"/>
  <c r="AB18" i="2"/>
  <c r="AB31" i="2" s="1"/>
  <c r="AB56" i="2" s="1"/>
  <c r="AB55" i="2" s="1"/>
  <c r="AA18" i="2"/>
  <c r="AA17" i="2" s="1"/>
  <c r="Z18" i="2"/>
  <c r="Z17" i="2" s="1"/>
  <c r="Y18" i="2"/>
  <c r="Y17" i="2" s="1"/>
  <c r="X18" i="2"/>
  <c r="X31" i="2" s="1"/>
  <c r="W18" i="2"/>
  <c r="W31" i="2" s="1"/>
  <c r="V18" i="2"/>
  <c r="U18" i="2"/>
  <c r="T18" i="2"/>
  <c r="S18" i="2"/>
  <c r="S17" i="2" s="1"/>
  <c r="R18" i="2"/>
  <c r="R17" i="2" s="1"/>
  <c r="Q18" i="2"/>
  <c r="Q17" i="2" s="1"/>
  <c r="P18" i="2"/>
  <c r="P17" i="2" s="1"/>
  <c r="O18" i="2"/>
  <c r="O17" i="2" s="1"/>
  <c r="N18" i="2"/>
  <c r="M18" i="2"/>
  <c r="L18" i="2"/>
  <c r="K18" i="2"/>
  <c r="K17" i="2" s="1"/>
  <c r="J18" i="2"/>
  <c r="J17" i="2" s="1"/>
  <c r="I18" i="2"/>
  <c r="I17" i="2" s="1"/>
  <c r="H18" i="2"/>
  <c r="H17" i="2" s="1"/>
  <c r="G18" i="2"/>
  <c r="G17" i="2" s="1"/>
  <c r="F18" i="2"/>
  <c r="E18" i="2"/>
  <c r="D18" i="2"/>
  <c r="C18" i="2"/>
  <c r="C17" i="2" s="1"/>
  <c r="BJ17" i="2"/>
  <c r="BI17" i="2"/>
  <c r="BH17" i="2"/>
  <c r="BB17" i="2"/>
  <c r="BA17" i="2"/>
  <c r="AZ17" i="2"/>
  <c r="AT17" i="2"/>
  <c r="AS17" i="2"/>
  <c r="AR17" i="2"/>
  <c r="AL17" i="2"/>
  <c r="AK17" i="2"/>
  <c r="AJ17" i="2"/>
  <c r="AD17" i="2"/>
  <c r="AC17" i="2"/>
  <c r="AB17" i="2"/>
  <c r="V17" i="2"/>
  <c r="U17" i="2"/>
  <c r="T17" i="2"/>
  <c r="N17" i="2"/>
  <c r="M17" i="2"/>
  <c r="L17" i="2"/>
  <c r="F17" i="2"/>
  <c r="E17" i="2"/>
  <c r="D17" i="2"/>
  <c r="BK14" i="2"/>
  <c r="BJ14" i="2"/>
  <c r="BI14" i="2"/>
  <c r="BH14" i="2"/>
  <c r="BG14" i="2"/>
  <c r="BF14" i="2"/>
  <c r="BE14" i="2"/>
  <c r="BD14" i="2"/>
  <c r="BC14" i="2"/>
  <c r="BB14" i="2"/>
  <c r="BA14" i="2"/>
  <c r="AZ14" i="2"/>
  <c r="AY14" i="2"/>
  <c r="AX14" i="2"/>
  <c r="AW14" i="2"/>
  <c r="AV14" i="2"/>
  <c r="AU14" i="2"/>
  <c r="AT14" i="2"/>
  <c r="AS14" i="2"/>
  <c r="AR14" i="2"/>
  <c r="AQ14" i="2"/>
  <c r="AP14" i="2"/>
  <c r="AO14" i="2"/>
  <c r="AN14" i="2"/>
  <c r="AM14" i="2"/>
  <c r="AL14" i="2"/>
  <c r="AK14" i="2"/>
  <c r="AJ14" i="2"/>
  <c r="AI14" i="2"/>
  <c r="AH14" i="2"/>
  <c r="AG14" i="2"/>
  <c r="AF14" i="2"/>
  <c r="AE14" i="2"/>
  <c r="AD14" i="2"/>
  <c r="AC14" i="2"/>
  <c r="AB14" i="2"/>
  <c r="AA14" i="2"/>
  <c r="Z14" i="2"/>
  <c r="Y14" i="2"/>
  <c r="X14" i="2"/>
  <c r="W14" i="2"/>
  <c r="V14" i="2"/>
  <c r="U14" i="2"/>
  <c r="T14" i="2"/>
  <c r="S14" i="2"/>
  <c r="R14" i="2"/>
  <c r="Q14" i="2"/>
  <c r="P14" i="2"/>
  <c r="O14" i="2"/>
  <c r="N14" i="2"/>
  <c r="M14" i="2"/>
  <c r="L14" i="2"/>
  <c r="K14" i="2"/>
  <c r="J14" i="2"/>
  <c r="I14" i="2"/>
  <c r="H14" i="2"/>
  <c r="G14" i="2"/>
  <c r="F14" i="2"/>
  <c r="E14" i="2"/>
  <c r="D14" i="2"/>
  <c r="C14" i="2"/>
  <c r="I6" i="16" l="1"/>
  <c r="Q6" i="16"/>
  <c r="Y6" i="16"/>
  <c r="AN21" i="16"/>
  <c r="BQ22" i="1"/>
  <c r="BP22" i="1"/>
  <c r="BO22" i="1"/>
  <c r="BN22" i="1"/>
  <c r="BM22" i="1"/>
  <c r="BL22" i="1"/>
  <c r="BK22" i="1"/>
  <c r="BR6" i="1"/>
  <c r="BR13" i="1"/>
  <c r="J8" i="12"/>
  <c r="R8" i="12"/>
  <c r="Z8" i="12"/>
  <c r="AA24" i="12" s="1"/>
  <c r="AH8" i="12"/>
  <c r="AP8" i="12"/>
  <c r="F21" i="16"/>
  <c r="N21" i="16"/>
  <c r="AG6" i="16"/>
  <c r="H21" i="16"/>
  <c r="P21" i="16"/>
  <c r="AF21" i="16"/>
  <c r="AF25" i="16" s="1"/>
  <c r="AS22" i="6"/>
  <c r="AS21" i="6" s="1"/>
  <c r="BI22" i="6"/>
  <c r="BI21" i="6" s="1"/>
  <c r="AV26" i="6"/>
  <c r="AV25" i="6" s="1"/>
  <c r="BD26" i="6"/>
  <c r="BD25" i="6" s="1"/>
  <c r="BL26" i="6"/>
  <c r="BL25" i="6" s="1"/>
  <c r="BA37" i="6"/>
  <c r="BI37" i="6"/>
  <c r="BQ37" i="6"/>
  <c r="AZ38" i="6"/>
  <c r="BH38" i="6"/>
  <c r="AS26" i="6"/>
  <c r="AS25" i="6" s="1"/>
  <c r="BA26" i="6"/>
  <c r="BA25" i="6" s="1"/>
  <c r="BI26" i="6"/>
  <c r="BI25" i="6" s="1"/>
  <c r="BQ26" i="6"/>
  <c r="BQ25" i="6" s="1"/>
  <c r="BA38" i="6"/>
  <c r="AV82" i="10"/>
  <c r="AV31" i="10"/>
  <c r="BL82" i="10"/>
  <c r="BL31" i="10"/>
  <c r="AU37" i="10"/>
  <c r="AW37" i="10"/>
  <c r="AV7" i="6"/>
  <c r="AV22" i="6" s="1"/>
  <c r="AV21" i="6" s="1"/>
  <c r="BD7" i="6"/>
  <c r="BL7" i="6"/>
  <c r="BL22" i="6" s="1"/>
  <c r="BL21" i="6" s="1"/>
  <c r="AS24" i="15"/>
  <c r="AS28" i="15" s="1"/>
  <c r="AY22" i="6"/>
  <c r="AY21" i="6" s="1"/>
  <c r="BO22" i="6"/>
  <c r="BO21" i="6" s="1"/>
  <c r="AU26" i="6"/>
  <c r="AU25" i="6" s="1"/>
  <c r="BC26" i="6"/>
  <c r="BC25" i="6" s="1"/>
  <c r="BK26" i="6"/>
  <c r="BK25" i="6" s="1"/>
  <c r="BS26" i="6"/>
  <c r="BS25" i="6" s="1"/>
  <c r="BB78" i="10"/>
  <c r="BB26" i="10"/>
  <c r="BA22" i="6"/>
  <c r="BA21" i="6" s="1"/>
  <c r="BQ22" i="6"/>
  <c r="BQ21" i="6" s="1"/>
  <c r="AY70" i="10"/>
  <c r="AY20" i="10"/>
  <c r="BG70" i="10"/>
  <c r="BG20" i="10"/>
  <c r="BC7" i="6"/>
  <c r="BC22" i="6" s="1"/>
  <c r="BC21" i="6" s="1"/>
  <c r="BS7" i="6"/>
  <c r="BS22" i="6" s="1"/>
  <c r="BS21" i="6" s="1"/>
  <c r="AW26" i="6"/>
  <c r="AW25" i="6" s="1"/>
  <c r="BM26" i="6"/>
  <c r="BM25" i="6" s="1"/>
  <c r="BJ14" i="6"/>
  <c r="BJ26" i="6" s="1"/>
  <c r="BJ25" i="6" s="1"/>
  <c r="AY37" i="6"/>
  <c r="BG37" i="6"/>
  <c r="BO37" i="6"/>
  <c r="AX38" i="6"/>
  <c r="BF38" i="6"/>
  <c r="BB44" i="9"/>
  <c r="BB7" i="9"/>
  <c r="BJ44" i="9"/>
  <c r="BJ7" i="9"/>
  <c r="BR44" i="9"/>
  <c r="BR7" i="9"/>
  <c r="BG66" i="10"/>
  <c r="BO66" i="10"/>
  <c r="BG22" i="6"/>
  <c r="BG21" i="6" s="1"/>
  <c r="AY26" i="6"/>
  <c r="AY25" i="6" s="1"/>
  <c r="BG26" i="6"/>
  <c r="BG25" i="6" s="1"/>
  <c r="BO26" i="6"/>
  <c r="BO25" i="6" s="1"/>
  <c r="AY38" i="6"/>
  <c r="BG38" i="6"/>
  <c r="AS35" i="14"/>
  <c r="BA35" i="14"/>
  <c r="BI35" i="14"/>
  <c r="BA51" i="6"/>
  <c r="BC51" i="6"/>
  <c r="BS51" i="6"/>
  <c r="BE51" i="6"/>
  <c r="BM51" i="6"/>
  <c r="BM13" i="7"/>
  <c r="BC15" i="8"/>
  <c r="BS15" i="8"/>
  <c r="AT25" i="8"/>
  <c r="AT30" i="8" s="1"/>
  <c r="BB29" i="9"/>
  <c r="BJ29" i="9"/>
  <c r="BL13" i="10"/>
  <c r="BI37" i="10"/>
  <c r="AV44" i="11"/>
  <c r="AV47" i="11" s="1"/>
  <c r="BD44" i="11"/>
  <c r="BD47" i="11" s="1"/>
  <c r="BL44" i="11"/>
  <c r="BL47" i="11" s="1"/>
  <c r="M8" i="12"/>
  <c r="U8" i="12"/>
  <c r="AC8" i="12"/>
  <c r="AK8" i="12"/>
  <c r="AS8" i="12"/>
  <c r="BO28" i="14"/>
  <c r="AT24" i="15"/>
  <c r="AT28" i="15" s="1"/>
  <c r="BB24" i="15"/>
  <c r="BB28" i="15" s="1"/>
  <c r="BJ24" i="15"/>
  <c r="BJ28" i="15" s="1"/>
  <c r="BR24" i="15"/>
  <c r="BR28" i="15" s="1"/>
  <c r="AZ9" i="15"/>
  <c r="BH9" i="15"/>
  <c r="BP9" i="15"/>
  <c r="AW10" i="19"/>
  <c r="AW22" i="19" s="1"/>
  <c r="BE10" i="19"/>
  <c r="BE22" i="19" s="1"/>
  <c r="BM10" i="19"/>
  <c r="BM22" i="19" s="1"/>
  <c r="BE37" i="19"/>
  <c r="BM38" i="6"/>
  <c r="AP14" i="7"/>
  <c r="AX14" i="7"/>
  <c r="BF14" i="7"/>
  <c r="BN14" i="7"/>
  <c r="BN13" i="7" s="1"/>
  <c r="AR14" i="7"/>
  <c r="AR13" i="7" s="1"/>
  <c r="AZ14" i="7"/>
  <c r="AZ13" i="7" s="1"/>
  <c r="BH14" i="7"/>
  <c r="BH13" i="7" s="1"/>
  <c r="BP14" i="7"/>
  <c r="AT14" i="7"/>
  <c r="BB14" i="7"/>
  <c r="BJ14" i="7"/>
  <c r="BR14" i="7"/>
  <c r="BR13" i="7" s="1"/>
  <c r="AP18" i="7"/>
  <c r="AX18" i="7"/>
  <c r="BF18" i="7"/>
  <c r="BN18" i="7"/>
  <c r="AR18" i="7"/>
  <c r="AZ18" i="7"/>
  <c r="BH18" i="7"/>
  <c r="BP18" i="7"/>
  <c r="AT18" i="7"/>
  <c r="BB18" i="7"/>
  <c r="BJ18" i="7"/>
  <c r="BR18" i="7"/>
  <c r="AP18" i="8"/>
  <c r="AX18" i="8"/>
  <c r="BF18" i="8"/>
  <c r="BA36" i="9"/>
  <c r="BA34" i="9" s="1"/>
  <c r="BI36" i="9"/>
  <c r="BI34" i="9" s="1"/>
  <c r="BQ36" i="9"/>
  <c r="BQ34" i="9" s="1"/>
  <c r="AZ37" i="9"/>
  <c r="BH37" i="9"/>
  <c r="BP37" i="9"/>
  <c r="AY38" i="9"/>
  <c r="BG38" i="9"/>
  <c r="BO38" i="9"/>
  <c r="AV44" i="10"/>
  <c r="BD44" i="10"/>
  <c r="BL44" i="10"/>
  <c r="AP44" i="10"/>
  <c r="AP43" i="10" s="1"/>
  <c r="AX44" i="10"/>
  <c r="AX43" i="10" s="1"/>
  <c r="BF44" i="10"/>
  <c r="AS50" i="10"/>
  <c r="BA50" i="10"/>
  <c r="BI50" i="10"/>
  <c r="BQ50" i="10"/>
  <c r="AS22" i="11"/>
  <c r="BA22" i="11"/>
  <c r="BI22" i="11"/>
  <c r="BQ22" i="11"/>
  <c r="AP37" i="11"/>
  <c r="AX37" i="11"/>
  <c r="BF37" i="11"/>
  <c r="BN37" i="11"/>
  <c r="BE19" i="14"/>
  <c r="AS28" i="14"/>
  <c r="AW35" i="14"/>
  <c r="BE35" i="14"/>
  <c r="BM35" i="14"/>
  <c r="BC24" i="15"/>
  <c r="BC28" i="15" s="1"/>
  <c r="AV24" i="15"/>
  <c r="AV28" i="15" s="1"/>
  <c r="V21" i="16"/>
  <c r="AD21" i="16"/>
  <c r="AL21" i="16"/>
  <c r="AT21" i="16"/>
  <c r="AY37" i="19"/>
  <c r="AY36" i="19" s="1"/>
  <c r="BG37" i="19"/>
  <c r="BO37" i="19"/>
  <c r="BO36" i="19" s="1"/>
  <c r="AX37" i="19"/>
  <c r="BF37" i="19"/>
  <c r="BN37" i="19"/>
  <c r="BN38" i="6"/>
  <c r="AU14" i="7"/>
  <c r="BC14" i="7"/>
  <c r="BK14" i="7"/>
  <c r="BS14" i="7"/>
  <c r="BS13" i="7" s="1"/>
  <c r="AU18" i="7"/>
  <c r="BC18" i="7"/>
  <c r="BK18" i="7"/>
  <c r="BS18" i="7"/>
  <c r="BA24" i="9"/>
  <c r="AQ75" i="10"/>
  <c r="AY75" i="10"/>
  <c r="BG75" i="10"/>
  <c r="BO75" i="10"/>
  <c r="AS76" i="10"/>
  <c r="BA76" i="10"/>
  <c r="BI76" i="10"/>
  <c r="BQ76" i="10"/>
  <c r="AU77" i="10"/>
  <c r="BC77" i="10"/>
  <c r="BK77" i="10"/>
  <c r="BS77" i="10"/>
  <c r="AW78" i="10"/>
  <c r="BE78" i="10"/>
  <c r="BM78" i="10"/>
  <c r="AP44" i="11"/>
  <c r="AP47" i="11" s="1"/>
  <c r="AX44" i="11"/>
  <c r="AX47" i="11" s="1"/>
  <c r="BF44" i="11"/>
  <c r="BF47" i="11" s="1"/>
  <c r="BN44" i="11"/>
  <c r="BN47" i="11" s="1"/>
  <c r="AV16" i="12"/>
  <c r="BD16" i="12"/>
  <c r="BL16" i="12"/>
  <c r="AT28" i="14"/>
  <c r="BF6" i="17"/>
  <c r="BF15" i="17" s="1"/>
  <c r="BF19" i="17" s="1"/>
  <c r="AR19" i="18"/>
  <c r="AZ19" i="18"/>
  <c r="BH19" i="18"/>
  <c r="BP19" i="18"/>
  <c r="AQ11" i="18"/>
  <c r="AY11" i="18"/>
  <c r="AY15" i="18" s="1"/>
  <c r="AY19" i="18" s="1"/>
  <c r="BG11" i="18"/>
  <c r="BO11" i="18"/>
  <c r="BO38" i="6"/>
  <c r="AR18" i="8"/>
  <c r="AZ18" i="8"/>
  <c r="BH18" i="8"/>
  <c r="BP18" i="8"/>
  <c r="BH32" i="8"/>
  <c r="BH36" i="8" s="1"/>
  <c r="BP32" i="8"/>
  <c r="BP36" i="8" s="1"/>
  <c r="AZ42" i="9"/>
  <c r="BH42" i="9"/>
  <c r="BP42" i="9"/>
  <c r="AY43" i="9"/>
  <c r="BG43" i="9"/>
  <c r="BO43" i="9"/>
  <c r="AX44" i="9"/>
  <c r="BF44" i="9"/>
  <c r="AW45" i="9"/>
  <c r="BE45" i="9"/>
  <c r="BM45" i="9"/>
  <c r="BA39" i="10"/>
  <c r="BQ39" i="10"/>
  <c r="BQ37" i="10" s="1"/>
  <c r="BK55" i="10"/>
  <c r="BS55" i="10"/>
  <c r="AU22" i="11"/>
  <c r="BC22" i="11"/>
  <c r="BK22" i="11"/>
  <c r="BS22" i="11"/>
  <c r="AR37" i="11"/>
  <c r="AR49" i="11" s="1"/>
  <c r="AZ37" i="11"/>
  <c r="BH37" i="11"/>
  <c r="BP37" i="11"/>
  <c r="BH19" i="14"/>
  <c r="AY19" i="14"/>
  <c r="BG19" i="14"/>
  <c r="BO19" i="14"/>
  <c r="BB28" i="14"/>
  <c r="BJ28" i="14"/>
  <c r="BR28" i="14"/>
  <c r="AU11" i="17"/>
  <c r="AU15" i="17" s="1"/>
  <c r="AU19" i="17" s="1"/>
  <c r="AR22" i="19"/>
  <c r="AR29" i="19" s="1"/>
  <c r="AR31" i="19" s="1"/>
  <c r="AR32" i="19" s="1"/>
  <c r="AV13" i="19"/>
  <c r="BD13" i="19"/>
  <c r="BL13" i="19"/>
  <c r="BP38" i="6"/>
  <c r="AW13" i="7"/>
  <c r="AT69" i="10"/>
  <c r="BB69" i="10"/>
  <c r="BJ69" i="10"/>
  <c r="BR69" i="10"/>
  <c r="AV70" i="10"/>
  <c r="BD70" i="10"/>
  <c r="BL70" i="10"/>
  <c r="AP71" i="10"/>
  <c r="AX71" i="10"/>
  <c r="BF71" i="10"/>
  <c r="BN71" i="10"/>
  <c r="AR72" i="10"/>
  <c r="AZ72" i="10"/>
  <c r="BH72" i="10"/>
  <c r="BP72" i="10"/>
  <c r="AT73" i="10"/>
  <c r="BB73" i="10"/>
  <c r="BJ73" i="10"/>
  <c r="BR73" i="10"/>
  <c r="AR47" i="11"/>
  <c r="AZ47" i="11"/>
  <c r="BH47" i="11"/>
  <c r="BP47" i="11"/>
  <c r="AS6" i="13"/>
  <c r="BC6" i="17"/>
  <c r="BC15" i="17" s="1"/>
  <c r="BC19" i="17" s="1"/>
  <c r="BK6" i="17"/>
  <c r="BK15" i="17" s="1"/>
  <c r="BK19" i="17" s="1"/>
  <c r="BS6" i="17"/>
  <c r="BS15" i="17" s="1"/>
  <c r="BS19" i="17" s="1"/>
  <c r="AQ11" i="17"/>
  <c r="AY11" i="17"/>
  <c r="BG11" i="17"/>
  <c r="AV37" i="19"/>
  <c r="BD37" i="19"/>
  <c r="BL37" i="19"/>
  <c r="BJ37" i="19"/>
  <c r="AU6" i="1"/>
  <c r="BI38" i="6"/>
  <c r="AW63" i="6"/>
  <c r="AW62" i="6" s="1"/>
  <c r="BB18" i="8"/>
  <c r="BJ18" i="8"/>
  <c r="AY30" i="8"/>
  <c r="BG30" i="8"/>
  <c r="BO30" i="8"/>
  <c r="AQ30" i="8"/>
  <c r="BB32" i="8"/>
  <c r="BB36" i="8" s="1"/>
  <c r="BJ32" i="8"/>
  <c r="BJ36" i="8" s="1"/>
  <c r="BR32" i="8"/>
  <c r="BR36" i="8" s="1"/>
  <c r="BA53" i="9"/>
  <c r="BI53" i="9"/>
  <c r="BQ53" i="9"/>
  <c r="AS37" i="10"/>
  <c r="AW50" i="10"/>
  <c r="BE50" i="10"/>
  <c r="BM50" i="10"/>
  <c r="AW22" i="11"/>
  <c r="BE22" i="11"/>
  <c r="BM22" i="11"/>
  <c r="AT37" i="11"/>
  <c r="BB37" i="11"/>
  <c r="BB49" i="11" s="1"/>
  <c r="BJ37" i="11"/>
  <c r="BR37" i="11"/>
  <c r="AW19" i="14"/>
  <c r="BM19" i="14"/>
  <c r="BQ35" i="14"/>
  <c r="AQ24" i="15"/>
  <c r="AQ28" i="15" s="1"/>
  <c r="AY24" i="15"/>
  <c r="AY28" i="15" s="1"/>
  <c r="BG24" i="15"/>
  <c r="BG28" i="15" s="1"/>
  <c r="BO24" i="15"/>
  <c r="BO28" i="15" s="1"/>
  <c r="J14" i="16"/>
  <c r="R14" i="16"/>
  <c r="Z14" i="16"/>
  <c r="AS15" i="17"/>
  <c r="AS19" i="17" s="1"/>
  <c r="BA15" i="17"/>
  <c r="BA19" i="17" s="1"/>
  <c r="BI19" i="17"/>
  <c r="AV6" i="17"/>
  <c r="BD6" i="17"/>
  <c r="BL6" i="17"/>
  <c r="BR10" i="19"/>
  <c r="BC6" i="1"/>
  <c r="BS6" i="1"/>
  <c r="AU33" i="1"/>
  <c r="BC33" i="1"/>
  <c r="BK33" i="1"/>
  <c r="BS33" i="1"/>
  <c r="AR44" i="6"/>
  <c r="AZ44" i="6"/>
  <c r="BP44" i="6"/>
  <c r="AV23" i="7"/>
  <c r="BL23" i="7"/>
  <c r="AU18" i="8"/>
  <c r="BC18" i="8"/>
  <c r="BK18" i="8"/>
  <c r="BS18" i="8"/>
  <c r="AW15" i="10"/>
  <c r="AU82" i="10"/>
  <c r="BC82" i="10"/>
  <c r="BK82" i="10"/>
  <c r="BS82" i="10"/>
  <c r="AW83" i="10"/>
  <c r="BE83" i="10"/>
  <c r="BM83" i="10"/>
  <c r="BD39" i="10"/>
  <c r="BD37" i="10" s="1"/>
  <c r="BL39" i="10"/>
  <c r="BL37" i="10" s="1"/>
  <c r="AU49" i="11"/>
  <c r="BC49" i="11"/>
  <c r="BK49" i="11"/>
  <c r="BS49" i="11"/>
  <c r="AT44" i="11"/>
  <c r="AT47" i="11" s="1"/>
  <c r="BB44" i="11"/>
  <c r="BB47" i="11" s="1"/>
  <c r="BJ44" i="11"/>
  <c r="BJ47" i="11" s="1"/>
  <c r="BR44" i="11"/>
  <c r="BR47" i="11" s="1"/>
  <c r="AW28" i="14"/>
  <c r="BE28" i="14"/>
  <c r="AR24" i="15"/>
  <c r="AR28" i="15" s="1"/>
  <c r="AZ24" i="15"/>
  <c r="AZ28" i="15" s="1"/>
  <c r="BH24" i="15"/>
  <c r="BH28" i="15" s="1"/>
  <c r="BP24" i="15"/>
  <c r="BP28" i="15" s="1"/>
  <c r="BQ15" i="17"/>
  <c r="BQ19" i="17" s="1"/>
  <c r="BF11" i="18"/>
  <c r="AU7" i="19"/>
  <c r="BC7" i="19"/>
  <c r="BK7" i="19"/>
  <c r="AZ42" i="19"/>
  <c r="BH42" i="19"/>
  <c r="BP42" i="19"/>
  <c r="BG42" i="19"/>
  <c r="AW42" i="19"/>
  <c r="AW36" i="19" s="1"/>
  <c r="BE42" i="19"/>
  <c r="BE36" i="19" s="1"/>
  <c r="BM42" i="19"/>
  <c r="BM36" i="19" s="1"/>
  <c r="BD6" i="1"/>
  <c r="BD22" i="1" s="1"/>
  <c r="BQ59" i="6"/>
  <c r="BQ58" i="6" s="1"/>
  <c r="AS59" i="6"/>
  <c r="AS58" i="6" s="1"/>
  <c r="BS59" i="6"/>
  <c r="BS58" i="6" s="1"/>
  <c r="BE63" i="6"/>
  <c r="BM63" i="6"/>
  <c r="AQ26" i="6"/>
  <c r="AQ25" i="6" s="1"/>
  <c r="BB37" i="6"/>
  <c r="BJ37" i="6"/>
  <c r="BR37" i="6"/>
  <c r="AU59" i="6"/>
  <c r="AU58" i="6" s="1"/>
  <c r="AT7" i="6"/>
  <c r="AT22" i="6" s="1"/>
  <c r="AT21" i="6" s="1"/>
  <c r="BB7" i="6"/>
  <c r="BB22" i="6" s="1"/>
  <c r="BB21" i="6" s="1"/>
  <c r="BJ7" i="6"/>
  <c r="BR7" i="6"/>
  <c r="AU37" i="6"/>
  <c r="BC37" i="6"/>
  <c r="BK37" i="6"/>
  <c r="BS37" i="6"/>
  <c r="AW44" i="6"/>
  <c r="AW59" i="6" s="1"/>
  <c r="AW58" i="6" s="1"/>
  <c r="AQ63" i="6"/>
  <c r="AQ62" i="6" s="1"/>
  <c r="AY63" i="6"/>
  <c r="AY62" i="6" s="1"/>
  <c r="BG63" i="6"/>
  <c r="BO63" i="6"/>
  <c r="AR51" i="6"/>
  <c r="AR63" i="6" s="1"/>
  <c r="AR62" i="6" s="1"/>
  <c r="AZ51" i="6"/>
  <c r="AZ63" i="6" s="1"/>
  <c r="AZ62" i="6" s="1"/>
  <c r="BH51" i="6"/>
  <c r="BH63" i="6" s="1"/>
  <c r="BP51" i="6"/>
  <c r="BP63" i="6" s="1"/>
  <c r="AV37" i="6"/>
  <c r="BD37" i="6"/>
  <c r="BL37" i="6"/>
  <c r="AY44" i="6"/>
  <c r="AY59" i="6" s="1"/>
  <c r="AY58" i="6" s="1"/>
  <c r="BK59" i="6"/>
  <c r="BK58" i="6" s="1"/>
  <c r="BR26" i="6"/>
  <c r="BR25" i="6" s="1"/>
  <c r="AT14" i="6"/>
  <c r="AT26" i="6" s="1"/>
  <c r="AT25" i="6" s="1"/>
  <c r="AW37" i="6"/>
  <c r="BE37" i="6"/>
  <c r="BM37" i="6"/>
  <c r="BM44" i="6"/>
  <c r="BM59" i="6" s="1"/>
  <c r="BM58" i="6" s="1"/>
  <c r="AS63" i="6"/>
  <c r="AS62" i="6" s="1"/>
  <c r="BA63" i="6"/>
  <c r="BA62" i="6" s="1"/>
  <c r="BI63" i="6"/>
  <c r="BQ63" i="6"/>
  <c r="AT51" i="6"/>
  <c r="BB51" i="6"/>
  <c r="BJ51" i="6"/>
  <c r="BR51" i="6"/>
  <c r="AV51" i="6"/>
  <c r="BD51" i="6"/>
  <c r="BL51" i="6"/>
  <c r="BQ38" i="6"/>
  <c r="AX37" i="6"/>
  <c r="BF37" i="6"/>
  <c r="BN37" i="6"/>
  <c r="BA44" i="6"/>
  <c r="BA59" i="6" s="1"/>
  <c r="BA58" i="6" s="1"/>
  <c r="BO44" i="6"/>
  <c r="BO59" i="6" s="1"/>
  <c r="BO58" i="6" s="1"/>
  <c r="AQ7" i="6"/>
  <c r="AQ22" i="6" s="1"/>
  <c r="AQ21" i="6" s="1"/>
  <c r="BB38" i="6"/>
  <c r="BJ38" i="6"/>
  <c r="BR38" i="6"/>
  <c r="AQ44" i="6"/>
  <c r="AQ59" i="6" s="1"/>
  <c r="AQ58" i="6" s="1"/>
  <c r="BC59" i="6"/>
  <c r="BC58" i="6" s="1"/>
  <c r="AU63" i="6"/>
  <c r="AU62" i="6" s="1"/>
  <c r="BC63" i="6"/>
  <c r="BK63" i="6"/>
  <c r="BS63" i="6"/>
  <c r="AP9" i="7"/>
  <c r="AX9" i="7"/>
  <c r="BF9" i="7"/>
  <c r="BE22" i="6"/>
  <c r="BE21" i="6" s="1"/>
  <c r="BE26" i="6"/>
  <c r="BE25" i="6" s="1"/>
  <c r="AU38" i="6"/>
  <c r="BC38" i="6"/>
  <c r="BK38" i="6"/>
  <c r="BS38" i="6"/>
  <c r="AZ37" i="6"/>
  <c r="BH37" i="6"/>
  <c r="BP37" i="6"/>
  <c r="BE44" i="6"/>
  <c r="BE59" i="6" s="1"/>
  <c r="BE58" i="6" s="1"/>
  <c r="AV63" i="6"/>
  <c r="AV62" i="6" s="1"/>
  <c r="BD63" i="6"/>
  <c r="BL63" i="6"/>
  <c r="AP44" i="6"/>
  <c r="AP59" i="6" s="1"/>
  <c r="AP58" i="6" s="1"/>
  <c r="AX44" i="6"/>
  <c r="AX59" i="6" s="1"/>
  <c r="AX58" i="6" s="1"/>
  <c r="BF44" i="6"/>
  <c r="BF59" i="6" s="1"/>
  <c r="BF58" i="6" s="1"/>
  <c r="BN44" i="6"/>
  <c r="BN59" i="6" s="1"/>
  <c r="BN58" i="6" s="1"/>
  <c r="AQ9" i="7"/>
  <c r="AY9" i="7"/>
  <c r="BG9" i="7"/>
  <c r="BO9" i="7"/>
  <c r="BB20" i="8"/>
  <c r="BB30" i="8" s="1"/>
  <c r="BJ20" i="8"/>
  <c r="BJ30" i="8" s="1"/>
  <c r="BR20" i="8"/>
  <c r="BR30" i="8" s="1"/>
  <c r="BA63" i="9"/>
  <c r="BI63" i="9"/>
  <c r="BQ63" i="9"/>
  <c r="BD19" i="9"/>
  <c r="BD53" i="9" s="1"/>
  <c r="BR21" i="9"/>
  <c r="BR55" i="9" s="1"/>
  <c r="BK42" i="9"/>
  <c r="AU45" i="9"/>
  <c r="BH63" i="10"/>
  <c r="BH61" i="10" s="1"/>
  <c r="BH6" i="10" s="1"/>
  <c r="BH8" i="10" s="1"/>
  <c r="BR26" i="10"/>
  <c r="BP79" i="10"/>
  <c r="AT6" i="13"/>
  <c r="AV6" i="14"/>
  <c r="AV19" i="14" s="1"/>
  <c r="BD6" i="14"/>
  <c r="BD19" i="14" s="1"/>
  <c r="BL6" i="14"/>
  <c r="BL19" i="14" s="1"/>
  <c r="BD35" i="14"/>
  <c r="BD24" i="15"/>
  <c r="BD28" i="15" s="1"/>
  <c r="BL24" i="15"/>
  <c r="BL28" i="15" s="1"/>
  <c r="BO15" i="17"/>
  <c r="BO19" i="17" s="1"/>
  <c r="BJ10" i="19"/>
  <c r="AX33" i="1"/>
  <c r="BF33" i="1"/>
  <c r="BN33" i="1"/>
  <c r="BN9" i="7"/>
  <c r="AR9" i="7"/>
  <c r="AZ9" i="7"/>
  <c r="BH9" i="7"/>
  <c r="BP9" i="7"/>
  <c r="BL19" i="9"/>
  <c r="AU24" i="9"/>
  <c r="BK24" i="9"/>
  <c r="BS42" i="9"/>
  <c r="BS45" i="9"/>
  <c r="AY15" i="10"/>
  <c r="AT50" i="10"/>
  <c r="BB50" i="10"/>
  <c r="BJ50" i="10"/>
  <c r="BJ43" i="10" s="1"/>
  <c r="BR50" i="10"/>
  <c r="BD50" i="10"/>
  <c r="BL50" i="10"/>
  <c r="BF50" i="10"/>
  <c r="BN50" i="10"/>
  <c r="AZ6" i="13"/>
  <c r="BH6" i="13"/>
  <c r="BP6" i="13"/>
  <c r="AZ28" i="14"/>
  <c r="BH28" i="14"/>
  <c r="BP28" i="14"/>
  <c r="BG15" i="17"/>
  <c r="BG19" i="17" s="1"/>
  <c r="AZ36" i="19"/>
  <c r="BH36" i="19"/>
  <c r="BP36" i="19"/>
  <c r="BG36" i="19"/>
  <c r="AX36" i="19"/>
  <c r="BF36" i="19"/>
  <c r="BN36" i="19"/>
  <c r="BJ22" i="1"/>
  <c r="BC22" i="1"/>
  <c r="BS22" i="1"/>
  <c r="AS9" i="7"/>
  <c r="BA9" i="7"/>
  <c r="BI9" i="7"/>
  <c r="BQ9" i="7"/>
  <c r="BR18" i="8"/>
  <c r="BL54" i="9"/>
  <c r="AU55" i="9"/>
  <c r="BS55" i="9"/>
  <c r="AU20" i="9"/>
  <c r="AV24" i="9"/>
  <c r="AZ43" i="9"/>
  <c r="AP20" i="10"/>
  <c r="BK20" i="10"/>
  <c r="BO20" i="10"/>
  <c r="AR79" i="10"/>
  <c r="BR43" i="10"/>
  <c r="BD43" i="10"/>
  <c r="BL43" i="10"/>
  <c r="AR44" i="10"/>
  <c r="AZ44" i="10"/>
  <c r="AZ43" i="10" s="1"/>
  <c r="BH44" i="10"/>
  <c r="BH43" i="10" s="1"/>
  <c r="BP44" i="10"/>
  <c r="BP43" i="10" s="1"/>
  <c r="AT72" i="10"/>
  <c r="BB44" i="10"/>
  <c r="BR72" i="10"/>
  <c r="AU50" i="10"/>
  <c r="BC50" i="10"/>
  <c r="BK50" i="10"/>
  <c r="BS50" i="10"/>
  <c r="BG50" i="10"/>
  <c r="BO78" i="10"/>
  <c r="BC35" i="14"/>
  <c r="BK35" i="14"/>
  <c r="BJ30" i="14"/>
  <c r="BJ35" i="14" s="1"/>
  <c r="BR30" i="14"/>
  <c r="BR35" i="14" s="1"/>
  <c r="AY15" i="17"/>
  <c r="AY19" i="17" s="1"/>
  <c r="AV15" i="17"/>
  <c r="AV19" i="17" s="1"/>
  <c r="BD15" i="17"/>
  <c r="BD19" i="17" s="1"/>
  <c r="BL15" i="17"/>
  <c r="BL19" i="17" s="1"/>
  <c r="AS6" i="18"/>
  <c r="AS15" i="18" s="1"/>
  <c r="AS19" i="18" s="1"/>
  <c r="BA6" i="18"/>
  <c r="BA15" i="18" s="1"/>
  <c r="BA19" i="18" s="1"/>
  <c r="BI6" i="18"/>
  <c r="BI15" i="18" s="1"/>
  <c r="BI19" i="18" s="1"/>
  <c r="BQ6" i="18"/>
  <c r="BQ15" i="18" s="1"/>
  <c r="BQ19" i="18" s="1"/>
  <c r="AY6" i="1"/>
  <c r="AY22" i="1" s="1"/>
  <c r="BG6" i="1"/>
  <c r="BG22" i="1" s="1"/>
  <c r="AX6" i="1"/>
  <c r="AX22" i="1" s="1"/>
  <c r="BF6" i="1"/>
  <c r="AW6" i="1"/>
  <c r="AW22" i="1" s="1"/>
  <c r="BE6" i="1"/>
  <c r="BE22" i="1" s="1"/>
  <c r="BB33" i="1"/>
  <c r="BJ33" i="1"/>
  <c r="BR33" i="1"/>
  <c r="AZ33" i="1"/>
  <c r="BH33" i="1"/>
  <c r="AQ18" i="8"/>
  <c r="AY18" i="8"/>
  <c r="BG18" i="8"/>
  <c r="BO18" i="8"/>
  <c r="BI30" i="8"/>
  <c r="BG32" i="8"/>
  <c r="BG36" i="8" s="1"/>
  <c r="BO32" i="8"/>
  <c r="BO36" i="8" s="1"/>
  <c r="BH7" i="9"/>
  <c r="AU12" i="9"/>
  <c r="BC20" i="9"/>
  <c r="BC54" i="9" s="1"/>
  <c r="BG24" i="9"/>
  <c r="BO24" i="9"/>
  <c r="AX24" i="9"/>
  <c r="BF24" i="9"/>
  <c r="BN24" i="9"/>
  <c r="BB43" i="9"/>
  <c r="BB62" i="9" s="1"/>
  <c r="AW31" i="10"/>
  <c r="AW13" i="10" s="1"/>
  <c r="BS43" i="10"/>
  <c r="AQ44" i="10"/>
  <c r="AQ43" i="10" s="1"/>
  <c r="AY44" i="10"/>
  <c r="AY43" i="10" s="1"/>
  <c r="BG44" i="10"/>
  <c r="BG43" i="10" s="1"/>
  <c r="BO44" i="10"/>
  <c r="BO43" i="10" s="1"/>
  <c r="AU72" i="10"/>
  <c r="AQ6" i="13"/>
  <c r="BB6" i="13"/>
  <c r="BJ6" i="13"/>
  <c r="BR6" i="13"/>
  <c r="BS28" i="14"/>
  <c r="AV35" i="14"/>
  <c r="AK21" i="16"/>
  <c r="AQ15" i="17"/>
  <c r="AQ19" i="17" s="1"/>
  <c r="AD36" i="20"/>
  <c r="AL36" i="20"/>
  <c r="AU23" i="7"/>
  <c r="BC23" i="7"/>
  <c r="BK23" i="7"/>
  <c r="BS23" i="7"/>
  <c r="AX20" i="8"/>
  <c r="AX30" i="8" s="1"/>
  <c r="BF20" i="8"/>
  <c r="BF30" i="8" s="1"/>
  <c r="BN20" i="8"/>
  <c r="BN30" i="8" s="1"/>
  <c r="AW18" i="9"/>
  <c r="BK20" i="9"/>
  <c r="BK54" i="9" s="1"/>
  <c r="BR29" i="9"/>
  <c r="BA29" i="9"/>
  <c r="BI29" i="9"/>
  <c r="BQ29" i="9"/>
  <c r="BH43" i="9"/>
  <c r="BD15" i="10"/>
  <c r="BD31" i="10"/>
  <c r="AQ15" i="14"/>
  <c r="AU11" i="18"/>
  <c r="BC11" i="18"/>
  <c r="BK11" i="18"/>
  <c r="BK15" i="18" s="1"/>
  <c r="BK19" i="18" s="1"/>
  <c r="BS11" i="18"/>
  <c r="BS15" i="18" s="1"/>
  <c r="BS19" i="18" s="1"/>
  <c r="BN11" i="18"/>
  <c r="BS7" i="19"/>
  <c r="AS13" i="19"/>
  <c r="AS22" i="19" s="1"/>
  <c r="AS29" i="19" s="1"/>
  <c r="AS31" i="19" s="1"/>
  <c r="AS32" i="19" s="1"/>
  <c r="BA13" i="19"/>
  <c r="BI13" i="19"/>
  <c r="BQ13" i="19"/>
  <c r="AV36" i="19"/>
  <c r="BD36" i="19"/>
  <c r="BL36" i="19"/>
  <c r="AU42" i="19"/>
  <c r="AU36" i="19" s="1"/>
  <c r="BC42" i="19"/>
  <c r="BC36" i="19" s="1"/>
  <c r="BK42" i="19"/>
  <c r="BK36" i="19" s="1"/>
  <c r="BS42" i="19"/>
  <c r="BS36" i="19" s="1"/>
  <c r="BB42" i="19"/>
  <c r="BB36" i="19" s="1"/>
  <c r="BJ42" i="19"/>
  <c r="BR42" i="19"/>
  <c r="BR36" i="19" s="1"/>
  <c r="BA42" i="19"/>
  <c r="BA36" i="19" s="1"/>
  <c r="BI42" i="19"/>
  <c r="BI36" i="19" s="1"/>
  <c r="BQ42" i="19"/>
  <c r="BQ36" i="19" s="1"/>
  <c r="BA6" i="1"/>
  <c r="BA22" i="1" s="1"/>
  <c r="BA35" i="1" s="1"/>
  <c r="BI6" i="1"/>
  <c r="BI22" i="1" s="1"/>
  <c r="BI35" i="1" s="1"/>
  <c r="AZ6" i="1"/>
  <c r="AZ22" i="1" s="1"/>
  <c r="AZ35" i="1" s="1"/>
  <c r="BH6" i="1"/>
  <c r="BH22" i="1" s="1"/>
  <c r="BH35" i="1" s="1"/>
  <c r="BP35" i="1"/>
  <c r="AV33" i="1"/>
  <c r="BD33" i="1"/>
  <c r="BL33" i="1"/>
  <c r="AV15" i="8"/>
  <c r="BD15" i="8"/>
  <c r="BL15" i="8"/>
  <c r="BP7" i="9"/>
  <c r="BE18" i="9"/>
  <c r="BS20" i="9"/>
  <c r="BC24" i="9"/>
  <c r="AU42" i="9"/>
  <c r="BJ43" i="9"/>
  <c r="BJ62" i="9" s="1"/>
  <c r="AT26" i="10"/>
  <c r="BS74" i="10"/>
  <c r="AP39" i="10"/>
  <c r="AP37" i="10" s="1"/>
  <c r="AX39" i="10"/>
  <c r="AX37" i="10" s="1"/>
  <c r="BN39" i="10"/>
  <c r="BN37" i="10" s="1"/>
  <c r="AT43" i="10"/>
  <c r="AT49" i="11"/>
  <c r="BJ49" i="11"/>
  <c r="AR15" i="14"/>
  <c r="BM28" i="14"/>
  <c r="BL35" i="14"/>
  <c r="AV15" i="18"/>
  <c r="AV19" i="18" s="1"/>
  <c r="BD15" i="18"/>
  <c r="BD19" i="18" s="1"/>
  <c r="BL15" i="18"/>
  <c r="BL19" i="18" s="1"/>
  <c r="AV22" i="19"/>
  <c r="AV29" i="19" s="1"/>
  <c r="AV31" i="19" s="1"/>
  <c r="AV32" i="19" s="1"/>
  <c r="BD22" i="19"/>
  <c r="BD29" i="19" s="1"/>
  <c r="BD31" i="19" s="1"/>
  <c r="BD32" i="19" s="1"/>
  <c r="BL22" i="19"/>
  <c r="BL29" i="19" s="1"/>
  <c r="BL31" i="19" s="1"/>
  <c r="BL32" i="19" s="1"/>
  <c r="AT13" i="19"/>
  <c r="AT22" i="19" s="1"/>
  <c r="AT29" i="19" s="1"/>
  <c r="AT31" i="19" s="1"/>
  <c r="AT32" i="19" s="1"/>
  <c r="BB13" i="19"/>
  <c r="BJ13" i="19"/>
  <c r="BR13" i="19"/>
  <c r="BR22" i="19" s="1"/>
  <c r="BR29" i="19" s="1"/>
  <c r="BR31" i="19" s="1"/>
  <c r="BR32" i="19" s="1"/>
  <c r="AW33" i="1"/>
  <c r="BE33" i="1"/>
  <c r="BM33" i="1"/>
  <c r="BN18" i="8"/>
  <c r="AR30" i="8"/>
  <c r="BF32" i="8"/>
  <c r="BF36" i="8" s="1"/>
  <c r="BN32" i="8"/>
  <c r="BN36" i="8" s="1"/>
  <c r="BD32" i="8"/>
  <c r="BD36" i="8" s="1"/>
  <c r="BL32" i="8"/>
  <c r="BL36" i="8" s="1"/>
  <c r="BK12" i="9"/>
  <c r="BM18" i="9"/>
  <c r="BB21" i="9"/>
  <c r="AU34" i="9"/>
  <c r="BC34" i="9"/>
  <c r="BK34" i="9"/>
  <c r="BS34" i="9"/>
  <c r="AV29" i="9"/>
  <c r="BL29" i="9"/>
  <c r="BR43" i="9"/>
  <c r="BR62" i="9" s="1"/>
  <c r="BG68" i="10"/>
  <c r="BC39" i="10"/>
  <c r="BC37" i="10" s="1"/>
  <c r="BK39" i="10"/>
  <c r="BK37" i="10" s="1"/>
  <c r="BS39" i="10"/>
  <c r="BS37" i="10" s="1"/>
  <c r="BE39" i="10"/>
  <c r="BE37" i="10" s="1"/>
  <c r="AU43" i="10"/>
  <c r="AR19" i="14"/>
  <c r="AT6" i="14"/>
  <c r="AT19" i="14" s="1"/>
  <c r="BB6" i="14"/>
  <c r="BB19" i="14" s="1"/>
  <c r="BJ6" i="14"/>
  <c r="BJ19" i="14" s="1"/>
  <c r="BR6" i="14"/>
  <c r="BR19" i="14" s="1"/>
  <c r="AS15" i="14"/>
  <c r="AS19" i="14" s="1"/>
  <c r="AW6" i="18"/>
  <c r="AW15" i="18" s="1"/>
  <c r="AW19" i="18" s="1"/>
  <c r="BE6" i="18"/>
  <c r="BE15" i="18" s="1"/>
  <c r="BE19" i="18" s="1"/>
  <c r="BM6" i="18"/>
  <c r="BM15" i="18" s="1"/>
  <c r="BM19" i="18" s="1"/>
  <c r="AW29" i="19"/>
  <c r="AW31" i="19" s="1"/>
  <c r="AW32" i="19" s="1"/>
  <c r="BE29" i="19"/>
  <c r="BE31" i="19" s="1"/>
  <c r="BE32" i="19" s="1"/>
  <c r="BM29" i="19"/>
  <c r="BM31" i="19" s="1"/>
  <c r="BM32" i="19" s="1"/>
  <c r="BA30" i="8"/>
  <c r="BQ30" i="8"/>
  <c r="AP30" i="8"/>
  <c r="AS25" i="8"/>
  <c r="AS30" i="8" s="1"/>
  <c r="AV19" i="9"/>
  <c r="AV53" i="9" s="1"/>
  <c r="BJ21" i="9"/>
  <c r="BJ55" i="9" s="1"/>
  <c r="BC42" i="9"/>
  <c r="BL44" i="9"/>
  <c r="AV49" i="11"/>
  <c r="BD49" i="11"/>
  <c r="BA6" i="13"/>
  <c r="BI6" i="13"/>
  <c r="BQ6" i="13"/>
  <c r="AX28" i="14"/>
  <c r="BF28" i="14"/>
  <c r="BN28" i="14"/>
  <c r="AR28" i="14"/>
  <c r="AT11" i="17"/>
  <c r="AT15" i="17" s="1"/>
  <c r="AT19" i="17" s="1"/>
  <c r="BB11" i="17"/>
  <c r="BB15" i="17" s="1"/>
  <c r="BB19" i="17" s="1"/>
  <c r="BJ11" i="17"/>
  <c r="BJ15" i="17" s="1"/>
  <c r="BJ19" i="17" s="1"/>
  <c r="BR11" i="17"/>
  <c r="BR15" i="17" s="1"/>
  <c r="BR19" i="17" s="1"/>
  <c r="AW11" i="17"/>
  <c r="AW15" i="17" s="1"/>
  <c r="AW19" i="17" s="1"/>
  <c r="BE11" i="17"/>
  <c r="BE15" i="17" s="1"/>
  <c r="BE19" i="17" s="1"/>
  <c r="BM11" i="17"/>
  <c r="BM15" i="17" s="1"/>
  <c r="BM19" i="17" s="1"/>
  <c r="AR11" i="17"/>
  <c r="AR15" i="17" s="1"/>
  <c r="AR19" i="17" s="1"/>
  <c r="AZ11" i="17"/>
  <c r="AZ15" i="17" s="1"/>
  <c r="AZ19" i="17" s="1"/>
  <c r="BH11" i="17"/>
  <c r="BH15" i="17" s="1"/>
  <c r="BH19" i="17" s="1"/>
  <c r="BP11" i="17"/>
  <c r="BP15" i="17" s="1"/>
  <c r="BP19" i="17" s="1"/>
  <c r="AU6" i="18"/>
  <c r="AU15" i="18" s="1"/>
  <c r="AU19" i="18" s="1"/>
  <c r="BC6" i="18"/>
  <c r="BC15" i="18" s="1"/>
  <c r="BC19" i="18" s="1"/>
  <c r="AX6" i="18"/>
  <c r="AX15" i="18" s="1"/>
  <c r="AX19" i="18" s="1"/>
  <c r="BF6" i="18"/>
  <c r="BF15" i="18" s="1"/>
  <c r="BF19" i="18" s="1"/>
  <c r="BN6" i="18"/>
  <c r="BN15" i="18" s="1"/>
  <c r="BN19" i="18" s="1"/>
  <c r="AX10" i="19"/>
  <c r="BF10" i="19"/>
  <c r="BN10" i="19"/>
  <c r="BN7" i="19"/>
  <c r="BB10" i="19"/>
  <c r="BB22" i="19" s="1"/>
  <c r="BB29" i="19" s="1"/>
  <c r="BB31" i="19" s="1"/>
  <c r="BB32" i="19" s="1"/>
  <c r="AY33" i="1"/>
  <c r="BG33" i="1"/>
  <c r="BO33" i="1"/>
  <c r="AU22" i="1"/>
  <c r="AX35" i="1"/>
  <c r="BF22" i="1"/>
  <c r="BF35" i="1" s="1"/>
  <c r="BN35" i="1"/>
  <c r="BQ35" i="1"/>
  <c r="AV22" i="1"/>
  <c r="AV35" i="1" s="1"/>
  <c r="BB35" i="1"/>
  <c r="BD35" i="1"/>
  <c r="BJ35" i="1"/>
  <c r="AU35" i="1"/>
  <c r="BC35" i="1"/>
  <c r="BS35" i="1"/>
  <c r="BL35" i="1"/>
  <c r="H35" i="1"/>
  <c r="Y35" i="1"/>
  <c r="I35" i="1"/>
  <c r="J35" i="1"/>
  <c r="AE8" i="12"/>
  <c r="AH14" i="16"/>
  <c r="AF14" i="16"/>
  <c r="E36" i="20"/>
  <c r="M36" i="20"/>
  <c r="U36" i="20"/>
  <c r="AC36" i="20"/>
  <c r="AK36" i="20"/>
  <c r="E21" i="16"/>
  <c r="V36" i="20"/>
  <c r="I8" i="12"/>
  <c r="Q8" i="12"/>
  <c r="Y8" i="12"/>
  <c r="AG8" i="12"/>
  <c r="AO8" i="12"/>
  <c r="H37" i="20"/>
  <c r="P37" i="20"/>
  <c r="X37" i="20"/>
  <c r="AF37" i="20"/>
  <c r="AN37" i="20"/>
  <c r="AC21" i="16"/>
  <c r="AO6" i="16"/>
  <c r="G21" i="16"/>
  <c r="O21" i="16"/>
  <c r="W21" i="16"/>
  <c r="AE21" i="16"/>
  <c r="AM21" i="16"/>
  <c r="K34" i="20"/>
  <c r="S34" i="20"/>
  <c r="AA34" i="20"/>
  <c r="AI34" i="20"/>
  <c r="AS21" i="16"/>
  <c r="N36" i="20"/>
  <c r="M21" i="16"/>
  <c r="F36" i="20"/>
  <c r="U21" i="16"/>
  <c r="L34" i="20"/>
  <c r="T34" i="20"/>
  <c r="AB34" i="20"/>
  <c r="AJ34" i="20"/>
  <c r="V19" i="12"/>
  <c r="N19" i="12"/>
  <c r="AA18" i="12"/>
  <c r="AI18" i="12"/>
  <c r="K21" i="12"/>
  <c r="S21" i="12"/>
  <c r="AA21" i="12"/>
  <c r="AI21" i="12"/>
  <c r="S12" i="12"/>
  <c r="S24" i="12" s="1"/>
  <c r="AL19" i="12"/>
  <c r="X14" i="16"/>
  <c r="U19" i="12"/>
  <c r="R18" i="12"/>
  <c r="R12" i="12"/>
  <c r="R24" i="12" s="1"/>
  <c r="H14" i="16"/>
  <c r="P14" i="16"/>
  <c r="AN14" i="16"/>
  <c r="M19" i="12"/>
  <c r="J18" i="12"/>
  <c r="J12" i="12"/>
  <c r="AK19" i="12"/>
  <c r="AH18" i="12"/>
  <c r="AH12" i="12"/>
  <c r="O19" i="12"/>
  <c r="W19" i="12"/>
  <c r="AM19" i="12"/>
  <c r="O21" i="12"/>
  <c r="W21" i="12"/>
  <c r="AF21" i="12"/>
  <c r="AM21" i="12"/>
  <c r="K18" i="12"/>
  <c r="AC19" i="12"/>
  <c r="Z18" i="12"/>
  <c r="Z12" i="12"/>
  <c r="S18" i="12"/>
  <c r="P18" i="12"/>
  <c r="X18" i="12"/>
  <c r="AF18" i="12"/>
  <c r="AN18" i="12"/>
  <c r="AP18" i="12"/>
  <c r="AP12" i="12"/>
  <c r="AP24" i="12" s="1"/>
  <c r="I21" i="12"/>
  <c r="T22" i="12"/>
  <c r="AA22" i="12"/>
  <c r="AJ22" i="12"/>
  <c r="I18" i="12"/>
  <c r="Q18" i="12"/>
  <c r="Y18" i="12"/>
  <c r="AG18" i="12"/>
  <c r="AO18" i="12"/>
  <c r="J21" i="12"/>
  <c r="R21" i="12"/>
  <c r="Z21" i="12"/>
  <c r="AH21" i="12"/>
  <c r="AP21" i="12"/>
  <c r="AD19" i="12"/>
  <c r="L21" i="12"/>
  <c r="T21" i="12"/>
  <c r="AB21" i="12"/>
  <c r="AJ21" i="12"/>
  <c r="L18" i="12"/>
  <c r="T18" i="12"/>
  <c r="AB18" i="12"/>
  <c r="AJ18" i="12"/>
  <c r="M21" i="12"/>
  <c r="U21" i="12"/>
  <c r="AC21" i="12"/>
  <c r="AK21" i="12"/>
  <c r="AA12" i="12"/>
  <c r="C6" i="16"/>
  <c r="K6" i="16"/>
  <c r="N29" i="16" s="1"/>
  <c r="S6" i="16"/>
  <c r="AA6" i="16"/>
  <c r="AB28" i="16" s="1"/>
  <c r="AI6" i="16"/>
  <c r="F6" i="16"/>
  <c r="N6" i="16"/>
  <c r="V6" i="16"/>
  <c r="AD6" i="16"/>
  <c r="AE25" i="16" s="1"/>
  <c r="AL6" i="16"/>
  <c r="AM28" i="16" s="1"/>
  <c r="G6" i="16"/>
  <c r="O6" i="16"/>
  <c r="S29" i="16" s="1"/>
  <c r="W6" i="16"/>
  <c r="AE6" i="16"/>
  <c r="AM6" i="16"/>
  <c r="M18" i="12"/>
  <c r="U18" i="12"/>
  <c r="AC18" i="12"/>
  <c r="AK18" i="12"/>
  <c r="N21" i="12"/>
  <c r="V21" i="12"/>
  <c r="AD21" i="12"/>
  <c r="AL21" i="12"/>
  <c r="I14" i="16"/>
  <c r="Q14" i="16"/>
  <c r="Y14" i="16"/>
  <c r="Y31" i="16" s="1"/>
  <c r="AG14" i="16"/>
  <c r="AG31" i="16" s="1"/>
  <c r="AO14" i="16"/>
  <c r="AO31" i="16" s="1"/>
  <c r="N18" i="12"/>
  <c r="V18" i="12"/>
  <c r="AD18" i="12"/>
  <c r="AL18" i="12"/>
  <c r="R22" i="12"/>
  <c r="Z22" i="12"/>
  <c r="AH22" i="12"/>
  <c r="AP22" i="12"/>
  <c r="AI12" i="12"/>
  <c r="E6" i="16"/>
  <c r="F28" i="16" s="1"/>
  <c r="M6" i="16"/>
  <c r="N25" i="16" s="1"/>
  <c r="U6" i="16"/>
  <c r="V28" i="16" s="1"/>
  <c r="AC6" i="16"/>
  <c r="AD28" i="16" s="1"/>
  <c r="AK6" i="16"/>
  <c r="AL28" i="16" s="1"/>
  <c r="H6" i="16"/>
  <c r="I28" i="16" s="1"/>
  <c r="P6" i="16"/>
  <c r="Q28" i="16" s="1"/>
  <c r="X6" i="16"/>
  <c r="AF6" i="16"/>
  <c r="AN6" i="16"/>
  <c r="AN25" i="16" s="1"/>
  <c r="O18" i="12"/>
  <c r="W18" i="12"/>
  <c r="AE18" i="12"/>
  <c r="AM18" i="12"/>
  <c r="C14" i="16"/>
  <c r="K14" i="16"/>
  <c r="S14" i="16"/>
  <c r="AA14" i="16"/>
  <c r="AI14" i="16"/>
  <c r="AI31" i="16" s="1"/>
  <c r="D14" i="16"/>
  <c r="L14" i="16"/>
  <c r="L31" i="16" s="1"/>
  <c r="T14" i="16"/>
  <c r="T31" i="16" s="1"/>
  <c r="AB14" i="16"/>
  <c r="AJ14" i="16"/>
  <c r="I35" i="20"/>
  <c r="Q35" i="20"/>
  <c r="Y35" i="20"/>
  <c r="AG35" i="20"/>
  <c r="AO35" i="20"/>
  <c r="J35" i="20"/>
  <c r="R35" i="20"/>
  <c r="Z35" i="20"/>
  <c r="AH35" i="20"/>
  <c r="H36" i="20"/>
  <c r="P36" i="20"/>
  <c r="X36" i="20"/>
  <c r="AF36" i="20"/>
  <c r="AN36" i="20"/>
  <c r="F44" i="20"/>
  <c r="I36" i="20"/>
  <c r="Q36" i="20"/>
  <c r="Y36" i="20"/>
  <c r="AG36" i="20"/>
  <c r="AO36" i="20"/>
  <c r="N44" i="20"/>
  <c r="J36" i="20"/>
  <c r="R36" i="20"/>
  <c r="Z36" i="20"/>
  <c r="AH36" i="20"/>
  <c r="AP36" i="20"/>
  <c r="V44" i="20"/>
  <c r="F37" i="20"/>
  <c r="N37" i="20"/>
  <c r="V37" i="20"/>
  <c r="AD37" i="20"/>
  <c r="AI36" i="20"/>
  <c r="AD44" i="20"/>
  <c r="D36" i="20"/>
  <c r="L36" i="20"/>
  <c r="T36" i="20"/>
  <c r="AB36" i="20"/>
  <c r="AJ36" i="20"/>
  <c r="AL44" i="20"/>
  <c r="M34" i="20"/>
  <c r="U34" i="20"/>
  <c r="AC34" i="20"/>
  <c r="AK34" i="20"/>
  <c r="L35" i="20"/>
  <c r="T35" i="20"/>
  <c r="AB35" i="20"/>
  <c r="AJ35" i="20"/>
  <c r="G36" i="20"/>
  <c r="O36" i="20"/>
  <c r="W36" i="20"/>
  <c r="AE36" i="20"/>
  <c r="AM36" i="20"/>
  <c r="J37" i="20"/>
  <c r="R37" i="20"/>
  <c r="Z37" i="20"/>
  <c r="AH37" i="20"/>
  <c r="AP37" i="20"/>
  <c r="G44" i="20"/>
  <c r="O44" i="20"/>
  <c r="W44" i="20"/>
  <c r="AE44" i="20"/>
  <c r="AM44" i="20"/>
  <c r="S35" i="20"/>
  <c r="Q37" i="20"/>
  <c r="N34" i="20"/>
  <c r="V34" i="20"/>
  <c r="AD34" i="20"/>
  <c r="AL34" i="20"/>
  <c r="M35" i="20"/>
  <c r="U35" i="20"/>
  <c r="AC35" i="20"/>
  <c r="AK35" i="20"/>
  <c r="C37" i="20"/>
  <c r="K37" i="20"/>
  <c r="S37" i="20"/>
  <c r="AA37" i="20"/>
  <c r="AI37" i="20"/>
  <c r="H44" i="20"/>
  <c r="P44" i="20"/>
  <c r="X44" i="20"/>
  <c r="AF44" i="20"/>
  <c r="AN44" i="20"/>
  <c r="AI35" i="20"/>
  <c r="AG37" i="20"/>
  <c r="G34" i="20"/>
  <c r="O34" i="20"/>
  <c r="W34" i="20"/>
  <c r="AE34" i="20"/>
  <c r="AM34" i="20"/>
  <c r="N35" i="20"/>
  <c r="V35" i="20"/>
  <c r="AD35" i="20"/>
  <c r="AL35" i="20"/>
  <c r="D37" i="20"/>
  <c r="L37" i="20"/>
  <c r="T37" i="20"/>
  <c r="AB37" i="20"/>
  <c r="AJ37" i="20"/>
  <c r="H34" i="20"/>
  <c r="P34" i="20"/>
  <c r="X34" i="20"/>
  <c r="AF34" i="20"/>
  <c r="AN34" i="20"/>
  <c r="G35" i="20"/>
  <c r="O35" i="20"/>
  <c r="W35" i="20"/>
  <c r="AE35" i="20"/>
  <c r="AM35" i="20"/>
  <c r="E37" i="20"/>
  <c r="M37" i="20"/>
  <c r="U37" i="20"/>
  <c r="AC37" i="20"/>
  <c r="AK37" i="20"/>
  <c r="AO37" i="20"/>
  <c r="I34" i="20"/>
  <c r="Q34" i="20"/>
  <c r="Y34" i="20"/>
  <c r="AG34" i="20"/>
  <c r="AO34" i="20"/>
  <c r="H35" i="20"/>
  <c r="P35" i="20"/>
  <c r="X35" i="20"/>
  <c r="AF35" i="20"/>
  <c r="AN35" i="20"/>
  <c r="C36" i="20"/>
  <c r="K36" i="20"/>
  <c r="S36" i="20"/>
  <c r="AA36" i="20"/>
  <c r="AL37" i="20"/>
  <c r="K35" i="20"/>
  <c r="I37" i="20"/>
  <c r="J34" i="20"/>
  <c r="R34" i="20"/>
  <c r="Z34" i="20"/>
  <c r="AH34" i="20"/>
  <c r="G37" i="20"/>
  <c r="O37" i="20"/>
  <c r="W37" i="20"/>
  <c r="AE37" i="20"/>
  <c r="AM37" i="20"/>
  <c r="AA35" i="20"/>
  <c r="Y37" i="20"/>
  <c r="AQ22" i="19"/>
  <c r="AQ29" i="19" s="1"/>
  <c r="AQ31" i="19" s="1"/>
  <c r="AQ32" i="19" s="1"/>
  <c r="AY22" i="19"/>
  <c r="AY29" i="19" s="1"/>
  <c r="AY31" i="19" s="1"/>
  <c r="AY32" i="19" s="1"/>
  <c r="BG22" i="19"/>
  <c r="BG29" i="19" s="1"/>
  <c r="BG31" i="19" s="1"/>
  <c r="BG32" i="19" s="1"/>
  <c r="BO22" i="19"/>
  <c r="BO29" i="19" s="1"/>
  <c r="BO31" i="19" s="1"/>
  <c r="BO32" i="19" s="1"/>
  <c r="F22" i="19"/>
  <c r="F29" i="19" s="1"/>
  <c r="F31" i="19" s="1"/>
  <c r="F32" i="19" s="1"/>
  <c r="P22" i="19"/>
  <c r="P29" i="19" s="1"/>
  <c r="P31" i="19" s="1"/>
  <c r="P32" i="19" s="1"/>
  <c r="X22" i="19"/>
  <c r="X29" i="19" s="1"/>
  <c r="X31" i="19" s="1"/>
  <c r="X32" i="19" s="1"/>
  <c r="AF22" i="19"/>
  <c r="AF29" i="19" s="1"/>
  <c r="AF31" i="19" s="1"/>
  <c r="AF32" i="19" s="1"/>
  <c r="AN22" i="19"/>
  <c r="AN29" i="19" s="1"/>
  <c r="AN31" i="19" s="1"/>
  <c r="AN32" i="19" s="1"/>
  <c r="AV35" i="19"/>
  <c r="AV47" i="19" s="1"/>
  <c r="BD35" i="19"/>
  <c r="BD47" i="19" s="1"/>
  <c r="BL35" i="19"/>
  <c r="BL47" i="19" s="1"/>
  <c r="R22" i="19"/>
  <c r="R29" i="19" s="1"/>
  <c r="R31" i="19" s="1"/>
  <c r="R32" i="19" s="1"/>
  <c r="Z22" i="19"/>
  <c r="Z29" i="19" s="1"/>
  <c r="Z31" i="19" s="1"/>
  <c r="Z32" i="19" s="1"/>
  <c r="AH22" i="19"/>
  <c r="AH29" i="19" s="1"/>
  <c r="AH31" i="19" s="1"/>
  <c r="AH32" i="19" s="1"/>
  <c r="BJ36" i="19"/>
  <c r="AW35" i="19"/>
  <c r="AW47" i="19" s="1"/>
  <c r="BE35" i="19"/>
  <c r="BE47" i="19" s="1"/>
  <c r="BM35" i="19"/>
  <c r="BM47" i="19" s="1"/>
  <c r="AX22" i="19"/>
  <c r="AX29" i="19" s="1"/>
  <c r="AX31" i="19" s="1"/>
  <c r="AX32" i="19" s="1"/>
  <c r="BF22" i="19"/>
  <c r="BF29" i="19" s="1"/>
  <c r="BF31" i="19" s="1"/>
  <c r="BF32" i="19" s="1"/>
  <c r="BN22" i="19"/>
  <c r="BN29" i="19" s="1"/>
  <c r="BN31" i="19" s="1"/>
  <c r="BN32" i="19" s="1"/>
  <c r="D22" i="19"/>
  <c r="D29" i="19" s="1"/>
  <c r="D31" i="19" s="1"/>
  <c r="D32" i="19" s="1"/>
  <c r="L22" i="19"/>
  <c r="L29" i="19" s="1"/>
  <c r="L31" i="19" s="1"/>
  <c r="L32" i="19" s="1"/>
  <c r="T22" i="19"/>
  <c r="T29" i="19" s="1"/>
  <c r="T31" i="19" s="1"/>
  <c r="T32" i="19" s="1"/>
  <c r="AB22" i="19"/>
  <c r="AB29" i="19" s="1"/>
  <c r="AB31" i="19" s="1"/>
  <c r="AB32" i="19" s="1"/>
  <c r="AJ22" i="19"/>
  <c r="AJ29" i="19" s="1"/>
  <c r="AJ31" i="19" s="1"/>
  <c r="AJ32" i="19" s="1"/>
  <c r="BB35" i="19"/>
  <c r="AV7" i="19"/>
  <c r="BD7" i="19"/>
  <c r="BL7" i="19"/>
  <c r="AZ10" i="19"/>
  <c r="AZ22" i="19" s="1"/>
  <c r="AZ29" i="19" s="1"/>
  <c r="AZ31" i="19" s="1"/>
  <c r="AZ32" i="19" s="1"/>
  <c r="BH10" i="19"/>
  <c r="BH22" i="19" s="1"/>
  <c r="BH29" i="19" s="1"/>
  <c r="BH31" i="19" s="1"/>
  <c r="BH32" i="19" s="1"/>
  <c r="BP10" i="19"/>
  <c r="BP22" i="19" s="1"/>
  <c r="BP29" i="19" s="1"/>
  <c r="BP31" i="19" s="1"/>
  <c r="BP32" i="19" s="1"/>
  <c r="AW7" i="19"/>
  <c r="BE7" i="19"/>
  <c r="BM7" i="19"/>
  <c r="BA10" i="19"/>
  <c r="BA22" i="19" s="1"/>
  <c r="BA29" i="19" s="1"/>
  <c r="BA31" i="19" s="1"/>
  <c r="BA32" i="19" s="1"/>
  <c r="BI10" i="19"/>
  <c r="BI22" i="19" s="1"/>
  <c r="BI29" i="19" s="1"/>
  <c r="BI31" i="19" s="1"/>
  <c r="BI32" i="19" s="1"/>
  <c r="BQ10" i="19"/>
  <c r="BQ22" i="19" s="1"/>
  <c r="BQ29" i="19" s="1"/>
  <c r="BQ31" i="19" s="1"/>
  <c r="BQ32" i="19" s="1"/>
  <c r="AY7" i="19"/>
  <c r="BG7" i="19"/>
  <c r="BO7" i="19"/>
  <c r="AU10" i="19"/>
  <c r="AU22" i="19" s="1"/>
  <c r="AU29" i="19" s="1"/>
  <c r="AU31" i="19" s="1"/>
  <c r="AU32" i="19" s="1"/>
  <c r="BC10" i="19"/>
  <c r="BC22" i="19" s="1"/>
  <c r="BC29" i="19" s="1"/>
  <c r="BC31" i="19" s="1"/>
  <c r="BC32" i="19" s="1"/>
  <c r="BK10" i="19"/>
  <c r="BK22" i="19" s="1"/>
  <c r="BK29" i="19" s="1"/>
  <c r="BK31" i="19" s="1"/>
  <c r="BK32" i="19" s="1"/>
  <c r="BS10" i="19"/>
  <c r="BS22" i="19" s="1"/>
  <c r="BS29" i="19" s="1"/>
  <c r="BS31" i="19" s="1"/>
  <c r="BS32" i="19" s="1"/>
  <c r="AT15" i="18"/>
  <c r="AT19" i="18" s="1"/>
  <c r="BJ15" i="18"/>
  <c r="BJ19" i="18" s="1"/>
  <c r="BO15" i="18"/>
  <c r="BO19" i="18" s="1"/>
  <c r="BB15" i="18"/>
  <c r="BB19" i="18" s="1"/>
  <c r="AQ15" i="18"/>
  <c r="AQ19" i="18" s="1"/>
  <c r="BG15" i="18"/>
  <c r="BG19" i="18" s="1"/>
  <c r="J6" i="16"/>
  <c r="R6" i="16"/>
  <c r="Z6" i="16"/>
  <c r="Z28" i="16" s="1"/>
  <c r="AH6" i="16"/>
  <c r="D6" i="16"/>
  <c r="E28" i="16" s="1"/>
  <c r="L6" i="16"/>
  <c r="T6" i="16"/>
  <c r="AB6" i="16"/>
  <c r="AJ6" i="16"/>
  <c r="X25" i="16"/>
  <c r="F25" i="16"/>
  <c r="I21" i="16"/>
  <c r="AJ28" i="16"/>
  <c r="Y28" i="16"/>
  <c r="Y21" i="16"/>
  <c r="AO21" i="16"/>
  <c r="J21" i="16"/>
  <c r="J28" i="16"/>
  <c r="R28" i="16"/>
  <c r="R21" i="16"/>
  <c r="Z21" i="16"/>
  <c r="AH21" i="16"/>
  <c r="K31" i="16"/>
  <c r="AK25" i="16"/>
  <c r="AL25" i="16"/>
  <c r="Q21" i="16"/>
  <c r="AG21" i="16"/>
  <c r="AP21" i="16"/>
  <c r="AK28" i="16"/>
  <c r="E14" i="16"/>
  <c r="M14" i="16"/>
  <c r="U14" i="16"/>
  <c r="AC14" i="16"/>
  <c r="AK14" i="16"/>
  <c r="AK31" i="16" s="1"/>
  <c r="F14" i="16"/>
  <c r="N14" i="16"/>
  <c r="V14" i="16"/>
  <c r="AD14" i="16"/>
  <c r="AL14" i="16"/>
  <c r="G14" i="16"/>
  <c r="O14" i="16"/>
  <c r="W14" i="16"/>
  <c r="X31" i="16" s="1"/>
  <c r="AE14" i="16"/>
  <c r="AF31" i="16" s="1"/>
  <c r="AM14" i="16"/>
  <c r="Y29" i="16"/>
  <c r="K21" i="16"/>
  <c r="S21" i="16"/>
  <c r="AA21" i="16"/>
  <c r="AI21" i="16"/>
  <c r="AQ21" i="16"/>
  <c r="D21" i="16"/>
  <c r="L21" i="16"/>
  <c r="T21" i="16"/>
  <c r="AB21" i="16"/>
  <c r="AJ21" i="16"/>
  <c r="AR21" i="16"/>
  <c r="BA24" i="15"/>
  <c r="BA28" i="15" s="1"/>
  <c r="BI24" i="15"/>
  <c r="BI28" i="15" s="1"/>
  <c r="BQ24" i="15"/>
  <c r="BQ28" i="15" s="1"/>
  <c r="BH35" i="14"/>
  <c r="AQ19" i="14"/>
  <c r="AZ35" i="14"/>
  <c r="BN35" i="14"/>
  <c r="BP35" i="14"/>
  <c r="AX6" i="13"/>
  <c r="BF6" i="13"/>
  <c r="BN6" i="13"/>
  <c r="AY6" i="13"/>
  <c r="BG6" i="13"/>
  <c r="BO6" i="13"/>
  <c r="BC6" i="13"/>
  <c r="BS6" i="13"/>
  <c r="BL6" i="13"/>
  <c r="AW6" i="13"/>
  <c r="BE6" i="13"/>
  <c r="BM6" i="13"/>
  <c r="AU6" i="13"/>
  <c r="BK6" i="13"/>
  <c r="AV6" i="13"/>
  <c r="BD6" i="13"/>
  <c r="AI24" i="12"/>
  <c r="J24" i="12"/>
  <c r="K24" i="12"/>
  <c r="AE19" i="12"/>
  <c r="P21" i="12"/>
  <c r="X21" i="12"/>
  <c r="L22" i="12"/>
  <c r="L12" i="12"/>
  <c r="T12" i="12"/>
  <c r="AB12" i="12"/>
  <c r="AJ12" i="12"/>
  <c r="P19" i="12"/>
  <c r="X19" i="12"/>
  <c r="AF19" i="12"/>
  <c r="AN19" i="12"/>
  <c r="Q21" i="12"/>
  <c r="Y21" i="12"/>
  <c r="AG21" i="12"/>
  <c r="AO21" i="12"/>
  <c r="M22" i="12"/>
  <c r="U22" i="12"/>
  <c r="AC22" i="12"/>
  <c r="AK22" i="12"/>
  <c r="W8" i="12"/>
  <c r="AI22" i="12"/>
  <c r="M12" i="12"/>
  <c r="M25" i="12" s="1"/>
  <c r="U12" i="12"/>
  <c r="AC12" i="12"/>
  <c r="AK12" i="12"/>
  <c r="Q19" i="12"/>
  <c r="Y19" i="12"/>
  <c r="AG19" i="12"/>
  <c r="AO19" i="12"/>
  <c r="N22" i="12"/>
  <c r="V22" i="12"/>
  <c r="AD22" i="12"/>
  <c r="AL22" i="12"/>
  <c r="O8" i="12"/>
  <c r="AE21" i="12"/>
  <c r="N12" i="12"/>
  <c r="V12" i="12"/>
  <c r="AD12" i="12"/>
  <c r="AL12" i="12"/>
  <c r="R19" i="12"/>
  <c r="Z19" i="12"/>
  <c r="AH19" i="12"/>
  <c r="AP19" i="12"/>
  <c r="O22" i="12"/>
  <c r="W22" i="12"/>
  <c r="AE22" i="12"/>
  <c r="AM22" i="12"/>
  <c r="AM8" i="12"/>
  <c r="S22" i="12"/>
  <c r="AN21" i="12"/>
  <c r="O12" i="12"/>
  <c r="W12" i="12"/>
  <c r="AE12" i="12"/>
  <c r="AM12" i="12"/>
  <c r="S19" i="12"/>
  <c r="AA19" i="12"/>
  <c r="AI19" i="12"/>
  <c r="P22" i="12"/>
  <c r="X22" i="12"/>
  <c r="AF22" i="12"/>
  <c r="AN22" i="12"/>
  <c r="AB22" i="12"/>
  <c r="P12" i="12"/>
  <c r="X12" i="12"/>
  <c r="AF12" i="12"/>
  <c r="AN12" i="12"/>
  <c r="L19" i="12"/>
  <c r="T19" i="12"/>
  <c r="AB19" i="12"/>
  <c r="AJ19" i="12"/>
  <c r="Q22" i="12"/>
  <c r="Y22" i="12"/>
  <c r="AG22" i="12"/>
  <c r="AO22" i="12"/>
  <c r="I12" i="12"/>
  <c r="Q12" i="12"/>
  <c r="Y12" i="12"/>
  <c r="AG12" i="12"/>
  <c r="AO12" i="12"/>
  <c r="AQ49" i="11"/>
  <c r="AY49" i="11"/>
  <c r="BG49" i="11"/>
  <c r="BO49" i="11"/>
  <c r="D49" i="11"/>
  <c r="AX49" i="11"/>
  <c r="BR49" i="11"/>
  <c r="E49" i="11"/>
  <c r="AZ49" i="11"/>
  <c r="BF49" i="11"/>
  <c r="BL49" i="11"/>
  <c r="G49" i="11"/>
  <c r="O49" i="11"/>
  <c r="W49" i="11"/>
  <c r="AE49" i="11"/>
  <c r="AM49" i="11"/>
  <c r="BH49" i="11"/>
  <c r="AW49" i="11"/>
  <c r="BE49" i="11"/>
  <c r="BM49" i="11"/>
  <c r="BN49" i="11"/>
  <c r="AW63" i="10"/>
  <c r="BE63" i="10"/>
  <c r="AW20" i="10"/>
  <c r="BE20" i="10"/>
  <c r="BM20" i="10"/>
  <c r="AU26" i="10"/>
  <c r="BA37" i="10"/>
  <c r="BK43" i="10"/>
  <c r="AP64" i="10"/>
  <c r="AP15" i="10"/>
  <c r="AX64" i="10"/>
  <c r="AX15" i="10"/>
  <c r="BF64" i="10"/>
  <c r="BF15" i="10"/>
  <c r="BN64" i="10"/>
  <c r="BN15" i="10"/>
  <c r="AT66" i="10"/>
  <c r="AT15" i="10"/>
  <c r="BB66" i="10"/>
  <c r="BB15" i="10"/>
  <c r="BJ66" i="10"/>
  <c r="BJ15" i="10"/>
  <c r="BR66" i="10"/>
  <c r="BR15" i="10"/>
  <c r="BB39" i="10"/>
  <c r="BB37" i="10" s="1"/>
  <c r="BB64" i="10"/>
  <c r="BF39" i="10"/>
  <c r="BF37" i="10" s="1"/>
  <c r="BF66" i="10"/>
  <c r="BF43" i="10"/>
  <c r="BN44" i="10"/>
  <c r="BN43" i="10" s="1"/>
  <c r="BN70" i="10"/>
  <c r="AQ64" i="10"/>
  <c r="AQ63" i="10" s="1"/>
  <c r="AQ15" i="10"/>
  <c r="BG64" i="10"/>
  <c r="BG63" i="10" s="1"/>
  <c r="BG15" i="10"/>
  <c r="BO64" i="10"/>
  <c r="BO63" i="10" s="1"/>
  <c r="BO15" i="10"/>
  <c r="AS15" i="10"/>
  <c r="AS65" i="10"/>
  <c r="BA15" i="10"/>
  <c r="BA65" i="10"/>
  <c r="BI65" i="10"/>
  <c r="BI63" i="10" s="1"/>
  <c r="BI15" i="10"/>
  <c r="BQ15" i="10"/>
  <c r="BQ65" i="10"/>
  <c r="AQ20" i="10"/>
  <c r="AY68" i="10"/>
  <c r="BO68" i="10"/>
  <c r="BC26" i="10"/>
  <c r="AS26" i="10"/>
  <c r="BA26" i="10"/>
  <c r="BI26" i="10"/>
  <c r="BQ26" i="10"/>
  <c r="AU31" i="10"/>
  <c r="BC31" i="10"/>
  <c r="BC13" i="10" s="1"/>
  <c r="BK79" i="10"/>
  <c r="BS31" i="10"/>
  <c r="BS13" i="10" s="1"/>
  <c r="BM39" i="10"/>
  <c r="BM37" i="10" s="1"/>
  <c r="BM65" i="10"/>
  <c r="BM63" i="10" s="1"/>
  <c r="AW43" i="10"/>
  <c r="BE43" i="10"/>
  <c r="BM43" i="10"/>
  <c r="AR50" i="10"/>
  <c r="AR43" i="10" s="1"/>
  <c r="AR75" i="10"/>
  <c r="AV50" i="10"/>
  <c r="AV43" i="10" s="1"/>
  <c r="AV77" i="10"/>
  <c r="AW68" i="10"/>
  <c r="BS79" i="10"/>
  <c r="AV13" i="10"/>
  <c r="AR63" i="10"/>
  <c r="AR61" i="10" s="1"/>
  <c r="AR6" i="10" s="1"/>
  <c r="AR8" i="10" s="1"/>
  <c r="AZ63" i="10"/>
  <c r="AZ61" i="10" s="1"/>
  <c r="AZ6" i="10" s="1"/>
  <c r="AZ8" i="10" s="1"/>
  <c r="BP63" i="10"/>
  <c r="BP61" i="10" s="1"/>
  <c r="AR69" i="10"/>
  <c r="AR68" i="10" s="1"/>
  <c r="AR20" i="10"/>
  <c r="AZ69" i="10"/>
  <c r="AZ68" i="10" s="1"/>
  <c r="AZ20" i="10"/>
  <c r="BH69" i="10"/>
  <c r="BH68" i="10" s="1"/>
  <c r="BH20" i="10"/>
  <c r="BP69" i="10"/>
  <c r="BP68" i="10" s="1"/>
  <c r="BP20" i="10"/>
  <c r="BJ68" i="10"/>
  <c r="AV71" i="10"/>
  <c r="AV68" i="10" s="1"/>
  <c r="AV20" i="10"/>
  <c r="BD71" i="10"/>
  <c r="BD68" i="10" s="1"/>
  <c r="BD20" i="10"/>
  <c r="BL71" i="10"/>
  <c r="BL68" i="10" s="1"/>
  <c r="BL20" i="10"/>
  <c r="AY64" i="10"/>
  <c r="AY63" i="10" s="1"/>
  <c r="AP70" i="10"/>
  <c r="AP68" i="10" s="1"/>
  <c r="BI74" i="10"/>
  <c r="AS69" i="10"/>
  <c r="AS68" i="10" s="1"/>
  <c r="AS20" i="10"/>
  <c r="BA20" i="10"/>
  <c r="BA19" i="10" s="1"/>
  <c r="BA69" i="10"/>
  <c r="BA68" i="10" s="1"/>
  <c r="BI69" i="10"/>
  <c r="BI68" i="10" s="1"/>
  <c r="BI67" i="10" s="1"/>
  <c r="BI20" i="10"/>
  <c r="BI19" i="10" s="1"/>
  <c r="BQ69" i="10"/>
  <c r="BQ68" i="10" s="1"/>
  <c r="BQ20" i="10"/>
  <c r="AU20" i="10"/>
  <c r="AU19" i="10" s="1"/>
  <c r="AU70" i="10"/>
  <c r="AU68" i="10" s="1"/>
  <c r="BC70" i="10"/>
  <c r="BC20" i="10"/>
  <c r="BC19" i="10" s="1"/>
  <c r="BK19" i="10"/>
  <c r="BS20" i="10"/>
  <c r="BS19" i="10" s="1"/>
  <c r="BS70" i="10"/>
  <c r="BK26" i="10"/>
  <c r="AU74" i="10"/>
  <c r="BK74" i="10"/>
  <c r="BS64" i="10"/>
  <c r="BS63" i="10" s="1"/>
  <c r="BS61" i="10" s="1"/>
  <c r="BK70" i="10"/>
  <c r="BB76" i="10"/>
  <c r="BB74" i="10" s="1"/>
  <c r="AS63" i="10"/>
  <c r="BA63" i="10"/>
  <c r="BQ63" i="10"/>
  <c r="BD13" i="10"/>
  <c r="AT64" i="10"/>
  <c r="AT63" i="10" s="1"/>
  <c r="BJ64" i="10"/>
  <c r="BR64" i="10"/>
  <c r="BR63" i="10" s="1"/>
  <c r="AV65" i="10"/>
  <c r="AV63" i="10" s="1"/>
  <c r="BD65" i="10"/>
  <c r="AP66" i="10"/>
  <c r="AX66" i="10"/>
  <c r="BN66" i="10"/>
  <c r="BF20" i="10"/>
  <c r="AT68" i="10"/>
  <c r="BB68" i="10"/>
  <c r="BR68" i="10"/>
  <c r="AV75" i="10"/>
  <c r="AV26" i="10"/>
  <c r="BD75" i="10"/>
  <c r="BD74" i="10" s="1"/>
  <c r="BD26" i="10"/>
  <c r="BL75" i="10"/>
  <c r="BL74" i="10" s="1"/>
  <c r="BL26" i="10"/>
  <c r="AP76" i="10"/>
  <c r="AP74" i="10" s="1"/>
  <c r="AP26" i="10"/>
  <c r="AP19" i="10" s="1"/>
  <c r="AX76" i="10"/>
  <c r="AX74" i="10" s="1"/>
  <c r="AX26" i="10"/>
  <c r="AX19" i="10" s="1"/>
  <c r="BF76" i="10"/>
  <c r="BF74" i="10" s="1"/>
  <c r="BF26" i="10"/>
  <c r="BN76" i="10"/>
  <c r="BN74" i="10" s="1"/>
  <c r="BN26" i="10"/>
  <c r="BN19" i="10" s="1"/>
  <c r="AR77" i="10"/>
  <c r="AR26" i="10"/>
  <c r="AZ77" i="10"/>
  <c r="AZ74" i="10" s="1"/>
  <c r="AZ26" i="10"/>
  <c r="BH77" i="10"/>
  <c r="BH74" i="10" s="1"/>
  <c r="BH26" i="10"/>
  <c r="BP77" i="10"/>
  <c r="BP74" i="10" s="1"/>
  <c r="BP26" i="10"/>
  <c r="AP80" i="10"/>
  <c r="AP79" i="10" s="1"/>
  <c r="AP31" i="10"/>
  <c r="AX80" i="10"/>
  <c r="AX79" i="10" s="1"/>
  <c r="AX31" i="10"/>
  <c r="BF80" i="10"/>
  <c r="BF79" i="10" s="1"/>
  <c r="BF31" i="10"/>
  <c r="BN80" i="10"/>
  <c r="BN79" i="10" s="1"/>
  <c r="BN31" i="10"/>
  <c r="AT82" i="10"/>
  <c r="AT79" i="10" s="1"/>
  <c r="AT31" i="10"/>
  <c r="BB82" i="10"/>
  <c r="BB79" i="10" s="1"/>
  <c r="BB31" i="10"/>
  <c r="BJ82" i="10"/>
  <c r="BJ79" i="10" s="1"/>
  <c r="BJ31" i="10"/>
  <c r="BR82" i="10"/>
  <c r="BR79" i="10" s="1"/>
  <c r="BR31" i="10"/>
  <c r="AR37" i="10"/>
  <c r="BL65" i="10"/>
  <c r="BL63" i="10" s="1"/>
  <c r="BC68" i="10"/>
  <c r="BK68" i="10"/>
  <c r="BK67" i="10" s="1"/>
  <c r="BS68" i="10"/>
  <c r="BS67" i="10" s="1"/>
  <c r="AW75" i="10"/>
  <c r="AW74" i="10" s="1"/>
  <c r="AW26" i="10"/>
  <c r="BE75" i="10"/>
  <c r="BE74" i="10" s="1"/>
  <c r="BE26" i="10"/>
  <c r="BM26" i="10"/>
  <c r="BM75" i="10"/>
  <c r="BM74" i="10" s="1"/>
  <c r="AQ26" i="10"/>
  <c r="AQ76" i="10"/>
  <c r="AQ74" i="10" s="1"/>
  <c r="AY76" i="10"/>
  <c r="AY74" i="10" s="1"/>
  <c r="AY26" i="10"/>
  <c r="AY19" i="10" s="1"/>
  <c r="BG26" i="10"/>
  <c r="BG19" i="10" s="1"/>
  <c r="BG76" i="10"/>
  <c r="BG74" i="10" s="1"/>
  <c r="BG67" i="10" s="1"/>
  <c r="BO76" i="10"/>
  <c r="BO74" i="10" s="1"/>
  <c r="BO26" i="10"/>
  <c r="BO19" i="10" s="1"/>
  <c r="AQ80" i="10"/>
  <c r="AQ79" i="10" s="1"/>
  <c r="AQ31" i="10"/>
  <c r="AY80" i="10"/>
  <c r="AY79" i="10" s="1"/>
  <c r="AY31" i="10"/>
  <c r="AY13" i="10" s="1"/>
  <c r="BG80" i="10"/>
  <c r="BG79" i="10" s="1"/>
  <c r="BG31" i="10"/>
  <c r="BO80" i="10"/>
  <c r="BO79" i="10" s="1"/>
  <c r="BO31" i="10"/>
  <c r="AS81" i="10"/>
  <c r="AS79" i="10" s="1"/>
  <c r="AS31" i="10"/>
  <c r="BA81" i="10"/>
  <c r="BA79" i="10" s="1"/>
  <c r="BA31" i="10"/>
  <c r="BI81" i="10"/>
  <c r="BI79" i="10" s="1"/>
  <c r="BI31" i="10"/>
  <c r="BQ81" i="10"/>
  <c r="BQ79" i="10" s="1"/>
  <c r="BQ31" i="10"/>
  <c r="AQ39" i="10"/>
  <c r="AQ37" i="10" s="1"/>
  <c r="AY39" i="10"/>
  <c r="AY37" i="10" s="1"/>
  <c r="BG39" i="10"/>
  <c r="BG37" i="10" s="1"/>
  <c r="BO39" i="10"/>
  <c r="BC43" i="10"/>
  <c r="AS43" i="10"/>
  <c r="BA43" i="10"/>
  <c r="BI43" i="10"/>
  <c r="BQ43" i="10"/>
  <c r="AQ70" i="10"/>
  <c r="AQ68" i="10" s="1"/>
  <c r="AQ67" i="10" s="1"/>
  <c r="BC76" i="10"/>
  <c r="BC74" i="10" s="1"/>
  <c r="BC64" i="10"/>
  <c r="BC63" i="10" s="1"/>
  <c r="AS75" i="10"/>
  <c r="AS74" i="10" s="1"/>
  <c r="BE69" i="10"/>
  <c r="BE68" i="10" s="1"/>
  <c r="BQ75" i="10"/>
  <c r="BQ74" i="10" s="1"/>
  <c r="AU80" i="10"/>
  <c r="AU79" i="10" s="1"/>
  <c r="AU61" i="10" s="1"/>
  <c r="AU6" i="10" s="1"/>
  <c r="AU8" i="10" s="1"/>
  <c r="AR15" i="10"/>
  <c r="AZ15" i="10"/>
  <c r="BH15" i="10"/>
  <c r="BP15" i="10"/>
  <c r="AT20" i="10"/>
  <c r="AT19" i="10" s="1"/>
  <c r="BB20" i="10"/>
  <c r="BB19" i="10" s="1"/>
  <c r="BJ20" i="10"/>
  <c r="BJ19" i="10" s="1"/>
  <c r="BR20" i="10"/>
  <c r="BR19" i="10" s="1"/>
  <c r="AR31" i="10"/>
  <c r="AZ31" i="10"/>
  <c r="BH31" i="10"/>
  <c r="BP31" i="10"/>
  <c r="BK64" i="10"/>
  <c r="BK63" i="10" s="1"/>
  <c r="BK61" i="10" s="1"/>
  <c r="BK6" i="10" s="1"/>
  <c r="BK8" i="10" s="1"/>
  <c r="BA75" i="10"/>
  <c r="BA74" i="10" s="1"/>
  <c r="BC80" i="10"/>
  <c r="BC79" i="10" s="1"/>
  <c r="BD63" i="10"/>
  <c r="AX68" i="10"/>
  <c r="AX67" i="10" s="1"/>
  <c r="BF68" i="10"/>
  <c r="BN68" i="10"/>
  <c r="AT74" i="10"/>
  <c r="BJ74" i="10"/>
  <c r="BR74" i="10"/>
  <c r="AV79" i="10"/>
  <c r="BD79" i="10"/>
  <c r="BL79" i="10"/>
  <c r="BM69" i="10"/>
  <c r="BM68" i="10" s="1"/>
  <c r="AU15" i="10"/>
  <c r="AU13" i="10" s="1"/>
  <c r="BK31" i="10"/>
  <c r="BK13" i="10" s="1"/>
  <c r="AW79" i="10"/>
  <c r="BE79" i="10"/>
  <c r="BM79" i="10"/>
  <c r="BO55" i="10"/>
  <c r="BK61" i="9"/>
  <c r="AY7" i="9"/>
  <c r="AY42" i="9"/>
  <c r="BG7" i="9"/>
  <c r="BG42" i="9"/>
  <c r="BO7" i="9"/>
  <c r="BO42" i="9"/>
  <c r="AX43" i="9"/>
  <c r="AX7" i="9"/>
  <c r="BF43" i="9"/>
  <c r="BF62" i="9" s="1"/>
  <c r="BF7" i="9"/>
  <c r="BN43" i="9"/>
  <c r="BN7" i="9"/>
  <c r="AW44" i="9"/>
  <c r="AW7" i="9"/>
  <c r="BE44" i="9"/>
  <c r="BE7" i="9"/>
  <c r="BM44" i="9"/>
  <c r="BM41" i="9" s="1"/>
  <c r="BM7" i="9"/>
  <c r="AV45" i="9"/>
  <c r="AV7" i="9"/>
  <c r="BD45" i="9"/>
  <c r="BD7" i="9"/>
  <c r="BL45" i="9"/>
  <c r="BL7" i="9"/>
  <c r="AV47" i="9"/>
  <c r="AV12" i="9"/>
  <c r="BD47" i="9"/>
  <c r="BD12" i="9"/>
  <c r="BL47" i="9"/>
  <c r="BL12" i="9"/>
  <c r="AX19" i="9"/>
  <c r="AX53" i="9" s="1"/>
  <c r="BE20" i="9"/>
  <c r="BE54" i="9" s="1"/>
  <c r="BL21" i="9"/>
  <c r="BL55" i="9" s="1"/>
  <c r="AV34" i="9"/>
  <c r="BD34" i="9"/>
  <c r="BL34" i="9"/>
  <c r="AY36" i="9"/>
  <c r="AY34" i="9" s="1"/>
  <c r="BF37" i="9"/>
  <c r="BF34" i="9" s="1"/>
  <c r="BA61" i="9"/>
  <c r="BC61" i="9"/>
  <c r="AW52" i="9"/>
  <c r="AW34" i="9"/>
  <c r="BE34" i="9"/>
  <c r="BM34" i="9"/>
  <c r="BA18" i="9"/>
  <c r="BA7" i="9"/>
  <c r="BI18" i="9"/>
  <c r="BI7" i="9"/>
  <c r="BQ18" i="9"/>
  <c r="BQ7" i="9"/>
  <c r="AY44" i="9"/>
  <c r="AY20" i="9"/>
  <c r="AY54" i="9" s="1"/>
  <c r="BG44" i="9"/>
  <c r="BG20" i="9"/>
  <c r="BG54" i="9" s="1"/>
  <c r="BO44" i="9"/>
  <c r="BO20" i="9"/>
  <c r="BO54" i="9" s="1"/>
  <c r="AX45" i="9"/>
  <c r="AX41" i="9" s="1"/>
  <c r="AX57" i="9" s="1"/>
  <c r="AX21" i="9"/>
  <c r="AX55" i="9" s="1"/>
  <c r="BF45" i="9"/>
  <c r="BF21" i="9"/>
  <c r="BF55" i="9" s="1"/>
  <c r="BN45" i="9"/>
  <c r="BN21" i="9"/>
  <c r="BN55" i="9" s="1"/>
  <c r="BC12" i="9"/>
  <c r="AY18" i="9"/>
  <c r="BF19" i="9"/>
  <c r="BF53" i="9" s="1"/>
  <c r="BM20" i="9"/>
  <c r="BM54" i="9" s="1"/>
  <c r="AZ35" i="9"/>
  <c r="AZ34" i="9" s="1"/>
  <c r="BG36" i="9"/>
  <c r="BG34" i="9" s="1"/>
  <c r="BN37" i="9"/>
  <c r="BN54" i="9" s="1"/>
  <c r="BH62" i="9"/>
  <c r="BS61" i="9"/>
  <c r="AY61" i="9"/>
  <c r="AX62" i="9"/>
  <c r="BN62" i="9"/>
  <c r="AW63" i="9"/>
  <c r="BE63" i="9"/>
  <c r="BE52" i="9"/>
  <c r="BL53" i="9"/>
  <c r="BS54" i="9"/>
  <c r="BI42" i="9"/>
  <c r="BP43" i="9"/>
  <c r="AU52" i="9"/>
  <c r="AU17" i="9"/>
  <c r="BC52" i="9"/>
  <c r="BK52" i="9"/>
  <c r="BS52" i="9"/>
  <c r="BS17" i="9"/>
  <c r="BB53" i="9"/>
  <c r="BJ53" i="9"/>
  <c r="BR53" i="9"/>
  <c r="BG18" i="9"/>
  <c r="BN19" i="9"/>
  <c r="BN53" i="9" s="1"/>
  <c r="AV21" i="9"/>
  <c r="AV55" i="9" s="1"/>
  <c r="BH35" i="9"/>
  <c r="BH34" i="9" s="1"/>
  <c r="BO36" i="9"/>
  <c r="BO34" i="9" s="1"/>
  <c r="AU61" i="9"/>
  <c r="AV52" i="9"/>
  <c r="BL17" i="9"/>
  <c r="BL52" i="9"/>
  <c r="AZ62" i="9"/>
  <c r="BM52" i="9"/>
  <c r="AU54" i="9"/>
  <c r="BB55" i="9"/>
  <c r="BQ42" i="9"/>
  <c r="AZ7" i="9"/>
  <c r="AW41" i="9"/>
  <c r="AW58" i="9" s="1"/>
  <c r="BE57" i="9"/>
  <c r="BE41" i="9"/>
  <c r="BE58" i="9" s="1"/>
  <c r="BS12" i="9"/>
  <c r="BB47" i="9"/>
  <c r="BB12" i="9"/>
  <c r="BJ47" i="9"/>
  <c r="BJ12" i="9"/>
  <c r="BR47" i="9"/>
  <c r="BR12" i="9"/>
  <c r="BA48" i="9"/>
  <c r="BA12" i="9"/>
  <c r="BI48" i="9"/>
  <c r="BI46" i="9" s="1"/>
  <c r="BI12" i="9"/>
  <c r="BQ48" i="9"/>
  <c r="BQ46" i="9" s="1"/>
  <c r="BQ12" i="9"/>
  <c r="AZ49" i="9"/>
  <c r="AZ12" i="9"/>
  <c r="BH49" i="9"/>
  <c r="BH12" i="9"/>
  <c r="BP49" i="9"/>
  <c r="BP12" i="9"/>
  <c r="AY50" i="9"/>
  <c r="AY12" i="9"/>
  <c r="BG50" i="9"/>
  <c r="BG12" i="9"/>
  <c r="BO50" i="9"/>
  <c r="BO12" i="9"/>
  <c r="BO18" i="9"/>
  <c r="AW20" i="9"/>
  <c r="AW54" i="9" s="1"/>
  <c r="BD21" i="9"/>
  <c r="BD55" i="9" s="1"/>
  <c r="BB35" i="9"/>
  <c r="BB34" i="9" s="1"/>
  <c r="BB24" i="9"/>
  <c r="BJ35" i="9"/>
  <c r="BJ34" i="9" s="1"/>
  <c r="BJ24" i="9"/>
  <c r="BR35" i="9"/>
  <c r="BR34" i="9" s="1"/>
  <c r="BR24" i="9"/>
  <c r="BP35" i="9"/>
  <c r="BP34" i="9" s="1"/>
  <c r="AX37" i="9"/>
  <c r="AX34" i="9" s="1"/>
  <c r="AG99" i="9"/>
  <c r="AS99" i="9"/>
  <c r="N99" i="9"/>
  <c r="AX18" i="9"/>
  <c r="BF18" i="9"/>
  <c r="BN18" i="9"/>
  <c r="AW19" i="9"/>
  <c r="AW53" i="9" s="1"/>
  <c r="BE19" i="9"/>
  <c r="BE53" i="9" s="1"/>
  <c r="BM19" i="9"/>
  <c r="BM53" i="9" s="1"/>
  <c r="AV20" i="9"/>
  <c r="AV54" i="9" s="1"/>
  <c r="BD20" i="9"/>
  <c r="BD54" i="9" s="1"/>
  <c r="BD51" i="9" s="1"/>
  <c r="BC21" i="9"/>
  <c r="BC55" i="9" s="1"/>
  <c r="BK21" i="9"/>
  <c r="BK55" i="9" s="1"/>
  <c r="BB42" i="9"/>
  <c r="BJ42" i="9"/>
  <c r="BR42" i="9"/>
  <c r="BA43" i="9"/>
  <c r="BI43" i="9"/>
  <c r="BQ43" i="9"/>
  <c r="BN44" i="9"/>
  <c r="BN41" i="9" s="1"/>
  <c r="BN57" i="9" s="1"/>
  <c r="AD93" i="9"/>
  <c r="AD100" i="9" s="1"/>
  <c r="AL93" i="9"/>
  <c r="AL100" i="9" s="1"/>
  <c r="AT93" i="9"/>
  <c r="V78" i="9"/>
  <c r="I99" i="9"/>
  <c r="U99" i="9"/>
  <c r="AH99" i="9"/>
  <c r="P99" i="9"/>
  <c r="BI61" i="9"/>
  <c r="AU7" i="9"/>
  <c r="BC7" i="9"/>
  <c r="BK7" i="9"/>
  <c r="BS7" i="9"/>
  <c r="AZ44" i="9"/>
  <c r="AZ41" i="9" s="1"/>
  <c r="AZ57" i="9" s="1"/>
  <c r="BH44" i="9"/>
  <c r="BH41" i="9" s="1"/>
  <c r="BP44" i="9"/>
  <c r="AY45" i="9"/>
  <c r="BG45" i="9"/>
  <c r="BO45" i="9"/>
  <c r="AX12" i="9"/>
  <c r="BF12" i="9"/>
  <c r="BN12" i="9"/>
  <c r="AW47" i="9"/>
  <c r="BE47" i="9"/>
  <c r="BM47" i="9"/>
  <c r="AV48" i="9"/>
  <c r="AV62" i="9" s="1"/>
  <c r="BD48" i="9"/>
  <c r="BD62" i="9" s="1"/>
  <c r="BL48" i="9"/>
  <c r="BL62" i="9" s="1"/>
  <c r="AU49" i="9"/>
  <c r="AU63" i="9" s="1"/>
  <c r="BC49" i="9"/>
  <c r="BC63" i="9" s="1"/>
  <c r="BK49" i="9"/>
  <c r="BK63" i="9" s="1"/>
  <c r="BS49" i="9"/>
  <c r="BS63" i="9" s="1"/>
  <c r="BB50" i="9"/>
  <c r="BB63" i="9" s="1"/>
  <c r="BJ50" i="9"/>
  <c r="BJ63" i="9" s="1"/>
  <c r="BR50" i="9"/>
  <c r="BR63" i="9" s="1"/>
  <c r="AZ18" i="9"/>
  <c r="BH18" i="9"/>
  <c r="BP18" i="9"/>
  <c r="AY19" i="9"/>
  <c r="AY53" i="9" s="1"/>
  <c r="BG19" i="9"/>
  <c r="BG53" i="9" s="1"/>
  <c r="BO19" i="9"/>
  <c r="BO53" i="9" s="1"/>
  <c r="AX20" i="9"/>
  <c r="BF20" i="9"/>
  <c r="BF54" i="9" s="1"/>
  <c r="AW21" i="9"/>
  <c r="AW55" i="9" s="1"/>
  <c r="BE21" i="9"/>
  <c r="BE55" i="9" s="1"/>
  <c r="BM21" i="9"/>
  <c r="BM55" i="9" s="1"/>
  <c r="AV42" i="9"/>
  <c r="BD42" i="9"/>
  <c r="BL42" i="9"/>
  <c r="AU43" i="9"/>
  <c r="AU62" i="9" s="1"/>
  <c r="BC43" i="9"/>
  <c r="BC41" i="9" s="1"/>
  <c r="BK43" i="9"/>
  <c r="BK41" i="9" s="1"/>
  <c r="BS43" i="9"/>
  <c r="BS62" i="9" s="1"/>
  <c r="O93" i="9"/>
  <c r="O100" i="9" s="1"/>
  <c r="O78" i="9"/>
  <c r="AK99" i="9"/>
  <c r="X99" i="9"/>
  <c r="V99" i="9"/>
  <c r="AX46" i="9"/>
  <c r="AX61" i="9"/>
  <c r="BF46" i="9"/>
  <c r="BF61" i="9"/>
  <c r="BN46" i="9"/>
  <c r="BN61" i="9"/>
  <c r="AW62" i="9"/>
  <c r="BE62" i="9"/>
  <c r="BM62" i="9"/>
  <c r="AV63" i="9"/>
  <c r="BD63" i="9"/>
  <c r="BL63" i="9"/>
  <c r="Y93" i="9"/>
  <c r="Y100" i="9" s="1"/>
  <c r="Y78" i="9"/>
  <c r="AG93" i="9"/>
  <c r="AG100" i="9" s="1"/>
  <c r="AG78" i="9"/>
  <c r="AO93" i="9"/>
  <c r="AO100" i="9" s="1"/>
  <c r="AO78" i="9"/>
  <c r="M99" i="9"/>
  <c r="Z99" i="9"/>
  <c r="AY46" i="9"/>
  <c r="BG46" i="9"/>
  <c r="AZ20" i="9"/>
  <c r="AZ54" i="9" s="1"/>
  <c r="BH20" i="9"/>
  <c r="BH54" i="9" s="1"/>
  <c r="BP20" i="9"/>
  <c r="BP54" i="9" s="1"/>
  <c r="AY21" i="9"/>
  <c r="AY55" i="9" s="1"/>
  <c r="BG21" i="9"/>
  <c r="BG55" i="9" s="1"/>
  <c r="BO21" i="9"/>
  <c r="BO55" i="9" s="1"/>
  <c r="BG61" i="9"/>
  <c r="Q93" i="9"/>
  <c r="Q100" i="9" s="1"/>
  <c r="Q78" i="9"/>
  <c r="AA99" i="9"/>
  <c r="AO99" i="9"/>
  <c r="L99" i="9"/>
  <c r="T99" i="9"/>
  <c r="AB99" i="9"/>
  <c r="AJ99" i="9"/>
  <c r="AR99" i="9"/>
  <c r="AF99" i="9"/>
  <c r="AZ46" i="9"/>
  <c r="AZ61" i="9"/>
  <c r="BH61" i="9"/>
  <c r="BP46" i="9"/>
  <c r="BP61" i="9"/>
  <c r="AY62" i="9"/>
  <c r="BG62" i="9"/>
  <c r="BO62" i="9"/>
  <c r="AX63" i="9"/>
  <c r="BF63" i="9"/>
  <c r="BA20" i="9"/>
  <c r="BA54" i="9" s="1"/>
  <c r="BI20" i="9"/>
  <c r="BI54" i="9" s="1"/>
  <c r="BQ20" i="9"/>
  <c r="BQ54" i="9" s="1"/>
  <c r="AZ21" i="9"/>
  <c r="AZ55" i="9" s="1"/>
  <c r="BH21" i="9"/>
  <c r="BH55" i="9" s="1"/>
  <c r="BP21" i="9"/>
  <c r="BP55" i="9" s="1"/>
  <c r="I93" i="9"/>
  <c r="I100" i="9" s="1"/>
  <c r="I78" i="9"/>
  <c r="L78" i="9"/>
  <c r="Q99" i="9"/>
  <c r="AC99" i="9"/>
  <c r="AP99" i="9"/>
  <c r="BP62" i="9"/>
  <c r="W93" i="9"/>
  <c r="W100" i="9" s="1"/>
  <c r="W78" i="9"/>
  <c r="AM93" i="9"/>
  <c r="AM100" i="9" s="1"/>
  <c r="AM78" i="9"/>
  <c r="BB20" i="9"/>
  <c r="BB54" i="9" s="1"/>
  <c r="BJ20" i="9"/>
  <c r="BJ54" i="9" s="1"/>
  <c r="BR20" i="9"/>
  <c r="BR54" i="9" s="1"/>
  <c r="BA21" i="9"/>
  <c r="BA55" i="9" s="1"/>
  <c r="BI21" i="9"/>
  <c r="BI55" i="9" s="1"/>
  <c r="BQ21" i="9"/>
  <c r="BQ55" i="9" s="1"/>
  <c r="BO61" i="9"/>
  <c r="R99" i="9"/>
  <c r="O99" i="9"/>
  <c r="AE99" i="9"/>
  <c r="AM99" i="9"/>
  <c r="H99" i="9"/>
  <c r="AN99" i="9"/>
  <c r="M78" i="9"/>
  <c r="U78" i="9"/>
  <c r="AC78" i="9"/>
  <c r="AK78" i="9"/>
  <c r="AS78" i="9"/>
  <c r="K93" i="9"/>
  <c r="K100" i="9" s="1"/>
  <c r="S93" i="9"/>
  <c r="S100" i="9" s="1"/>
  <c r="AA93" i="9"/>
  <c r="AA100" i="9" s="1"/>
  <c r="AI93" i="9"/>
  <c r="AI100" i="9" s="1"/>
  <c r="AQ93" i="9"/>
  <c r="AQ100" i="9" s="1"/>
  <c r="AE78" i="9"/>
  <c r="H78" i="9"/>
  <c r="P78" i="9"/>
  <c r="X78" i="9"/>
  <c r="AF78" i="9"/>
  <c r="AN78" i="9"/>
  <c r="AZ30" i="8"/>
  <c r="BP30" i="8"/>
  <c r="BD30" i="8"/>
  <c r="AV7" i="7"/>
  <c r="BD7" i="7"/>
  <c r="BL7" i="7"/>
  <c r="AP7" i="7"/>
  <c r="AX7" i="7"/>
  <c r="BF7" i="7"/>
  <c r="BN7" i="7"/>
  <c r="AR7" i="7"/>
  <c r="AZ7" i="7"/>
  <c r="BH7" i="7"/>
  <c r="BP7" i="7"/>
  <c r="AW7" i="7"/>
  <c r="BE7" i="7"/>
  <c r="BM7" i="7"/>
  <c r="AQ7" i="7"/>
  <c r="AY7" i="7"/>
  <c r="BG7" i="7"/>
  <c r="BO7" i="7"/>
  <c r="AS7" i="7"/>
  <c r="BA7" i="7"/>
  <c r="BI7" i="7"/>
  <c r="BQ7" i="7"/>
  <c r="AT7" i="7"/>
  <c r="BB7" i="7"/>
  <c r="BJ7" i="7"/>
  <c r="BR7" i="7"/>
  <c r="AU7" i="7"/>
  <c r="BC7" i="7"/>
  <c r="BK7" i="7"/>
  <c r="BS7" i="7"/>
  <c r="BE62" i="6"/>
  <c r="BM62" i="6"/>
  <c r="BJ22" i="6"/>
  <c r="BJ21" i="6" s="1"/>
  <c r="BR22" i="6"/>
  <c r="BR21" i="6" s="1"/>
  <c r="BH59" i="6"/>
  <c r="BH58" i="6" s="1"/>
  <c r="BG62" i="6"/>
  <c r="BO62" i="6"/>
  <c r="BP62" i="6"/>
  <c r="AZ59" i="6"/>
  <c r="AZ58" i="6" s="1"/>
  <c r="BI62" i="6"/>
  <c r="BQ62" i="6"/>
  <c r="BN62" i="6"/>
  <c r="BD22" i="6"/>
  <c r="BD21" i="6" s="1"/>
  <c r="AT59" i="6"/>
  <c r="AT58" i="6" s="1"/>
  <c r="BB63" i="6"/>
  <c r="BB62" i="6" s="1"/>
  <c r="BJ63" i="6"/>
  <c r="BR59" i="6"/>
  <c r="BR58" i="6" s="1"/>
  <c r="BH62" i="6"/>
  <c r="AP14" i="6"/>
  <c r="AP26" i="6" s="1"/>
  <c r="AP25" i="6" s="1"/>
  <c r="AX14" i="6"/>
  <c r="BF14" i="6"/>
  <c r="BF26" i="6" s="1"/>
  <c r="BF25" i="6" s="1"/>
  <c r="BN14" i="6"/>
  <c r="BN26" i="6" s="1"/>
  <c r="BN25" i="6" s="1"/>
  <c r="AR14" i="6"/>
  <c r="AR26" i="6" s="1"/>
  <c r="AR25" i="6" s="1"/>
  <c r="AZ14" i="6"/>
  <c r="AZ26" i="6" s="1"/>
  <c r="AZ25" i="6" s="1"/>
  <c r="BH14" i="6"/>
  <c r="BH26" i="6" s="1"/>
  <c r="BH25" i="6" s="1"/>
  <c r="BP14" i="6"/>
  <c r="BP26" i="6" s="1"/>
  <c r="BP25" i="6" s="1"/>
  <c r="BP59" i="6"/>
  <c r="BP58" i="6" s="1"/>
  <c r="BC62" i="6"/>
  <c r="BK62" i="6"/>
  <c r="BS62" i="6"/>
  <c r="AP7" i="6"/>
  <c r="AX7" i="6"/>
  <c r="AX26" i="6"/>
  <c r="AX25" i="6" s="1"/>
  <c r="BF7" i="6"/>
  <c r="BF22" i="6" s="1"/>
  <c r="BF21" i="6" s="1"/>
  <c r="BN7" i="6"/>
  <c r="BN22" i="6" s="1"/>
  <c r="BN21" i="6" s="1"/>
  <c r="AR59" i="6"/>
  <c r="AR58" i="6" s="1"/>
  <c r="BD62" i="6"/>
  <c r="BL62" i="6"/>
  <c r="BF62" i="6"/>
  <c r="BJ44" i="6"/>
  <c r="BJ59" i="6" s="1"/>
  <c r="BJ58" i="6" s="1"/>
  <c r="BB44" i="6"/>
  <c r="BB59" i="6" s="1"/>
  <c r="BB58" i="6" s="1"/>
  <c r="AR7" i="6"/>
  <c r="AZ7" i="6"/>
  <c r="BH7" i="6"/>
  <c r="BP7" i="6"/>
  <c r="BP22" i="6" s="1"/>
  <c r="BP21" i="6" s="1"/>
  <c r="AV44" i="6"/>
  <c r="AV59" i="6" s="1"/>
  <c r="AV58" i="6" s="1"/>
  <c r="BD44" i="6"/>
  <c r="BD59" i="6" s="1"/>
  <c r="BD58" i="6" s="1"/>
  <c r="BL44" i="6"/>
  <c r="BL59" i="6" s="1"/>
  <c r="BL58" i="6" s="1"/>
  <c r="AT63" i="6"/>
  <c r="AT62" i="6" s="1"/>
  <c r="BR63" i="6"/>
  <c r="C20" i="4"/>
  <c r="C10" i="4" s="1"/>
  <c r="C7" i="4"/>
  <c r="C9" i="4" s="1"/>
  <c r="J34" i="4"/>
  <c r="J11" i="4" s="1"/>
  <c r="AS24" i="4"/>
  <c r="AS34" i="4" s="1"/>
  <c r="AS11" i="4" s="1"/>
  <c r="AS7" i="4"/>
  <c r="AS9" i="4" s="1"/>
  <c r="AP24" i="4"/>
  <c r="AP34" i="4" s="1"/>
  <c r="AP11" i="4" s="1"/>
  <c r="AP7" i="4"/>
  <c r="AP9" i="4" s="1"/>
  <c r="E34" i="4"/>
  <c r="E11" i="4" s="1"/>
  <c r="R34" i="4"/>
  <c r="R11" i="4" s="1"/>
  <c r="E20" i="4"/>
  <c r="E10" i="4" s="1"/>
  <c r="E7" i="4"/>
  <c r="E9" i="4" s="1"/>
  <c r="AQ29" i="4"/>
  <c r="AQ34" i="4" s="1"/>
  <c r="AQ11" i="4" s="1"/>
  <c r="AQ7" i="4"/>
  <c r="AQ9" i="4" s="1"/>
  <c r="D42" i="4"/>
  <c r="D12" i="4" s="1"/>
  <c r="D7" i="4"/>
  <c r="D9" i="4" s="1"/>
  <c r="U34" i="4"/>
  <c r="U11" i="4" s="1"/>
  <c r="AH34" i="4"/>
  <c r="AH11" i="4" s="1"/>
  <c r="H42" i="4"/>
  <c r="H12" i="4" s="1"/>
  <c r="P42" i="4"/>
  <c r="P12" i="4" s="1"/>
  <c r="X42" i="4"/>
  <c r="X12" i="4" s="1"/>
  <c r="AF42" i="4"/>
  <c r="AF12" i="4" s="1"/>
  <c r="AN42" i="4"/>
  <c r="AN12" i="4" s="1"/>
  <c r="M7" i="4"/>
  <c r="M9" i="4" s="1"/>
  <c r="U7" i="4"/>
  <c r="U9" i="4" s="1"/>
  <c r="AC7" i="4"/>
  <c r="AC9" i="4" s="1"/>
  <c r="AK7" i="4"/>
  <c r="AK9" i="4" s="1"/>
  <c r="F14" i="3"/>
  <c r="F24" i="3" s="1"/>
  <c r="N61" i="3"/>
  <c r="N74" i="3" s="1"/>
  <c r="N26" i="3" s="1"/>
  <c r="E14" i="3"/>
  <c r="E24" i="3" s="1"/>
  <c r="T24" i="3"/>
  <c r="H86" i="3"/>
  <c r="H92" i="3" s="1"/>
  <c r="H27" i="3" s="1"/>
  <c r="H7" i="3"/>
  <c r="H6" i="3" s="1"/>
  <c r="H14" i="3" s="1"/>
  <c r="H24" i="3" s="1"/>
  <c r="I86" i="3"/>
  <c r="I92" i="3" s="1"/>
  <c r="I27" i="3" s="1"/>
  <c r="I7" i="3"/>
  <c r="I6" i="3" s="1"/>
  <c r="I14" i="3" s="1"/>
  <c r="I24" i="3" s="1"/>
  <c r="F54" i="3"/>
  <c r="F61" i="3" s="1"/>
  <c r="F74" i="3" s="1"/>
  <c r="F26" i="3" s="1"/>
  <c r="M7" i="3"/>
  <c r="M6" i="3" s="1"/>
  <c r="M14" i="3" s="1"/>
  <c r="M24" i="3" s="1"/>
  <c r="AC7" i="3"/>
  <c r="AC6" i="3" s="1"/>
  <c r="AC14" i="3" s="1"/>
  <c r="AC24" i="3" s="1"/>
  <c r="AO74" i="3"/>
  <c r="U7" i="3"/>
  <c r="U6" i="3" s="1"/>
  <c r="U14" i="3" s="1"/>
  <c r="U24" i="3" s="1"/>
  <c r="AK7" i="3"/>
  <c r="AK6" i="3" s="1"/>
  <c r="AK14" i="3" s="1"/>
  <c r="AK24" i="3" s="1"/>
  <c r="N7" i="3"/>
  <c r="N6" i="3" s="1"/>
  <c r="N14" i="3" s="1"/>
  <c r="N24" i="3" s="1"/>
  <c r="AB61" i="3"/>
  <c r="AB74" i="3" s="1"/>
  <c r="AB26" i="3" s="1"/>
  <c r="AP74" i="3"/>
  <c r="Z92" i="3"/>
  <c r="Z27" i="3" s="1"/>
  <c r="AH92" i="3"/>
  <c r="AH27" i="3" s="1"/>
  <c r="AP92" i="3"/>
  <c r="AA92" i="3"/>
  <c r="AA27" i="3" s="1"/>
  <c r="X7" i="3"/>
  <c r="X6" i="3" s="1"/>
  <c r="X14" i="3" s="1"/>
  <c r="X24" i="3" s="1"/>
  <c r="AF7" i="3"/>
  <c r="AF6" i="3" s="1"/>
  <c r="AF14" i="3" s="1"/>
  <c r="AF24" i="3" s="1"/>
  <c r="AN7" i="3"/>
  <c r="AN6" i="3" s="1"/>
  <c r="AN14" i="3" s="1"/>
  <c r="AN24" i="3" s="1"/>
  <c r="AG74" i="3"/>
  <c r="AG26" i="3" s="1"/>
  <c r="R92" i="3"/>
  <c r="R27" i="3" s="1"/>
  <c r="R74" i="3"/>
  <c r="R26" i="3" s="1"/>
  <c r="AI92" i="3"/>
  <c r="AI27" i="3" s="1"/>
  <c r="Q7" i="3"/>
  <c r="Q6" i="3" s="1"/>
  <c r="Q14" i="3" s="1"/>
  <c r="Q24" i="3" s="1"/>
  <c r="T61" i="3"/>
  <c r="T74" i="3" s="1"/>
  <c r="T26" i="3" s="1"/>
  <c r="AE61" i="3"/>
  <c r="AE74" i="3" s="1"/>
  <c r="AE26" i="3" s="1"/>
  <c r="AM61" i="3"/>
  <c r="AM74" i="3" s="1"/>
  <c r="AM26" i="3" s="1"/>
  <c r="S92" i="3"/>
  <c r="S27" i="3" s="1"/>
  <c r="AQ92" i="3"/>
  <c r="J7" i="3"/>
  <c r="J6" i="3" s="1"/>
  <c r="J14" i="3" s="1"/>
  <c r="J24" i="3" s="1"/>
  <c r="J42" i="3"/>
  <c r="J25" i="3" s="1"/>
  <c r="R42" i="3"/>
  <c r="R25" i="3" s="1"/>
  <c r="Z42" i="3"/>
  <c r="Z25" i="3" s="1"/>
  <c r="AH42" i="3"/>
  <c r="AH25" i="3" s="1"/>
  <c r="AP42" i="3"/>
  <c r="J92" i="3"/>
  <c r="J27" i="3" s="1"/>
  <c r="W56" i="2"/>
  <c r="W55" i="2"/>
  <c r="X55" i="2"/>
  <c r="X56" i="2"/>
  <c r="AE17" i="2"/>
  <c r="AN31" i="2"/>
  <c r="AN56" i="2" s="1"/>
  <c r="AN55" i="2" s="1"/>
  <c r="X17" i="2"/>
  <c r="Y31" i="2"/>
  <c r="AH31" i="2"/>
  <c r="AH56" i="2" s="1"/>
  <c r="AH55" i="2" s="1"/>
  <c r="W17" i="2"/>
  <c r="AF31" i="2"/>
  <c r="AF56" i="2" s="1"/>
  <c r="AF55" i="2" s="1"/>
  <c r="AO31" i="2"/>
  <c r="AO56" i="2" s="1"/>
  <c r="AO55" i="2" s="1"/>
  <c r="V55" i="2"/>
  <c r="AG17" i="2"/>
  <c r="AA31" i="2"/>
  <c r="AM17" i="2"/>
  <c r="Z31" i="2"/>
  <c r="AI31" i="2"/>
  <c r="AI56" i="2" s="1"/>
  <c r="AI55" i="2" s="1"/>
  <c r="AP56" i="2"/>
  <c r="AP55" i="2" s="1"/>
  <c r="AX56" i="2"/>
  <c r="AX55" i="2" s="1"/>
  <c r="BF56" i="2"/>
  <c r="BF55" i="2" s="1"/>
  <c r="Z24" i="12" l="1"/>
  <c r="AN31" i="16"/>
  <c r="K28" i="16"/>
  <c r="O29" i="16"/>
  <c r="J29" i="16"/>
  <c r="S28" i="16"/>
  <c r="E25" i="16"/>
  <c r="P25" i="16"/>
  <c r="AL29" i="16"/>
  <c r="D31" i="16"/>
  <c r="AO28" i="16"/>
  <c r="AH28" i="16"/>
  <c r="AC32" i="16"/>
  <c r="AK29" i="16"/>
  <c r="AM25" i="16"/>
  <c r="I31" i="16"/>
  <c r="S31" i="16"/>
  <c r="K32" i="16"/>
  <c r="AB31" i="16"/>
  <c r="Z31" i="16"/>
  <c r="Y26" i="16"/>
  <c r="H29" i="16"/>
  <c r="O28" i="16"/>
  <c r="BR22" i="1"/>
  <c r="BK35" i="1"/>
  <c r="BR35" i="1"/>
  <c r="H26" i="16"/>
  <c r="L28" i="16"/>
  <c r="AH31" i="16"/>
  <c r="AG26" i="16"/>
  <c r="R31" i="16"/>
  <c r="G28" i="16"/>
  <c r="AL32" i="16"/>
  <c r="AG28" i="16"/>
  <c r="AI28" i="16"/>
  <c r="AE31" i="16"/>
  <c r="AI29" i="16"/>
  <c r="I29" i="16"/>
  <c r="AJ29" i="16"/>
  <c r="Q26" i="16"/>
  <c r="AE29" i="16"/>
  <c r="V29" i="16"/>
  <c r="BP49" i="11"/>
  <c r="BD67" i="10"/>
  <c r="AX22" i="6"/>
  <c r="AX21" i="6" s="1"/>
  <c r="BF41" i="9"/>
  <c r="BK13" i="7"/>
  <c r="AP49" i="11"/>
  <c r="BJ13" i="7"/>
  <c r="BF13" i="7"/>
  <c r="BC13" i="7"/>
  <c r="BB13" i="7"/>
  <c r="AX13" i="7"/>
  <c r="AX54" i="9"/>
  <c r="AU13" i="7"/>
  <c r="AT13" i="7"/>
  <c r="AP13" i="7"/>
  <c r="BP13" i="7"/>
  <c r="BH57" i="9"/>
  <c r="BH58" i="9"/>
  <c r="BC59" i="9"/>
  <c r="BC57" i="9"/>
  <c r="BR35" i="19"/>
  <c r="BR47" i="19" s="1"/>
  <c r="BO63" i="9"/>
  <c r="BH63" i="9"/>
  <c r="AC25" i="12"/>
  <c r="BB47" i="19"/>
  <c r="BO35" i="1"/>
  <c r="BN63" i="9"/>
  <c r="BL67" i="10"/>
  <c r="G29" i="16"/>
  <c r="AO29" i="16"/>
  <c r="BG35" i="1"/>
  <c r="BJ22" i="19"/>
  <c r="BJ29" i="19" s="1"/>
  <c r="BJ31" i="19" s="1"/>
  <c r="BJ32" i="19" s="1"/>
  <c r="BG63" i="9"/>
  <c r="BK51" i="9"/>
  <c r="BC61" i="10"/>
  <c r="BC6" i="10" s="1"/>
  <c r="BC8" i="10" s="1"/>
  <c r="W25" i="16"/>
  <c r="AC25" i="16"/>
  <c r="BM35" i="1"/>
  <c r="AY35" i="1"/>
  <c r="AZ22" i="6"/>
  <c r="AZ21" i="6" s="1"/>
  <c r="AP22" i="6"/>
  <c r="AP21" i="6" s="1"/>
  <c r="AW57" i="9"/>
  <c r="BC17" i="9"/>
  <c r="BE17" i="9"/>
  <c r="BB52" i="9"/>
  <c r="BC62" i="9"/>
  <c r="AU67" i="10"/>
  <c r="AZ19" i="10"/>
  <c r="BF63" i="10"/>
  <c r="BF61" i="10" s="1"/>
  <c r="BF6" i="10" s="1"/>
  <c r="BF8" i="10" s="1"/>
  <c r="BE35" i="1"/>
  <c r="BB43" i="10"/>
  <c r="AY63" i="9"/>
  <c r="BC51" i="9"/>
  <c r="BS46" i="9"/>
  <c r="BQ61" i="10"/>
  <c r="BM61" i="10"/>
  <c r="BM6" i="10" s="1"/>
  <c r="BM8" i="10" s="1"/>
  <c r="BI13" i="10"/>
  <c r="BG13" i="10"/>
  <c r="N31" i="16"/>
  <c r="AW35" i="1"/>
  <c r="BP63" i="9"/>
  <c r="BD61" i="10"/>
  <c r="BD6" i="10" s="1"/>
  <c r="BD8" i="10" s="1"/>
  <c r="AP67" i="10"/>
  <c r="BJ67" i="10"/>
  <c r="AW19" i="10"/>
  <c r="BL61" i="10"/>
  <c r="BL6" i="10" s="1"/>
  <c r="BL8" i="10" s="1"/>
  <c r="BR67" i="10"/>
  <c r="AV61" i="10"/>
  <c r="AV6" i="10" s="1"/>
  <c r="AV8" i="10" s="1"/>
  <c r="AF29" i="16"/>
  <c r="Q32" i="16"/>
  <c r="M32" i="16"/>
  <c r="U31" i="16"/>
  <c r="T32" i="16"/>
  <c r="AG29" i="16"/>
  <c r="U32" i="16"/>
  <c r="M31" i="16"/>
  <c r="AD25" i="16"/>
  <c r="AH24" i="12"/>
  <c r="H32" i="16"/>
  <c r="U25" i="12"/>
  <c r="N32" i="16"/>
  <c r="AH32" i="16"/>
  <c r="AE28" i="16"/>
  <c r="W32" i="16"/>
  <c r="AH29" i="16"/>
  <c r="AI32" i="16"/>
  <c r="AF26" i="16"/>
  <c r="J32" i="16"/>
  <c r="W28" i="16"/>
  <c r="AC28" i="16"/>
  <c r="J31" i="16"/>
  <c r="AJ32" i="16"/>
  <c r="AJ31" i="16"/>
  <c r="L32" i="16"/>
  <c r="N28" i="16"/>
  <c r="AD25" i="12"/>
  <c r="AM29" i="16"/>
  <c r="I32" i="16"/>
  <c r="M28" i="16"/>
  <c r="E31" i="16"/>
  <c r="AA31" i="16"/>
  <c r="M25" i="16"/>
  <c r="T29" i="16"/>
  <c r="AF28" i="16"/>
  <c r="V31" i="16"/>
  <c r="AN28" i="16"/>
  <c r="N25" i="12"/>
  <c r="P32" i="16"/>
  <c r="F31" i="16"/>
  <c r="J26" i="16"/>
  <c r="P31" i="16"/>
  <c r="L29" i="16"/>
  <c r="X28" i="16"/>
  <c r="P28" i="16"/>
  <c r="AO26" i="16"/>
  <c r="O25" i="16"/>
  <c r="AN26" i="16"/>
  <c r="R26" i="16"/>
  <c r="H28" i="16"/>
  <c r="AN29" i="16"/>
  <c r="AH26" i="16"/>
  <c r="H25" i="16"/>
  <c r="AB32" i="16"/>
  <c r="G25" i="16"/>
  <c r="Q29" i="16"/>
  <c r="AD32" i="16"/>
  <c r="R29" i="16"/>
  <c r="AA32" i="16"/>
  <c r="P26" i="16"/>
  <c r="AC31" i="16"/>
  <c r="Q31" i="16"/>
  <c r="R32" i="16"/>
  <c r="V32" i="16"/>
  <c r="S32" i="16"/>
  <c r="P29" i="16"/>
  <c r="AL31" i="16"/>
  <c r="D28" i="16"/>
  <c r="V25" i="16"/>
  <c r="BC35" i="19"/>
  <c r="BC47" i="19" s="1"/>
  <c r="BN35" i="19"/>
  <c r="BN47" i="19" s="1"/>
  <c r="AU35" i="19"/>
  <c r="AU47" i="19" s="1"/>
  <c r="BF35" i="19"/>
  <c r="BF47" i="19" s="1"/>
  <c r="AX35" i="19"/>
  <c r="AX47" i="19" s="1"/>
  <c r="BP35" i="19"/>
  <c r="BP47" i="19" s="1"/>
  <c r="BH35" i="19"/>
  <c r="BH47" i="19" s="1"/>
  <c r="BO35" i="19"/>
  <c r="BO47" i="19" s="1"/>
  <c r="BQ35" i="19"/>
  <c r="BQ47" i="19" s="1"/>
  <c r="AZ35" i="19"/>
  <c r="AZ47" i="19" s="1"/>
  <c r="BG35" i="19"/>
  <c r="BG47" i="19" s="1"/>
  <c r="BS35" i="19"/>
  <c r="BS47" i="19" s="1"/>
  <c r="BI35" i="19"/>
  <c r="BI47" i="19" s="1"/>
  <c r="AY35" i="19"/>
  <c r="AY47" i="19" s="1"/>
  <c r="BK35" i="19"/>
  <c r="BK47" i="19" s="1"/>
  <c r="BA35" i="19"/>
  <c r="BA47" i="19" s="1"/>
  <c r="Z29" i="16"/>
  <c r="AB25" i="16"/>
  <c r="AE26" i="16"/>
  <c r="AM31" i="16"/>
  <c r="AD31" i="16"/>
  <c r="U25" i="16"/>
  <c r="U29" i="16"/>
  <c r="AE32" i="16"/>
  <c r="AK32" i="16"/>
  <c r="H31" i="16"/>
  <c r="T25" i="16"/>
  <c r="W26" i="16"/>
  <c r="AI25" i="16"/>
  <c r="AL26" i="16"/>
  <c r="AO32" i="16"/>
  <c r="AA28" i="16"/>
  <c r="AB26" i="16"/>
  <c r="Y25" i="16"/>
  <c r="L25" i="16"/>
  <c r="O26" i="16"/>
  <c r="X29" i="16"/>
  <c r="X26" i="16"/>
  <c r="AA25" i="16"/>
  <c r="AD26" i="16"/>
  <c r="Z32" i="16"/>
  <c r="AG32" i="16"/>
  <c r="W31" i="16"/>
  <c r="T28" i="16"/>
  <c r="U28" i="16"/>
  <c r="AN32" i="16"/>
  <c r="O32" i="16"/>
  <c r="Z25" i="16"/>
  <c r="AC26" i="16"/>
  <c r="L26" i="16"/>
  <c r="I25" i="16"/>
  <c r="AJ25" i="16"/>
  <c r="AM26" i="16"/>
  <c r="AM32" i="16"/>
  <c r="J25" i="16"/>
  <c r="M26" i="16"/>
  <c r="D25" i="16"/>
  <c r="G26" i="16"/>
  <c r="S25" i="16"/>
  <c r="V26" i="16"/>
  <c r="W29" i="16"/>
  <c r="Y32" i="16"/>
  <c r="AD29" i="16"/>
  <c r="O31" i="16"/>
  <c r="AF32" i="16"/>
  <c r="T26" i="16"/>
  <c r="Q25" i="16"/>
  <c r="G32" i="16"/>
  <c r="AI26" i="16"/>
  <c r="AA29" i="16"/>
  <c r="K25" i="16"/>
  <c r="N26" i="16"/>
  <c r="G31" i="16"/>
  <c r="X32" i="16"/>
  <c r="AB29" i="16"/>
  <c r="I26" i="16"/>
  <c r="K29" i="16"/>
  <c r="AH25" i="16"/>
  <c r="AK26" i="16"/>
  <c r="R25" i="16"/>
  <c r="U26" i="16"/>
  <c r="AC29" i="16"/>
  <c r="AO25" i="16"/>
  <c r="M29" i="16"/>
  <c r="Z26" i="16"/>
  <c r="AA26" i="16"/>
  <c r="AJ26" i="16"/>
  <c r="AG25" i="16"/>
  <c r="S26" i="16"/>
  <c r="K26" i="16"/>
  <c r="X24" i="12"/>
  <c r="AA25" i="12"/>
  <c r="Y25" i="12"/>
  <c r="V24" i="12"/>
  <c r="AM25" i="12"/>
  <c r="AJ24" i="12"/>
  <c r="W25" i="12"/>
  <c r="T24" i="12"/>
  <c r="AO24" i="12"/>
  <c r="AL25" i="12"/>
  <c r="P24" i="12"/>
  <c r="S25" i="12"/>
  <c r="N24" i="12"/>
  <c r="Q25" i="12"/>
  <c r="AE25" i="12"/>
  <c r="AB24" i="12"/>
  <c r="Y24" i="12"/>
  <c r="AB25" i="12"/>
  <c r="V25" i="12"/>
  <c r="AM24" i="12"/>
  <c r="AP25" i="12"/>
  <c r="AN25" i="12"/>
  <c r="AK24" i="12"/>
  <c r="O25" i="12"/>
  <c r="L24" i="12"/>
  <c r="Q24" i="12"/>
  <c r="T25" i="12"/>
  <c r="AE24" i="12"/>
  <c r="AH25" i="12"/>
  <c r="AC24" i="12"/>
  <c r="AF25" i="12"/>
  <c r="AG24" i="12"/>
  <c r="AJ25" i="12"/>
  <c r="I24" i="12"/>
  <c r="L25" i="12"/>
  <c r="W24" i="12"/>
  <c r="Z25" i="12"/>
  <c r="X25" i="12"/>
  <c r="U24" i="12"/>
  <c r="AN24" i="12"/>
  <c r="AK25" i="12"/>
  <c r="O24" i="12"/>
  <c r="R25" i="12"/>
  <c r="AO25" i="12"/>
  <c r="AL24" i="12"/>
  <c r="M24" i="12"/>
  <c r="P25" i="12"/>
  <c r="AF24" i="12"/>
  <c r="AI25" i="12"/>
  <c r="AG25" i="12"/>
  <c r="AD24" i="12"/>
  <c r="BP13" i="10"/>
  <c r="BO37" i="10"/>
  <c r="BB67" i="10"/>
  <c r="BR61" i="10"/>
  <c r="AY61" i="10"/>
  <c r="AY6" i="10" s="1"/>
  <c r="AY8" i="10" s="1"/>
  <c r="BP19" i="10"/>
  <c r="BI61" i="10"/>
  <c r="BI6" i="10" s="1"/>
  <c r="BI8" i="10" s="1"/>
  <c r="BG61" i="10"/>
  <c r="BG6" i="10" s="1"/>
  <c r="BG8" i="10" s="1"/>
  <c r="BB13" i="10"/>
  <c r="AX13" i="10"/>
  <c r="BH13" i="10"/>
  <c r="AT67" i="10"/>
  <c r="BJ63" i="10"/>
  <c r="BJ61" i="10" s="1"/>
  <c r="BJ6" i="10" s="1"/>
  <c r="BJ8" i="10" s="1"/>
  <c r="BS6" i="10"/>
  <c r="BS8" i="10" s="1"/>
  <c r="BA67" i="10"/>
  <c r="BL19" i="10"/>
  <c r="BP67" i="10"/>
  <c r="BP6" i="10"/>
  <c r="BP8" i="10" s="1"/>
  <c r="AR74" i="10"/>
  <c r="AR67" i="10" s="1"/>
  <c r="BO67" i="10"/>
  <c r="AX63" i="10"/>
  <c r="AX61" i="10" s="1"/>
  <c r="AX6" i="10" s="1"/>
  <c r="AX8" i="10" s="1"/>
  <c r="BE61" i="10"/>
  <c r="BE6" i="10" s="1"/>
  <c r="BE8" i="10" s="1"/>
  <c r="AZ13" i="10"/>
  <c r="BF19" i="10"/>
  <c r="AT61" i="10"/>
  <c r="AT6" i="10" s="1"/>
  <c r="AT8" i="10" s="1"/>
  <c r="BH19" i="10"/>
  <c r="AY67" i="10"/>
  <c r="BA13" i="10"/>
  <c r="AQ13" i="10"/>
  <c r="AT13" i="10"/>
  <c r="AP13" i="10"/>
  <c r="AW61" i="10"/>
  <c r="AW6" i="10" s="1"/>
  <c r="AW8" i="10" s="1"/>
  <c r="AR13" i="10"/>
  <c r="AS19" i="10"/>
  <c r="BD19" i="10"/>
  <c r="BH67" i="10"/>
  <c r="AQ61" i="10"/>
  <c r="AQ6" i="10" s="1"/>
  <c r="AQ8" i="10" s="1"/>
  <c r="BB63" i="10"/>
  <c r="BB61" i="10" s="1"/>
  <c r="BB6" i="10" s="1"/>
  <c r="BB8" i="10" s="1"/>
  <c r="AP63" i="10"/>
  <c r="AP61" i="10" s="1"/>
  <c r="AP6" i="10" s="1"/>
  <c r="AP8" i="10" s="1"/>
  <c r="BC67" i="10"/>
  <c r="AS67" i="10"/>
  <c r="AQ19" i="10"/>
  <c r="AS13" i="10"/>
  <c r="BR13" i="10"/>
  <c r="BN13" i="10"/>
  <c r="BA61" i="10"/>
  <c r="BA6" i="10" s="1"/>
  <c r="BA8" i="10" s="1"/>
  <c r="BQ19" i="10"/>
  <c r="AV19" i="10"/>
  <c r="AZ67" i="10"/>
  <c r="BO13" i="10"/>
  <c r="BN63" i="10"/>
  <c r="BN61" i="10" s="1"/>
  <c r="BN6" i="10" s="1"/>
  <c r="BN8" i="10" s="1"/>
  <c r="BM19" i="10"/>
  <c r="BF67" i="10"/>
  <c r="BM67" i="10"/>
  <c r="BN67" i="10"/>
  <c r="BE67" i="10"/>
  <c r="AV74" i="10"/>
  <c r="AV67" i="10" s="1"/>
  <c r="AS61" i="10"/>
  <c r="AS6" i="10" s="1"/>
  <c r="AS8" i="10" s="1"/>
  <c r="BQ67" i="10"/>
  <c r="AR19" i="10"/>
  <c r="AW67" i="10"/>
  <c r="BQ13" i="10"/>
  <c r="BO61" i="10"/>
  <c r="BO6" i="10" s="1"/>
  <c r="BO8" i="10" s="1"/>
  <c r="BJ13" i="10"/>
  <c r="BF13" i="10"/>
  <c r="BE19" i="10"/>
  <c r="BM57" i="9"/>
  <c r="BM58" i="9"/>
  <c r="BF59" i="9"/>
  <c r="BF57" i="9"/>
  <c r="BK59" i="9"/>
  <c r="BK57" i="9"/>
  <c r="BM17" i="9"/>
  <c r="BC58" i="9"/>
  <c r="BR41" i="9"/>
  <c r="BR57" i="9" s="1"/>
  <c r="S99" i="9"/>
  <c r="BM51" i="9"/>
  <c r="BD17" i="9"/>
  <c r="BE51" i="9"/>
  <c r="BR17" i="9"/>
  <c r="AZ58" i="9"/>
  <c r="AX59" i="9"/>
  <c r="BC46" i="9"/>
  <c r="AU41" i="9"/>
  <c r="BE59" i="9"/>
  <c r="AX58" i="9"/>
  <c r="BK46" i="9"/>
  <c r="AZ52" i="9"/>
  <c r="AZ51" i="9" s="1"/>
  <c r="AZ17" i="9"/>
  <c r="BH46" i="9"/>
  <c r="BO46" i="9"/>
  <c r="AU58" i="9"/>
  <c r="AT100" i="9"/>
  <c r="AT99" i="9"/>
  <c r="BJ41" i="9"/>
  <c r="BJ57" i="9" s="1"/>
  <c r="BS41" i="9"/>
  <c r="AZ63" i="9"/>
  <c r="BR61" i="9"/>
  <c r="BR46" i="9"/>
  <c r="AV17" i="9"/>
  <c r="AU51" i="9"/>
  <c r="BM63" i="9"/>
  <c r="BR52" i="9"/>
  <c r="BR51" i="9" s="1"/>
  <c r="BO41" i="9"/>
  <c r="BO58" i="9" s="1"/>
  <c r="BK58" i="9"/>
  <c r="Y99" i="9"/>
  <c r="BL57" i="9"/>
  <c r="BL41" i="9"/>
  <c r="BM46" i="9"/>
  <c r="BM61" i="9"/>
  <c r="BB41" i="9"/>
  <c r="BB57" i="9" s="1"/>
  <c r="BN52" i="9"/>
  <c r="BN51" i="9" s="1"/>
  <c r="BN17" i="9"/>
  <c r="AV51" i="9"/>
  <c r="BJ17" i="9"/>
  <c r="BL61" i="9"/>
  <c r="BL46" i="9"/>
  <c r="AW59" i="9"/>
  <c r="K99" i="9"/>
  <c r="BD41" i="9"/>
  <c r="BD58" i="9" s="1"/>
  <c r="BE46" i="9"/>
  <c r="BE61" i="9"/>
  <c r="BF52" i="9"/>
  <c r="BF51" i="9" s="1"/>
  <c r="BF17" i="9"/>
  <c r="BQ62" i="9"/>
  <c r="BJ61" i="9"/>
  <c r="BJ46" i="9"/>
  <c r="BQ41" i="9"/>
  <c r="BQ59" i="9" s="1"/>
  <c r="AU46" i="9"/>
  <c r="BS51" i="9"/>
  <c r="BI41" i="9"/>
  <c r="BI59" i="9" s="1"/>
  <c r="BJ52" i="9"/>
  <c r="BJ51" i="9" s="1"/>
  <c r="BQ52" i="9"/>
  <c r="BQ51" i="9" s="1"/>
  <c r="BQ17" i="9"/>
  <c r="AL99" i="9"/>
  <c r="BG41" i="9"/>
  <c r="BG58" i="9" s="1"/>
  <c r="W99" i="9"/>
  <c r="AV41" i="9"/>
  <c r="AW46" i="9"/>
  <c r="AW61" i="9"/>
  <c r="BH59" i="9"/>
  <c r="BN59" i="9"/>
  <c r="AX52" i="9"/>
  <c r="AX51" i="9" s="1"/>
  <c r="AX17" i="9"/>
  <c r="BN34" i="9"/>
  <c r="BQ61" i="9"/>
  <c r="BK17" i="9"/>
  <c r="BB17" i="9"/>
  <c r="AY52" i="9"/>
  <c r="AY51" i="9" s="1"/>
  <c r="AY17" i="9"/>
  <c r="AD99" i="9"/>
  <c r="AW17" i="9"/>
  <c r="BP41" i="9"/>
  <c r="BP57" i="9" s="1"/>
  <c r="BD61" i="9"/>
  <c r="BD46" i="9"/>
  <c r="BN58" i="9"/>
  <c r="BA62" i="9"/>
  <c r="BP52" i="9"/>
  <c r="BP51" i="9" s="1"/>
  <c r="BP17" i="9"/>
  <c r="AZ59" i="9"/>
  <c r="BO52" i="9"/>
  <c r="BO51" i="9" s="1"/>
  <c r="BO17" i="9"/>
  <c r="BI62" i="9"/>
  <c r="BB61" i="9"/>
  <c r="BB46" i="9"/>
  <c r="BB51" i="9"/>
  <c r="BO59" i="9"/>
  <c r="BI52" i="9"/>
  <c r="BI51" i="9" s="1"/>
  <c r="BI17" i="9"/>
  <c r="AW51" i="9"/>
  <c r="AY41" i="9"/>
  <c r="AY58" i="9" s="1"/>
  <c r="AI99" i="9"/>
  <c r="BA52" i="9"/>
  <c r="BA51" i="9" s="1"/>
  <c r="BA17" i="9"/>
  <c r="AQ99" i="9"/>
  <c r="BS58" i="9"/>
  <c r="BH52" i="9"/>
  <c r="BH51" i="9" s="1"/>
  <c r="BH17" i="9"/>
  <c r="BL51" i="9"/>
  <c r="BG52" i="9"/>
  <c r="BG51" i="9" s="1"/>
  <c r="BG17" i="9"/>
  <c r="BA41" i="9"/>
  <c r="BA46" i="9"/>
  <c r="BK62" i="9"/>
  <c r="AV61" i="9"/>
  <c r="AV46" i="9"/>
  <c r="BM59" i="9"/>
  <c r="BF58" i="9"/>
  <c r="BJ62" i="6"/>
  <c r="BH22" i="6"/>
  <c r="BH21" i="6" s="1"/>
  <c r="BR62" i="6"/>
  <c r="AR22" i="6"/>
  <c r="AR21" i="6" s="1"/>
  <c r="AA55" i="2"/>
  <c r="AA56" i="2"/>
  <c r="Y55" i="2"/>
  <c r="Y56" i="2"/>
  <c r="Z56" i="2"/>
  <c r="Z55" i="2"/>
  <c r="BQ58" i="9" l="1"/>
  <c r="BQ57" i="9"/>
  <c r="BD57" i="9"/>
  <c r="BQ6" i="10"/>
  <c r="BQ8" i="10" s="1"/>
  <c r="AY57" i="9"/>
  <c r="BG59" i="9"/>
  <c r="BI57" i="9"/>
  <c r="BO57" i="9"/>
  <c r="BG57" i="9"/>
  <c r="BI58" i="9"/>
  <c r="BP58" i="9"/>
  <c r="BJ35" i="19"/>
  <c r="BJ47" i="19" s="1"/>
  <c r="BR6" i="10"/>
  <c r="BR8" i="10" s="1"/>
  <c r="BL58" i="9"/>
  <c r="BL59" i="9"/>
  <c r="BD59" i="9"/>
  <c r="BA59" i="9"/>
  <c r="BA57" i="9"/>
  <c r="AV59" i="9"/>
  <c r="AV58" i="9"/>
  <c r="BJ59" i="9"/>
  <c r="BJ58" i="9"/>
  <c r="AV57" i="9"/>
  <c r="AU59" i="9"/>
  <c r="AU57" i="9"/>
  <c r="BA58" i="9"/>
  <c r="BB59" i="9"/>
  <c r="BB58" i="9"/>
  <c r="BR59" i="9"/>
  <c r="BR58" i="9"/>
  <c r="BP59" i="9"/>
  <c r="AY59" i="9"/>
  <c r="BS59" i="9"/>
  <c r="BS57" i="9"/>
  <c r="AR18" i="12" l="1"/>
  <c r="AS18" i="12"/>
  <c r="AT18" i="12"/>
  <c r="AS19" i="12"/>
  <c r="AR19" i="12"/>
  <c r="AQ19" i="12"/>
  <c r="AT19" i="12"/>
  <c r="AQ18" i="12"/>
  <c r="BS12" i="12"/>
  <c r="BR12" i="12"/>
  <c r="BQ12" i="12"/>
  <c r="BH12" i="12"/>
  <c r="BA12" i="12"/>
  <c r="AZ12" i="12"/>
  <c r="AY12" i="12"/>
  <c r="AW12" i="12"/>
  <c r="AU12" i="12"/>
  <c r="AS12" i="12"/>
  <c r="AQ12" i="12"/>
  <c r="AQ24" i="12" l="1"/>
  <c r="AQ25" i="12"/>
  <c r="AS24" i="12"/>
  <c r="AT21" i="12"/>
  <c r="BB12" i="12"/>
  <c r="BC12" i="12"/>
  <c r="AT12" i="12"/>
  <c r="AV12" i="12"/>
  <c r="BL12" i="12"/>
  <c r="BE12" i="12"/>
  <c r="BM12" i="12"/>
  <c r="BK12" i="12"/>
  <c r="AX12" i="12"/>
  <c r="BF12" i="12"/>
  <c r="BN12" i="12"/>
  <c r="AS22" i="12"/>
  <c r="AQ21" i="12"/>
  <c r="AQ22" i="12"/>
  <c r="AR22" i="12"/>
  <c r="AT22" i="12"/>
  <c r="BG12" i="12"/>
  <c r="BO12" i="12"/>
  <c r="BD12" i="12"/>
  <c r="BJ12" i="12"/>
  <c r="AR21" i="12"/>
  <c r="BP12" i="12"/>
  <c r="AR12" i="12"/>
  <c r="AR25" i="12" s="1"/>
  <c r="AS21" i="12"/>
  <c r="BI12" i="12"/>
  <c r="AR24" i="12" l="1"/>
  <c r="AS25" i="12"/>
  <c r="AT24" i="12"/>
  <c r="AT25" i="12"/>
  <c r="BR36" i="20" l="1"/>
  <c r="BS21" i="16"/>
  <c r="BR44" i="20" l="1"/>
  <c r="BR21" i="16"/>
  <c r="BS44" i="20" l="1"/>
  <c r="BQ36" i="20" l="1"/>
  <c r="BQ21" i="16" l="1"/>
  <c r="BQ44" i="20" l="1"/>
  <c r="AW21" i="12" l="1"/>
  <c r="AW8" i="12" l="1"/>
  <c r="AX18" i="12"/>
  <c r="AV8" i="12"/>
  <c r="AW24" i="12" s="1"/>
  <c r="AW18" i="12"/>
  <c r="AX8" i="12"/>
  <c r="AV21" i="12"/>
  <c r="AX22" i="12"/>
  <c r="AU21" i="12"/>
  <c r="AW22" i="12"/>
  <c r="AU22" i="12"/>
  <c r="AV22" i="12"/>
  <c r="AX21" i="12"/>
  <c r="AU8" i="12"/>
  <c r="AX19" i="12"/>
  <c r="AU18" i="12"/>
  <c r="AV18" i="12"/>
  <c r="AU19" i="12"/>
  <c r="AV19" i="12"/>
  <c r="AW19" i="12"/>
  <c r="AV25" i="12" l="1"/>
  <c r="AU24" i="12"/>
  <c r="AX25" i="12"/>
  <c r="AU25" i="12"/>
  <c r="AV24" i="12"/>
  <c r="AW25" i="12"/>
  <c r="AX24" i="12"/>
  <c r="BP36" i="20" l="1"/>
  <c r="BP21" i="16"/>
  <c r="BP44" i="20" l="1"/>
  <c r="BO21" i="16" l="1"/>
  <c r="BO37" i="20" l="1"/>
  <c r="BR37" i="20"/>
  <c r="BP37" i="20"/>
  <c r="BO36" i="20"/>
  <c r="BQ37" i="20"/>
  <c r="BO44" i="20" l="1"/>
  <c r="BN36" i="20" l="1"/>
  <c r="BN21" i="16" l="1"/>
  <c r="BN44" i="20" l="1"/>
  <c r="BM36" i="20" l="1"/>
  <c r="BM21" i="16" l="1"/>
  <c r="BM44" i="20" l="1"/>
  <c r="BL36" i="20"/>
  <c r="BL21" i="16"/>
  <c r="BL44" i="20" l="1"/>
  <c r="BJ36" i="20" l="1"/>
  <c r="BH36" i="20"/>
  <c r="BB36" i="20"/>
  <c r="BE36" i="20"/>
  <c r="BF36" i="20"/>
  <c r="BI36" i="20"/>
  <c r="BD36" i="20"/>
  <c r="AW36" i="20"/>
  <c r="BA36" i="20"/>
  <c r="AZ36" i="20"/>
  <c r="AX36" i="20"/>
  <c r="AV36" i="20"/>
  <c r="BG37" i="20" l="1"/>
  <c r="BJ37" i="20"/>
  <c r="BH37" i="20"/>
  <c r="BI37" i="20"/>
  <c r="BG36" i="20"/>
  <c r="AU36" i="20"/>
  <c r="AU37" i="20"/>
  <c r="AW37" i="20"/>
  <c r="AV37" i="20"/>
  <c r="AX37" i="20"/>
  <c r="BD37" i="20"/>
  <c r="BE37" i="20"/>
  <c r="BF37" i="20"/>
  <c r="BC36" i="20"/>
  <c r="BC37" i="20"/>
  <c r="AY36" i="20"/>
  <c r="AZ37" i="20"/>
  <c r="BA37" i="20"/>
  <c r="AY37" i="20"/>
  <c r="BB37" i="20"/>
  <c r="AV44" i="20" l="1"/>
  <c r="AY44" i="20"/>
  <c r="AU44" i="20"/>
  <c r="AX44" i="20"/>
  <c r="BF44" i="20"/>
  <c r="BB44" i="20"/>
  <c r="BE44" i="20"/>
  <c r="BH44" i="20"/>
  <c r="BI44" i="20"/>
  <c r="BD44" i="20"/>
  <c r="AW44" i="20"/>
  <c r="BA44" i="20"/>
  <c r="AZ44" i="20"/>
  <c r="BC44" i="20"/>
  <c r="BJ44" i="20"/>
  <c r="BG44" i="20"/>
  <c r="BK21" i="16" l="1"/>
  <c r="BL37" i="20" l="1"/>
  <c r="BM37" i="20"/>
  <c r="BK37" i="20"/>
  <c r="BK36" i="20"/>
  <c r="BN37" i="20"/>
  <c r="BK44" i="20" l="1"/>
  <c r="BJ21" i="16" l="1"/>
  <c r="BI21" i="16" l="1"/>
  <c r="BH21" i="16" l="1"/>
  <c r="BG21" i="16" l="1"/>
  <c r="BF21" i="16" l="1"/>
  <c r="BE21" i="16" l="1"/>
  <c r="BD21" i="16" l="1"/>
  <c r="BC21" i="16" l="1"/>
  <c r="BB21" i="16" l="1"/>
  <c r="BA21" i="16" l="1"/>
  <c r="AZ21" i="16" l="1"/>
  <c r="AY21" i="16" l="1"/>
  <c r="AW21" i="16" l="1"/>
  <c r="AV21" i="16"/>
  <c r="AX21" i="16"/>
  <c r="AU21" i="16" l="1"/>
  <c r="AS36" i="20" l="1"/>
  <c r="AT36" i="20" l="1"/>
  <c r="AR36" i="20"/>
  <c r="AS44" i="20" l="1"/>
  <c r="AR37" i="20"/>
  <c r="AT37" i="20"/>
  <c r="AQ37" i="20"/>
  <c r="AS37" i="20"/>
  <c r="AQ36" i="20"/>
  <c r="AT44" i="20" l="1"/>
  <c r="AR44" i="20"/>
  <c r="AQ44" i="20" l="1"/>
  <c r="AW14" i="16" l="1"/>
  <c r="BF14" i="16"/>
  <c r="AT14" i="16"/>
  <c r="BI14" i="16" l="1"/>
  <c r="BE14" i="16"/>
  <c r="BD14" i="16"/>
  <c r="BC14" i="16"/>
  <c r="BB14" i="16"/>
  <c r="BQ14" i="16"/>
  <c r="BS21" i="12"/>
  <c r="AY14" i="16"/>
  <c r="AZ14" i="16"/>
  <c r="BJ14" i="16"/>
  <c r="AQ14" i="16"/>
  <c r="AV14" i="16"/>
  <c r="AX32" i="16"/>
  <c r="AX14" i="16"/>
  <c r="BS14" i="16"/>
  <c r="BA14" i="16"/>
  <c r="BQ21" i="12"/>
  <c r="AX31" i="16"/>
  <c r="AU14" i="16"/>
  <c r="AR14" i="16"/>
  <c r="BO14" i="16"/>
  <c r="BR14" i="16"/>
  <c r="BS31" i="16" s="1"/>
  <c r="BN14" i="16"/>
  <c r="AP14" i="16"/>
  <c r="BM14" i="16"/>
  <c r="BK14" i="16"/>
  <c r="AS14" i="16"/>
  <c r="BG31" i="16"/>
  <c r="BP14" i="16"/>
  <c r="BH14" i="16"/>
  <c r="BI31" i="16" s="1"/>
  <c r="BG14" i="16"/>
  <c r="BJ32" i="16" s="1"/>
  <c r="BL14" i="16"/>
  <c r="BA8" i="12" l="1"/>
  <c r="BE19" i="12"/>
  <c r="BB18" i="12"/>
  <c r="BM8" i="12"/>
  <c r="BQ19" i="12"/>
  <c r="BN18" i="12"/>
  <c r="BH8" i="12"/>
  <c r="BI18" i="12"/>
  <c r="BL19" i="12"/>
  <c r="BS32" i="16"/>
  <c r="BP31" i="16"/>
  <c r="BI8" i="12"/>
  <c r="BJ18" i="12"/>
  <c r="BM19" i="12"/>
  <c r="BB32" i="16"/>
  <c r="AY31" i="16"/>
  <c r="BD8" i="12"/>
  <c r="BE18" i="12"/>
  <c r="BH19" i="12"/>
  <c r="BF21" i="12"/>
  <c r="BI22" i="12"/>
  <c r="BB8" i="12"/>
  <c r="BC18" i="12"/>
  <c r="BF19" i="12"/>
  <c r="BO8" i="12"/>
  <c r="BS19" i="12"/>
  <c r="BP18" i="12"/>
  <c r="BM31" i="16"/>
  <c r="BP32" i="16"/>
  <c r="BE22" i="12"/>
  <c r="BB21" i="12"/>
  <c r="AS31" i="16"/>
  <c r="AV32" i="16"/>
  <c r="BN22" i="12"/>
  <c r="BK21" i="12"/>
  <c r="BJ8" i="12"/>
  <c r="BK18" i="12"/>
  <c r="BN19" i="12"/>
  <c r="BH32" i="16"/>
  <c r="AY8" i="12"/>
  <c r="AZ18" i="12"/>
  <c r="BC19" i="12"/>
  <c r="BR21" i="12"/>
  <c r="AQ31" i="16"/>
  <c r="AP31" i="16"/>
  <c r="AP32" i="16"/>
  <c r="AS32" i="16"/>
  <c r="AQ32" i="16"/>
  <c r="AR32" i="16"/>
  <c r="AT32" i="16"/>
  <c r="BK32" i="16"/>
  <c r="BH31" i="16"/>
  <c r="BH22" i="12"/>
  <c r="BE21" i="12"/>
  <c r="BG21" i="12"/>
  <c r="BJ22" i="12"/>
  <c r="BN21" i="12"/>
  <c r="BQ22" i="12"/>
  <c r="AW31" i="16"/>
  <c r="AZ32" i="16"/>
  <c r="BC22" i="12"/>
  <c r="AZ21" i="12"/>
  <c r="BE31" i="16"/>
  <c r="BF31" i="16"/>
  <c r="BI32" i="16"/>
  <c r="BN8" i="12"/>
  <c r="BO18" i="12"/>
  <c r="BR19" i="12"/>
  <c r="BS22" i="12"/>
  <c r="BP21" i="12"/>
  <c r="BF8" i="12"/>
  <c r="BG18" i="12"/>
  <c r="BJ19" i="12"/>
  <c r="BP8" i="12"/>
  <c r="BQ18" i="12"/>
  <c r="BE8" i="12"/>
  <c r="BF18" i="12"/>
  <c r="BI19" i="12"/>
  <c r="AZ8" i="12"/>
  <c r="BD19" i="12"/>
  <c r="BA18" i="12"/>
  <c r="AT31" i="16"/>
  <c r="AW32" i="16"/>
  <c r="AR31" i="16"/>
  <c r="AU32" i="16"/>
  <c r="BS8" i="12"/>
  <c r="BO32" i="16"/>
  <c r="BL31" i="16"/>
  <c r="BH21" i="12"/>
  <c r="BK22" i="12"/>
  <c r="BG8" i="12"/>
  <c r="BH18" i="12"/>
  <c r="BK19" i="12"/>
  <c r="BC21" i="12"/>
  <c r="BF22" i="12"/>
  <c r="AY32" i="16"/>
  <c r="AV31" i="16"/>
  <c r="BQ8" i="12"/>
  <c r="BR24" i="12" s="1"/>
  <c r="BR18" i="12"/>
  <c r="BK8" i="12"/>
  <c r="BO19" i="12"/>
  <c r="BL18" i="12"/>
  <c r="BL32" i="16"/>
  <c r="BN32" i="16"/>
  <c r="BK31" i="16"/>
  <c r="BO21" i="12"/>
  <c r="BR22" i="12"/>
  <c r="BM21" i="12"/>
  <c r="BP22" i="12"/>
  <c r="BC32" i="16"/>
  <c r="AZ31" i="16"/>
  <c r="BR31" i="16"/>
  <c r="BA21" i="12"/>
  <c r="BD22" i="12"/>
  <c r="BD21" i="12"/>
  <c r="BG22" i="12"/>
  <c r="BD31" i="16"/>
  <c r="BG32" i="16"/>
  <c r="BR32" i="16"/>
  <c r="BQ31" i="16"/>
  <c r="BL22" i="12"/>
  <c r="BI21" i="12"/>
  <c r="BN31" i="16"/>
  <c r="BQ32" i="16"/>
  <c r="BC8" i="12"/>
  <c r="BD18" i="12"/>
  <c r="BG19" i="12"/>
  <c r="BO31" i="16"/>
  <c r="BA32" i="16"/>
  <c r="BE32" i="16"/>
  <c r="BB31" i="16"/>
  <c r="AU31" i="16"/>
  <c r="BA31" i="16"/>
  <c r="BD32" i="16"/>
  <c r="BM22" i="12"/>
  <c r="BJ21" i="12"/>
  <c r="BO22" i="12"/>
  <c r="BL21" i="12"/>
  <c r="BC31" i="16"/>
  <c r="BF32" i="16"/>
  <c r="BR8" i="12"/>
  <c r="BS24" i="12" s="1"/>
  <c r="BS18" i="12"/>
  <c r="BL8" i="12"/>
  <c r="BM18" i="12"/>
  <c r="BP19" i="12"/>
  <c r="BM32" i="16"/>
  <c r="BJ31" i="16"/>
  <c r="BM24" i="12" l="1"/>
  <c r="BP25" i="12"/>
  <c r="BR25" i="12"/>
  <c r="BO24" i="12"/>
  <c r="BI25" i="12"/>
  <c r="BF24" i="12"/>
  <c r="BJ24" i="12"/>
  <c r="BM25" i="12"/>
  <c r="BQ24" i="12"/>
  <c r="BS25" i="12"/>
  <c r="BP24" i="12"/>
  <c r="BQ25" i="12"/>
  <c r="BN24" i="12"/>
  <c r="BG25" i="12"/>
  <c r="BD24" i="12"/>
  <c r="AZ24" i="12"/>
  <c r="BC25" i="12"/>
  <c r="BE24" i="12"/>
  <c r="BH25" i="12"/>
  <c r="BA24" i="12"/>
  <c r="BD25" i="12"/>
  <c r="BG24" i="12"/>
  <c r="BJ25" i="12"/>
  <c r="BF25" i="12"/>
  <c r="BC24" i="12"/>
  <c r="BL25" i="12"/>
  <c r="BI24" i="12"/>
  <c r="BL24" i="12"/>
  <c r="BO25" i="12"/>
  <c r="BH24" i="12"/>
  <c r="BK25" i="12"/>
  <c r="BK24" i="12"/>
  <c r="BN25" i="12"/>
  <c r="BB24" i="12"/>
  <c r="BE25" i="12"/>
  <c r="BS42" i="20"/>
  <c r="BS43" i="20" s="1"/>
  <c r="BS6" i="16"/>
  <c r="BR6" i="16" l="1"/>
  <c r="BR42" i="20"/>
  <c r="BR43" i="20" s="1"/>
  <c r="BS28" i="16" l="1"/>
  <c r="BS25" i="16"/>
  <c r="BQ42" i="20" l="1"/>
  <c r="BQ43" i="20" s="1"/>
  <c r="BQ6" i="16"/>
  <c r="BR28" i="16" l="1"/>
  <c r="BR25" i="16"/>
  <c r="BP42" i="20" l="1"/>
  <c r="BP43" i="20" s="1"/>
  <c r="BP6" i="16"/>
  <c r="BQ28" i="16" l="1"/>
  <c r="BQ25" i="16"/>
  <c r="BO6" i="16" l="1"/>
  <c r="BO42" i="20" l="1"/>
  <c r="BO43" i="20" s="1"/>
  <c r="BS29" i="16"/>
  <c r="BP28" i="16"/>
  <c r="BP25" i="16"/>
  <c r="BS26" i="16"/>
  <c r="BN6" i="16" l="1"/>
  <c r="BN42" i="20" l="1"/>
  <c r="BN43" i="20" s="1"/>
  <c r="BR35" i="20"/>
  <c r="BR29" i="16"/>
  <c r="BO28" i="16"/>
  <c r="BO25" i="16"/>
  <c r="BR26" i="16"/>
  <c r="BR34" i="20"/>
  <c r="BM6" i="16" l="1"/>
  <c r="BN28" i="16" l="1"/>
  <c r="BQ29" i="16"/>
  <c r="BN25" i="16"/>
  <c r="BQ26" i="16"/>
  <c r="BM42" i="20"/>
  <c r="BM43" i="20" s="1"/>
  <c r="BQ35" i="20"/>
  <c r="BQ34" i="20"/>
  <c r="BL6" i="16" l="1"/>
  <c r="BL42" i="20" l="1"/>
  <c r="BL43" i="20" s="1"/>
  <c r="BP35" i="20"/>
  <c r="BM28" i="16"/>
  <c r="BP29" i="16"/>
  <c r="BM25" i="16"/>
  <c r="BP26" i="16"/>
  <c r="BP34" i="20"/>
  <c r="BK6" i="16" l="1"/>
  <c r="BK42" i="20" l="1"/>
  <c r="BK43" i="20" s="1"/>
  <c r="BO35" i="20"/>
  <c r="BO29" i="16"/>
  <c r="BL28" i="16"/>
  <c r="BL25" i="16"/>
  <c r="BO26" i="16"/>
  <c r="BO34" i="20"/>
  <c r="BJ6" i="16" l="1"/>
  <c r="BN29" i="16" l="1"/>
  <c r="BK28" i="16"/>
  <c r="BN26" i="16"/>
  <c r="BK25" i="16"/>
  <c r="BJ42" i="20"/>
  <c r="BJ43" i="20" s="1"/>
  <c r="BN35" i="20"/>
  <c r="BN34" i="20"/>
  <c r="BI6" i="16" l="1"/>
  <c r="BI42" i="20" l="1"/>
  <c r="BI43" i="20" s="1"/>
  <c r="BM35" i="20"/>
  <c r="BM29" i="16"/>
  <c r="BJ28" i="16"/>
  <c r="BJ25" i="16"/>
  <c r="BM26" i="16"/>
  <c r="BM34" i="20"/>
  <c r="AW6" i="16" l="1"/>
  <c r="AV6" i="16"/>
  <c r="AU6" i="16"/>
  <c r="AW28" i="16" l="1"/>
  <c r="AW25" i="16"/>
  <c r="AV28" i="16"/>
  <c r="AV25" i="16"/>
  <c r="AT6" i="16"/>
  <c r="AS6" i="16"/>
  <c r="AR6" i="16"/>
  <c r="AQ6" i="16"/>
  <c r="AS28" i="16" l="1"/>
  <c r="AS25" i="16"/>
  <c r="AV29" i="16"/>
  <c r="AV26" i="16"/>
  <c r="AR28" i="16"/>
  <c r="AR25" i="16"/>
  <c r="AU29" i="16"/>
  <c r="AU26" i="16"/>
  <c r="AT25" i="16"/>
  <c r="AT28" i="16"/>
  <c r="AW29" i="16"/>
  <c r="AW26" i="16"/>
  <c r="AU28" i="16"/>
  <c r="AU25" i="16"/>
  <c r="AW34" i="20"/>
  <c r="AU34" i="20"/>
  <c r="AV34" i="20" l="1"/>
  <c r="AP6" i="16" l="1"/>
  <c r="AR42" i="20" l="1"/>
  <c r="AR43" i="20" s="1"/>
  <c r="AV35" i="20"/>
  <c r="AQ42" i="20"/>
  <c r="AQ43" i="20" s="1"/>
  <c r="AU35" i="20"/>
  <c r="AP35" i="20"/>
  <c r="AP42" i="20"/>
  <c r="AP43" i="20" s="1"/>
  <c r="AS35" i="20"/>
  <c r="AT35" i="20"/>
  <c r="AR35" i="20"/>
  <c r="AQ35" i="20"/>
  <c r="AT42" i="20"/>
  <c r="AT43" i="20" s="1"/>
  <c r="AT26" i="16"/>
  <c r="AR26" i="16"/>
  <c r="AP26" i="16"/>
  <c r="AR29" i="16"/>
  <c r="AT29" i="16"/>
  <c r="AQ28" i="16"/>
  <c r="AP29" i="16"/>
  <c r="AQ26" i="16"/>
  <c r="AS26" i="16"/>
  <c r="AQ25" i="16"/>
  <c r="AP25" i="16"/>
  <c r="AS29" i="16"/>
  <c r="AQ29" i="16"/>
  <c r="AP28" i="16"/>
  <c r="AS42" i="20"/>
  <c r="AS43" i="20" s="1"/>
  <c r="AW35" i="20"/>
  <c r="AV42" i="20"/>
  <c r="AV43" i="20" s="1"/>
  <c r="AW42" i="20"/>
  <c r="AW43" i="20" s="1"/>
  <c r="AU42" i="20"/>
  <c r="AU43" i="20" s="1"/>
  <c r="AP34" i="20" l="1"/>
  <c r="AR34" i="20"/>
  <c r="AQ34" i="20"/>
  <c r="AT34" i="20"/>
  <c r="AS34" i="20"/>
  <c r="BB6" i="16" l="1"/>
  <c r="BA6" i="16"/>
  <c r="BG6" i="16"/>
  <c r="AZ6" i="16"/>
  <c r="AY6" i="16"/>
  <c r="BF6" i="16"/>
  <c r="AX6" i="16"/>
  <c r="BE6" i="16"/>
  <c r="BD6" i="16"/>
  <c r="BC6" i="16"/>
  <c r="BD28" i="16" l="1"/>
  <c r="BG29" i="16"/>
  <c r="BG26" i="16"/>
  <c r="BD25" i="16"/>
  <c r="BD29" i="16"/>
  <c r="BA28" i="16"/>
  <c r="BA25" i="16"/>
  <c r="BD26" i="16"/>
  <c r="BC42" i="20"/>
  <c r="BC43" i="20" s="1"/>
  <c r="BG35" i="20"/>
  <c r="BE28" i="16"/>
  <c r="BE25" i="16"/>
  <c r="BG42" i="20"/>
  <c r="BG43" i="20" s="1"/>
  <c r="BK35" i="20"/>
  <c r="BF42" i="20"/>
  <c r="BF43" i="20" s="1"/>
  <c r="BB28" i="16"/>
  <c r="BE29" i="16"/>
  <c r="BB25" i="16"/>
  <c r="BE26" i="16"/>
  <c r="BF28" i="16"/>
  <c r="BF25" i="16"/>
  <c r="BB29" i="16"/>
  <c r="AY28" i="16"/>
  <c r="BB26" i="16"/>
  <c r="AY25" i="16"/>
  <c r="AZ29" i="16"/>
  <c r="BA29" i="16"/>
  <c r="AZ26" i="16"/>
  <c r="AX25" i="16"/>
  <c r="AX28" i="16"/>
  <c r="AY29" i="16"/>
  <c r="AY26" i="16"/>
  <c r="BA26" i="16"/>
  <c r="AX26" i="16"/>
  <c r="AX29" i="16"/>
  <c r="AX42" i="20"/>
  <c r="AX43" i="20" s="1"/>
  <c r="BB35" i="20"/>
  <c r="AZ35" i="20"/>
  <c r="BA35" i="20"/>
  <c r="AY35" i="20"/>
  <c r="AX35" i="20"/>
  <c r="AY42" i="20"/>
  <c r="AY43" i="20" s="1"/>
  <c r="BC35" i="20"/>
  <c r="BE42" i="20"/>
  <c r="BE43" i="20" s="1"/>
  <c r="BI35" i="20"/>
  <c r="BA42" i="20"/>
  <c r="BA43" i="20" s="1"/>
  <c r="BE35" i="20"/>
  <c r="BB42" i="20"/>
  <c r="BB43" i="20" s="1"/>
  <c r="BF35" i="20"/>
  <c r="BF29" i="16"/>
  <c r="BC28" i="16"/>
  <c r="BF26" i="16"/>
  <c r="BC25" i="16"/>
  <c r="BD42" i="20"/>
  <c r="BD43" i="20" s="1"/>
  <c r="BH35" i="20"/>
  <c r="BG28" i="16"/>
  <c r="BG25" i="16"/>
  <c r="AZ28" i="16"/>
  <c r="BC29" i="16"/>
  <c r="BC26" i="16"/>
  <c r="AZ25" i="16"/>
  <c r="AZ42" i="20"/>
  <c r="AZ43" i="20" s="1"/>
  <c r="BD35" i="20"/>
  <c r="BG34" i="20"/>
  <c r="BH42" i="20" l="1"/>
  <c r="BH43" i="20" s="1"/>
  <c r="BL35" i="20"/>
  <c r="BB34" i="20"/>
  <c r="AY34" i="20"/>
  <c r="AZ34" i="20"/>
  <c r="BA34" i="20"/>
  <c r="AX34" i="20"/>
  <c r="BC34" i="20"/>
  <c r="BD34" i="20"/>
  <c r="BF34" i="20"/>
  <c r="BJ35" i="20"/>
  <c r="BE34" i="20"/>
  <c r="BH6" i="16" l="1"/>
  <c r="BI28" i="16" l="1"/>
  <c r="BL29" i="16"/>
  <c r="BI25" i="16"/>
  <c r="BL26" i="16"/>
  <c r="BJ29" i="16"/>
  <c r="BK29" i="16"/>
  <c r="BI29" i="16"/>
  <c r="BH29" i="16"/>
  <c r="BH28" i="16"/>
  <c r="BJ26" i="16"/>
  <c r="BH25" i="16"/>
  <c r="BH26" i="16"/>
  <c r="BK26" i="16"/>
  <c r="BI26" i="16"/>
  <c r="BL34" i="20" l="1"/>
  <c r="BK34" i="20"/>
  <c r="BI34" i="20"/>
  <c r="BH34" i="20"/>
  <c r="BJ34"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1" authorId="0" shapeId="0" xr:uid="{63B1E9B0-1C5E-48C3-97ED-79763692ECA1}">
      <text>
        <r>
          <rPr>
            <sz val="8"/>
            <color indexed="81"/>
            <rFont val="Tahoma"/>
            <family val="2"/>
            <charset val="238"/>
          </rPr>
          <t>Do końca 2007 roku Bank kalkulował bazę kapitałową oraz wymogi kapitałowe zgodnie z postanowieniami Basel I.
Począwszy od roku 2008 kalkulacja współczynnika odbywała się w oparciu o postanowienia Basel II.
By the end of 2007, the Bank had calculated capital base and capital requirements in accordance  with the provisions of Basel I.
Starting from2008, the rate calculation was based on the provisions of Basel II.</t>
        </r>
      </text>
    </comment>
    <comment ref="V11" authorId="0" shapeId="0" xr:uid="{58465167-941F-48BD-AA73-9CE9C2A66EE1}">
      <text>
        <r>
          <rPr>
            <sz val="8"/>
            <color indexed="81"/>
            <rFont val="Tahoma"/>
            <family val="2"/>
            <charset val="238"/>
          </rPr>
          <t>Począwszy od grudnia 2011 Bank kalkuluje bazę kapitałową oraz wymóg kapitałowy z tytułu ryzyka kredytowego z wykorzystaniem metody zaawansowanej AIRB (wcześniej SA). 
W okresie przejściowym (do połowy roku 2013) w przypadku gdy wymóg kapitałowy z tytułu ryzyka kredytowego wg metody AIRB był niższy niż wg metody SA do obliczenia przyjmowało się metodę SA, przy czym bazę kapitałową (fundusze własne) przyjmowało się wg metody AIRB.
As of December 2011 the Bank calculates the capital base and capital requirement for credit risk using an advanced method AIRB (formerly SA).
During the transitional period (until mid-2013) for the capital requirement for credit risk computed with AIRB being lower than the capital requirement for credit risk computed using SA, the Bank should use in calculation SA method, while the capital base (own funds) should be met by AIRB.</t>
        </r>
      </text>
    </comment>
    <comment ref="AE11" authorId="0" shapeId="0" xr:uid="{67982D43-3625-4C73-9BB9-904A0AEF5762}">
      <text>
        <r>
          <rPr>
            <sz val="8"/>
            <color indexed="81"/>
            <rFont val="Tahoma"/>
            <family val="2"/>
            <charset val="238"/>
          </rPr>
          <t>Począwszy od roku 2014 kalkulacja łącznego współczynnika kapitałowego (dawniej  współczynnik wypłacalności) odbywa się w oparciu o postanowienia Basel III, z uwzględnieniem tzw. opcji narodowych według stanu dotychczasowego (np. wagi ryzyka dla kredytów hipotecznych).
Starting from 2014, the total capital ratio (solvency ratio previously) calculation is based on the provisions of Basel III, taking account of the so-called national options to-date (e.g. risk weights for mortgage loans).</t>
        </r>
      </text>
    </comment>
  </commentList>
</comments>
</file>

<file path=xl/sharedStrings.xml><?xml version="1.0" encoding="utf-8"?>
<sst xmlns="http://schemas.openxmlformats.org/spreadsheetml/2006/main" count="7852" uniqueCount="1035">
  <si>
    <t>Go back to Table of content</t>
  </si>
  <si>
    <t>Powrót do spisu treści</t>
  </si>
  <si>
    <t xml:space="preserve">Notes: </t>
  </si>
  <si>
    <t xml:space="preserve">Uwagi: </t>
  </si>
  <si>
    <t>Comparable data pro-forma</t>
  </si>
  <si>
    <t>Dane porównywalne pro-forma</t>
  </si>
  <si>
    <t>Total capital ratio - consolidated</t>
  </si>
  <si>
    <t>Łączny współczynnik kapitałowy - skonsolidowany</t>
  </si>
  <si>
    <t>1Q</t>
  </si>
  <si>
    <t>2Q</t>
  </si>
  <si>
    <t>3Q</t>
  </si>
  <si>
    <t>4Q</t>
  </si>
  <si>
    <t>(PLN million)</t>
  </si>
  <si>
    <t>(w mln zł)</t>
  </si>
  <si>
    <t>OWN FUNDS</t>
  </si>
  <si>
    <t>FUNDUSZE WŁASNE</t>
  </si>
  <si>
    <t>A. Own equity in the statement of financial position, of which:</t>
  </si>
  <si>
    <t>A. Kapitały własne ze sprawozdania z sytuacji finansowej, w tym:</t>
  </si>
  <si>
    <t xml:space="preserve">     A.I. Own equity included in own funds</t>
  </si>
  <si>
    <t xml:space="preserve">     A.I. Kapitały własne ujęte w funduszach własnych</t>
  </si>
  <si>
    <t xml:space="preserve">     A.II. Own equity excluded from own funds calculation</t>
  </si>
  <si>
    <t xml:space="preserve">     A.II. Kapitały własne nie ujęte w wyliczeniu funduszy własnych</t>
  </si>
  <si>
    <t>B. Other elements of own funds (decreases and increases), of which:</t>
  </si>
  <si>
    <t>B. Pozostałe składniki (pomniejszenia i zwiększenia) funduszy własnych, w tym:</t>
  </si>
  <si>
    <t xml:space="preserve">     B.I. Other elements of tier 1 capital:</t>
  </si>
  <si>
    <t xml:space="preserve">     B.I. Pozostałe składniki funduszy podstawowych:</t>
  </si>
  <si>
    <t xml:space="preserve">            - subordinated liabilities</t>
  </si>
  <si>
    <t xml:space="preserve">            - zobowiązania podporządkowane</t>
  </si>
  <si>
    <t>-</t>
  </si>
  <si>
    <t xml:space="preserve">            - intangible assets</t>
  </si>
  <si>
    <t xml:space="preserve">            - wartości niematerialne</t>
  </si>
  <si>
    <t xml:space="preserve">            - capital commitments in financial institutions</t>
  </si>
  <si>
    <t xml:space="preserve">            - zaangażowania kapitałowe banku w instytucje finansowe</t>
  </si>
  <si>
    <t xml:space="preserve">            - coverage shortfall for non-performing exposures</t>
  </si>
  <si>
    <t xml:space="preserve">            - niedobór pokrycia dla ekspozycji zagrożonych</t>
  </si>
  <si>
    <t xml:space="preserve">            - adjustment in the transitional period due to adaptation to IFRS 9 requirements</t>
  </si>
  <si>
    <t xml:space="preserve">           -    korekta w okresie przejściowym z tytułu dostosowania do wymogów MSSF 9</t>
  </si>
  <si>
    <t xml:space="preserve">            - value adjustments due to the requirements for prudent valuation</t>
  </si>
  <si>
    <t xml:space="preserve">           -   korekta wartości z tytułu wymogów w zakresie ostrożnej wyceny</t>
  </si>
  <si>
    <t xml:space="preserve">            - deferred tax assets based on future profitability and not resulting from temporary differences after deduction of related income tax provisions</t>
  </si>
  <si>
    <t xml:space="preserve">           -   aktywa z tytułu odroczonego podatku dochodowego oparte na przyszłej rentowności i niewynikające z różnic przejściowych po odliczeniu powiązanych rezerw z tytułu podatku dochodowego</t>
  </si>
  <si>
    <t xml:space="preserve">            - amount of expected losses - only in AIRB method</t>
  </si>
  <si>
    <t xml:space="preserve">            - niedobór/nadwyżka korekt z tytułu ryzyka kredytowego wobec oczekiwanych strat według metody AIRB</t>
  </si>
  <si>
    <t xml:space="preserve">            - korekty wartości ze względu na wymogi ostrożnej wyceny</t>
  </si>
  <si>
    <t xml:space="preserve">     B.II. Other elements of tier 2 capital:</t>
  </si>
  <si>
    <t xml:space="preserve">     B.II. Pozostałe składniki funduszy uzupełniających:</t>
  </si>
  <si>
    <t xml:space="preserve">     B.III. Tier 3 (short-term) capital</t>
  </si>
  <si>
    <t xml:space="preserve">     B.III. Kapitał krótkoterminowy</t>
  </si>
  <si>
    <t>Own funds taken into account in total capital ratio calculation according to advanced method (AIRB)
(A.I. + A.II. + B.I. + B.II.), of which:</t>
  </si>
  <si>
    <t>Fundusze własne przyjęte do kalkulacji łącznego współczynnika kapitałowego według metody zaawansowanej (AIRB)</t>
  </si>
  <si>
    <t xml:space="preserve">   - Tier 1 capital</t>
  </si>
  <si>
    <t xml:space="preserve">   - Fundusze własne podstawowe - Tier 1</t>
  </si>
  <si>
    <t xml:space="preserve">   - Tier 2 capital</t>
  </si>
  <si>
    <t xml:space="preserve">   - Fundusze własne uzupełniające - Tier 2</t>
  </si>
  <si>
    <t xml:space="preserve">   - Tier 3 (short-term) capital</t>
  </si>
  <si>
    <t xml:space="preserve">   - Kapitał krótkoterminowy - Tier 3</t>
  </si>
  <si>
    <t>Own funds taken into account in total capital ratio calculation according to standard method (SA)
(A.I. + A.II. + B.I. + B.II.), of which:</t>
  </si>
  <si>
    <t>Fundusze własne przyjęte do kalkulacji łącznego współczynnika kapitałowego według metody standardowej (SA)</t>
  </si>
  <si>
    <t>CAPITAL REQUIREMENTS</t>
  </si>
  <si>
    <t>WYMOGI KAPITAŁOWE</t>
  </si>
  <si>
    <t xml:space="preserve">   - Capital requirements for credit risk, credit counterparty, dilution and delivery of instruments for future settlement</t>
  </si>
  <si>
    <t xml:space="preserve">   - Wymogi kapitałowe dla ryzyka kredytowego, kredytowego kontrahenta, rozmycia i dostawy instrumentów do rozliczenia w późniejszym terminie</t>
  </si>
  <si>
    <t xml:space="preserve">        - including: supplementation of the credit risk capital requirement to the requirement computed using the standard method</t>
  </si>
  <si>
    <t xml:space="preserve">        - w tym: uzupełnienie wymogu kapitałowego z tytułu ryzyka kredytowego do wielkości wymogu obliczonego wg metody standardowej</t>
  </si>
  <si>
    <t xml:space="preserve">   - Capital requirement for the risk of settlement - delivery</t>
  </si>
  <si>
    <t xml:space="preserve">   - Wymóg kapitałowy z tytułu ryzyka rozliczenia - dostawy</t>
  </si>
  <si>
    <t xml:space="preserve">   - Capital requirements for the capital securities rate risk, debt instruments rates risk, FX risk and commodity rates risk</t>
  </si>
  <si>
    <t xml:space="preserve">   - Wymogi kapitałowe dla ryzyka cen kapitałowych papierów wartościowych, ryzyka cen instrumentów dłużnych, walutowego i cen towarów</t>
  </si>
  <si>
    <t xml:space="preserve">   - Capital requirement for operational risk</t>
  </si>
  <si>
    <t xml:space="preserve">   - Wymóg kapitałowy z tytułu ryzyka operacyjnego</t>
  </si>
  <si>
    <t xml:space="preserve">   - Capital requirement for general interest rate risk</t>
  </si>
  <si>
    <t xml:space="preserve">   - Wymóg kapitałowy z tytułu ryzyka ogólnego stóp procentowych</t>
  </si>
  <si>
    <t xml:space="preserve">   - Capital requirement due to exposure concentration limit overrun</t>
  </si>
  <si>
    <t xml:space="preserve">   - Wymóg kapitałowy z tytułu przekroczenia limitu koncentracji zaangażowań </t>
  </si>
  <si>
    <t xml:space="preserve">   - Capital requirement due to other risk exposure amounts</t>
  </si>
  <si>
    <t xml:space="preserve">   - Wymóg kapitałowy z tytułu innych ekspozycji na ryzyko</t>
  </si>
  <si>
    <t xml:space="preserve">   - Supplement to the overall level of capital requirements</t>
  </si>
  <si>
    <t xml:space="preserve">   - Uzupełnienie do ogólnego poziomu wymogów kapitałowych</t>
  </si>
  <si>
    <t>Total capital requirement computed with Advanced Internal Rating-Based method (AIRB) for calculation of the credit risk requirement</t>
  </si>
  <si>
    <t>Całkowity wymóg kapitałowy obliczony z zastosowaniem metody zaawansowanej (AIRB) do kalkulacji wymogu na ryzyko kredytowe</t>
  </si>
  <si>
    <t>Total capital requirement computed with Standard Approach (SA) for calculation of the credit risk requirement</t>
  </si>
  <si>
    <t>Całkowity wymóg kapitałowy obliczony z zastosowaniem metody standardowej (SA) do kalkulacji wymogu na ryzyko kredytowe</t>
  </si>
  <si>
    <t>Total capital ratio</t>
  </si>
  <si>
    <t>Łączny współczynnik kapitałowy</t>
  </si>
  <si>
    <t>Total capital ratio (AIRB) - phase-in for IFRS 9 and article 468 of CRR mitigation</t>
  </si>
  <si>
    <t>Łączny współczynnik kapitałowy - metoda zaawansowana (AIRB) - z okresem przejściowym dla MSSF 9 i ulgą z art. 468 CRR</t>
  </si>
  <si>
    <t>Total capital ratio (AIRB) - fully loaded for IFRS 9 and no article 468 of CRR mitigation</t>
  </si>
  <si>
    <t>Łączny współczynnik kapitałowy - metoda zaawansowana (AIRB) - bez okresu przejściowego dla MSSF 9 i ulgi z art. 468 CRR</t>
  </si>
  <si>
    <t>Total capital ratio (SA)</t>
  </si>
  <si>
    <t>Łączny współczynnik kapitałowy - metoda standardowa (SA)</t>
  </si>
  <si>
    <t>TIER 1 ratio</t>
  </si>
  <si>
    <t>Współczynnik TIER 1</t>
  </si>
  <si>
    <t>TIER 1  ratio (AIRB) - phase-in for IFRS 9 and article 468 of CRR mitigation</t>
  </si>
  <si>
    <t>Współczynnik TIER 1 - metoda zaawansowana (AIRB) - z okresem przejściowym dla MSSF 9 i ulgą z art. 468 CRR</t>
  </si>
  <si>
    <t>TIER 1  ratio (AIRB) - fully loaded for IFRS 9 and no article 468 of CRR mitigation</t>
  </si>
  <si>
    <t>Współczynnik TIER 1 - metoda zaawansowana (AIRB) - bez okresu przejściowego dla MSSF 9 i ulgi z art. 468 CRR</t>
  </si>
  <si>
    <t>TIER 1  ratio (SA)</t>
  </si>
  <si>
    <t>Współczynnik TIER 1 - metoda standardowa (SA)</t>
  </si>
  <si>
    <t>Minimum Tier 1 (CRR)</t>
  </si>
  <si>
    <t>Minimum TCR (CRR)</t>
  </si>
  <si>
    <t>Minimum łączny współczynnik kapitałowy (CRR)</t>
  </si>
  <si>
    <t>Capital conservation buffer</t>
  </si>
  <si>
    <t>Bufor zabezpieczający</t>
  </si>
  <si>
    <t>O-SII buffer</t>
  </si>
  <si>
    <t>Bufor O-SII</t>
  </si>
  <si>
    <t>Pillar 2</t>
  </si>
  <si>
    <t>Filar 2</t>
  </si>
  <si>
    <t>Systemic risk buffer</t>
  </si>
  <si>
    <t>Bufor ryzyka systemowego</t>
  </si>
  <si>
    <t>Countercyclical buffer</t>
  </si>
  <si>
    <t>Bufor antycykliczny</t>
  </si>
  <si>
    <t>P2G capital add-on</t>
  </si>
  <si>
    <t>Narzut kapitałowy P2G</t>
  </si>
  <si>
    <t>Total Tier 1 requirement</t>
  </si>
  <si>
    <t>Łączny wymóg dla współczynnika Tier 1</t>
  </si>
  <si>
    <t>Total TCR requirement</t>
  </si>
  <si>
    <t>Łączny wymóg dla łącznego współczynnika kapitałowego</t>
  </si>
  <si>
    <t>Loans and receivables to customers</t>
  </si>
  <si>
    <t>Kredyty i inne należności udzielone klientom</t>
  </si>
  <si>
    <t>Portfolio of loans and receivables, of which:</t>
  </si>
  <si>
    <t>Portfel kredytowy, w tym:</t>
  </si>
  <si>
    <t xml:space="preserve"> - Loans and advances</t>
  </si>
  <si>
    <t xml:space="preserve"> - Kredyty i pożyczki</t>
  </si>
  <si>
    <t xml:space="preserve"> - Leasing  receivables</t>
  </si>
  <si>
    <t xml:space="preserve"> - Należności leasingowe</t>
  </si>
  <si>
    <t xml:space="preserve"> - Factoring  receivables</t>
  </si>
  <si>
    <t xml:space="preserve"> - Należności faktoringowe</t>
  </si>
  <si>
    <t xml:space="preserve"> - Debt securities (corporate and municipal)</t>
  </si>
  <si>
    <t xml:space="preserve"> - Dłużne papiery wartościowe (korporacyjne i komunalne)</t>
  </si>
  <si>
    <t>Other receivables, of which:</t>
  </si>
  <si>
    <t>Inne należności, w tym:</t>
  </si>
  <si>
    <t xml:space="preserve"> - T-eurobonds  </t>
  </si>
  <si>
    <t xml:space="preserve"> - Euroobligacje</t>
  </si>
  <si>
    <t xml:space="preserve"> - Other</t>
  </si>
  <si>
    <t xml:space="preserve"> - Pozostałe należności</t>
  </si>
  <si>
    <t>Total loans and receivables to customers (gross)</t>
  </si>
  <si>
    <t>Razem (brutto)</t>
  </si>
  <si>
    <t>Impairment losses, of which:</t>
  </si>
  <si>
    <t>Odpis aktualizujący z tytułu utraty wartości, w tym:</t>
  </si>
  <si>
    <t xml:space="preserve"> - concerning portfolio of loans and receivables, of which:</t>
  </si>
  <si>
    <t xml:space="preserve"> - dotyczący portfela kredytowego, w tym:</t>
  </si>
  <si>
    <t xml:space="preserve">          - concerning loans and advances</t>
  </si>
  <si>
    <t xml:space="preserve">          - dotyczący kredytów i pożyczek</t>
  </si>
  <si>
    <t xml:space="preserve">          - concerning leasing receivables</t>
  </si>
  <si>
    <t xml:space="preserve">          - dotyczący należności leasingowych</t>
  </si>
  <si>
    <t xml:space="preserve">          - concerning factoring receivables</t>
  </si>
  <si>
    <t xml:space="preserve">          - dotyczący należności faktoringowych</t>
  </si>
  <si>
    <t xml:space="preserve">          - concerning debt securities (corporate and municipal)</t>
  </si>
  <si>
    <t xml:space="preserve">          - dotyczący dłużnych papierów wartościowych (korporacyjnych i komunalnych)</t>
  </si>
  <si>
    <t xml:space="preserve"> - concerning other receivables</t>
  </si>
  <si>
    <t xml:space="preserve"> - dotyczący pozostałych należności, w tym:</t>
  </si>
  <si>
    <t xml:space="preserve">          - concerning T-eurobonds  </t>
  </si>
  <si>
    <t xml:space="preserve">          - dotyczący euroobligacji</t>
  </si>
  <si>
    <t xml:space="preserve">          - concerning other receivables</t>
  </si>
  <si>
    <t xml:space="preserve">          - dotyczący pozostałych należności</t>
  </si>
  <si>
    <t>Total loans and receivables to customers (net), of which:</t>
  </si>
  <si>
    <t>Kredyty i inne należności udzielone klientom (netto), w tym:</t>
  </si>
  <si>
    <t xml:space="preserve"> - loans and other receivables to entities from the financial sector
other than banks</t>
  </si>
  <si>
    <t xml:space="preserve">   - udzielone innym niż banki podmiotom sektora finansowego</t>
  </si>
  <si>
    <t xml:space="preserve"> - loans and other receivables to entities from the non-financial sector</t>
  </si>
  <si>
    <t xml:space="preserve">   - udzielone podmiotom sektora niefinansowego</t>
  </si>
  <si>
    <t xml:space="preserve"> - loans and other receivables to entities from the government
and self-government institutions’ sector</t>
  </si>
  <si>
    <t xml:space="preserve">   - udzielone podmiotom sektora instytucji rządowych i samorządowych</t>
  </si>
  <si>
    <t>Loans and other receivables to entities from the financial sector other than banks</t>
  </si>
  <si>
    <t>Kredyty i inne należności udzielone innym niż banki podmiotom sektora finansowego</t>
  </si>
  <si>
    <t>Loans and advances, of which:</t>
  </si>
  <si>
    <t>Kredyty i pożyczki, w tym:</t>
  </si>
  <si>
    <t xml:space="preserve"> - in the current account</t>
  </si>
  <si>
    <t xml:space="preserve">     - w rachunku bieżącym</t>
  </si>
  <si>
    <t xml:space="preserve"> - term ones</t>
  </si>
  <si>
    <t xml:space="preserve">     - terminowe</t>
  </si>
  <si>
    <t>Leasing receivables</t>
  </si>
  <si>
    <t>Należności leasingowe</t>
  </si>
  <si>
    <t>Factoring receivables</t>
  </si>
  <si>
    <t>Należności faktoringowe</t>
  </si>
  <si>
    <t>Debt securities (notes)</t>
  </si>
  <si>
    <t>Dłużne papiery wartościowe (noty)</t>
  </si>
  <si>
    <t>Other receivables</t>
  </si>
  <si>
    <t>Pozostałe należności</t>
  </si>
  <si>
    <t>Total (gross)</t>
  </si>
  <si>
    <t xml:space="preserve"> - concerning loans and advances</t>
  </si>
  <si>
    <t xml:space="preserve">     - dotyczący kredytów i pożyczek</t>
  </si>
  <si>
    <t xml:space="preserve"> - concerning debt securities</t>
  </si>
  <si>
    <t xml:space="preserve">     - dotyczący dłużnych papierów wartościowych</t>
  </si>
  <si>
    <t>Total (net)</t>
  </si>
  <si>
    <t>Razem (netto)</t>
  </si>
  <si>
    <t>Loans and other receivables to entities from the non-financial sector</t>
  </si>
  <si>
    <t>Kredyty i inne należności udzielone podmiotom sektora niefinansowego</t>
  </si>
  <si>
    <t>Business entities, of which:</t>
  </si>
  <si>
    <t>Podmioty gospodarcze, w tym:</t>
  </si>
  <si>
    <t xml:space="preserve"> - Loans and advances, of which:</t>
  </si>
  <si>
    <t xml:space="preserve"> - Kredyty i pożyczki, w tym:</t>
  </si>
  <si>
    <t xml:space="preserve">     - in the current account</t>
  </si>
  <si>
    <t xml:space="preserve">     - term ones</t>
  </si>
  <si>
    <t xml:space="preserve"> - Debt securities (corporate bonds and notes)</t>
  </si>
  <si>
    <t xml:space="preserve"> - Dłużne papiery wartościowe (obligacje korporacyjne i noty)</t>
  </si>
  <si>
    <t xml:space="preserve"> - Other receivables</t>
  </si>
  <si>
    <t>Households, of which:</t>
  </si>
  <si>
    <t>Gospodarstwa domowe, w tym:</t>
  </si>
  <si>
    <t xml:space="preserve"> - Business entities, of which:</t>
  </si>
  <si>
    <t xml:space="preserve"> - Podmioty gospodarcze, w tym:</t>
  </si>
  <si>
    <t xml:space="preserve">     - concerning loans and advances</t>
  </si>
  <si>
    <t xml:space="preserve">     - concerning leasing receivables</t>
  </si>
  <si>
    <t xml:space="preserve">     - dotyczący należności leasingowych</t>
  </si>
  <si>
    <t xml:space="preserve">     - concerning factoring receivables</t>
  </si>
  <si>
    <t xml:space="preserve">     - dotyczący należności faktoringowych</t>
  </si>
  <si>
    <t xml:space="preserve">     - concerning debt securities</t>
  </si>
  <si>
    <t xml:space="preserve">     - concerning other receivables</t>
  </si>
  <si>
    <t xml:space="preserve">     - dotyczący pozostałych należności</t>
  </si>
  <si>
    <t xml:space="preserve"> - Households, of which:</t>
  </si>
  <si>
    <t xml:space="preserve"> - Gospodarstwa domowe, w tym:</t>
  </si>
  <si>
    <t>Loans and other receivables to entities from the government and self-government institutions’ sector</t>
  </si>
  <si>
    <t>Kredyty i inne należności udzielone podmiotom sektora instytucji rządowych i samorządowych</t>
  </si>
  <si>
    <t>Leasing  receivables</t>
  </si>
  <si>
    <t>Factoring  receivables</t>
  </si>
  <si>
    <t>Debt securities (municipal bonds)</t>
  </si>
  <si>
    <t>Dłużne papiery wartościowe (obligacje komunalne)</t>
  </si>
  <si>
    <t>T-eurobonds</t>
  </si>
  <si>
    <t>Euroobligacje</t>
  </si>
  <si>
    <t xml:space="preserve">     - concerning debt securities (municipal bonds)</t>
  </si>
  <si>
    <t xml:space="preserve">     - dotyczący dłużnych papierów wartościowych (obligacji komunalnych)</t>
  </si>
  <si>
    <t xml:space="preserve">     - concerning T-eurobonds  </t>
  </si>
  <si>
    <t xml:space="preserve">     - dotyczący euroobligacji</t>
  </si>
  <si>
    <t>Liabilities due to customers</t>
  </si>
  <si>
    <t>Zobowiązania wobec klientów</t>
  </si>
  <si>
    <t>Deposits</t>
  </si>
  <si>
    <t>Depozyty</t>
  </si>
  <si>
    <t>Other liabilities</t>
  </si>
  <si>
    <t>Pozostałe zobowiązania</t>
  </si>
  <si>
    <t>Total liabilities due to customers, of which:</t>
  </si>
  <si>
    <t>Razem zobowiązania wobec klientów, w tym:</t>
  </si>
  <si>
    <t xml:space="preserve"> - liabilities due to entities from the financial sector other than banks</t>
  </si>
  <si>
    <t xml:space="preserve">     - wobec innych niż banki podmiotów sektora finansowego</t>
  </si>
  <si>
    <t xml:space="preserve"> - liabilities due to entities from the non-financial sector</t>
  </si>
  <si>
    <t xml:space="preserve">     - wobec podmiotów sektora niefinansowego</t>
  </si>
  <si>
    <t xml:space="preserve"> - liabilities due to entities from the government and self-government
institutions’ sector</t>
  </si>
  <si>
    <t xml:space="preserve">     - wobec podmiotów sektora instytucji rządowych i samorządowych</t>
  </si>
  <si>
    <t>Liabilities due to entities from the financial sector other than banks</t>
  </si>
  <si>
    <t>Zobowiązania wobec innych niż banki podmiotów sektora finansowego</t>
  </si>
  <si>
    <t>Depozyty, w tym:</t>
  </si>
  <si>
    <t xml:space="preserve"> - current accounts</t>
  </si>
  <si>
    <t xml:space="preserve">     - rachunki bieżące</t>
  </si>
  <si>
    <t xml:space="preserve"> - term deposits</t>
  </si>
  <si>
    <t xml:space="preserve">     - rachunki terminowe</t>
  </si>
  <si>
    <t>Total</t>
  </si>
  <si>
    <t xml:space="preserve">Razem </t>
  </si>
  <si>
    <t>Liabilities due to entities from the non-financial sector</t>
  </si>
  <si>
    <t>Zobowiązania wobec podmiotów sektora niefinansowego</t>
  </si>
  <si>
    <t xml:space="preserve"> - Deposits, of which:</t>
  </si>
  <si>
    <t xml:space="preserve"> - Depozyty, w tym:</t>
  </si>
  <si>
    <t xml:space="preserve">     - current accounts</t>
  </si>
  <si>
    <t xml:space="preserve">     - term deposit and saving accounts</t>
  </si>
  <si>
    <t xml:space="preserve">     - rachunki terminowe i oszczędnościowe</t>
  </si>
  <si>
    <t xml:space="preserve"> - Other liabilities</t>
  </si>
  <si>
    <t xml:space="preserve"> - Pozostałe zobowiązania</t>
  </si>
  <si>
    <t>Razem</t>
  </si>
  <si>
    <t>Liabilities due to entities from the government and self-government institutions’ sector</t>
  </si>
  <si>
    <t>Zobowiązania wobec podmiotów sektora instytucji rządowych i samorządowych</t>
  </si>
  <si>
    <t>Other information</t>
  </si>
  <si>
    <t>Pozostałe informacje</t>
  </si>
  <si>
    <t>Headcount</t>
  </si>
  <si>
    <t>Zatrudnienie</t>
  </si>
  <si>
    <t xml:space="preserve"> - The headcount in the Capital Group</t>
  </si>
  <si>
    <t xml:space="preserve"> - Zatrudnienie w Grupie Kapitałowej ING Banku Śląskiego S.A.</t>
  </si>
  <si>
    <t xml:space="preserve">     - Individuals</t>
  </si>
  <si>
    <t xml:space="preserve">     - w osobach</t>
  </si>
  <si>
    <t xml:space="preserve">     - FTEs</t>
  </si>
  <si>
    <t xml:space="preserve">     - w etatach</t>
  </si>
  <si>
    <t xml:space="preserve"> - The headcount in the ING Bank Śląski S.A.</t>
  </si>
  <si>
    <t xml:space="preserve"> - Zatrudnienie w ING Banku Śląskim S.A.</t>
  </si>
  <si>
    <t>Number of outlets</t>
  </si>
  <si>
    <t>Liczba placówek Banku</t>
  </si>
  <si>
    <t>Number of ING Express points</t>
  </si>
  <si>
    <t>Liczba punktów ING Express</t>
  </si>
  <si>
    <t>Banking cards (in thousands)</t>
  </si>
  <si>
    <t>Karty bankowe (w tys.)</t>
  </si>
  <si>
    <t>Payment cards, of which:</t>
  </si>
  <si>
    <t>Karty płatnicze, z czego:</t>
  </si>
  <si>
    <t xml:space="preserve"> - Debit cards</t>
  </si>
  <si>
    <t xml:space="preserve">     - karty debetowe</t>
  </si>
  <si>
    <t xml:space="preserve"> - Credit cards</t>
  </si>
  <si>
    <t xml:space="preserve">     - karty kredytowe</t>
  </si>
  <si>
    <t xml:space="preserve"> - Other cards</t>
  </si>
  <si>
    <t xml:space="preserve">     - karty pozostałe</t>
  </si>
  <si>
    <t>Cash loan sales (PLN million) - individual clients</t>
  </si>
  <si>
    <t>Sprzedaż kredytów gotówkowych (mln zł) - klienci indywidualni</t>
  </si>
  <si>
    <t>Mortgage loan sales (PLN million) - individual clients</t>
  </si>
  <si>
    <t>Sprzedaż kredytów hipotecznych (mln zł) - klienci indywidualni</t>
  </si>
  <si>
    <r>
      <t xml:space="preserve">Factoring turnover (PLN million) - ING ComFin </t>
    </r>
    <r>
      <rPr>
        <sz val="8"/>
        <rFont val="ING Me"/>
        <charset val="238"/>
      </rPr>
      <t>- MA accounting</t>
    </r>
  </si>
  <si>
    <r>
      <t xml:space="preserve">Leasing sales (PLN million) - INF Lease </t>
    </r>
    <r>
      <rPr>
        <sz val="8"/>
        <rFont val="ING Me"/>
        <charset val="238"/>
      </rPr>
      <t>- MA accounting</t>
    </r>
  </si>
  <si>
    <t>Own funds taken into account in total capital ratio calculation according to advanced method (AIRB)</t>
  </si>
  <si>
    <t xml:space="preserve">   - Additional Tier 1 capital</t>
  </si>
  <si>
    <t xml:space="preserve">   - Fundusze własne dodatkowe - Tier 1</t>
  </si>
  <si>
    <t>Total capital ratio - separate</t>
  </si>
  <si>
    <t>Łączny współczynnik kapitałowy - jednostkowy</t>
  </si>
  <si>
    <t>nowa segmentacja / new segmentation -&gt;</t>
  </si>
  <si>
    <t>Liabilities to customers, including:</t>
  </si>
  <si>
    <t>Zobowiązania wobec klientów, w tym:</t>
  </si>
  <si>
    <t>Deposits, including:</t>
  </si>
  <si>
    <t>Households</t>
  </si>
  <si>
    <t>Gospodarstwa domowe</t>
  </si>
  <si>
    <t>Business entities</t>
  </si>
  <si>
    <t>Podmioty gospodarcze</t>
  </si>
  <si>
    <t>The government and self-government institutions’ sector</t>
  </si>
  <si>
    <t>Sektor instytucji rządowych i samorządowych</t>
  </si>
  <si>
    <t>Total (gross), including:</t>
  </si>
  <si>
    <t>Razem (brutto), w tym:</t>
  </si>
  <si>
    <t>Corporate banking segment</t>
  </si>
  <si>
    <t>Bankowość korporacyjna</t>
  </si>
  <si>
    <t>current deposits</t>
  </si>
  <si>
    <t>depozyty bieżące</t>
  </si>
  <si>
    <t>savings deposits</t>
  </si>
  <si>
    <t>depozyty oszczędnościowe</t>
  </si>
  <si>
    <t>term deposits</t>
  </si>
  <si>
    <t>depozyty terminowe</t>
  </si>
  <si>
    <t>Retail banking segment</t>
  </si>
  <si>
    <t>Bankowość detaliczna</t>
  </si>
  <si>
    <t>Other liabilities, including:</t>
  </si>
  <si>
    <t>Pozostałe zobowiązania, w tym:</t>
  </si>
  <si>
    <t>Liabilities for cash security</t>
  </si>
  <si>
    <t>zobowiązania z tytułu zabezpieczeń pieniężnych</t>
  </si>
  <si>
    <t>Recived call deposits</t>
  </si>
  <si>
    <t>przyjęte depozyty zabezpieczające typu call</t>
  </si>
  <si>
    <t>Repo liabilities</t>
  </si>
  <si>
    <t>zobowiązania z tytułu transakcji z przyrzeczeniem odkupu</t>
  </si>
  <si>
    <t>pozostałe zobowiązania</t>
  </si>
  <si>
    <t>Financial assets</t>
  </si>
  <si>
    <t>Aktywa finansowe</t>
  </si>
  <si>
    <t>Financial assets held for trading, of which:</t>
  </si>
  <si>
    <t>Aktywa finansowe przeznaczone do obrotu, w tym:</t>
  </si>
  <si>
    <t xml:space="preserve"> - valuation of derivatives</t>
  </si>
  <si>
    <t xml:space="preserve">     - wycena instrumentów pochodnych</t>
  </si>
  <si>
    <t xml:space="preserve"> - debt instruments</t>
  </si>
  <si>
    <t xml:space="preserve">     - instrumenty dłużne</t>
  </si>
  <si>
    <t xml:space="preserve"> - repo transactions</t>
  </si>
  <si>
    <t xml:space="preserve">     - transakcje z przyrzeczeniem odkupu</t>
  </si>
  <si>
    <t xml:space="preserve"> - equity instruments</t>
  </si>
  <si>
    <t xml:space="preserve">     - instrumenty kapitałowe</t>
  </si>
  <si>
    <t xml:space="preserve"> - financial assets designated as at fair value upon initial recognition, of which:</t>
  </si>
  <si>
    <t xml:space="preserve">     - aktywa finansowe desygnowane do wyceny do wartości godziwej przy początkowym ujęciu, w tym:</t>
  </si>
  <si>
    <t xml:space="preserve"> - buy-sell-back transactions</t>
  </si>
  <si>
    <t xml:space="preserve">     - transakcje z przyrzeczeniem odkupu (buy-sell-back)</t>
  </si>
  <si>
    <t xml:space="preserve"> - deposits</t>
  </si>
  <si>
    <t xml:space="preserve">     - lokaty</t>
  </si>
  <si>
    <t xml:space="preserve"> - financial assets measured at fair value through profit or loss other then held for trading, of which:</t>
  </si>
  <si>
    <t xml:space="preserve">     - aktywa finansowe wyceniane w wartości godziwej przez wynik finansowy, inne niż przeznaczone do obrotu, w tym:</t>
  </si>
  <si>
    <t xml:space="preserve"> - loans obligatorily classified as measured at fair value through profit or loss</t>
  </si>
  <si>
    <t xml:space="preserve">     - kredyty obligatoryjnie klasyfikowane jako wyceniane w wartości godziwej przez wynik finansowy</t>
  </si>
  <si>
    <t>Total financial assets held for trading</t>
  </si>
  <si>
    <t>Razem aktywa finansowe przeznaczone do obrotu</t>
  </si>
  <si>
    <t>Measured at fair value through other comprehensive income, including:</t>
  </si>
  <si>
    <t>Wyceniane do wartości godziwiej przez inne całkowite dochody, w tym:</t>
  </si>
  <si>
    <t>Measured at amortised cost, including:</t>
  </si>
  <si>
    <t>Wyceniane wg zamortyzowanego kosztu, w tym:</t>
  </si>
  <si>
    <t>Available-for-sale financial assets, of which:</t>
  </si>
  <si>
    <t>Aktywa finansowe dostępne do sprzedaży, w tym:</t>
  </si>
  <si>
    <t>Held-to-maturity financial assets, of which:</t>
  </si>
  <si>
    <t>Aktywa finansowe utrzymywane do terminu wymagalności, w tym:</t>
  </si>
  <si>
    <t>Total investment securities</t>
  </si>
  <si>
    <t>Razem inwestycyjne papiery wartościowe</t>
  </si>
  <si>
    <t>Debt securities - transferred assets</t>
  </si>
  <si>
    <t>Dłużne papiery wartościowe stanowiące zabezpieczenie zobowiązań</t>
  </si>
  <si>
    <t xml:space="preserve"> - measured at fair value through profit or loss</t>
  </si>
  <si>
    <t xml:space="preserve"> - wyceniane według wartości godziwej przez wynik finansowy</t>
  </si>
  <si>
    <t xml:space="preserve"> - measured at fair value through other comprehensive income</t>
  </si>
  <si>
    <t xml:space="preserve"> - wyceniane według wartości godziwej przez inne całkowite dochody</t>
  </si>
  <si>
    <t xml:space="preserve"> - measured at amortised cost</t>
  </si>
  <si>
    <t xml:space="preserve"> - wyceniane według zamortyzowanego kosztu</t>
  </si>
  <si>
    <t>Total debt securities - transferred assets</t>
  </si>
  <si>
    <t>Razem dłużne papiery wartościowe stanowiące zabezpieczenie zobowiązań</t>
  </si>
  <si>
    <t>Quality of loan portfolio under IFRS 9</t>
  </si>
  <si>
    <t>Jakość portfela kredytowego wg MSSF 9</t>
  </si>
  <si>
    <t>2007 - N/A</t>
  </si>
  <si>
    <t xml:space="preserve">1Q </t>
  </si>
  <si>
    <t>1Q - N/A</t>
  </si>
  <si>
    <t>Działalność korporacyjna</t>
  </si>
  <si>
    <t>Gross amount</t>
  </si>
  <si>
    <t>Wartość brutto</t>
  </si>
  <si>
    <t xml:space="preserve">   - assets in Stage 1</t>
  </si>
  <si>
    <t xml:space="preserve">   - aktywa w etapie 1</t>
  </si>
  <si>
    <t xml:space="preserve">   - assets in Stage 2</t>
  </si>
  <si>
    <t xml:space="preserve">   - aktywa w etapie 2</t>
  </si>
  <si>
    <t xml:space="preserve">   - assets in Stage 3</t>
  </si>
  <si>
    <t xml:space="preserve">   - aktywa w etapie 3</t>
  </si>
  <si>
    <t xml:space="preserve">   - POCI</t>
  </si>
  <si>
    <t>Impairment for expected losses</t>
  </si>
  <si>
    <t>Odpis z tytułu strat oczekiwanych</t>
  </si>
  <si>
    <t xml:space="preserve">   - on assets in Stage 1</t>
  </si>
  <si>
    <t xml:space="preserve">   - na aktywa w etapie 1</t>
  </si>
  <si>
    <t xml:space="preserve">   - on assets in Stage 2</t>
  </si>
  <si>
    <t xml:space="preserve">   - na aktywa w etapie 2</t>
  </si>
  <si>
    <t xml:space="preserve">   - on assets in Stage 3</t>
  </si>
  <si>
    <t xml:space="preserve">   - na aktywa w etapie 3</t>
  </si>
  <si>
    <t>Net amount</t>
  </si>
  <si>
    <t>Wartość netto</t>
  </si>
  <si>
    <t>Działalność detaliczna</t>
  </si>
  <si>
    <t>Ogółem</t>
  </si>
  <si>
    <t>Share of assets in Stage 1</t>
  </si>
  <si>
    <t>Udział aktywów w etapie 1</t>
  </si>
  <si>
    <t>Share of assets in Stage 2</t>
  </si>
  <si>
    <t>Udział aktywów w etapie 2</t>
  </si>
  <si>
    <t>Share of assets in Stage 3 &amp; POCI</t>
  </si>
  <si>
    <t>Udział aktywów w etapie 3 i POCI</t>
  </si>
  <si>
    <t>Coverage of assets in Stage 1</t>
  </si>
  <si>
    <t>Pokrycie odpisem aktywów w etapie 1</t>
  </si>
  <si>
    <t>Coverage of assets in Stage 2</t>
  </si>
  <si>
    <t>Pokrycie odpisem aktywów w etapie 2</t>
  </si>
  <si>
    <t>Coverage of assets in Stage 3 &amp; POCI</t>
  </si>
  <si>
    <t>Pokrycie odpisem aktywów w etapie 3 i POCI</t>
  </si>
  <si>
    <t>Quality of portfolio of loans and advances under IAS 39</t>
  </si>
  <si>
    <t>Jakość portfela kredytów i pożyczek wg MSR 39</t>
  </si>
  <si>
    <t>Corporate activity</t>
  </si>
  <si>
    <t>Exposure</t>
  </si>
  <si>
    <t>Zaangażowanie</t>
  </si>
  <si>
    <t xml:space="preserve"> - unimpaired (IBNR – incurred but not reported)</t>
  </si>
  <si>
    <t xml:space="preserve">   - portfel bez przesłanki utraty wartości</t>
  </si>
  <si>
    <t xml:space="preserve"> - impaired</t>
  </si>
  <si>
    <t xml:space="preserve">   - portfel z przesłanką utraty wartości</t>
  </si>
  <si>
    <t>Impairment losses and provisions</t>
  </si>
  <si>
    <t>Odpis aktualizujący z tytułu utraty wartości i rezerwy</t>
  </si>
  <si>
    <t xml:space="preserve"> - related to unimpaired portfolio</t>
  </si>
  <si>
    <t xml:space="preserve">   - odpis dotyczący portfela bez przesłanki utraty wartości</t>
  </si>
  <si>
    <t xml:space="preserve"> - related to impaired portfolio</t>
  </si>
  <si>
    <t xml:space="preserve">   - odpis dotyczący portfela z przesłanką utraty wartości</t>
  </si>
  <si>
    <t xml:space="preserve"> - provisions for off-balance sheet liabilities</t>
  </si>
  <si>
    <t xml:space="preserve">   - rezerwy na zobowiązania pozabilansowe</t>
  </si>
  <si>
    <t/>
  </si>
  <si>
    <t>Share of the impaired portfolio (%)</t>
  </si>
  <si>
    <t>Udział portfela zagrożonego utratą wartości bankowości korporacyjnej</t>
  </si>
  <si>
    <t>Impaired portfolio coverage ratio (%)</t>
  </si>
  <si>
    <t>Współczynnik pokrycia portfela zagrożonego utratą wartości</t>
  </si>
  <si>
    <t>Retail activity</t>
  </si>
  <si>
    <t xml:space="preserve">   - dotyczący portfela bez przesłanki utraty wartości</t>
  </si>
  <si>
    <t xml:space="preserve">   - dotyczący portfela z przesłanką utraty wartości</t>
  </si>
  <si>
    <t>Udział portfela zagrożonego utratą wartości bankowości detalicznej</t>
  </si>
  <si>
    <t>Total exposure</t>
  </si>
  <si>
    <t>Zaangażowanie ogółem</t>
  </si>
  <si>
    <t>Impairment losses and total provisions, of which:</t>
  </si>
  <si>
    <t>Odpis aktualizujący z tytułu utraty wartości i rezerwy ogółem, w tym:</t>
  </si>
  <si>
    <t xml:space="preserve"> - impairment losses</t>
  </si>
  <si>
    <t xml:space="preserve">     - odpis aktualizujący z tytułu utraty wartości</t>
  </si>
  <si>
    <t xml:space="preserve">     - rezerwy na zobowiązania pozabilansowe</t>
  </si>
  <si>
    <t>Total portfolio coverage ratio</t>
  </si>
  <si>
    <t>Współczynnik pokrycia portfela ogółem</t>
  </si>
  <si>
    <t>Udział portfela zagrożonego utratą wartości</t>
  </si>
  <si>
    <t>Loans and other receivables to customers</t>
  </si>
  <si>
    <t>[MSR 39 / IAS 39]</t>
  </si>
  <si>
    <t>[MSSF 9 / IFRS 9]</t>
  </si>
  <si>
    <t>Measured at amortised cost</t>
  </si>
  <si>
    <t>Wyceniane wg zamortyzowanego kosztu</t>
  </si>
  <si>
    <t>Measured at fair value through profit or loss</t>
  </si>
  <si>
    <t>Wyceniane do wartości godziwej przez rachunek zysków i strat</t>
  </si>
  <si>
    <t>Loans and other receivables measured at amortised cost</t>
  </si>
  <si>
    <t>Kredyty i inne należności wyceniane wg zamortyzowanego kosztu</t>
  </si>
  <si>
    <t>Gross loans and other receivables measured at amortised cost, including:</t>
  </si>
  <si>
    <t>Kredyty i inne należności brutto wyceniane wg zamortyzowanego kosztu, w tym:</t>
  </si>
  <si>
    <t>Portfolio of gross loans, including:</t>
  </si>
  <si>
    <t>Portfel kredytowy brutto, w tym:</t>
  </si>
  <si>
    <t>Total, including:</t>
  </si>
  <si>
    <t>Razem, w tym:</t>
  </si>
  <si>
    <t>loans in the current account</t>
  </si>
  <si>
    <t>kredyty w rachunku bieżącym</t>
  </si>
  <si>
    <t>term loans and advances</t>
  </si>
  <si>
    <t>kredyty i pożyczki terminowe</t>
  </si>
  <si>
    <t>leasing receivables</t>
  </si>
  <si>
    <t>należności leasingowe</t>
  </si>
  <si>
    <t>factoring receivables</t>
  </si>
  <si>
    <t>należności faktoringowe</t>
  </si>
  <si>
    <t>corporate and municipal securities</t>
  </si>
  <si>
    <t>papiery wartościowe komercyjne i komunalne</t>
  </si>
  <si>
    <t>mortgages</t>
  </si>
  <si>
    <t>kredyty i pożyczki hipoteczne</t>
  </si>
  <si>
    <t>other loans and advances</t>
  </si>
  <si>
    <t>pozostałe kredyty i pożyczki</t>
  </si>
  <si>
    <t>Other gross receivables, including:</t>
  </si>
  <si>
    <t>Inne należności brutto, w tym:</t>
  </si>
  <si>
    <t>Eurobonds (T-bonds)</t>
  </si>
  <si>
    <t>euroobligacje (obligacje Skarbu Państwa)</t>
  </si>
  <si>
    <t>complex call deposits</t>
  </si>
  <si>
    <t>złożone depozyty zabezpieczające typu call</t>
  </si>
  <si>
    <t>receivables under repo transactions</t>
  </si>
  <si>
    <t>należności z tytułu transakcji z przyrzeczeniem odkupu</t>
  </si>
  <si>
    <t>other receivables</t>
  </si>
  <si>
    <t>pozostałe należności</t>
  </si>
  <si>
    <t>Impairment on loans and other receivables measured at amortised cost, including:</t>
  </si>
  <si>
    <t>Odpis na kredyty i inne należności wyceniane wg zamortyzowanego kosztu, w tym:</t>
  </si>
  <si>
    <t>Impairment on portfolio of loans, including:</t>
  </si>
  <si>
    <t>Odpis na portfel kredytowy, w tym:</t>
  </si>
  <si>
    <t>Impairment on other receivables, including:</t>
  </si>
  <si>
    <t>Odpis na inne należności, w tym:</t>
  </si>
  <si>
    <t>Net loans and other receivables measured at amortised cost, including:</t>
  </si>
  <si>
    <t>Kredyty i inne należności netto wyceniane wg zamortyzowanego kosztu, w tym:</t>
  </si>
  <si>
    <t>Portfolio of net loans, including:</t>
  </si>
  <si>
    <t>Portfel kredytowy netto, w tym:</t>
  </si>
  <si>
    <t>Other net receivables, including:</t>
  </si>
  <si>
    <t>Inne należności netto, w tym:</t>
  </si>
  <si>
    <r>
      <t>Comparable data pro-forma</t>
    </r>
    <r>
      <rPr>
        <b/>
        <sz val="10"/>
        <color indexed="12"/>
        <rFont val="Arial"/>
        <family val="2"/>
        <charset val="238"/>
      </rPr>
      <t/>
    </r>
  </si>
  <si>
    <r>
      <t>Dane porównywalne pro-forma</t>
    </r>
    <r>
      <rPr>
        <b/>
        <sz val="10"/>
        <color indexed="12"/>
        <rFont val="Arial"/>
        <family val="2"/>
        <charset val="238"/>
      </rPr>
      <t/>
    </r>
  </si>
  <si>
    <t>CONSOLIDATED STATEMENT OF FINANCIAL POSITION
of the ING Bank Śląski Group S.A.</t>
  </si>
  <si>
    <t>SKONSOLIDOWANE SPRAWOZDANIE Z SYTUACJI FINANSOWEJ
Grupy Kapitałowej ING Banku Śląskiego S.A.</t>
  </si>
  <si>
    <t>A S S E T S</t>
  </si>
  <si>
    <t>A K T Y W A</t>
  </si>
  <si>
    <t xml:space="preserve"> - Cash in hand and balances with the Central Bank</t>
  </si>
  <si>
    <t xml:space="preserve">   - Kasa, środki w Banku Centralnym </t>
  </si>
  <si>
    <t xml:space="preserve"> - Loans and receivables to other banks</t>
  </si>
  <si>
    <t xml:space="preserve">   - Kredyty i inne należności udzielone innym bankom</t>
  </si>
  <si>
    <t xml:space="preserve"> - Financial assets held for trading / Financial assets at fair value through profit or loss</t>
  </si>
  <si>
    <t xml:space="preserve">   - Aktywa przeznaczone do obrotu / Aktywa finansowe wyceniane według wartości godziwej przez wynik finansowy</t>
  </si>
  <si>
    <t xml:space="preserve"> - Derivative hedge instruments</t>
  </si>
  <si>
    <t xml:space="preserve">   - Pochodne instrumenty zabezpieczające</t>
  </si>
  <si>
    <t xml:space="preserve"> - Investments</t>
  </si>
  <si>
    <t xml:space="preserve">   - Inwestycyjne papiery wartościowe</t>
  </si>
  <si>
    <t xml:space="preserve"> - Loans and receivables to customers at amortised cost</t>
  </si>
  <si>
    <t xml:space="preserve">   - Kredyty i inne należności udzielone klientom wyceniane wg zamortyzowanego kosztu</t>
  </si>
  <si>
    <t xml:space="preserve"> - Transferred assets</t>
  </si>
  <si>
    <t xml:space="preserve">   - Aktywa stanowiące zabezpieczenie zobowiązań</t>
  </si>
  <si>
    <t xml:space="preserve"> - Investments in controlled entities recognised under the equity method</t>
  </si>
  <si>
    <t xml:space="preserve">   - Inwestycje w jednostki stowarzyszone wyceniane metodą praw własności</t>
  </si>
  <si>
    <t xml:space="preserve"> - Investment real estates</t>
  </si>
  <si>
    <t xml:space="preserve">   - Nieruchomości inwestycyjne</t>
  </si>
  <si>
    <t xml:space="preserve"> - Property, plant and equipment</t>
  </si>
  <si>
    <t xml:space="preserve">   - Rzeczowe aktywa trwałe</t>
  </si>
  <si>
    <t xml:space="preserve"> - Intangible assets</t>
  </si>
  <si>
    <t xml:space="preserve">   - Wartości niematerialne</t>
  </si>
  <si>
    <t xml:space="preserve"> - Property, plant and equipment held for sale</t>
  </si>
  <si>
    <t xml:space="preserve">   - Aktywa trwałe przeznaczone do sprzedaży </t>
  </si>
  <si>
    <t xml:space="preserve"> - Deferred tax assets</t>
  </si>
  <si>
    <t xml:space="preserve">   - Aktywa z tytułu odroczonego podatku dochodowego</t>
  </si>
  <si>
    <t xml:space="preserve"> - Current income tax assets</t>
  </si>
  <si>
    <t xml:space="preserve">   - Aktywa z tytułu bieżącego podatku dochodowego</t>
  </si>
  <si>
    <t xml:space="preserve"> - Other assets</t>
  </si>
  <si>
    <t xml:space="preserve">   - Inne aktywa </t>
  </si>
  <si>
    <t>T o t a l   a s s e t s</t>
  </si>
  <si>
    <t>A k t y w a   r a z e m</t>
  </si>
  <si>
    <t>E Q U I T Y   A N D   L I A B I L I T I E S</t>
  </si>
  <si>
    <t>Z O B O W I Ą Z A N I A   I   K A P I T A Ł Y</t>
  </si>
  <si>
    <t>LIABILITIES</t>
  </si>
  <si>
    <t>ZOBOWIĄZANIA</t>
  </si>
  <si>
    <t xml:space="preserve"> - Liabilities due to the Central Bank</t>
  </si>
  <si>
    <t xml:space="preserve">   - Zobowiązania wobec Banku Centralnego</t>
  </si>
  <si>
    <t xml:space="preserve"> - Liabilities due to other banks</t>
  </si>
  <si>
    <t xml:space="preserve">   - Zobowiązania wobec innych banków</t>
  </si>
  <si>
    <t xml:space="preserve"> - Financial liabilities measured at fair value through profit and loss</t>
  </si>
  <si>
    <t xml:space="preserve">   - Zobowiązania finansowe wyceniane do wartości godziwej przez rachunek zysków i strat</t>
  </si>
  <si>
    <t xml:space="preserve"> - Liabilities due to customers</t>
  </si>
  <si>
    <t xml:space="preserve">   - Zobowiązania wobec klientów</t>
  </si>
  <si>
    <t xml:space="preserve"> - Liabilities under issue of debt securities</t>
  </si>
  <si>
    <t xml:space="preserve">   - Zobowiązania z tytułu emisji papierów wartościowych</t>
  </si>
  <si>
    <t xml:space="preserve"> - Subordinated liabilities</t>
  </si>
  <si>
    <t xml:space="preserve">   - Zobowiązania podporządkowane</t>
  </si>
  <si>
    <t xml:space="preserve"> - Provisions</t>
  </si>
  <si>
    <t xml:space="preserve">   - Rezerwy </t>
  </si>
  <si>
    <t xml:space="preserve"> - Deferred tax provision</t>
  </si>
  <si>
    <t xml:space="preserve">   - Rezerwa z tytułu odroczonego podatku dochodowego</t>
  </si>
  <si>
    <t xml:space="preserve"> - Current income tax liabilities</t>
  </si>
  <si>
    <t xml:space="preserve">   - Zobowiązanie z tytułu bieżącego podatku dochodowego</t>
  </si>
  <si>
    <t xml:space="preserve">   - Inne zobowiązania </t>
  </si>
  <si>
    <t>T o t a l   l i a b i l i t i e s</t>
  </si>
  <si>
    <t xml:space="preserve">Z o b o w i ą z a n i a  o g ó ł e m </t>
  </si>
  <si>
    <t>EQUITY</t>
  </si>
  <si>
    <t xml:space="preserve">KAPITAŁY </t>
  </si>
  <si>
    <t xml:space="preserve"> - Share capital</t>
  </si>
  <si>
    <t xml:space="preserve">   - Kapitał akcyjny</t>
  </si>
  <si>
    <t xml:space="preserve"> - Supplementary capital - issuance of shares over nominal value</t>
  </si>
  <si>
    <t xml:space="preserve">   - Kapitał zapasowy - nadwyżka ze sprzedaży akcji powyżej ich wartości nominalnej</t>
  </si>
  <si>
    <t xml:space="preserve"> - Accumulated other comprehensive income</t>
  </si>
  <si>
    <t xml:space="preserve">   - Skumulowane inne całkowite dochody</t>
  </si>
  <si>
    <t xml:space="preserve"> - Retained earnings</t>
  </si>
  <si>
    <t xml:space="preserve">   - Zyski zatrzymane</t>
  </si>
  <si>
    <t xml:space="preserve"> - Own shares for the purposes of the incentive program</t>
  </si>
  <si>
    <t xml:space="preserve">   - Akcje własne na cele pracowniczego programu motywacyjnego</t>
  </si>
  <si>
    <t>Equity attributable to shareholders of ING Bank Śląski S.A.</t>
  </si>
  <si>
    <t>Kapitał własny przypadający akcjonariuszom ING Banku Śląskiego S.A.</t>
  </si>
  <si>
    <t xml:space="preserve"> - Non-controlling interests</t>
  </si>
  <si>
    <t xml:space="preserve">   - Udziały niekontrolujące</t>
  </si>
  <si>
    <t>T o t a l   e q u i t y</t>
  </si>
  <si>
    <t>K a p i t a ł y  w ł a s n e  o g ó ł e m</t>
  </si>
  <si>
    <t>T o t a l   e q u i t y   a n d   l i a b i l i t i e s</t>
  </si>
  <si>
    <t>Z o b o w i ą z a n i a  i  k a p i t a ł  w ł a s n y   r a z e m</t>
  </si>
  <si>
    <r>
      <rPr>
        <b/>
        <sz val="12"/>
        <color indexed="10"/>
        <rFont val="ING Me"/>
        <charset val="238"/>
      </rPr>
      <t>Comparable data pro-forma</t>
    </r>
    <r>
      <rPr>
        <b/>
        <sz val="10"/>
        <color indexed="10"/>
        <rFont val="ING Me"/>
        <charset val="238"/>
      </rPr>
      <t xml:space="preserve">
</t>
    </r>
    <r>
      <rPr>
        <b/>
        <sz val="10"/>
        <color indexed="12"/>
        <rFont val="ING Me"/>
        <charset val="238"/>
      </rPr>
      <t>NOTE! - change in the layout</t>
    </r>
    <r>
      <rPr>
        <b/>
        <sz val="12"/>
        <color indexed="12"/>
        <rFont val="ING Me"/>
        <charset val="238"/>
      </rPr>
      <t xml:space="preserve">
</t>
    </r>
    <r>
      <rPr>
        <i/>
        <u/>
        <sz val="8"/>
        <color indexed="12"/>
        <rFont val="ING Me"/>
        <charset val="238"/>
      </rPr>
      <t>Row 25 added</t>
    </r>
  </si>
  <si>
    <t>Cost of risk</t>
  </si>
  <si>
    <t>Koszty ryzyka</t>
  </si>
  <si>
    <t>Retail portfolio, gross</t>
  </si>
  <si>
    <t>Portfel detaliczny, brutto</t>
  </si>
  <si>
    <t>Corporate portfolio, gross</t>
  </si>
  <si>
    <t>Portfel korporacyjny, brutto</t>
  </si>
  <si>
    <t>Total portfolio, gross</t>
  </si>
  <si>
    <t>Cały portfel, brutto</t>
  </si>
  <si>
    <t>Retail segment - impairment for expected losses including legal cost of risk for FX-mortgage loans</t>
  </si>
  <si>
    <t>Segment detaliczny - koszty ryzyka łącznie z kosztami ryzyka prawnego walutowych kredytów hipotecznych</t>
  </si>
  <si>
    <t>Retail corporate - impairment for expected losses including legal cost of risk for FX-mortgage loans</t>
  </si>
  <si>
    <t>Segment korporacyjny - koszty ryzyka łącznie z kosztami ryzyka prawnego walutowych kredytów hipotecznych</t>
  </si>
  <si>
    <t>Total impairment for expected losses including legal cost of risk for FX-mortgage loans</t>
  </si>
  <si>
    <t>Koszty ryzyka razem łącznie z kosztami ryzyka prawnego walutowych kredytów hipotecznych</t>
  </si>
  <si>
    <t>Net gain on sale of retail portfolios (lower cost of risk)</t>
  </si>
  <si>
    <t>Zysk na sprzedaży portfeli detalicznych (pomniejszenie kosztów ryzyka)</t>
  </si>
  <si>
    <t>Net gain on sale of corporate portfolios (lower cost of risk)</t>
  </si>
  <si>
    <t>Zysk na sprzedaży portfeli korporacyjnych (pomniejszenie kosztów ryzyka)</t>
  </si>
  <si>
    <t>Net gain on sale of portfolios (lower cost of risk)</t>
  </si>
  <si>
    <t>Zysk na sprzedaży portfeli  (pomniejszenie kosztów ryzyka)</t>
  </si>
  <si>
    <t>Retail risk cost margin (cumulative)</t>
  </si>
  <si>
    <t>Detaliczna marża kosztów ryzyka (kwartalna)</t>
  </si>
  <si>
    <t>Detaliczna marża kosztów ryzyka (skumulowana)</t>
  </si>
  <si>
    <t>Corporate risk cost margin (cumulative)</t>
  </si>
  <si>
    <t>Korporacyjna marża kosztów ryzyka (kwartalna)</t>
  </si>
  <si>
    <t>Korporacyjna marża kosztów ryzyka (skumulowana)</t>
  </si>
  <si>
    <t>Risk cost margin (cumulative)</t>
  </si>
  <si>
    <t>Marża kosztów ryzyka (kwartalna)</t>
  </si>
  <si>
    <t>Marża kosztów ryzyka (skumulowana)</t>
  </si>
  <si>
    <t>Operating costs</t>
  </si>
  <si>
    <t>Koszty działania</t>
  </si>
  <si>
    <t>Operating costs, of which:</t>
  </si>
  <si>
    <t>Koszty działania, w tym:</t>
  </si>
  <si>
    <t xml:space="preserve">     - Personnel costs</t>
  </si>
  <si>
    <t xml:space="preserve">     - koszty osobowe</t>
  </si>
  <si>
    <t xml:space="preserve">     - Marketing and promotion costs</t>
  </si>
  <si>
    <t xml:space="preserve">     - koszty marketingu i promocji</t>
  </si>
  <si>
    <t xml:space="preserve">     - D&amp;A</t>
  </si>
  <si>
    <t xml:space="preserve">     - amortyzacja</t>
  </si>
  <si>
    <t xml:space="preserve">     - IT costs</t>
  </si>
  <si>
    <t xml:space="preserve">     - koszty IT</t>
  </si>
  <si>
    <t xml:space="preserve">     - Maintenance of buildings</t>
  </si>
  <si>
    <t xml:space="preserve">     - koszty utrzymania budynków</t>
  </si>
  <si>
    <t xml:space="preserve">     - General and administrative costs</t>
  </si>
  <si>
    <t xml:space="preserve">     - koszty działania i ogólnego zarządu</t>
  </si>
  <si>
    <t xml:space="preserve">     - KNF costs</t>
  </si>
  <si>
    <t xml:space="preserve">     - koszty KNF</t>
  </si>
  <si>
    <t xml:space="preserve">     - Bank Guarantee Fund and Mortgage Support Fund costs, of which</t>
  </si>
  <si>
    <t xml:space="preserve">     - koszty Bankowego Funduszu Gwarancyjnego i Funduszu Wsparcia Kredytobiorców, z czego</t>
  </si>
  <si>
    <t xml:space="preserve">     - contributions to the deposit guarantee fund</t>
  </si>
  <si>
    <t xml:space="preserve">     - składki na fundusz gwarancyjny depozytów</t>
  </si>
  <si>
    <t>     - contributions to the forced restructuring fund</t>
  </si>
  <si>
    <t xml:space="preserve">     - składki na fundusz przymusowej restrukturyzacji</t>
  </si>
  <si>
    <t xml:space="preserve">     - contribution to the Commercial Banks Protection System</t>
  </si>
  <si>
    <t xml:space="preserve">     - wpłata na fundusz pomocowy systemu ochrony (SOBK)</t>
  </si>
  <si>
    <t>Net income - other</t>
  </si>
  <si>
    <t>Wynik - pozostałe</t>
  </si>
  <si>
    <t>FX result and net income on currency derivatives, including:</t>
  </si>
  <si>
    <t>Wynik z pozycji wymiany oraz wynik na pochodnych transakcjach
walutowych, w tym:</t>
  </si>
  <si>
    <t xml:space="preserve">     - FX result</t>
  </si>
  <si>
    <t xml:space="preserve">     - Wynik z pozycji wymiany</t>
  </si>
  <si>
    <t xml:space="preserve">     - Currency derivatives</t>
  </si>
  <si>
    <t xml:space="preserve">     - Transakcje pochodne walutowe</t>
  </si>
  <si>
    <t>Net income on interest rate derivatives</t>
  </si>
  <si>
    <t>Wynik na transakcjach pochodnych na stopę procentową</t>
  </si>
  <si>
    <t>Net income on debt instruments</t>
  </si>
  <si>
    <t>Wynik na instrumentach dłużnych</t>
  </si>
  <si>
    <t>Net income on securities derivatives</t>
  </si>
  <si>
    <t>Wynik na transakcjach pochodnych związanych z papierami wartościowymi</t>
  </si>
  <si>
    <t>Net income on equity instruments</t>
  </si>
  <si>
    <t>Wynik na instrumentach kapitałowych</t>
  </si>
  <si>
    <t>Result on measurement of loans to customers which are measured at fair value through profit or loss</t>
  </si>
  <si>
    <t>Wynik z tytułu wyceny kredytów i innych należności udzielonych klientom wycenianych do wartości godziwej przez rachunek zysków i strat</t>
  </si>
  <si>
    <t>Net income on equity instruments measured at fair value through profit or loss</t>
  </si>
  <si>
    <t>Wynik na instrumentach kapitałowych wycenianych według wartości godziwej przez wynik finansowy</t>
  </si>
  <si>
    <t>Net income on financial assets and liabilities measured at fair value upon initial recognition, of which:</t>
  </si>
  <si>
    <t>Wynik z tytułu aktywów i zobowiązań finansowych wycenianych wg wartości godziwej przy początkowym ujęciu, w tym:</t>
  </si>
  <si>
    <t xml:space="preserve"> - Net income on debt instruments</t>
  </si>
  <si>
    <t xml:space="preserve">     - Wynik na instrumentach dłużnych</t>
  </si>
  <si>
    <t xml:space="preserve"> - Net income on the measurement of the deposits designated to be measured at their fair value</t>
  </si>
  <si>
    <t xml:space="preserve">     - Wynik na wycenie lokat desygnowanych do wyceny według wartości godziwej</t>
  </si>
  <si>
    <t>w mln zł</t>
  </si>
  <si>
    <t>Net income on financial instruments measured at fair value through profit or loss and FX result</t>
  </si>
  <si>
    <t>Wynik na instrumentach finansowych wycenianych przez rachunek zysków i strat oraz wynik z pozycji wymiany</t>
  </si>
  <si>
    <t>Net income on the sale of securities measured at amortised cost</t>
  </si>
  <si>
    <t>Wynik na sprzedaży papierów wartościowych wycenianych wg zamortyzowanego kosztu</t>
  </si>
  <si>
    <t>Net income on the sale of securities measured at fair value through other comprehensive income</t>
  </si>
  <si>
    <t>Wynik na sprzedaży papierów wartościowych wycenianych w wartości godziwej przez inne całkowite dochody</t>
  </si>
  <si>
    <t>Net income on equity instruments available-for-sale</t>
  </si>
  <si>
    <t>Wynik na instrumentach kapitałowych dostępnych do sprzedaży</t>
  </si>
  <si>
    <t xml:space="preserve"> -</t>
  </si>
  <si>
    <t>Net income on debt instruments available-for-sale</t>
  </si>
  <si>
    <t>Wynik na instrumentach dłużnych dostępnych do sprzedaży</t>
  </si>
  <si>
    <t>Dividend income</t>
  </si>
  <si>
    <t>Przychody z tytułu dywidend</t>
  </si>
  <si>
    <t>Impairment losses</t>
  </si>
  <si>
    <t>Odpisy z tytułu trwałej utraty wartości</t>
  </si>
  <si>
    <t>Other</t>
  </si>
  <si>
    <t>Pozostałe</t>
  </si>
  <si>
    <t>Net income on investments</t>
  </si>
  <si>
    <t>Wynik na inwestycjach</t>
  </si>
  <si>
    <t>Fair value hedge accounting for securities</t>
  </si>
  <si>
    <t>Rachunkowość zabezpieczeń wartości godziwej papierów wartościowych</t>
  </si>
  <si>
    <t xml:space="preserve"> - valuation of the hedged transaction</t>
  </si>
  <si>
    <t xml:space="preserve">     - wycena transakcji zabezpieczanej </t>
  </si>
  <si>
    <t xml:space="preserve"> - valuation of the hedging transaction</t>
  </si>
  <si>
    <t xml:space="preserve">     - wycena transakcji zabezpieczającej</t>
  </si>
  <si>
    <t>Cash flow hedge accounting</t>
  </si>
  <si>
    <t>Rachunkowość zabezpieczeń przepływów pieniężnych</t>
  </si>
  <si>
    <t xml:space="preserve"> - ineffectiveness that arises from cash flow hedges</t>
  </si>
  <si>
    <t xml:space="preserve">     - nieefektywność wynikająca z zabezpieczeń przepływów pieniężnych</t>
  </si>
  <si>
    <t>Net income on hedge accounting</t>
  </si>
  <si>
    <t>Wynik na rachunkowości zabezpieczeń</t>
  </si>
  <si>
    <t>Net fees &amp; commission income</t>
  </si>
  <si>
    <t>Wynik z tytułu prowizji</t>
  </si>
  <si>
    <t xml:space="preserve">2Q </t>
  </si>
  <si>
    <t xml:space="preserve">3Q </t>
  </si>
  <si>
    <t xml:space="preserve">4Q </t>
  </si>
  <si>
    <t>Fees and commission income</t>
  </si>
  <si>
    <t xml:space="preserve">Przychody z tytułu prowizji </t>
  </si>
  <si>
    <t xml:space="preserve"> - the transaction margin on currency exchange transactions</t>
  </si>
  <si>
    <t xml:space="preserve"> - marża transakcyjna na transakcjach wymiany walut</t>
  </si>
  <si>
    <t xml:space="preserve"> - commission related to keeping accounts</t>
  </si>
  <si>
    <t xml:space="preserve"> - prowadzenie rachunków klientów</t>
  </si>
  <si>
    <t xml:space="preserve"> - commission related to payment and credit cards (net)</t>
  </si>
  <si>
    <t xml:space="preserve"> - karty płatnicze i kredytowe (netto)</t>
  </si>
  <si>
    <t xml:space="preserve"> - commission related to payment and credit cards (income)</t>
  </si>
  <si>
    <t xml:space="preserve"> - karty płatnicze i kredytowe - przychód</t>
  </si>
  <si>
    <t xml:space="preserve"> - commission related to payment and credit cards (costs)</t>
  </si>
  <si>
    <t xml:space="preserve"> - karty płatnicze i kredytowe - koszty</t>
  </si>
  <si>
    <t xml:space="preserve"> - commission related to loans</t>
  </si>
  <si>
    <t xml:space="preserve"> - udzielanie kredytów</t>
  </si>
  <si>
    <t xml:space="preserve"> - commission related to distribution of participation units</t>
  </si>
  <si>
    <t xml:space="preserve"> - dystrybucja jednostek uczestnictwa</t>
  </si>
  <si>
    <t xml:space="preserve"> - commission related to brokerage activity</t>
  </si>
  <si>
    <t xml:space="preserve"> - działalność maklerska</t>
  </si>
  <si>
    <t xml:space="preserve"> - fiduciary and custodian fees</t>
  </si>
  <si>
    <t xml:space="preserve"> - działalność powiernicza</t>
  </si>
  <si>
    <t xml:space="preserve"> - commission related to factoring agreements</t>
  </si>
  <si>
    <t xml:space="preserve"> - usługi faktoringowe i leasingowe</t>
  </si>
  <si>
    <t xml:space="preserve"> - foreign commercial business</t>
  </si>
  <si>
    <t xml:space="preserve"> - zagraniczne operacje handlowe</t>
  </si>
  <si>
    <t xml:space="preserve"> - commission related to insurance product offering</t>
  </si>
  <si>
    <t xml:space="preserve"> - oferowanie produktów ubezpieczeniowych</t>
  </si>
  <si>
    <t xml:space="preserve"> - commission related to subscription of structured products</t>
  </si>
  <si>
    <t xml:space="preserve"> - subskrypcja depozytów strukturyzowanych</t>
  </si>
  <si>
    <t xml:space="preserve"> - other</t>
  </si>
  <si>
    <t xml:space="preserve"> - pozostałe prowizje</t>
  </si>
  <si>
    <t>Total fees and comission income</t>
  </si>
  <si>
    <t>Razem przychody z tytułu prowizji</t>
  </si>
  <si>
    <t>Fees and commission expenses</t>
  </si>
  <si>
    <t xml:space="preserve">Koszty prowizji </t>
  </si>
  <si>
    <t>Net commission income</t>
  </si>
  <si>
    <t xml:space="preserve">Wynik z tytułu prowizji </t>
  </si>
  <si>
    <t>NIM</t>
  </si>
  <si>
    <t>Marża odsetkowa</t>
  </si>
  <si>
    <t>Interest earning assets</t>
  </si>
  <si>
    <t>Aktywa odsetkowe</t>
  </si>
  <si>
    <t>Interest bearing liabilities</t>
  </si>
  <si>
    <t>Pasywa odsetkowe</t>
  </si>
  <si>
    <t>NIM (quaterly)</t>
  </si>
  <si>
    <t>Marża odsetkowa (kwartalna)</t>
  </si>
  <si>
    <t>NIM (cumulative)</t>
  </si>
  <si>
    <t>Marża odsetkowa (skumulowana)</t>
  </si>
  <si>
    <t>Yield on interest assets (quaterly)</t>
  </si>
  <si>
    <t>Rentowność aktywów odsetkowych (kwartalna)</t>
  </si>
  <si>
    <t>Yield on interest assets (cumulative)</t>
  </si>
  <si>
    <t>Rentowność aktywów odsetkowych (skumulowana)</t>
  </si>
  <si>
    <t>Cost of funding (quaterly)</t>
  </si>
  <si>
    <t>Koszt finansowania (kwartlany)</t>
  </si>
  <si>
    <t>Cost of funding (cumulative)</t>
  </si>
  <si>
    <t>Koszt finansowania (skumulowany)</t>
  </si>
  <si>
    <t>CONSOLIDATED INCOME STATEMENT
Retail customers segment</t>
  </si>
  <si>
    <t>SKONSOLIDOWANY RACHUNEK ZYSKÓW I STRAT
Segment klientów detalicznych</t>
  </si>
  <si>
    <t>Revenue total*</t>
  </si>
  <si>
    <t>Dochody ogółem*</t>
  </si>
  <si>
    <t xml:space="preserve">   Net interest income</t>
  </si>
  <si>
    <t xml:space="preserve">   wynik z tytułu odsetek</t>
  </si>
  <si>
    <t xml:space="preserve">   Net commission income</t>
  </si>
  <si>
    <t xml:space="preserve">   wynik z tytułu prowizji</t>
  </si>
  <si>
    <t xml:space="preserve">   Other income/expenses</t>
  </si>
  <si>
    <t xml:space="preserve">   pozostałe przychody/koszty</t>
  </si>
  <si>
    <t xml:space="preserve">   Share in net profit (loss) of associated entities recognised under the equity method</t>
  </si>
  <si>
    <t xml:space="preserve">   udział w zyskach (stratach) netto jednostek stowarzyszonych wykazywanych metodą praw własności</t>
  </si>
  <si>
    <t>Expenses total</t>
  </si>
  <si>
    <t>Koszty ogółem</t>
  </si>
  <si>
    <t xml:space="preserve">   Personnel expenses</t>
  </si>
  <si>
    <t xml:space="preserve">   koszty osobowe</t>
  </si>
  <si>
    <t xml:space="preserve">   Depreciation</t>
  </si>
  <si>
    <t xml:space="preserve">   amortyzacja</t>
  </si>
  <si>
    <t xml:space="preserve">   Other</t>
  </si>
  <si>
    <t xml:space="preserve">   pozostałe</t>
  </si>
  <si>
    <t>Operating result</t>
  </si>
  <si>
    <t>Wynik operacyjny</t>
  </si>
  <si>
    <t>odpisy z tytułu strat oczekiwanych</t>
  </si>
  <si>
    <t>Legal cost of risk for FX-mortgage loans</t>
  </si>
  <si>
    <t>koszty ryzyka prawnego walutowych kredytów hipotecznych</t>
  </si>
  <si>
    <t>Tax on certain financial institutions</t>
  </si>
  <si>
    <t>podatek od niektórych instytucji finansowych</t>
  </si>
  <si>
    <t>Result before tax</t>
  </si>
  <si>
    <t>Wynik brutto</t>
  </si>
  <si>
    <t>*/ including the share in net profit of affiliated units shown using the method of ownership rights</t>
  </si>
  <si>
    <t>*/ włączając udział w zyskach netto jednostek stowarzyszonych wykazywanych metodą praw własności</t>
  </si>
  <si>
    <r>
      <t>Comparable data pro-forma</t>
    </r>
    <r>
      <rPr>
        <b/>
        <sz val="12"/>
        <color indexed="12"/>
        <rFont val="Arial"/>
        <family val="2"/>
        <charset val="238"/>
      </rPr>
      <t/>
    </r>
  </si>
  <si>
    <t>CONSOLIDATED INCOME STATEMENT
Corporate customers segment</t>
  </si>
  <si>
    <t>SKONSOLIDOWANY RACHUNEK ZYSKÓW I STRAT
Segment bankowości korporacyjnej</t>
  </si>
  <si>
    <t>Share in net profit (loss) of associated entities recognised under the equity method</t>
  </si>
  <si>
    <t>udział w zyskach (stratach) netto jednostek stowarzyszonych wykazywanych metodą praw własności</t>
  </si>
  <si>
    <t>CONSOLIDATED INCOME STATEMENT
of the ING Bank Śląski Group S.A.</t>
  </si>
  <si>
    <t>SKONSOLIDOWANY RACHUNEK ZYSKÓW I STRAT
Grupy Kapitałowej ING Banku Śląskiego S.A.</t>
  </si>
  <si>
    <t xml:space="preserve"> - Interest income</t>
  </si>
  <si>
    <t xml:space="preserve"> - Przychody z tytułu odsetek w tym</t>
  </si>
  <si>
    <t xml:space="preserve">    Interest income on assets measured at amortised cost</t>
  </si>
  <si>
    <t xml:space="preserve">    przychody odsetkowe od aktywów wycenianych wg zamortyzowanego kosztu</t>
  </si>
  <si>
    <t xml:space="preserve">    Other interest income</t>
  </si>
  <si>
    <t xml:space="preserve">    pozostałe przychody odsetkowe</t>
  </si>
  <si>
    <t xml:space="preserve"> - Interest expenses</t>
  </si>
  <si>
    <t xml:space="preserve"> - Koszty odsetek</t>
  </si>
  <si>
    <t>Net interest income</t>
  </si>
  <si>
    <t>Wynik z tytułu odsetek</t>
  </si>
  <si>
    <t xml:space="preserve"> - Commission income</t>
  </si>
  <si>
    <t xml:space="preserve"> - Przychody z tytułu prowizji</t>
  </si>
  <si>
    <t xml:space="preserve"> - Commission expenses</t>
  </si>
  <si>
    <t xml:space="preserve"> - Koszty prowizji</t>
  </si>
  <si>
    <t xml:space="preserve"> - Net income on financial instruments measured at fair value through profit or loss and FX result</t>
  </si>
  <si>
    <t xml:space="preserve"> - Wynik na instrumentach finansowych wycenianych przez rachunek zysków i strat oraz wynik z pozycji wymiany</t>
  </si>
  <si>
    <t xml:space="preserve"> - Net income on the sale of securities and dividend income</t>
  </si>
  <si>
    <t xml:space="preserve"> - Wynik na sprzedaży papierów wartościowych oraz przychody z tytułu dywidend</t>
  </si>
  <si>
    <t xml:space="preserve"> - Net income on investments</t>
  </si>
  <si>
    <t xml:space="preserve"> - Wynik na inwestycjach</t>
  </si>
  <si>
    <t xml:space="preserve"> - Net income on hedge accounting</t>
  </si>
  <si>
    <t xml:space="preserve"> - Wynik na rachunkowości zabezpieczeń</t>
  </si>
  <si>
    <t xml:space="preserve"> - Net income on other basic activities</t>
  </si>
  <si>
    <t xml:space="preserve"> - Wynik na pozostałej działalności podstawowej</t>
  </si>
  <si>
    <t>Result on basic activities</t>
  </si>
  <si>
    <t>Wynik na działalności podstawowej</t>
  </si>
  <si>
    <t xml:space="preserve"> - General and administrative expenses</t>
  </si>
  <si>
    <t xml:space="preserve"> - Koszty działania banku </t>
  </si>
  <si>
    <t xml:space="preserve"> - Tax on certain financial institutions</t>
  </si>
  <si>
    <t xml:space="preserve"> - Podatek od niektórych instytucji finansowych</t>
  </si>
  <si>
    <t xml:space="preserve"> - Impairment losses and provisions for off-balance sheet liabilities</t>
  </si>
  <si>
    <t xml:space="preserve"> - Odpisy na utratę wartości aktywów finansowych i rezerwy na zobowiązania pozabilansowe</t>
  </si>
  <si>
    <t xml:space="preserve"> - Impairment for expected losses</t>
  </si>
  <si>
    <t xml:space="preserve"> - Odpisy z tytułu strat oczekiwanych</t>
  </si>
  <si>
    <t xml:space="preserve"> - Legal cost of risk for FX-mortgage loans</t>
  </si>
  <si>
    <t xml:space="preserve"> - Koszty ryzyka prawnego walutowych kredytów hipotecznych</t>
  </si>
  <si>
    <t xml:space="preserve"> - Share in net profit (loss) of associated entities recognised under the equity method</t>
  </si>
  <si>
    <t xml:space="preserve"> - Udział w zyskach netto jednostek stowarzyszonych wycenianych metodą praw własności</t>
  </si>
  <si>
    <t>Profit (loss) before tax</t>
  </si>
  <si>
    <t xml:space="preserve">Zysk (strata) brutto </t>
  </si>
  <si>
    <t xml:space="preserve"> - Income tax</t>
  </si>
  <si>
    <t xml:space="preserve"> - Podatek dochodowy </t>
  </si>
  <si>
    <t>Net profit (loss) from continuing operations</t>
  </si>
  <si>
    <t>Zysk (strata) netto</t>
  </si>
  <si>
    <t xml:space="preserve"> - Net profit (loss) attributable to shareholders of ING Bank Śląski S.A.</t>
  </si>
  <si>
    <t xml:space="preserve">   - przypadający akcjonariuszom ING Banku Śląskiego S.A.</t>
  </si>
  <si>
    <t xml:space="preserve"> - attributable to non-controlling interests</t>
  </si>
  <si>
    <t xml:space="preserve">   - przypadający akcjonariuszom niekontrolującym</t>
  </si>
  <si>
    <t>Net profit for the period</t>
  </si>
  <si>
    <t>Zysk netto za okres sprawozdawczy</t>
  </si>
  <si>
    <t>Total other comprehensive income, including:</t>
  </si>
  <si>
    <t>Pozostałe całkowite dochody netto, w tym:</t>
  </si>
  <si>
    <t>Items which can be reclassified to income statement, including:</t>
  </si>
  <si>
    <t>Pozycje, które mogą być przeklasyfikowane do rachunku zysków i strat, w tym:</t>
  </si>
  <si>
    <t xml:space="preserve"> - debt instruments measured at fair value through other comprehensive income – gains/(losses) on revaluation carried through equity</t>
  </si>
  <si>
    <t xml:space="preserve"> - dłużne papiery wartościowe wyceniane według wartości godziwej przez inne całkowite dochody – zyski / straty z rewaluacji odnoszone na kapitał własny</t>
  </si>
  <si>
    <t xml:space="preserve"> - debt instruments measured at fair value through other comprehensive income – reclassification to the financial result due to sale</t>
  </si>
  <si>
    <t xml:space="preserve"> - dłużne papiery wartościowe wyceniane według wartości godziwej przez inne całkowite dochody – przeniesienie na wynik finansowy w związku ze sprzedażą </t>
  </si>
  <si>
    <t xml:space="preserve"> - cash flow hedging – gains/(losses) on revaluation carried through equity</t>
  </si>
  <si>
    <t xml:space="preserve"> - zabezpieczenie przepływów pieniężnych – zyski / straty z rewaluacji odnoszone na kapitał własny</t>
  </si>
  <si>
    <t xml:space="preserve"> - cash flow hedging – reclassification to profit or loss</t>
  </si>
  <si>
    <t xml:space="preserve"> - zabezpieczenie przepływów pieniężnych – przeniesienie do zysku lub straty</t>
  </si>
  <si>
    <t>Items which will not be reclassified to income statement, including:</t>
  </si>
  <si>
    <t>Pozycje, które nie zostaną przeklasyfikowane do rachunku zysków i strat, w tym:</t>
  </si>
  <si>
    <t xml:space="preserve"> - equity instruments measured at fair value through other comprehensive income – gains/(losses) on revaluation carried through equity</t>
  </si>
  <si>
    <t xml:space="preserve"> - kapitałowe instrumenty finansowe wyceniane według wartości godziwej przez inne całkowite dochody – zyski / straty z rewaluacji odnoszone na kapitał własny</t>
  </si>
  <si>
    <t xml:space="preserve"> - revaluation of tangible fixed assets</t>
  </si>
  <si>
    <t xml:space="preserve"> - aktualizacja wyceny rzeczowych aktywów trwałych</t>
  </si>
  <si>
    <t xml:space="preserve"> - disposal of fixed asset</t>
  </si>
  <si>
    <t xml:space="preserve"> - zbycie rzeczowych aktywów trwałych</t>
  </si>
  <si>
    <t xml:space="preserve"> - actuarial gains / losses</t>
  </si>
  <si>
    <t xml:space="preserve"> - zyski / straty aktuarialne</t>
  </si>
  <si>
    <t>Net comprehensive income for the reporting period, including:</t>
  </si>
  <si>
    <t>Całkowity dochód netto za okres sprawozdawczy</t>
  </si>
  <si>
    <t xml:space="preserve"> - attributable to shareholders of ING Bank Śląski S.A.</t>
  </si>
  <si>
    <t xml:space="preserve"> - w tym przypadający akcjonariuszom ING Banku Śląskiego S.A.</t>
  </si>
  <si>
    <t>Key financial and business information</t>
  </si>
  <si>
    <t>Kluczowe informacje finansowe i biznesowe</t>
  </si>
  <si>
    <t>P&amp;L:</t>
  </si>
  <si>
    <t>Wynik finansowy:</t>
  </si>
  <si>
    <r>
      <t xml:space="preserve">Income </t>
    </r>
    <r>
      <rPr>
        <vertAlign val="superscript"/>
        <sz val="8"/>
        <rFont val="ING Me"/>
        <charset val="238"/>
      </rPr>
      <t>1</t>
    </r>
  </si>
  <si>
    <r>
      <t xml:space="preserve">Dochody </t>
    </r>
    <r>
      <rPr>
        <vertAlign val="superscript"/>
        <sz val="8"/>
        <rFont val="ING Me"/>
        <charset val="238"/>
      </rPr>
      <t>1</t>
    </r>
  </si>
  <si>
    <t>Costs</t>
  </si>
  <si>
    <t>Koszty</t>
  </si>
  <si>
    <t>Risk costs including legal cost of risk for FX-mortgage loans</t>
  </si>
  <si>
    <t>Koszty ryzyka łącznie z kosztami ryzyka prawnego walutowych kredytów hipotecznych</t>
  </si>
  <si>
    <t>Gross profit</t>
  </si>
  <si>
    <t>Zysk brutto</t>
  </si>
  <si>
    <r>
      <t xml:space="preserve">Net profit </t>
    </r>
    <r>
      <rPr>
        <vertAlign val="superscript"/>
        <sz val="8"/>
        <rFont val="ING Me"/>
        <charset val="238"/>
      </rPr>
      <t>2</t>
    </r>
  </si>
  <si>
    <r>
      <t xml:space="preserve">Zysk netto </t>
    </r>
    <r>
      <rPr>
        <vertAlign val="superscript"/>
        <sz val="8"/>
        <rFont val="ING Me"/>
        <charset val="238"/>
      </rPr>
      <t>2</t>
    </r>
  </si>
  <si>
    <t>BS:</t>
  </si>
  <si>
    <t>Dane bilansowe:</t>
  </si>
  <si>
    <t>Balance sheet total</t>
  </si>
  <si>
    <t>Suma bilansowa</t>
  </si>
  <si>
    <r>
      <t xml:space="preserve">Loans and receivables to customers (net) </t>
    </r>
    <r>
      <rPr>
        <vertAlign val="superscript"/>
        <sz val="8"/>
        <rFont val="ING Me"/>
        <charset val="238"/>
      </rPr>
      <t>3</t>
    </r>
    <r>
      <rPr>
        <sz val="8"/>
        <rFont val="ING Me"/>
        <charset val="238"/>
      </rPr>
      <t>, of which:</t>
    </r>
  </si>
  <si>
    <r>
      <t>Kredyty i inne należności udzielone klientom netto</t>
    </r>
    <r>
      <rPr>
        <vertAlign val="superscript"/>
        <sz val="8"/>
        <rFont val="ING Me"/>
        <charset val="238"/>
      </rPr>
      <t xml:space="preserve"> 3</t>
    </r>
    <r>
      <rPr>
        <sz val="8"/>
        <rFont val="ING Me"/>
        <charset val="238"/>
      </rPr>
      <t>,</t>
    </r>
    <r>
      <rPr>
        <vertAlign val="superscript"/>
        <sz val="8"/>
        <rFont val="ING Me"/>
        <charset val="238"/>
      </rPr>
      <t xml:space="preserve"> </t>
    </r>
    <r>
      <rPr>
        <sz val="8"/>
        <rFont val="ING Me"/>
        <charset val="238"/>
      </rPr>
      <t>w tym:</t>
    </r>
  </si>
  <si>
    <t xml:space="preserve">     Loans</t>
  </si>
  <si>
    <t xml:space="preserve">   Kredyty </t>
  </si>
  <si>
    <t xml:space="preserve">     Leasing receivables</t>
  </si>
  <si>
    <t xml:space="preserve">   Należności leasingowe</t>
  </si>
  <si>
    <t xml:space="preserve">     Factoring receivables</t>
  </si>
  <si>
    <t xml:space="preserve">   Należności faktoringowe</t>
  </si>
  <si>
    <r>
      <t xml:space="preserve">Equity </t>
    </r>
    <r>
      <rPr>
        <vertAlign val="superscript"/>
        <sz val="8"/>
        <rFont val="ING Me"/>
        <charset val="238"/>
      </rPr>
      <t>4</t>
    </r>
  </si>
  <si>
    <r>
      <t xml:space="preserve">Kapitały własne </t>
    </r>
    <r>
      <rPr>
        <vertAlign val="superscript"/>
        <sz val="8"/>
        <rFont val="ING Me"/>
        <charset val="238"/>
      </rPr>
      <t>4</t>
    </r>
  </si>
  <si>
    <t>Total capital ratio (consolidated) as %</t>
  </si>
  <si>
    <t>Łączny współczynnik kapitałowy w % (skonsolidowany)</t>
  </si>
  <si>
    <t>Total capital ratio (standalone) as %</t>
  </si>
  <si>
    <t>Łączny współczynnik kapitałowy w % (jednostkowy)</t>
  </si>
  <si>
    <t>MREL - TREA (standalone) as %</t>
  </si>
  <si>
    <t>MREL - TREA w % (jednostkowy)</t>
  </si>
  <si>
    <t>LR (consolidated) as %</t>
  </si>
  <si>
    <t>Wskaźnik dzwigni w % (skonsolidowany)</t>
  </si>
  <si>
    <t>LCR (consolidated) as %</t>
  </si>
  <si>
    <t>LCR w % (skonsolidowany)</t>
  </si>
  <si>
    <t>NSFR (consolidated) as %</t>
  </si>
  <si>
    <t>NSFR w % (skonsolidowany)</t>
  </si>
  <si>
    <t>Basic ratios:</t>
  </si>
  <si>
    <t>Podstawowe wskaźniki:</t>
  </si>
  <si>
    <t>Net profit/ Balance sheet total (ROA) as %</t>
  </si>
  <si>
    <t>Zysk netto/suma bilansowa (ROA) w %</t>
  </si>
  <si>
    <t>Net profit/ Equity (ROE) as %</t>
  </si>
  <si>
    <t>Zysk netto/Kapitały (ROE) w %</t>
  </si>
  <si>
    <t>Cost (no bank levy)/Income ratio (C/I) as %</t>
  </si>
  <si>
    <t>Koszty (bez podatku bankowego)/Dochody w %</t>
  </si>
  <si>
    <t>Cost (no bank levy)/Income ratio (C/I) as % - cumulatively</t>
  </si>
  <si>
    <t>Koszty (bez podatku bankowego)/Dochody w % - narastająco</t>
  </si>
  <si>
    <r>
      <t xml:space="preserve">Net interest margin (NIM) as % </t>
    </r>
    <r>
      <rPr>
        <vertAlign val="superscript"/>
        <sz val="8"/>
        <rFont val="ING Me"/>
        <charset val="238"/>
      </rPr>
      <t>5</t>
    </r>
  </si>
  <si>
    <r>
      <t xml:space="preserve">Marża odsetkowa netto w % </t>
    </r>
    <r>
      <rPr>
        <vertAlign val="superscript"/>
        <sz val="8"/>
        <rFont val="ING Me"/>
        <charset val="238"/>
      </rPr>
      <t>5</t>
    </r>
  </si>
  <si>
    <t>Information for investors and shareholders:</t>
  </si>
  <si>
    <t xml:space="preserve">Informacje dla inwestorów i akcjonariuszy: </t>
  </si>
  <si>
    <r>
      <t xml:space="preserve">Number of shares </t>
    </r>
    <r>
      <rPr>
        <vertAlign val="superscript"/>
        <sz val="8"/>
        <rFont val="ING Me"/>
        <charset val="238"/>
      </rPr>
      <t>6</t>
    </r>
  </si>
  <si>
    <r>
      <t xml:space="preserve">Liczba akcji </t>
    </r>
    <r>
      <rPr>
        <vertAlign val="superscript"/>
        <sz val="8"/>
        <rFont val="ING Me"/>
        <charset val="238"/>
      </rPr>
      <t>6</t>
    </r>
  </si>
  <si>
    <t>Net book value</t>
  </si>
  <si>
    <t>Wartość księgowa</t>
  </si>
  <si>
    <t>Net book value per share in PLN</t>
  </si>
  <si>
    <t>Wartość księgowa na jedną akcję w zł</t>
  </si>
  <si>
    <t>Earnings per 1 share in PLN</t>
  </si>
  <si>
    <t>Zysk na 1 akcję w zł</t>
  </si>
  <si>
    <t>Market capitalisation</t>
  </si>
  <si>
    <t>Kapitalizacja giełdowa</t>
  </si>
  <si>
    <t>Share price in PLN</t>
  </si>
  <si>
    <t>Kurs akcji w zł</t>
  </si>
  <si>
    <t>Other quantitative data:</t>
  </si>
  <si>
    <t>Pozostałe dane ilościowe:</t>
  </si>
  <si>
    <t>Number of retail clients in thousands</t>
  </si>
  <si>
    <t>Liczba klientów detalicznych w tys.</t>
  </si>
  <si>
    <t>Total number of clients in thousands</t>
  </si>
  <si>
    <t>Łączna liczba klientów w tys.</t>
  </si>
  <si>
    <t>Liczba placówek</t>
  </si>
  <si>
    <t>Number of employees</t>
  </si>
  <si>
    <t>Liczba pracowników</t>
  </si>
  <si>
    <r>
      <t>1</t>
    </r>
    <r>
      <rPr>
        <i/>
        <sz val="8"/>
        <color indexed="8"/>
        <rFont val="ING Me"/>
        <charset val="238"/>
      </rPr>
      <t xml:space="preserve"> Including net profit of affiliated entities recognised on an equity basis.</t>
    </r>
  </si>
  <si>
    <r>
      <t>1</t>
    </r>
    <r>
      <rPr>
        <i/>
        <sz val="8"/>
        <color indexed="8"/>
        <rFont val="ING Me"/>
        <charset val="238"/>
      </rPr>
      <t xml:space="preserve"> Łącznie z zyskiem netto jednostek stowarzyszonych wykazywanych metodą praw własności. </t>
    </r>
  </si>
  <si>
    <r>
      <rPr>
        <i/>
        <vertAlign val="superscript"/>
        <sz val="8"/>
        <rFont val="ING Me"/>
        <charset val="238"/>
      </rPr>
      <t>2</t>
    </r>
    <r>
      <rPr>
        <i/>
        <sz val="8"/>
        <rFont val="ING Me"/>
        <charset val="238"/>
      </rPr>
      <t xml:space="preserve"> Attributable to the shareholders of the parent entity.</t>
    </r>
  </si>
  <si>
    <r>
      <rPr>
        <i/>
        <vertAlign val="superscript"/>
        <sz val="8"/>
        <color indexed="8"/>
        <rFont val="ING Me"/>
        <charset val="238"/>
      </rPr>
      <t xml:space="preserve">2 </t>
    </r>
    <r>
      <rPr>
        <i/>
        <sz val="8"/>
        <color indexed="8"/>
        <rFont val="ING Me"/>
        <charset val="238"/>
      </rPr>
      <t>Przypadający na akcjonariuszy jednostki dominującej.</t>
    </r>
  </si>
  <si>
    <r>
      <t>3</t>
    </r>
    <r>
      <rPr>
        <i/>
        <sz val="8"/>
        <color indexed="8"/>
        <rFont val="ING Me"/>
        <charset val="238"/>
      </rPr>
      <t xml:space="preserve"> Excluding T-eurobonds</t>
    </r>
  </si>
  <si>
    <r>
      <t>3</t>
    </r>
    <r>
      <rPr>
        <i/>
        <sz val="8"/>
        <color indexed="8"/>
        <rFont val="ING Me"/>
        <charset val="238"/>
      </rPr>
      <t xml:space="preserve"> Z wyłączeniem portfela Euroobligacji</t>
    </r>
  </si>
  <si>
    <r>
      <t>4</t>
    </r>
    <r>
      <rPr>
        <i/>
        <sz val="8"/>
        <color indexed="8"/>
        <rFont val="ING Me"/>
        <charset val="238"/>
      </rPr>
      <t xml:space="preserve"> Equity of the parent entity</t>
    </r>
  </si>
  <si>
    <r>
      <t>4</t>
    </r>
    <r>
      <rPr>
        <i/>
        <sz val="8"/>
        <color indexed="8"/>
        <rFont val="ING Me"/>
        <charset val="238"/>
      </rPr>
      <t xml:space="preserve"> Kapitały własne jednostki dominującej </t>
    </r>
  </si>
  <si>
    <r>
      <t>5</t>
    </r>
    <r>
      <rPr>
        <i/>
        <sz val="8"/>
        <color indexed="8"/>
        <rFont val="ING Me"/>
        <charset val="238"/>
      </rPr>
      <t xml:space="preserve"> Sum of NII of 4 consecutive quarters / average interest bearing assets of 5 consecutive quarters</t>
    </r>
  </si>
  <si>
    <r>
      <t>5</t>
    </r>
    <r>
      <rPr>
        <i/>
        <sz val="8"/>
        <color indexed="8"/>
        <rFont val="ING Me"/>
        <charset val="238"/>
      </rPr>
      <t xml:space="preserve"> Suma wyniku odsetkowego dla 4 kolejnych kwartałów / średnia wartośc aktywów odsetkowych dla 5 kolejnych kwartałów</t>
    </r>
  </si>
  <si>
    <r>
      <t>6</t>
    </r>
    <r>
      <rPr>
        <i/>
        <sz val="8"/>
        <color indexed="8"/>
        <rFont val="ING Me"/>
        <charset val="238"/>
      </rPr>
      <t xml:space="preserve"> After making figures comparable (1:10 split in Q4 2011)</t>
    </r>
  </si>
  <si>
    <r>
      <t>6</t>
    </r>
    <r>
      <rPr>
        <i/>
        <sz val="8"/>
        <color indexed="8"/>
        <rFont val="ING Me"/>
        <charset val="238"/>
      </rPr>
      <t xml:space="preserve"> Po doprowadzeniu do porównywalności (podział w stosunku 1:10 w IV kwartale 2011 roku)</t>
    </r>
  </si>
  <si>
    <t>ING Bank Śląski S.A.</t>
  </si>
  <si>
    <t>Spis treści</t>
  </si>
  <si>
    <t>Table of content</t>
  </si>
  <si>
    <t>Kluczowe informacje</t>
  </si>
  <si>
    <t>Key data</t>
  </si>
  <si>
    <t>Rachunek zysków i strat</t>
  </si>
  <si>
    <t>Profit and loss statement</t>
  </si>
  <si>
    <t>Rachunek zysków i strat - segment korporacyjny</t>
  </si>
  <si>
    <t>Profit and loss statement - corporate segment</t>
  </si>
  <si>
    <t>Rachunek zysków i strat - segment detaliczny</t>
  </si>
  <si>
    <t>Profit and loss statement - retail segment</t>
  </si>
  <si>
    <t>Net interest margin</t>
  </si>
  <si>
    <t>Wynik z tytułu opłat i prowizji</t>
  </si>
  <si>
    <t>Net fee and commission income</t>
  </si>
  <si>
    <t>Pozostałe dochody</t>
  </si>
  <si>
    <t>Other income</t>
  </si>
  <si>
    <t>Sprawozdanie z sytuacji finansowej</t>
  </si>
  <si>
    <t>Balance sheet statement</t>
  </si>
  <si>
    <t>Portfel kredytowy</t>
  </si>
  <si>
    <t>Loan portfolio</t>
  </si>
  <si>
    <t>Jakość portfela kredytowego</t>
  </si>
  <si>
    <t>Loan portfolio quality</t>
  </si>
  <si>
    <t>Portfel depozytów</t>
  </si>
  <si>
    <t>Deposit portfolio</t>
  </si>
  <si>
    <t>Total Capital Ratio</t>
  </si>
  <si>
    <t>Portfel kredytowy - poprzedni układ</t>
  </si>
  <si>
    <t xml:space="preserve">Loan portfolio - previous layout </t>
  </si>
  <si>
    <t>Portfel depozytów  - poprzedni układ</t>
  </si>
  <si>
    <t xml:space="preserve">Deposit portfolio  - previous layout </t>
  </si>
  <si>
    <t>Łączny współczynnik kapitałowy - poprzedni układ</t>
  </si>
  <si>
    <t>Total Capital Ratio - previous layout</t>
  </si>
  <si>
    <t>Interest income on assets measured at amortised cost, including:</t>
  </si>
  <si>
    <t>Przychody odsetkowe od aktywów wycenianych w zamortyzowanym koszcie w tym:</t>
  </si>
  <si>
    <t xml:space="preserve"> - Interest on loans and receivables to other banks measured at amortised cost</t>
  </si>
  <si>
    <t xml:space="preserve"> - odsetki od kredytów i innych należności udzielonych innym bankom wycenianych zamortyzowanym kosztem</t>
  </si>
  <si>
    <t xml:space="preserve"> - Interest on loans and receivables to customers measured at amortised cost</t>
  </si>
  <si>
    <t xml:space="preserve"> - odsetki od kredytów i innych należności udzielonych klientom wycenianych zamortyzowanym kosztem</t>
  </si>
  <si>
    <t>- the impact of the adjustment to the gross carrying amount of loans due to credit moratoria</t>
  </si>
  <si>
    <t>- wpływ korekty wartości bilansowej brutto kredytów z tytułu moratoriów kredytowych</t>
  </si>
  <si>
    <t xml:space="preserve"> - Interest on securities measured at amortised cost</t>
  </si>
  <si>
    <t xml:space="preserve"> - odsetki od papierów wartościowych wycenianych zamortyzowanym kosztem</t>
  </si>
  <si>
    <t xml:space="preserve"> - Interest on securities measured through other comprehensive income</t>
  </si>
  <si>
    <t xml:space="preserve"> - odsetki od papierów wartościowych wycenianych przez inne całkowite dochody</t>
  </si>
  <si>
    <t>Other interest income, including:</t>
  </si>
  <si>
    <t>Pozostałe przychody odsetkowe tym</t>
  </si>
  <si>
    <t xml:space="preserve"> - Interest on loans and receivables to clients measured at fair value through profit or lost</t>
  </si>
  <si>
    <t xml:space="preserve"> - odsetki od kredytów i innych należności udzielonych klientom wycenianych do wartości godziwej przez rachunek zysków i strat</t>
  </si>
  <si>
    <t xml:space="preserve"> - interest income related to the settlement of valuations of cash flow hedging derivatives</t>
  </si>
  <si>
    <t xml:space="preserve"> - przychody o charakterze odsetkowym powiązane z rozliczeniem wycen instrumentów pochodnych zabezpieczających przepływy pieniężne</t>
  </si>
  <si>
    <t xml:space="preserve"> - Interest on available-for-sale debt securities</t>
  </si>
  <si>
    <t xml:space="preserve"> - odsetki od aktywów finansowych dostepnych do sprzedaży</t>
  </si>
  <si>
    <t xml:space="preserve"> - Interest on debt securities held for trading</t>
  </si>
  <si>
    <t xml:space="preserve"> - odsetki od aktywów finansowych przeznaczonych do obrotu</t>
  </si>
  <si>
    <t xml:space="preserve"> - Interest on held-to-maturity debt securities</t>
  </si>
  <si>
    <t xml:space="preserve"> - odsetki od aktywów finansowych utrzymywanych do terminu wymagalności</t>
  </si>
  <si>
    <t xml:space="preserve"> - Interest on debt securities designated as fair value at initial recognition</t>
  </si>
  <si>
    <t xml:space="preserve"> - odsetki od aktywów finansowych desygnowanych do wyceny do wartości godziwej przy początkowym ujęciu</t>
  </si>
  <si>
    <t xml:space="preserve"> - Net interest result on derivatives</t>
  </si>
  <si>
    <t xml:space="preserve"> - wynik odsetkowy na instrumentach pochodnych</t>
  </si>
  <si>
    <t xml:space="preserve"> - inne</t>
  </si>
  <si>
    <t>Total interest income</t>
  </si>
  <si>
    <t>Razem przychody z tytułu odsetek</t>
  </si>
  <si>
    <t>Interest expenses</t>
  </si>
  <si>
    <t>Koszty odsetek</t>
  </si>
  <si>
    <t xml:space="preserve"> - Interest on deposits from banks</t>
  </si>
  <si>
    <t xml:space="preserve"> - odsetki od zobowiązań wobec innych banków</t>
  </si>
  <si>
    <t xml:space="preserve"> - Interest on deposits from customers</t>
  </si>
  <si>
    <t xml:space="preserve"> - odsetki od zobowiązań wobec klientów</t>
  </si>
  <si>
    <t xml:space="preserve"> - Interest on issue of debt securities</t>
  </si>
  <si>
    <t xml:space="preserve"> - odsetki od zobowiązań z tytułu emisji papierów wartościowych</t>
  </si>
  <si>
    <t xml:space="preserve"> - Interest on subordinated liabilities</t>
  </si>
  <si>
    <t>- odsetki od zobowiązań podporządkowanych</t>
  </si>
  <si>
    <t xml:space="preserve"> - Interest on financial liabilities held for trading</t>
  </si>
  <si>
    <t xml:space="preserve"> - odsetki od zobowiązań finansowych przeznaczonych do obrotu</t>
  </si>
  <si>
    <t xml:space="preserve"> - Interest on leasing liabilities</t>
  </si>
  <si>
    <t xml:space="preserve"> - odsetki od zobowiązań leasingowych</t>
  </si>
  <si>
    <t xml:space="preserve"> - interest cost related to the settlement of valuations of cash flow hedging derivatives</t>
  </si>
  <si>
    <t xml:space="preserve"> - koszty o charakterze odsetkowym powiązane z rozliczeniem wycen instrumentów pochodnych zabezpieczających przepływy pieniężne</t>
  </si>
  <si>
    <t>Total interest expenses</t>
  </si>
  <si>
    <t>Razem koszty odsetek</t>
  </si>
  <si>
    <r>
      <t xml:space="preserve">Obroty faktoringowe (mln zł) - ING ComFin </t>
    </r>
    <r>
      <rPr>
        <sz val="8"/>
        <color rgb="FF333333"/>
        <rFont val="ING Me"/>
        <charset val="238"/>
      </rPr>
      <t>- rachunkowość zarządcza</t>
    </r>
  </si>
  <si>
    <r>
      <t>Sprzedaż leasingu (mln zł) - ING Lease</t>
    </r>
    <r>
      <rPr>
        <sz val="8"/>
        <color rgb="FF333333"/>
        <rFont val="ING Me"/>
        <charset val="238"/>
      </rPr>
      <t xml:space="preserve"> - rachunkowość zarządcza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</si>
</sst>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
    <numFmt numFmtId="166" formatCode="0.0%"/>
    <numFmt numFmtId="167" formatCode="0.0000%"/>
    <numFmt numFmtId="168" formatCode="0.0"/>
  </numFmts>
  <fonts count="70">
    <font>
      <sz val="11"/>
      <color theme="1"/>
      <name val="Calibri"/>
      <family val="2"/>
      <charset val="238"/>
      <scheme val="minor"/>
    </font>
    <font>
      <sz val="11"/>
      <color theme="1"/>
      <name val="Calibri"/>
      <family val="2"/>
      <charset val="238"/>
      <scheme val="minor"/>
    </font>
    <font>
      <u/>
      <sz val="10"/>
      <color theme="10"/>
      <name val="Arial CE"/>
      <charset val="238"/>
    </font>
    <font>
      <b/>
      <u/>
      <sz val="11"/>
      <color rgb="FFFF6200"/>
      <name val="Arial CE"/>
      <charset val="238"/>
    </font>
    <font>
      <sz val="10"/>
      <name val="Arial CE"/>
      <charset val="238"/>
    </font>
    <font>
      <sz val="10"/>
      <name val="ING Me"/>
      <charset val="238"/>
    </font>
    <font>
      <b/>
      <sz val="10"/>
      <name val="ING Me"/>
      <charset val="238"/>
    </font>
    <font>
      <i/>
      <sz val="8"/>
      <name val="ING Me"/>
      <charset val="238"/>
    </font>
    <font>
      <b/>
      <sz val="12"/>
      <color indexed="10"/>
      <name val="ING Me"/>
      <charset val="238"/>
    </font>
    <font>
      <b/>
      <sz val="12"/>
      <color indexed="9"/>
      <name val="ING Me"/>
      <charset val="238"/>
    </font>
    <font>
      <b/>
      <sz val="8"/>
      <color indexed="9"/>
      <name val="ING Me"/>
      <charset val="238"/>
    </font>
    <font>
      <b/>
      <sz val="8"/>
      <color theme="0"/>
      <name val="ING Me"/>
      <charset val="238"/>
    </font>
    <font>
      <sz val="8"/>
      <name val="ING Me"/>
      <charset val="238"/>
    </font>
    <font>
      <b/>
      <i/>
      <sz val="8"/>
      <color rgb="FFFF6600"/>
      <name val="ING Me"/>
      <charset val="238"/>
    </font>
    <font>
      <sz val="8"/>
      <color rgb="FFFF6600"/>
      <name val="ING Me"/>
      <charset val="238"/>
    </font>
    <font>
      <b/>
      <sz val="8"/>
      <color rgb="FF333333"/>
      <name val="ING Me"/>
      <charset val="238"/>
    </font>
    <font>
      <sz val="8"/>
      <color rgb="FF333333"/>
      <name val="ING Me"/>
      <charset val="238"/>
    </font>
    <font>
      <i/>
      <sz val="8"/>
      <color rgb="FF333333"/>
      <name val="ING Me"/>
      <charset val="238"/>
    </font>
    <font>
      <i/>
      <sz val="8"/>
      <color theme="0" tint="-0.499984740745262"/>
      <name val="ING Me"/>
      <charset val="238"/>
    </font>
    <font>
      <sz val="8"/>
      <color theme="0" tint="-0.499984740745262"/>
      <name val="ING Me"/>
      <charset val="238"/>
    </font>
    <font>
      <b/>
      <sz val="8"/>
      <name val="ING Me"/>
      <charset val="238"/>
    </font>
    <font>
      <sz val="8"/>
      <color theme="1"/>
      <name val="ING Me"/>
      <charset val="238"/>
    </font>
    <font>
      <b/>
      <i/>
      <sz val="8"/>
      <color theme="1"/>
      <name val="ING Me"/>
      <charset val="238"/>
    </font>
    <font>
      <b/>
      <sz val="8"/>
      <color theme="1"/>
      <name val="ING Me"/>
      <charset val="238"/>
    </font>
    <font>
      <i/>
      <sz val="8"/>
      <color theme="0"/>
      <name val="ING Me"/>
      <charset val="238"/>
    </font>
    <font>
      <b/>
      <i/>
      <sz val="8"/>
      <color theme="0"/>
      <name val="ING Me"/>
      <charset val="238"/>
    </font>
    <font>
      <b/>
      <i/>
      <sz val="8"/>
      <name val="ING Me"/>
      <charset val="238"/>
    </font>
    <font>
      <sz val="8"/>
      <color rgb="FF00B050"/>
      <name val="ING Me"/>
      <charset val="238"/>
    </font>
    <font>
      <sz val="10"/>
      <color rgb="FF333333"/>
      <name val="ING Me"/>
      <charset val="238"/>
    </font>
    <font>
      <sz val="8"/>
      <color indexed="81"/>
      <name val="Tahoma"/>
      <family val="2"/>
      <charset val="238"/>
    </font>
    <font>
      <b/>
      <sz val="10"/>
      <color indexed="10"/>
      <name val="ING Me"/>
      <charset val="238"/>
    </font>
    <font>
      <sz val="9"/>
      <name val="ING Me"/>
      <charset val="238"/>
    </font>
    <font>
      <sz val="10"/>
      <name val="Arial"/>
      <family val="2"/>
      <charset val="238"/>
    </font>
    <font>
      <sz val="8"/>
      <color rgb="FF00B0F0"/>
      <name val="ING Me"/>
      <charset val="238"/>
    </font>
    <font>
      <b/>
      <u/>
      <sz val="12"/>
      <color rgb="FFFF6600"/>
      <name val="ING Me"/>
      <charset val="238"/>
    </font>
    <font>
      <b/>
      <sz val="8"/>
      <color rgb="FFFFFFFF"/>
      <name val="ING Me"/>
      <charset val="238"/>
    </font>
    <font>
      <b/>
      <sz val="8"/>
      <color rgb="FF000000"/>
      <name val="ING Me"/>
      <charset val="238"/>
    </font>
    <font>
      <sz val="8"/>
      <color rgb="FF000000"/>
      <name val="ING Me"/>
      <charset val="238"/>
    </font>
    <font>
      <b/>
      <sz val="10"/>
      <color indexed="10"/>
      <name val="Arial"/>
      <family val="2"/>
      <charset val="238"/>
    </font>
    <font>
      <b/>
      <sz val="12"/>
      <color indexed="9"/>
      <name val="Arial"/>
      <family val="2"/>
      <charset val="238"/>
    </font>
    <font>
      <b/>
      <sz val="8"/>
      <color indexed="9"/>
      <name val="Arial"/>
      <family val="2"/>
      <charset val="238"/>
    </font>
    <font>
      <b/>
      <sz val="8"/>
      <color theme="0" tint="-0.499984740745262"/>
      <name val="ING Me"/>
      <charset val="238"/>
    </font>
    <font>
      <b/>
      <sz val="10"/>
      <color rgb="FFFF0000"/>
      <name val="Arial"/>
      <family val="2"/>
      <charset val="238"/>
    </font>
    <font>
      <b/>
      <sz val="8"/>
      <color theme="0"/>
      <name val="Arial"/>
      <family val="2"/>
      <charset val="238"/>
    </font>
    <font>
      <sz val="11"/>
      <name val="ING Me"/>
      <charset val="238"/>
    </font>
    <font>
      <b/>
      <sz val="12"/>
      <color theme="0"/>
      <name val="ING Me"/>
      <charset val="238"/>
    </font>
    <font>
      <b/>
      <sz val="10"/>
      <color theme="0"/>
      <name val="ING Me"/>
      <charset val="238"/>
    </font>
    <font>
      <b/>
      <sz val="10"/>
      <color indexed="12"/>
      <name val="Arial"/>
      <family val="2"/>
      <charset val="238"/>
    </font>
    <font>
      <b/>
      <sz val="10"/>
      <color indexed="12"/>
      <name val="ING Me"/>
      <charset val="238"/>
    </font>
    <font>
      <b/>
      <sz val="12"/>
      <color indexed="12"/>
      <name val="ING Me"/>
      <charset val="238"/>
    </font>
    <font>
      <i/>
      <u/>
      <sz val="8"/>
      <color indexed="12"/>
      <name val="ING Me"/>
      <charset val="238"/>
    </font>
    <font>
      <sz val="10"/>
      <color rgb="FFFFC000"/>
      <name val="ING Me"/>
      <charset val="238"/>
    </font>
    <font>
      <i/>
      <sz val="10"/>
      <name val="ING Me"/>
      <charset val="238"/>
    </font>
    <font>
      <b/>
      <sz val="12"/>
      <color indexed="12"/>
      <name val="Arial"/>
      <family val="2"/>
      <charset val="238"/>
    </font>
    <font>
      <sz val="8"/>
      <name val="ING Me Narrow"/>
      <charset val="238"/>
    </font>
    <font>
      <vertAlign val="superscript"/>
      <sz val="8"/>
      <name val="ING Me"/>
      <charset val="238"/>
    </font>
    <font>
      <b/>
      <i/>
      <sz val="8"/>
      <color theme="0" tint="-0.499984740745262"/>
      <name val="ING Me"/>
      <charset val="238"/>
    </font>
    <font>
      <sz val="8"/>
      <color indexed="53"/>
      <name val="ING Me"/>
      <charset val="238"/>
    </font>
    <font>
      <i/>
      <vertAlign val="superscript"/>
      <sz val="8"/>
      <color indexed="8"/>
      <name val="ING Me"/>
      <charset val="238"/>
    </font>
    <font>
      <i/>
      <sz val="8"/>
      <color indexed="8"/>
      <name val="ING Me"/>
      <charset val="238"/>
    </font>
    <font>
      <i/>
      <vertAlign val="superscript"/>
      <sz val="8"/>
      <name val="ING Me"/>
      <charset val="238"/>
    </font>
    <font>
      <b/>
      <sz val="16"/>
      <color rgb="FFFF6200"/>
      <name val="ING"/>
      <charset val="238"/>
    </font>
    <font>
      <sz val="10"/>
      <name val="ING"/>
      <charset val="238"/>
    </font>
    <font>
      <b/>
      <sz val="10"/>
      <name val="ING"/>
      <charset val="238"/>
    </font>
    <font>
      <u/>
      <sz val="10"/>
      <color rgb="FFFF6200"/>
      <name val="Arial CE"/>
      <charset val="238"/>
    </font>
    <font>
      <u/>
      <sz val="10"/>
      <color rgb="FFFF6600"/>
      <name val="Arial CE"/>
      <charset val="238"/>
    </font>
    <font>
      <b/>
      <i/>
      <sz val="8"/>
      <color rgb="FF333333"/>
      <name val="ING Me"/>
      <charset val="238"/>
    </font>
    <font>
      <i/>
      <sz val="10"/>
      <color rgb="FF333333"/>
      <name val="ING Me"/>
      <charset val="238"/>
    </font>
    <font>
      <b/>
      <sz val="10"/>
      <color rgb="FF333333"/>
      <name val="ING Me"/>
      <charset val="238"/>
    </font>
    <font>
      <sz val="10"/>
      <color rgb="FF333333"/>
      <name val="Arial CE"/>
      <charset val="238"/>
    </font>
  </fonts>
  <fills count="8">
    <fill>
      <patternFill patternType="none"/>
    </fill>
    <fill>
      <patternFill patternType="gray125"/>
    </fill>
    <fill>
      <patternFill patternType="solid">
        <fgColor indexed="53"/>
        <bgColor indexed="64"/>
      </patternFill>
    </fill>
    <fill>
      <patternFill patternType="solid">
        <fgColor rgb="FFFF6600"/>
        <bgColor indexed="64"/>
      </patternFill>
    </fill>
    <fill>
      <patternFill patternType="solid">
        <fgColor rgb="FFFF6200"/>
        <bgColor indexed="64"/>
      </patternFill>
    </fill>
    <fill>
      <patternFill patternType="solid">
        <fgColor theme="0"/>
        <bgColor indexed="64"/>
      </patternFill>
    </fill>
    <fill>
      <patternFill patternType="solid">
        <fgColor rgb="FF767676"/>
        <bgColor indexed="64"/>
      </patternFill>
    </fill>
    <fill>
      <patternFill patternType="solid">
        <fgColor rgb="FFA8A8A8"/>
        <bgColor indexed="64"/>
      </patternFill>
    </fill>
  </fills>
  <borders count="33">
    <border>
      <left/>
      <right/>
      <top/>
      <bottom/>
      <diagonal/>
    </border>
    <border>
      <left style="hair">
        <color indexed="64"/>
      </left>
      <right/>
      <top/>
      <bottom/>
      <diagonal/>
    </border>
    <border>
      <left/>
      <right style="hair">
        <color indexed="64"/>
      </right>
      <top/>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right/>
      <top style="medium">
        <color rgb="FFFF6600"/>
      </top>
      <bottom style="medium">
        <color rgb="FFFF6600"/>
      </bottom>
      <diagonal/>
    </border>
    <border>
      <left style="hair">
        <color indexed="64"/>
      </left>
      <right/>
      <top style="medium">
        <color rgb="FFFF6600"/>
      </top>
      <bottom style="medium">
        <color rgb="FFFF6600"/>
      </bottom>
      <diagonal/>
    </border>
    <border>
      <left/>
      <right style="hair">
        <color indexed="64"/>
      </right>
      <top style="medium">
        <color rgb="FFFF6600"/>
      </top>
      <bottom style="medium">
        <color rgb="FFFF6600"/>
      </bottom>
      <diagonal/>
    </border>
    <border>
      <left style="hair">
        <color indexed="64"/>
      </left>
      <right/>
      <top/>
      <bottom style="hair">
        <color indexed="64"/>
      </bottom>
      <diagonal/>
    </border>
    <border>
      <left/>
      <right style="hair">
        <color indexed="64"/>
      </right>
      <top/>
      <bottom style="hair">
        <color indexed="64"/>
      </bottom>
      <diagonal/>
    </border>
    <border>
      <left style="thick">
        <color rgb="FF767676"/>
      </left>
      <right/>
      <top/>
      <bottom/>
      <diagonal/>
    </border>
    <border>
      <left style="hair">
        <color indexed="64"/>
      </left>
      <right style="hair">
        <color indexed="64"/>
      </right>
      <top style="hair">
        <color indexed="64"/>
      </top>
      <bottom/>
      <diagonal/>
    </border>
    <border>
      <left style="hair">
        <color indexed="64"/>
      </left>
      <right style="thick">
        <color rgb="FF767676"/>
      </right>
      <top/>
      <bottom/>
      <diagonal/>
    </border>
    <border>
      <left style="thick">
        <color rgb="FF767676"/>
      </left>
      <right style="thick">
        <color rgb="FF767676"/>
      </right>
      <top/>
      <bottom/>
      <diagonal/>
    </border>
    <border>
      <left style="thick">
        <color rgb="FF767676"/>
      </left>
      <right style="hair">
        <color indexed="64"/>
      </right>
      <top/>
      <bottom/>
      <diagonal/>
    </border>
    <border>
      <left style="hair">
        <color auto="1"/>
      </left>
      <right style="hair">
        <color auto="1"/>
      </right>
      <top/>
      <bottom style="hair">
        <color auto="1"/>
      </bottom>
      <diagonal/>
    </border>
    <border>
      <left/>
      <right style="thick">
        <color rgb="FF767676"/>
      </right>
      <top/>
      <bottom style="hair">
        <color indexed="64"/>
      </bottom>
      <diagonal/>
    </border>
    <border>
      <left style="thick">
        <color rgb="FF767676"/>
      </left>
      <right/>
      <top/>
      <bottom style="hair">
        <color indexed="64"/>
      </bottom>
      <diagonal/>
    </border>
    <border>
      <left/>
      <right style="thick">
        <color rgb="FF767676"/>
      </right>
      <top/>
      <bottom/>
      <diagonal/>
    </border>
    <border>
      <left style="hair">
        <color indexed="64"/>
      </left>
      <right style="hair">
        <color indexed="64"/>
      </right>
      <top style="hair">
        <color indexed="64"/>
      </top>
      <bottom style="hair">
        <color indexed="64"/>
      </bottom>
      <diagonal/>
    </border>
    <border>
      <left/>
      <right style="thick">
        <color rgb="FF767676"/>
      </right>
      <top style="hair">
        <color indexed="64"/>
      </top>
      <bottom style="hair">
        <color indexed="64"/>
      </bottom>
      <diagonal/>
    </border>
    <border>
      <left style="thick">
        <color rgb="FF767676"/>
      </left>
      <right/>
      <top style="hair">
        <color indexed="64"/>
      </top>
      <bottom style="hair">
        <color indexed="64"/>
      </bottom>
      <diagonal/>
    </border>
    <border>
      <left style="hair">
        <color indexed="64"/>
      </left>
      <right style="hair">
        <color indexed="64"/>
      </right>
      <top/>
      <bottom/>
      <diagonal/>
    </border>
    <border>
      <left/>
      <right style="hair">
        <color rgb="FFBFBFBF"/>
      </right>
      <top style="hair">
        <color auto="1"/>
      </top>
      <bottom style="hair">
        <color auto="1"/>
      </bottom>
      <diagonal/>
    </border>
    <border>
      <left style="hair">
        <color rgb="FFBFBFBF"/>
      </left>
      <right/>
      <top style="hair">
        <color auto="1"/>
      </top>
      <bottom style="hair">
        <color auto="1"/>
      </bottom>
      <diagonal/>
    </border>
    <border>
      <left style="thick">
        <color rgb="FF767676"/>
      </left>
      <right/>
      <top style="hair">
        <color indexed="64"/>
      </top>
      <bottom/>
      <diagonal/>
    </border>
    <border>
      <left style="thick">
        <color theme="1" tint="0.34998626667073579"/>
      </left>
      <right/>
      <top style="hair">
        <color indexed="64"/>
      </top>
      <bottom style="hair">
        <color indexed="64"/>
      </bottom>
      <diagonal/>
    </border>
    <border>
      <left/>
      <right style="thick">
        <color rgb="FF767676"/>
      </right>
      <top style="hair">
        <color indexed="64"/>
      </top>
      <bottom/>
      <diagonal/>
    </border>
  </borders>
  <cellStyleXfs count="8">
    <xf numFmtId="0" fontId="0" fillId="0" borderId="0"/>
    <xf numFmtId="0" fontId="2" fillId="0" borderId="0" applyNumberFormat="0" applyFill="0" applyBorder="0" applyAlignment="0" applyProtection="0"/>
    <xf numFmtId="0" fontId="4" fillId="0" borderId="0"/>
    <xf numFmtId="0" fontId="4" fillId="0" borderId="0"/>
    <xf numFmtId="9" fontId="4" fillId="0" borderId="0" applyFont="0" applyFill="0" applyBorder="0" applyAlignment="0" applyProtection="0"/>
    <xf numFmtId="0" fontId="32" fillId="0" borderId="0"/>
    <xf numFmtId="0" fontId="1" fillId="0" borderId="0"/>
    <xf numFmtId="0" fontId="1" fillId="0" borderId="0"/>
  </cellStyleXfs>
  <cellXfs count="872">
    <xf numFmtId="0" fontId="0" fillId="0" borderId="0" xfId="0"/>
    <xf numFmtId="0" fontId="3" fillId="0" borderId="0" xfId="1" applyFont="1" applyAlignment="1">
      <alignment horizontal="center" vertical="center" wrapText="1"/>
    </xf>
    <xf numFmtId="0" fontId="5" fillId="0" borderId="0" xfId="2" applyFont="1" applyAlignment="1">
      <alignment vertical="center"/>
    </xf>
    <xf numFmtId="0" fontId="5" fillId="0" borderId="0" xfId="2" applyFont="1"/>
    <xf numFmtId="0" fontId="5" fillId="0" borderId="0" xfId="2" applyFont="1" applyAlignment="1">
      <alignment vertical="center" wrapText="1"/>
    </xf>
    <xf numFmtId="0" fontId="6" fillId="0" borderId="0" xfId="2" applyFont="1" applyAlignment="1">
      <alignment horizontal="right" vertical="center" wrapText="1"/>
    </xf>
    <xf numFmtId="0" fontId="7" fillId="0" borderId="0" xfId="2" applyFont="1" applyAlignment="1">
      <alignment vertical="center"/>
    </xf>
    <xf numFmtId="0" fontId="8" fillId="0" borderId="0" xfId="2" applyFont="1" applyAlignment="1">
      <alignment vertical="center" wrapText="1"/>
    </xf>
    <xf numFmtId="0" fontId="11" fillId="4" borderId="1" xfId="2" applyFont="1" applyFill="1" applyBorder="1" applyAlignment="1">
      <alignment vertical="center"/>
    </xf>
    <xf numFmtId="0" fontId="11" fillId="4" borderId="0" xfId="2" applyFont="1" applyFill="1" applyAlignment="1">
      <alignment vertical="center"/>
    </xf>
    <xf numFmtId="0" fontId="4" fillId="0" borderId="0" xfId="2" applyAlignment="1">
      <alignment vertical="center"/>
    </xf>
    <xf numFmtId="3" fontId="10" fillId="2" borderId="1" xfId="2" applyNumberFormat="1" applyFont="1" applyFill="1" applyBorder="1" applyAlignment="1">
      <alignment horizontal="right" vertical="center" wrapText="1"/>
    </xf>
    <xf numFmtId="3" fontId="10" fillId="2" borderId="0" xfId="2" applyNumberFormat="1" applyFont="1" applyFill="1" applyAlignment="1">
      <alignment horizontal="right" vertical="center" wrapText="1"/>
    </xf>
    <xf numFmtId="3" fontId="10" fillId="2" borderId="2" xfId="2" applyNumberFormat="1" applyFont="1" applyFill="1" applyBorder="1" applyAlignment="1">
      <alignment horizontal="right" vertical="center" wrapText="1"/>
    </xf>
    <xf numFmtId="3" fontId="10" fillId="2" borderId="0" xfId="3" applyNumberFormat="1" applyFont="1" applyFill="1" applyAlignment="1">
      <alignment horizontal="right" vertical="center" wrapText="1"/>
    </xf>
    <xf numFmtId="3" fontId="10" fillId="2" borderId="1" xfId="3" applyNumberFormat="1" applyFont="1" applyFill="1" applyBorder="1" applyAlignment="1">
      <alignment horizontal="right" vertical="center" wrapText="1"/>
    </xf>
    <xf numFmtId="3" fontId="10" fillId="2" borderId="2" xfId="3" applyNumberFormat="1" applyFont="1" applyFill="1" applyBorder="1" applyAlignment="1">
      <alignment horizontal="right" vertical="center" wrapText="1"/>
    </xf>
    <xf numFmtId="3" fontId="12" fillId="0" borderId="4" xfId="2" applyNumberFormat="1" applyFont="1" applyBorder="1" applyAlignment="1">
      <alignment horizontal="right" vertical="center"/>
    </xf>
    <xf numFmtId="3" fontId="12" fillId="0" borderId="5" xfId="2" applyNumberFormat="1" applyFont="1" applyBorder="1" applyAlignment="1">
      <alignment vertical="center"/>
    </xf>
    <xf numFmtId="3" fontId="7" fillId="0" borderId="4" xfId="2" applyNumberFormat="1" applyFont="1" applyBorder="1" applyAlignment="1">
      <alignment vertical="center"/>
    </xf>
    <xf numFmtId="3" fontId="12" fillId="0" borderId="4" xfId="2" applyNumberFormat="1" applyFont="1" applyBorder="1" applyAlignment="1">
      <alignment vertical="center"/>
    </xf>
    <xf numFmtId="3" fontId="7" fillId="0" borderId="6" xfId="2" applyNumberFormat="1" applyFont="1" applyBorder="1" applyAlignment="1">
      <alignment vertical="center"/>
    </xf>
    <xf numFmtId="3" fontId="12" fillId="0" borderId="5" xfId="2" applyNumberFormat="1" applyFont="1" applyBorder="1" applyAlignment="1">
      <alignment horizontal="right" vertical="center"/>
    </xf>
    <xf numFmtId="3" fontId="7" fillId="0" borderId="4" xfId="2" applyNumberFormat="1" applyFont="1" applyBorder="1" applyAlignment="1">
      <alignment horizontal="right" vertical="center"/>
    </xf>
    <xf numFmtId="3" fontId="7" fillId="0" borderId="6" xfId="2" applyNumberFormat="1" applyFont="1" applyBorder="1" applyAlignment="1">
      <alignment horizontal="right" vertical="center"/>
    </xf>
    <xf numFmtId="3" fontId="12" fillId="0" borderId="6" xfId="2" applyNumberFormat="1" applyFont="1" applyBorder="1" applyAlignment="1">
      <alignment horizontal="right" vertical="center"/>
    </xf>
    <xf numFmtId="0" fontId="13" fillId="0" borderId="4" xfId="2" applyFont="1" applyBorder="1" applyAlignment="1">
      <alignment vertical="center"/>
    </xf>
    <xf numFmtId="0" fontId="14" fillId="0" borderId="5" xfId="2" applyFont="1" applyBorder="1"/>
    <xf numFmtId="0" fontId="14" fillId="0" borderId="4" xfId="2" applyFont="1" applyBorder="1"/>
    <xf numFmtId="0" fontId="14" fillId="0" borderId="6" xfId="2" applyFont="1" applyBorder="1"/>
    <xf numFmtId="0" fontId="14" fillId="0" borderId="4" xfId="2" applyFont="1" applyBorder="1" applyAlignment="1">
      <alignment horizontal="right"/>
    </xf>
    <xf numFmtId="0" fontId="14" fillId="0" borderId="5" xfId="2" applyFont="1" applyBorder="1" applyAlignment="1">
      <alignment horizontal="right"/>
    </xf>
    <xf numFmtId="0" fontId="14" fillId="0" borderId="6" xfId="2" applyFont="1" applyBorder="1" applyAlignment="1">
      <alignment horizontal="right"/>
    </xf>
    <xf numFmtId="0" fontId="14" fillId="0" borderId="0" xfId="2" applyFont="1"/>
    <xf numFmtId="0" fontId="15" fillId="0" borderId="4" xfId="2" applyFont="1" applyBorder="1" applyAlignment="1">
      <alignment vertical="center"/>
    </xf>
    <xf numFmtId="164" fontId="15" fillId="0" borderId="5" xfId="2" applyNumberFormat="1" applyFont="1" applyBorder="1" applyAlignment="1">
      <alignment vertical="center"/>
    </xf>
    <xf numFmtId="164" fontId="15" fillId="0" borderId="4" xfId="2" applyNumberFormat="1" applyFont="1" applyBorder="1" applyAlignment="1">
      <alignment vertical="center"/>
    </xf>
    <xf numFmtId="164" fontId="15" fillId="0" borderId="6" xfId="2" applyNumberFormat="1" applyFont="1" applyBorder="1" applyAlignment="1">
      <alignment vertical="center"/>
    </xf>
    <xf numFmtId="164" fontId="15" fillId="0" borderId="4" xfId="2" applyNumberFormat="1" applyFont="1" applyBorder="1" applyAlignment="1">
      <alignment horizontal="right" vertical="center"/>
    </xf>
    <xf numFmtId="164" fontId="15" fillId="0" borderId="5" xfId="2" applyNumberFormat="1" applyFont="1" applyBorder="1" applyAlignment="1">
      <alignment horizontal="right" vertical="center"/>
    </xf>
    <xf numFmtId="164" fontId="15" fillId="0" borderId="6" xfId="2" applyNumberFormat="1" applyFont="1" applyBorder="1" applyAlignment="1">
      <alignment horizontal="right" vertical="center"/>
    </xf>
    <xf numFmtId="0" fontId="16" fillId="0" borderId="0" xfId="2" applyFont="1"/>
    <xf numFmtId="0" fontId="16" fillId="5" borderId="4" xfId="2" applyFont="1" applyFill="1" applyBorder="1" applyAlignment="1">
      <alignment vertical="center"/>
    </xf>
    <xf numFmtId="0" fontId="16" fillId="0" borderId="4" xfId="2" applyFont="1" applyBorder="1" applyAlignment="1">
      <alignment vertical="center"/>
    </xf>
    <xf numFmtId="164" fontId="16" fillId="0" borderId="5" xfId="2" applyNumberFormat="1" applyFont="1" applyBorder="1" applyAlignment="1">
      <alignment vertical="center"/>
    </xf>
    <xf numFmtId="164" fontId="16" fillId="0" borderId="4" xfId="2" applyNumberFormat="1" applyFont="1" applyBorder="1" applyAlignment="1">
      <alignment vertical="center"/>
    </xf>
    <xf numFmtId="164" fontId="16" fillId="0" borderId="6" xfId="2" applyNumberFormat="1" applyFont="1" applyBorder="1" applyAlignment="1">
      <alignment vertical="center"/>
    </xf>
    <xf numFmtId="164" fontId="16" fillId="0" borderId="4" xfId="2" applyNumberFormat="1" applyFont="1" applyBorder="1" applyAlignment="1">
      <alignment horizontal="right" vertical="center"/>
    </xf>
    <xf numFmtId="164" fontId="16" fillId="0" borderId="5" xfId="2" applyNumberFormat="1" applyFont="1" applyBorder="1" applyAlignment="1">
      <alignment horizontal="right" vertical="center"/>
    </xf>
    <xf numFmtId="164" fontId="16" fillId="0" borderId="6" xfId="2" applyNumberFormat="1" applyFont="1" applyBorder="1" applyAlignment="1">
      <alignment horizontal="right" vertical="center"/>
    </xf>
    <xf numFmtId="0" fontId="17" fillId="0" borderId="4" xfId="2" applyFont="1" applyBorder="1" applyAlignment="1">
      <alignment vertical="center"/>
    </xf>
    <xf numFmtId="164" fontId="17" fillId="0" borderId="5" xfId="2" applyNumberFormat="1" applyFont="1" applyBorder="1" applyAlignment="1">
      <alignment vertical="center"/>
    </xf>
    <xf numFmtId="164" fontId="17" fillId="0" borderId="4" xfId="2" applyNumberFormat="1" applyFont="1" applyBorder="1" applyAlignment="1">
      <alignment vertical="center"/>
    </xf>
    <xf numFmtId="164" fontId="17" fillId="0" borderId="6" xfId="2" applyNumberFormat="1" applyFont="1" applyBorder="1" applyAlignment="1">
      <alignment vertical="center"/>
    </xf>
    <xf numFmtId="164" fontId="17" fillId="0" borderId="4" xfId="2" applyNumberFormat="1" applyFont="1" applyBorder="1" applyAlignment="1">
      <alignment horizontal="right" vertical="center"/>
    </xf>
    <xf numFmtId="164" fontId="17" fillId="0" borderId="5" xfId="2" applyNumberFormat="1" applyFont="1" applyBorder="1" applyAlignment="1">
      <alignment horizontal="right" vertical="center"/>
    </xf>
    <xf numFmtId="164" fontId="17" fillId="0" borderId="6" xfId="2" applyNumberFormat="1" applyFont="1" applyBorder="1" applyAlignment="1">
      <alignment horizontal="right" vertical="center"/>
    </xf>
    <xf numFmtId="0" fontId="15" fillId="0" borderId="4" xfId="2" applyFont="1" applyBorder="1"/>
    <xf numFmtId="0" fontId="17" fillId="5" borderId="4" xfId="2" applyFont="1" applyFill="1" applyBorder="1" applyAlignment="1">
      <alignment vertical="center"/>
    </xf>
    <xf numFmtId="164" fontId="17" fillId="0" borderId="5" xfId="2" quotePrefix="1" applyNumberFormat="1" applyFont="1" applyBorder="1" applyAlignment="1">
      <alignment horizontal="right" vertical="center"/>
    </xf>
    <xf numFmtId="164" fontId="17" fillId="0" borderId="4" xfId="2" quotePrefix="1" applyNumberFormat="1" applyFont="1" applyBorder="1" applyAlignment="1">
      <alignment horizontal="right" vertical="center"/>
    </xf>
    <xf numFmtId="0" fontId="17" fillId="0" borderId="4" xfId="2" applyFont="1" applyBorder="1" applyAlignment="1">
      <alignment vertical="center" wrapText="1"/>
    </xf>
    <xf numFmtId="0" fontId="17" fillId="0" borderId="4" xfId="2" quotePrefix="1" applyFont="1" applyBorder="1" applyAlignment="1">
      <alignment vertical="center" wrapText="1"/>
    </xf>
    <xf numFmtId="0" fontId="17" fillId="0" borderId="4" xfId="2" quotePrefix="1" applyFont="1" applyBorder="1" applyAlignment="1">
      <alignment vertical="center"/>
    </xf>
    <xf numFmtId="0" fontId="15" fillId="0" borderId="4" xfId="3" applyFont="1" applyBorder="1"/>
    <xf numFmtId="0" fontId="18" fillId="0" borderId="7" xfId="2" applyFont="1" applyBorder="1" applyAlignment="1">
      <alignment vertical="center"/>
    </xf>
    <xf numFmtId="164" fontId="18" fillId="0" borderId="8" xfId="2" applyNumberFormat="1" applyFont="1" applyBorder="1" applyAlignment="1">
      <alignment vertical="center"/>
    </xf>
    <xf numFmtId="164" fontId="18" fillId="0" borderId="7" xfId="2" applyNumberFormat="1" applyFont="1" applyBorder="1" applyAlignment="1">
      <alignment vertical="center"/>
    </xf>
    <xf numFmtId="164" fontId="18" fillId="0" borderId="9" xfId="2" applyNumberFormat="1" applyFont="1" applyBorder="1" applyAlignment="1">
      <alignment vertical="center"/>
    </xf>
    <xf numFmtId="164" fontId="18" fillId="0" borderId="7" xfId="2" applyNumberFormat="1" applyFont="1" applyBorder="1" applyAlignment="1">
      <alignment horizontal="right" vertical="center"/>
    </xf>
    <xf numFmtId="164" fontId="18" fillId="0" borderId="8" xfId="2" applyNumberFormat="1" applyFont="1" applyBorder="1" applyAlignment="1">
      <alignment horizontal="right" vertical="center"/>
    </xf>
    <xf numFmtId="164" fontId="18" fillId="0" borderId="9" xfId="2" applyNumberFormat="1" applyFont="1" applyBorder="1" applyAlignment="1">
      <alignment horizontal="right" vertical="center"/>
    </xf>
    <xf numFmtId="0" fontId="19" fillId="0" borderId="0" xfId="2" applyFont="1"/>
    <xf numFmtId="0" fontId="20" fillId="5" borderId="10" xfId="2" applyFont="1" applyFill="1" applyBorder="1" applyAlignment="1">
      <alignment vertical="center" wrapText="1"/>
    </xf>
    <xf numFmtId="0" fontId="20" fillId="0" borderId="10" xfId="2" applyFont="1" applyBorder="1" applyAlignment="1">
      <alignment vertical="center" wrapText="1"/>
    </xf>
    <xf numFmtId="164" fontId="20" fillId="0" borderId="11" xfId="2" applyNumberFormat="1" applyFont="1" applyBorder="1" applyAlignment="1">
      <alignment horizontal="right" vertical="center"/>
    </xf>
    <xf numFmtId="164" fontId="20" fillId="0" borderId="10" xfId="2" applyNumberFormat="1" applyFont="1" applyBorder="1" applyAlignment="1">
      <alignment horizontal="right" vertical="center"/>
    </xf>
    <xf numFmtId="164" fontId="20" fillId="0" borderId="12" xfId="2" applyNumberFormat="1" applyFont="1" applyBorder="1" applyAlignment="1">
      <alignment horizontal="right" vertical="center"/>
    </xf>
    <xf numFmtId="0" fontId="12" fillId="0" borderId="0" xfId="2" applyFont="1"/>
    <xf numFmtId="0" fontId="16" fillId="0" borderId="3" xfId="2" applyFont="1" applyBorder="1" applyAlignment="1">
      <alignment vertical="center"/>
    </xf>
    <xf numFmtId="0" fontId="16" fillId="0" borderId="4" xfId="3" applyFont="1" applyBorder="1" applyAlignment="1">
      <alignment vertical="center"/>
    </xf>
    <xf numFmtId="164" fontId="16" fillId="0" borderId="13" xfId="2" applyNumberFormat="1" applyFont="1" applyBorder="1" applyAlignment="1">
      <alignment horizontal="right" vertical="center"/>
    </xf>
    <xf numFmtId="164" fontId="16" fillId="0" borderId="3" xfId="2" applyNumberFormat="1" applyFont="1" applyBorder="1" applyAlignment="1">
      <alignment horizontal="right" vertical="center"/>
    </xf>
    <xf numFmtId="164" fontId="16" fillId="0" borderId="14" xfId="2" applyNumberFormat="1" applyFont="1" applyBorder="1" applyAlignment="1">
      <alignment horizontal="right" vertical="center"/>
    </xf>
    <xf numFmtId="0" fontId="21" fillId="0" borderId="4" xfId="2" applyFont="1" applyBorder="1" applyAlignment="1">
      <alignment vertical="center"/>
    </xf>
    <xf numFmtId="164" fontId="21" fillId="0" borderId="5" xfId="2" applyNumberFormat="1" applyFont="1" applyBorder="1" applyAlignment="1">
      <alignment horizontal="right" vertical="center"/>
    </xf>
    <xf numFmtId="164" fontId="21" fillId="0" borderId="4" xfId="2" applyNumberFormat="1" applyFont="1" applyBorder="1" applyAlignment="1">
      <alignment horizontal="right" vertical="center"/>
    </xf>
    <xf numFmtId="164" fontId="21" fillId="0" borderId="6" xfId="2" applyNumberFormat="1" applyFont="1" applyBorder="1" applyAlignment="1">
      <alignment horizontal="right" vertical="center"/>
    </xf>
    <xf numFmtId="164" fontId="20" fillId="0" borderId="10" xfId="2" quotePrefix="1" applyNumberFormat="1" applyFont="1" applyBorder="1" applyAlignment="1">
      <alignment horizontal="right" vertical="center"/>
    </xf>
    <xf numFmtId="0" fontId="21" fillId="0" borderId="3" xfId="2" applyFont="1" applyBorder="1" applyAlignment="1">
      <alignment vertical="center"/>
    </xf>
    <xf numFmtId="0" fontId="21" fillId="0" borderId="4" xfId="3" applyFont="1" applyBorder="1" applyAlignment="1">
      <alignment vertical="center"/>
    </xf>
    <xf numFmtId="164" fontId="21" fillId="0" borderId="5" xfId="2" applyNumberFormat="1" applyFont="1" applyBorder="1" applyAlignment="1">
      <alignment vertical="center"/>
    </xf>
    <xf numFmtId="164" fontId="21" fillId="0" borderId="4" xfId="2" applyNumberFormat="1" applyFont="1" applyBorder="1" applyAlignment="1">
      <alignment vertical="center"/>
    </xf>
    <xf numFmtId="164" fontId="21" fillId="0" borderId="6" xfId="2" applyNumberFormat="1" applyFont="1" applyBorder="1" applyAlignment="1">
      <alignment vertical="center"/>
    </xf>
    <xf numFmtId="164" fontId="21" fillId="0" borderId="4" xfId="2" quotePrefix="1" applyNumberFormat="1" applyFont="1" applyBorder="1" applyAlignment="1">
      <alignment horizontal="right" vertical="center"/>
    </xf>
    <xf numFmtId="164" fontId="22" fillId="0" borderId="4" xfId="2" applyNumberFormat="1" applyFont="1" applyBorder="1" applyAlignment="1">
      <alignment vertical="center"/>
    </xf>
    <xf numFmtId="164" fontId="23" fillId="0" borderId="5" xfId="2" applyNumberFormat="1" applyFont="1" applyBorder="1" applyAlignment="1">
      <alignment horizontal="right" vertical="center" wrapText="1"/>
    </xf>
    <xf numFmtId="164" fontId="23" fillId="0" borderId="4" xfId="2" applyNumberFormat="1" applyFont="1" applyBorder="1" applyAlignment="1">
      <alignment horizontal="right" vertical="center" wrapText="1"/>
    </xf>
    <xf numFmtId="164" fontId="23" fillId="0" borderId="6" xfId="2" applyNumberFormat="1" applyFont="1" applyBorder="1" applyAlignment="1">
      <alignment horizontal="right" vertical="center" wrapText="1"/>
    </xf>
    <xf numFmtId="164" fontId="12" fillId="0" borderId="0" xfId="2" applyNumberFormat="1" applyFont="1"/>
    <xf numFmtId="164" fontId="14" fillId="0" borderId="5" xfId="2" applyNumberFormat="1" applyFont="1" applyBorder="1" applyAlignment="1">
      <alignment vertical="center"/>
    </xf>
    <xf numFmtId="164" fontId="14" fillId="0" borderId="4" xfId="2" applyNumberFormat="1" applyFont="1" applyBorder="1" applyAlignment="1">
      <alignment vertical="center"/>
    </xf>
    <xf numFmtId="164" fontId="14" fillId="0" borderId="6" xfId="2" applyNumberFormat="1" applyFont="1" applyBorder="1" applyAlignment="1">
      <alignment vertical="center"/>
    </xf>
    <xf numFmtId="164" fontId="14" fillId="0" borderId="4" xfId="2" applyNumberFormat="1" applyFont="1" applyBorder="1" applyAlignment="1">
      <alignment horizontal="right" vertical="center"/>
    </xf>
    <xf numFmtId="164" fontId="14" fillId="0" borderId="5" xfId="2" applyNumberFormat="1" applyFont="1" applyBorder="1" applyAlignment="1">
      <alignment horizontal="right" vertical="center"/>
    </xf>
    <xf numFmtId="164" fontId="14" fillId="0" borderId="6" xfId="2" applyNumberFormat="1" applyFont="1" applyBorder="1" applyAlignment="1">
      <alignment horizontal="right" vertical="center"/>
    </xf>
    <xf numFmtId="164" fontId="16" fillId="0" borderId="6" xfId="2" quotePrefix="1" applyNumberFormat="1" applyFont="1" applyBorder="1" applyAlignment="1">
      <alignment horizontal="right" vertical="center"/>
    </xf>
    <xf numFmtId="164" fontId="20" fillId="5" borderId="11" xfId="2" applyNumberFormat="1" applyFont="1" applyFill="1" applyBorder="1" applyAlignment="1">
      <alignment horizontal="right" vertical="center"/>
    </xf>
    <xf numFmtId="164" fontId="20" fillId="5" borderId="10" xfId="2" applyNumberFormat="1" applyFont="1" applyFill="1" applyBorder="1" applyAlignment="1">
      <alignment horizontal="right" vertical="center"/>
    </xf>
    <xf numFmtId="164" fontId="20" fillId="5" borderId="12" xfId="2" applyNumberFormat="1" applyFont="1" applyFill="1" applyBorder="1" applyAlignment="1">
      <alignment horizontal="right" vertical="center"/>
    </xf>
    <xf numFmtId="0" fontId="23" fillId="0" borderId="4" xfId="2" applyFont="1" applyBorder="1" applyAlignment="1">
      <alignment vertical="center"/>
    </xf>
    <xf numFmtId="0" fontId="11" fillId="3" borderId="4" xfId="2" applyFont="1" applyFill="1" applyBorder="1" applyAlignment="1">
      <alignment vertical="center"/>
    </xf>
    <xf numFmtId="10" fontId="11" fillId="3" borderId="5" xfId="2" applyNumberFormat="1" applyFont="1" applyFill="1" applyBorder="1" applyAlignment="1">
      <alignment horizontal="right" vertical="center" wrapText="1"/>
    </xf>
    <xf numFmtId="10" fontId="11" fillId="3" borderId="4" xfId="2" applyNumberFormat="1" applyFont="1" applyFill="1" applyBorder="1" applyAlignment="1">
      <alignment horizontal="right" vertical="center" wrapText="1"/>
    </xf>
    <xf numFmtId="10" fontId="11" fillId="3" borderId="6" xfId="2" applyNumberFormat="1" applyFont="1" applyFill="1" applyBorder="1" applyAlignment="1">
      <alignment horizontal="right" vertical="center" wrapText="1"/>
    </xf>
    <xf numFmtId="0" fontId="24" fillId="3" borderId="4" xfId="3" applyFont="1" applyFill="1" applyBorder="1" applyAlignment="1">
      <alignment vertical="center"/>
    </xf>
    <xf numFmtId="0" fontId="24" fillId="3" borderId="4" xfId="2" applyFont="1" applyFill="1" applyBorder="1" applyAlignment="1">
      <alignment vertical="center"/>
    </xf>
    <xf numFmtId="10" fontId="24" fillId="3" borderId="5" xfId="2" applyNumberFormat="1" applyFont="1" applyFill="1" applyBorder="1" applyAlignment="1">
      <alignment horizontal="right" vertical="center" wrapText="1"/>
    </xf>
    <xf numFmtId="10" fontId="24" fillId="3" borderId="4" xfId="2" applyNumberFormat="1" applyFont="1" applyFill="1" applyBorder="1" applyAlignment="1">
      <alignment horizontal="right" vertical="center" wrapText="1"/>
    </xf>
    <xf numFmtId="10" fontId="24" fillId="3" borderId="6" xfId="2" applyNumberFormat="1" applyFont="1" applyFill="1" applyBorder="1" applyAlignment="1">
      <alignment horizontal="right" vertical="center" wrapText="1"/>
    </xf>
    <xf numFmtId="0" fontId="7" fillId="0" borderId="0" xfId="2" applyFont="1"/>
    <xf numFmtId="0" fontId="12" fillId="0" borderId="4" xfId="2" applyFont="1" applyBorder="1"/>
    <xf numFmtId="0" fontId="12" fillId="0" borderId="5" xfId="2" applyFont="1" applyBorder="1" applyAlignment="1">
      <alignment horizontal="right"/>
    </xf>
    <xf numFmtId="0" fontId="12" fillId="0" borderId="4" xfId="2" applyFont="1" applyBorder="1" applyAlignment="1">
      <alignment horizontal="right"/>
    </xf>
    <xf numFmtId="0" fontId="12" fillId="0" borderId="6" xfId="2" applyFont="1" applyBorder="1" applyAlignment="1">
      <alignment horizontal="right"/>
    </xf>
    <xf numFmtId="0" fontId="25" fillId="3" borderId="4" xfId="2" applyFont="1" applyFill="1" applyBorder="1" applyAlignment="1">
      <alignment vertical="center" wrapText="1"/>
    </xf>
    <xf numFmtId="10" fontId="25" fillId="3" borderId="5" xfId="4" applyNumberFormat="1" applyFont="1" applyFill="1" applyBorder="1" applyAlignment="1">
      <alignment horizontal="right" vertical="center"/>
    </xf>
    <xf numFmtId="10" fontId="25" fillId="3" borderId="4" xfId="4" applyNumberFormat="1" applyFont="1" applyFill="1" applyBorder="1" applyAlignment="1">
      <alignment horizontal="right" vertical="center"/>
    </xf>
    <xf numFmtId="10" fontId="25" fillId="3" borderId="6" xfId="4" applyNumberFormat="1" applyFont="1" applyFill="1" applyBorder="1" applyAlignment="1">
      <alignment horizontal="right" vertical="center"/>
    </xf>
    <xf numFmtId="0" fontId="26" fillId="0" borderId="0" xfId="2" applyFont="1"/>
    <xf numFmtId="0" fontId="24" fillId="3" borderId="4" xfId="2" applyFont="1" applyFill="1" applyBorder="1" applyAlignment="1">
      <alignment vertical="center" wrapText="1"/>
    </xf>
    <xf numFmtId="10" fontId="24" fillId="3" borderId="5" xfId="4" applyNumberFormat="1" applyFont="1" applyFill="1" applyBorder="1" applyAlignment="1">
      <alignment horizontal="right" vertical="center"/>
    </xf>
    <xf numFmtId="10" fontId="24" fillId="3" borderId="4" xfId="4" applyNumberFormat="1" applyFont="1" applyFill="1" applyBorder="1" applyAlignment="1">
      <alignment horizontal="right" vertical="center"/>
    </xf>
    <xf numFmtId="10" fontId="24" fillId="3" borderId="6" xfId="4" applyNumberFormat="1" applyFont="1" applyFill="1" applyBorder="1" applyAlignment="1">
      <alignment horizontal="right" vertical="center"/>
    </xf>
    <xf numFmtId="0" fontId="24" fillId="3" borderId="4" xfId="3" applyFont="1" applyFill="1" applyBorder="1" applyAlignment="1">
      <alignment vertical="center" wrapText="1"/>
    </xf>
    <xf numFmtId="10" fontId="27" fillId="0" borderId="5" xfId="4" applyNumberFormat="1" applyFont="1" applyFill="1" applyBorder="1" applyAlignment="1">
      <alignment horizontal="right" vertical="center"/>
    </xf>
    <xf numFmtId="10" fontId="27" fillId="0" borderId="4" xfId="4" applyNumberFormat="1" applyFont="1" applyFill="1" applyBorder="1" applyAlignment="1">
      <alignment horizontal="right" vertical="center"/>
    </xf>
    <xf numFmtId="10" fontId="16" fillId="0" borderId="5" xfId="4" applyNumberFormat="1" applyFont="1" applyFill="1" applyBorder="1" applyAlignment="1">
      <alignment horizontal="right" vertical="center"/>
    </xf>
    <xf numFmtId="10" fontId="16" fillId="0" borderId="4" xfId="4" applyNumberFormat="1" applyFont="1" applyFill="1" applyBorder="1" applyAlignment="1">
      <alignment horizontal="right" vertical="center"/>
    </xf>
    <xf numFmtId="0" fontId="28" fillId="0" borderId="0" xfId="2" applyFont="1"/>
    <xf numFmtId="164" fontId="16" fillId="0" borderId="0" xfId="2" applyNumberFormat="1" applyFont="1"/>
    <xf numFmtId="165" fontId="16" fillId="0" borderId="5" xfId="4" applyNumberFormat="1" applyFont="1" applyFill="1" applyBorder="1" applyAlignment="1">
      <alignment horizontal="right" vertical="center"/>
    </xf>
    <xf numFmtId="165" fontId="16" fillId="0" borderId="4" xfId="4" applyNumberFormat="1" applyFont="1" applyFill="1" applyBorder="1" applyAlignment="1">
      <alignment horizontal="right" vertical="center"/>
    </xf>
    <xf numFmtId="0" fontId="11" fillId="3" borderId="4" xfId="2" applyFont="1" applyFill="1" applyBorder="1" applyAlignment="1">
      <alignment vertical="center" wrapText="1"/>
    </xf>
    <xf numFmtId="10" fontId="11" fillId="3" borderId="5" xfId="4" applyNumberFormat="1" applyFont="1" applyFill="1" applyBorder="1" applyAlignment="1">
      <alignment horizontal="right" vertical="center"/>
    </xf>
    <xf numFmtId="10" fontId="11" fillId="3" borderId="4" xfId="4" applyNumberFormat="1" applyFont="1" applyFill="1" applyBorder="1" applyAlignment="1">
      <alignment horizontal="right" vertical="center"/>
    </xf>
    <xf numFmtId="10" fontId="11" fillId="3" borderId="6" xfId="4" applyNumberFormat="1" applyFont="1" applyFill="1" applyBorder="1" applyAlignment="1">
      <alignment horizontal="right" vertical="center"/>
    </xf>
    <xf numFmtId="165" fontId="11" fillId="3" borderId="5" xfId="4" applyNumberFormat="1" applyFont="1" applyFill="1" applyBorder="1" applyAlignment="1">
      <alignment horizontal="right" vertical="center"/>
    </xf>
    <xf numFmtId="165" fontId="11" fillId="3" borderId="4" xfId="4" applyNumberFormat="1" applyFont="1" applyFill="1" applyBorder="1" applyAlignment="1">
      <alignment horizontal="right" vertical="center"/>
    </xf>
    <xf numFmtId="0" fontId="20" fillId="0" borderId="0" xfId="2" applyFont="1"/>
    <xf numFmtId="0" fontId="12" fillId="0" borderId="0" xfId="2" applyFont="1" applyAlignment="1">
      <alignment vertical="center"/>
    </xf>
    <xf numFmtId="0" fontId="5" fillId="0" borderId="0" xfId="2" applyFont="1" applyAlignment="1">
      <alignment horizontal="right" vertical="center"/>
    </xf>
    <xf numFmtId="0" fontId="30" fillId="0" borderId="0" xfId="2" applyFont="1" applyAlignment="1">
      <alignment vertical="center" wrapText="1"/>
    </xf>
    <xf numFmtId="0" fontId="31" fillId="0" borderId="0" xfId="2" applyFont="1" applyAlignment="1">
      <alignment vertical="center"/>
    </xf>
    <xf numFmtId="3" fontId="12" fillId="0" borderId="6" xfId="2" applyNumberFormat="1" applyFont="1" applyBorder="1" applyAlignment="1">
      <alignment vertical="center"/>
    </xf>
    <xf numFmtId="0" fontId="20" fillId="0" borderId="4" xfId="2" applyFont="1" applyBorder="1" applyAlignment="1">
      <alignment vertical="center" wrapText="1"/>
    </xf>
    <xf numFmtId="164" fontId="20" fillId="0" borderId="5" xfId="2" applyNumberFormat="1" applyFont="1" applyBorder="1" applyAlignment="1">
      <alignment vertical="center"/>
    </xf>
    <xf numFmtId="164" fontId="20" fillId="0" borderId="4" xfId="2" applyNumberFormat="1" applyFont="1" applyBorder="1" applyAlignment="1">
      <alignment vertical="center"/>
    </xf>
    <xf numFmtId="164" fontId="20" fillId="0" borderId="6" xfId="2" applyNumberFormat="1" applyFont="1" applyBorder="1" applyAlignment="1">
      <alignment vertical="center"/>
    </xf>
    <xf numFmtId="0" fontId="12" fillId="0" borderId="4" xfId="2" applyFont="1" applyBorder="1" applyAlignment="1">
      <alignment vertical="center" wrapText="1"/>
    </xf>
    <xf numFmtId="164" fontId="12" fillId="0" borderId="5" xfId="2" applyNumberFormat="1" applyFont="1" applyBorder="1" applyAlignment="1">
      <alignment vertical="center"/>
    </xf>
    <xf numFmtId="164" fontId="12" fillId="0" borderId="4" xfId="2" applyNumberFormat="1" applyFont="1" applyBorder="1" applyAlignment="1">
      <alignment vertical="center"/>
    </xf>
    <xf numFmtId="164" fontId="12" fillId="0" borderId="6" xfId="2" applyNumberFormat="1" applyFont="1" applyBorder="1" applyAlignment="1">
      <alignment vertical="center"/>
    </xf>
    <xf numFmtId="0" fontId="12" fillId="0" borderId="4" xfId="2" applyFont="1" applyBorder="1" applyAlignment="1">
      <alignment horizontal="left" vertical="center" wrapText="1"/>
    </xf>
    <xf numFmtId="0" fontId="20" fillId="0" borderId="0" xfId="2" applyFont="1" applyAlignment="1">
      <alignment vertical="center"/>
    </xf>
    <xf numFmtId="3" fontId="12" fillId="0" borderId="4" xfId="2" applyNumberFormat="1" applyFont="1" applyBorder="1" applyAlignment="1">
      <alignment vertical="center" wrapText="1"/>
    </xf>
    <xf numFmtId="3" fontId="7" fillId="0" borderId="4" xfId="2" applyNumberFormat="1" applyFont="1" applyBorder="1" applyAlignment="1">
      <alignment vertical="center" wrapText="1"/>
    </xf>
    <xf numFmtId="164" fontId="7" fillId="0" borderId="5" xfId="2" applyNumberFormat="1" applyFont="1" applyBorder="1" applyAlignment="1">
      <alignment vertical="center"/>
    </xf>
    <xf numFmtId="164" fontId="7" fillId="0" borderId="4" xfId="2" applyNumberFormat="1" applyFont="1" applyBorder="1" applyAlignment="1">
      <alignment vertical="center"/>
    </xf>
    <xf numFmtId="164" fontId="7" fillId="0" borderId="6" xfId="2" applyNumberFormat="1" applyFont="1" applyBorder="1" applyAlignment="1">
      <alignment vertical="center"/>
    </xf>
    <xf numFmtId="0" fontId="26" fillId="0" borderId="0" xfId="2" applyFont="1" applyAlignment="1">
      <alignment vertical="center"/>
    </xf>
    <xf numFmtId="0" fontId="12" fillId="0" borderId="4" xfId="2" applyFont="1" applyBorder="1" applyAlignment="1">
      <alignment vertical="center"/>
    </xf>
    <xf numFmtId="164" fontId="11" fillId="3" borderId="5" xfId="2" applyNumberFormat="1" applyFont="1" applyFill="1" applyBorder="1" applyAlignment="1">
      <alignment vertical="center"/>
    </xf>
    <xf numFmtId="164" fontId="11" fillId="3" borderId="4" xfId="2" applyNumberFormat="1" applyFont="1" applyFill="1" applyBorder="1" applyAlignment="1">
      <alignment vertical="center"/>
    </xf>
    <xf numFmtId="164" fontId="11" fillId="3" borderId="6" xfId="2" applyNumberFormat="1" applyFont="1" applyFill="1" applyBorder="1" applyAlignment="1">
      <alignment vertical="center"/>
    </xf>
    <xf numFmtId="0" fontId="20" fillId="0" borderId="4" xfId="2" applyFont="1" applyBorder="1" applyAlignment="1">
      <alignment vertical="center"/>
    </xf>
    <xf numFmtId="0" fontId="7" fillId="0" borderId="4" xfId="2" applyFont="1" applyBorder="1" applyAlignment="1">
      <alignment horizontal="left" vertical="center" wrapText="1"/>
    </xf>
    <xf numFmtId="0" fontId="20" fillId="0" borderId="4" xfId="2" applyFont="1" applyBorder="1" applyAlignment="1">
      <alignment horizontal="left" vertical="center" wrapText="1"/>
    </xf>
    <xf numFmtId="0" fontId="7" fillId="0" borderId="4" xfId="2" applyFont="1" applyBorder="1" applyAlignment="1">
      <alignment vertical="center"/>
    </xf>
    <xf numFmtId="0" fontId="20" fillId="0" borderId="0" xfId="2" applyFont="1" applyAlignment="1">
      <alignment vertical="center" wrapText="1"/>
    </xf>
    <xf numFmtId="164" fontId="20" fillId="0" borderId="5" xfId="2" applyNumberFormat="1" applyFont="1" applyBorder="1" applyAlignment="1">
      <alignment horizontal="right" vertical="center"/>
    </xf>
    <xf numFmtId="164" fontId="20" fillId="0" borderId="4" xfId="2" applyNumberFormat="1" applyFont="1" applyBorder="1" applyAlignment="1">
      <alignment horizontal="right" vertical="center"/>
    </xf>
    <xf numFmtId="164" fontId="20" fillId="0" borderId="6" xfId="2" applyNumberFormat="1" applyFont="1" applyBorder="1" applyAlignment="1">
      <alignment horizontal="right" vertical="center"/>
    </xf>
    <xf numFmtId="164" fontId="12" fillId="0" borderId="5" xfId="2" applyNumberFormat="1" applyFont="1" applyBorder="1" applyAlignment="1">
      <alignment horizontal="right" vertical="center"/>
    </xf>
    <xf numFmtId="164" fontId="12" fillId="0" borderId="4" xfId="2" applyNumberFormat="1" applyFont="1" applyBorder="1" applyAlignment="1">
      <alignment horizontal="right" vertical="center"/>
    </xf>
    <xf numFmtId="164" fontId="12" fillId="0" borderId="6" xfId="2" applyNumberFormat="1" applyFont="1" applyBorder="1" applyAlignment="1">
      <alignment horizontal="right" vertical="center"/>
    </xf>
    <xf numFmtId="164" fontId="7" fillId="0" borderId="5" xfId="2" applyNumberFormat="1" applyFont="1" applyBorder="1" applyAlignment="1">
      <alignment horizontal="right" vertical="center"/>
    </xf>
    <xf numFmtId="164" fontId="7" fillId="0" borderId="4" xfId="2" applyNumberFormat="1" applyFont="1" applyBorder="1" applyAlignment="1">
      <alignment horizontal="right" vertical="center"/>
    </xf>
    <xf numFmtId="164" fontId="7" fillId="0" borderId="6" xfId="2" applyNumberFormat="1" applyFont="1" applyBorder="1" applyAlignment="1">
      <alignment horizontal="right" vertical="center"/>
    </xf>
    <xf numFmtId="0" fontId="12" fillId="0" borderId="4" xfId="5" applyFont="1" applyBorder="1" applyAlignment="1">
      <alignment horizontal="left" vertical="center" wrapText="1"/>
    </xf>
    <xf numFmtId="0" fontId="7" fillId="0" borderId="4" xfId="2" applyFont="1" applyBorder="1" applyAlignment="1">
      <alignment horizontal="left" vertical="center"/>
    </xf>
    <xf numFmtId="0" fontId="7" fillId="0" borderId="4" xfId="5" applyFont="1" applyBorder="1" applyAlignment="1">
      <alignment horizontal="left" vertical="center"/>
    </xf>
    <xf numFmtId="0" fontId="20" fillId="0" borderId="4" xfId="2" applyFont="1" applyBorder="1" applyAlignment="1">
      <alignment horizontal="left" vertical="center"/>
    </xf>
    <xf numFmtId="164" fontId="11" fillId="3" borderId="5" xfId="2" applyNumberFormat="1" applyFont="1" applyFill="1" applyBorder="1" applyAlignment="1">
      <alignment horizontal="right" vertical="center"/>
    </xf>
    <xf numFmtId="164" fontId="11" fillId="3" borderId="4" xfId="2" applyNumberFormat="1" applyFont="1" applyFill="1" applyBorder="1" applyAlignment="1">
      <alignment horizontal="right" vertical="center"/>
    </xf>
    <xf numFmtId="164" fontId="11" fillId="3" borderId="6" xfId="2" applyNumberFormat="1" applyFont="1" applyFill="1" applyBorder="1" applyAlignment="1">
      <alignment horizontal="right" vertical="center"/>
    </xf>
    <xf numFmtId="164" fontId="7" fillId="0" borderId="4" xfId="5" applyNumberFormat="1" applyFont="1" applyBorder="1" applyAlignment="1">
      <alignment vertical="center"/>
    </xf>
    <xf numFmtId="164" fontId="7" fillId="0" borderId="6" xfId="5" applyNumberFormat="1" applyFont="1" applyBorder="1" applyAlignment="1">
      <alignment vertical="center"/>
    </xf>
    <xf numFmtId="164" fontId="12" fillId="0" borderId="4" xfId="5" applyNumberFormat="1" applyFont="1" applyBorder="1" applyAlignment="1">
      <alignment vertical="center"/>
    </xf>
    <xf numFmtId="164" fontId="12" fillId="0" borderId="6" xfId="5" applyNumberFormat="1" applyFont="1" applyBorder="1" applyAlignment="1">
      <alignment vertical="center"/>
    </xf>
    <xf numFmtId="0" fontId="7" fillId="0" borderId="4" xfId="5" applyFont="1" applyBorder="1" applyAlignment="1">
      <alignment horizontal="left" vertical="center" wrapText="1"/>
    </xf>
    <xf numFmtId="164" fontId="5" fillId="0" borderId="0" xfId="2" applyNumberFormat="1" applyFont="1" applyAlignment="1">
      <alignment vertical="center"/>
    </xf>
    <xf numFmtId="0" fontId="12" fillId="0" borderId="0" xfId="2" applyFont="1" applyAlignment="1">
      <alignment vertical="center" wrapText="1"/>
    </xf>
    <xf numFmtId="3" fontId="20" fillId="0" borderId="4" xfId="2" applyNumberFormat="1" applyFont="1" applyBorder="1" applyAlignment="1">
      <alignment vertical="center" wrapText="1"/>
    </xf>
    <xf numFmtId="0" fontId="7" fillId="0" borderId="0" xfId="2" applyFont="1" applyAlignment="1">
      <alignment vertical="center" wrapText="1"/>
    </xf>
    <xf numFmtId="164" fontId="7" fillId="0" borderId="0" xfId="2" applyNumberFormat="1" applyFont="1" applyAlignment="1">
      <alignment vertical="center"/>
    </xf>
    <xf numFmtId="164" fontId="7" fillId="0" borderId="2" xfId="2" applyNumberFormat="1" applyFont="1" applyBorder="1" applyAlignment="1">
      <alignment vertical="center"/>
    </xf>
    <xf numFmtId="3" fontId="12" fillId="5" borderId="4" xfId="2" applyNumberFormat="1" applyFont="1" applyFill="1" applyBorder="1" applyAlignment="1">
      <alignment vertical="center"/>
    </xf>
    <xf numFmtId="3" fontId="27" fillId="5" borderId="4" xfId="2" applyNumberFormat="1" applyFont="1" applyFill="1" applyBorder="1" applyAlignment="1">
      <alignment vertical="center"/>
    </xf>
    <xf numFmtId="3" fontId="5" fillId="0" borderId="0" xfId="2" applyNumberFormat="1" applyFont="1" applyAlignment="1">
      <alignment vertical="center"/>
    </xf>
    <xf numFmtId="166" fontId="5" fillId="0" borderId="0" xfId="4" applyNumberFormat="1" applyFont="1" applyBorder="1" applyAlignment="1">
      <alignment vertical="center"/>
    </xf>
    <xf numFmtId="0" fontId="34" fillId="0" borderId="0" xfId="2" applyFont="1" applyAlignment="1">
      <alignment horizontal="center" vertical="center" wrapText="1"/>
    </xf>
    <xf numFmtId="164" fontId="27" fillId="0" borderId="14" xfId="2" applyNumberFormat="1" applyFont="1" applyBorder="1" applyAlignment="1">
      <alignment horizontal="right" vertical="center"/>
    </xf>
    <xf numFmtId="164" fontId="27" fillId="0" borderId="5" xfId="2" applyNumberFormat="1" applyFont="1" applyBorder="1" applyAlignment="1">
      <alignment horizontal="right" vertical="center"/>
    </xf>
    <xf numFmtId="164" fontId="27" fillId="0" borderId="4" xfId="2" applyNumberFormat="1" applyFont="1" applyBorder="1" applyAlignment="1">
      <alignment horizontal="right" vertical="center"/>
    </xf>
    <xf numFmtId="164" fontId="27" fillId="0" borderId="13" xfId="2" applyNumberFormat="1" applyFont="1" applyBorder="1" applyAlignment="1">
      <alignment horizontal="right" vertical="center"/>
    </xf>
    <xf numFmtId="10" fontId="12" fillId="0" borderId="5" xfId="4" applyNumberFormat="1" applyFont="1" applyFill="1" applyBorder="1" applyAlignment="1">
      <alignment horizontal="right" vertical="center"/>
    </xf>
    <xf numFmtId="10" fontId="12" fillId="0" borderId="4" xfId="4" applyNumberFormat="1" applyFont="1" applyFill="1" applyBorder="1" applyAlignment="1">
      <alignment horizontal="right" vertical="center"/>
    </xf>
    <xf numFmtId="0" fontId="5" fillId="0" borderId="1" xfId="2" applyFont="1" applyBorder="1"/>
    <xf numFmtId="0" fontId="12" fillId="0" borderId="15" xfId="2" applyFont="1" applyBorder="1" applyAlignment="1">
      <alignment vertical="center"/>
    </xf>
    <xf numFmtId="0" fontId="9" fillId="2" borderId="7" xfId="2" applyFont="1" applyFill="1" applyBorder="1" applyAlignment="1">
      <alignment horizontal="center" vertical="center" wrapText="1"/>
    </xf>
    <xf numFmtId="0" fontId="10" fillId="3" borderId="16" xfId="6" applyFont="1" applyFill="1" applyBorder="1" applyAlignment="1">
      <alignment vertical="center" wrapText="1"/>
    </xf>
    <xf numFmtId="0" fontId="9" fillId="2" borderId="3" xfId="2" applyFont="1" applyFill="1" applyBorder="1" applyAlignment="1">
      <alignment horizontal="center" vertical="center" wrapText="1"/>
    </xf>
    <xf numFmtId="3" fontId="10" fillId="2" borderId="20" xfId="3" applyNumberFormat="1" applyFont="1" applyFill="1" applyBorder="1" applyAlignment="1">
      <alignment horizontal="right" vertical="center" wrapText="1"/>
    </xf>
    <xf numFmtId="3" fontId="10" fillId="2" borderId="3" xfId="3" applyNumberFormat="1" applyFont="1" applyFill="1" applyBorder="1" applyAlignment="1">
      <alignment horizontal="right" vertical="center" wrapText="1"/>
    </xf>
    <xf numFmtId="3" fontId="10" fillId="2" borderId="13" xfId="3" applyNumberFormat="1" applyFont="1" applyFill="1" applyBorder="1" applyAlignment="1">
      <alignment horizontal="right" vertical="center" wrapText="1"/>
    </xf>
    <xf numFmtId="3" fontId="10" fillId="2" borderId="21" xfId="3" applyNumberFormat="1" applyFont="1" applyFill="1" applyBorder="1" applyAlignment="1">
      <alignment horizontal="right" vertical="center" wrapText="1"/>
    </xf>
    <xf numFmtId="3" fontId="10" fillId="2" borderId="22" xfId="3" applyNumberFormat="1" applyFont="1" applyFill="1" applyBorder="1" applyAlignment="1">
      <alignment horizontal="right" vertical="center" wrapText="1"/>
    </xf>
    <xf numFmtId="3" fontId="12" fillId="0" borderId="0" xfId="2" applyNumberFormat="1" applyFont="1" applyAlignment="1">
      <alignment horizontal="right" vertical="center"/>
    </xf>
    <xf numFmtId="0" fontId="21" fillId="0" borderId="0" xfId="2" applyFont="1" applyAlignment="1">
      <alignment horizontal="right" vertical="center" wrapText="1"/>
    </xf>
    <xf numFmtId="0" fontId="21" fillId="0" borderId="23" xfId="2" applyFont="1" applyBorder="1" applyAlignment="1">
      <alignment horizontal="right" vertical="center" wrapText="1"/>
    </xf>
    <xf numFmtId="0" fontId="21" fillId="0" borderId="15" xfId="2" applyFont="1" applyBorder="1" applyAlignment="1">
      <alignment horizontal="right" vertical="center" wrapText="1"/>
    </xf>
    <xf numFmtId="0" fontId="21" fillId="0" borderId="1" xfId="2" applyFont="1" applyBorder="1" applyAlignment="1">
      <alignment horizontal="right" vertical="center" wrapText="1"/>
    </xf>
    <xf numFmtId="0" fontId="35" fillId="3" borderId="4" xfId="2" applyFont="1" applyFill="1" applyBorder="1" applyAlignment="1">
      <alignment vertical="center" wrapText="1"/>
    </xf>
    <xf numFmtId="164" fontId="35" fillId="3" borderId="24" xfId="2" applyNumberFormat="1" applyFont="1" applyFill="1" applyBorder="1" applyAlignment="1">
      <alignment horizontal="right" vertical="center" wrapText="1"/>
    </xf>
    <xf numFmtId="164" fontId="35" fillId="3" borderId="4" xfId="2" applyNumberFormat="1" applyFont="1" applyFill="1" applyBorder="1" applyAlignment="1">
      <alignment horizontal="right" vertical="center" wrapText="1"/>
    </xf>
    <xf numFmtId="164" fontId="35" fillId="3" borderId="5" xfId="2" applyNumberFormat="1" applyFont="1" applyFill="1" applyBorder="1" applyAlignment="1">
      <alignment horizontal="right" vertical="center" wrapText="1"/>
    </xf>
    <xf numFmtId="164" fontId="35" fillId="3" borderId="25" xfId="2" applyNumberFormat="1" applyFont="1" applyFill="1" applyBorder="1" applyAlignment="1">
      <alignment horizontal="right" vertical="center" wrapText="1"/>
    </xf>
    <xf numFmtId="164" fontId="35" fillId="3" borderId="26" xfId="2" applyNumberFormat="1" applyFont="1" applyFill="1" applyBorder="1" applyAlignment="1">
      <alignment horizontal="right" vertical="center" wrapText="1"/>
    </xf>
    <xf numFmtId="0" fontId="23" fillId="0" borderId="4" xfId="2" applyFont="1" applyBorder="1" applyAlignment="1">
      <alignment vertical="center" wrapText="1"/>
    </xf>
    <xf numFmtId="164" fontId="36" fillId="0" borderId="24" xfId="2" applyNumberFormat="1" applyFont="1" applyBorder="1" applyAlignment="1">
      <alignment horizontal="right" vertical="center" wrapText="1"/>
    </xf>
    <xf numFmtId="164" fontId="36" fillId="0" borderId="4" xfId="2" applyNumberFormat="1" applyFont="1" applyBorder="1" applyAlignment="1">
      <alignment horizontal="right" vertical="center" wrapText="1"/>
    </xf>
    <xf numFmtId="164" fontId="36" fillId="0" borderId="5" xfId="2" applyNumberFormat="1" applyFont="1" applyBorder="1" applyAlignment="1">
      <alignment horizontal="right" vertical="center" wrapText="1"/>
    </xf>
    <xf numFmtId="164" fontId="36" fillId="0" borderId="25" xfId="2" applyNumberFormat="1" applyFont="1" applyBorder="1" applyAlignment="1">
      <alignment horizontal="right" vertical="center" wrapText="1"/>
    </xf>
    <xf numFmtId="164" fontId="36" fillId="0" borderId="26" xfId="2" applyNumberFormat="1" applyFont="1" applyBorder="1" applyAlignment="1">
      <alignment horizontal="right" vertical="center" wrapText="1"/>
    </xf>
    <xf numFmtId="0" fontId="21" fillId="0" borderId="4" xfId="2" applyFont="1" applyBorder="1" applyAlignment="1">
      <alignment horizontal="left" vertical="center" wrapText="1" indent="1"/>
    </xf>
    <xf numFmtId="0" fontId="23" fillId="0" borderId="4" xfId="2" applyFont="1" applyBorder="1" applyAlignment="1">
      <alignment horizontal="left" vertical="center" wrapText="1" indent="1"/>
    </xf>
    <xf numFmtId="0" fontId="21" fillId="0" borderId="4" xfId="2" applyFont="1" applyBorder="1" applyAlignment="1">
      <alignment horizontal="left" vertical="center" wrapText="1" indent="3"/>
    </xf>
    <xf numFmtId="0" fontId="37" fillId="0" borderId="4" xfId="2" applyFont="1" applyBorder="1" applyAlignment="1">
      <alignment horizontal="left" vertical="center" wrapText="1" indent="1"/>
    </xf>
    <xf numFmtId="0" fontId="4" fillId="0" borderId="0" xfId="2"/>
    <xf numFmtId="0" fontId="18" fillId="0" borderId="4" xfId="2" applyFont="1" applyBorder="1" applyAlignment="1">
      <alignment horizontal="left" vertical="center" wrapText="1" indent="2"/>
    </xf>
    <xf numFmtId="164" fontId="18" fillId="0" borderId="5" xfId="2" applyNumberFormat="1" applyFont="1" applyBorder="1" applyAlignment="1">
      <alignment vertical="center"/>
    </xf>
    <xf numFmtId="164" fontId="18" fillId="0" borderId="4" xfId="2" applyNumberFormat="1" applyFont="1" applyBorder="1" applyAlignment="1">
      <alignment vertical="center"/>
    </xf>
    <xf numFmtId="164" fontId="18" fillId="0" borderId="6" xfId="2" applyNumberFormat="1" applyFont="1" applyBorder="1" applyAlignment="1">
      <alignment vertical="center"/>
    </xf>
    <xf numFmtId="164" fontId="18" fillId="0" borderId="4" xfId="2" applyNumberFormat="1" applyFont="1" applyBorder="1" applyAlignment="1">
      <alignment horizontal="right" vertical="center"/>
    </xf>
    <xf numFmtId="164" fontId="18" fillId="0" borderId="6" xfId="2" applyNumberFormat="1" applyFont="1" applyBorder="1" applyAlignment="1">
      <alignment horizontal="right" vertical="center"/>
    </xf>
    <xf numFmtId="164" fontId="18" fillId="0" borderId="5" xfId="2" applyNumberFormat="1" applyFont="1" applyBorder="1" applyAlignment="1">
      <alignment horizontal="right" vertical="center"/>
    </xf>
    <xf numFmtId="3" fontId="18" fillId="0" borderId="4" xfId="2" applyNumberFormat="1" applyFont="1" applyBorder="1" applyAlignment="1">
      <alignment horizontal="left" vertical="center" wrapText="1" indent="2"/>
    </xf>
    <xf numFmtId="0" fontId="38" fillId="0" borderId="0" xfId="2" applyFont="1" applyAlignment="1">
      <alignment vertical="center" wrapText="1"/>
    </xf>
    <xf numFmtId="0" fontId="32" fillId="0" borderId="0" xfId="2" applyFont="1" applyAlignment="1">
      <alignment vertical="center"/>
    </xf>
    <xf numFmtId="164" fontId="32" fillId="0" borderId="0" xfId="2" applyNumberFormat="1" applyFont="1" applyAlignment="1">
      <alignment vertical="center"/>
    </xf>
    <xf numFmtId="0" fontId="32" fillId="0" borderId="23" xfId="2" applyFont="1" applyBorder="1" applyAlignment="1">
      <alignment vertical="center"/>
    </xf>
    <xf numFmtId="3" fontId="40" fillId="2" borderId="1" xfId="2" applyNumberFormat="1" applyFont="1" applyFill="1" applyBorder="1" applyAlignment="1">
      <alignment horizontal="right" vertical="center" wrapText="1"/>
    </xf>
    <xf numFmtId="3" fontId="40" fillId="2" borderId="0" xfId="2" applyNumberFormat="1" applyFont="1" applyFill="1" applyAlignment="1">
      <alignment horizontal="right" vertical="center" wrapText="1"/>
    </xf>
    <xf numFmtId="3" fontId="40" fillId="2" borderId="2" xfId="2" applyNumberFormat="1" applyFont="1" applyFill="1" applyBorder="1" applyAlignment="1">
      <alignment horizontal="right" vertical="center" wrapText="1"/>
    </xf>
    <xf numFmtId="3" fontId="40" fillId="2" borderId="1" xfId="3" applyNumberFormat="1" applyFont="1" applyFill="1" applyBorder="1" applyAlignment="1">
      <alignment horizontal="right" vertical="center" wrapText="1"/>
    </xf>
    <xf numFmtId="3" fontId="40" fillId="2" borderId="0" xfId="3" applyNumberFormat="1" applyFont="1" applyFill="1" applyAlignment="1">
      <alignment horizontal="right" vertical="center" wrapText="1"/>
    </xf>
    <xf numFmtId="3" fontId="40" fillId="2" borderId="2" xfId="3" applyNumberFormat="1" applyFont="1" applyFill="1" applyBorder="1" applyAlignment="1">
      <alignment horizontal="right" vertical="center" wrapText="1"/>
    </xf>
    <xf numFmtId="3" fontId="40" fillId="2" borderId="23" xfId="3" applyNumberFormat="1" applyFont="1" applyFill="1" applyBorder="1" applyAlignment="1">
      <alignment horizontal="right" vertical="center" wrapText="1"/>
    </xf>
    <xf numFmtId="3" fontId="40" fillId="2" borderId="15" xfId="3" applyNumberFormat="1" applyFont="1" applyFill="1" applyBorder="1" applyAlignment="1">
      <alignment horizontal="right" vertical="center" wrapText="1"/>
    </xf>
    <xf numFmtId="0" fontId="12" fillId="0" borderId="1" xfId="2" applyFont="1" applyBorder="1" applyAlignment="1">
      <alignment vertical="center"/>
    </xf>
    <xf numFmtId="0" fontId="12" fillId="0" borderId="2" xfId="2" applyFont="1" applyBorder="1" applyAlignment="1">
      <alignment vertical="center"/>
    </xf>
    <xf numFmtId="0" fontId="12" fillId="0" borderId="0" xfId="2" applyFont="1" applyAlignment="1">
      <alignment horizontal="right" vertical="center"/>
    </xf>
    <xf numFmtId="0" fontId="12" fillId="0" borderId="23" xfId="2" applyFont="1" applyBorder="1" applyAlignment="1">
      <alignment horizontal="right" vertical="center"/>
    </xf>
    <xf numFmtId="0" fontId="12" fillId="0" borderId="15" xfId="2" applyFont="1" applyBorder="1" applyAlignment="1">
      <alignment horizontal="right" vertical="center"/>
    </xf>
    <xf numFmtId="0" fontId="12" fillId="0" borderId="2" xfId="2" applyFont="1" applyBorder="1" applyAlignment="1">
      <alignment horizontal="right" vertical="center"/>
    </xf>
    <xf numFmtId="0" fontId="12" fillId="0" borderId="1" xfId="2" applyFont="1" applyBorder="1" applyAlignment="1">
      <alignment horizontal="right" vertical="center"/>
    </xf>
    <xf numFmtId="164" fontId="41" fillId="3" borderId="5" xfId="2" applyNumberFormat="1" applyFont="1" applyFill="1" applyBorder="1" applyAlignment="1">
      <alignment vertical="center"/>
    </xf>
    <xf numFmtId="164" fontId="11" fillId="3" borderId="25" xfId="2" applyNumberFormat="1" applyFont="1" applyFill="1" applyBorder="1" applyAlignment="1">
      <alignment horizontal="right" vertical="center"/>
    </xf>
    <xf numFmtId="164" fontId="11" fillId="3" borderId="26" xfId="2" applyNumberFormat="1" applyFont="1" applyFill="1" applyBorder="1" applyAlignment="1">
      <alignment horizontal="right" vertical="center"/>
    </xf>
    <xf numFmtId="164" fontId="12" fillId="0" borderId="25" xfId="2" applyNumberFormat="1" applyFont="1" applyBorder="1" applyAlignment="1">
      <alignment horizontal="right" vertical="center"/>
    </xf>
    <xf numFmtId="164" fontId="12" fillId="0" borderId="26" xfId="2" applyNumberFormat="1" applyFont="1" applyBorder="1" applyAlignment="1">
      <alignment horizontal="right" vertical="center"/>
    </xf>
    <xf numFmtId="0" fontId="12" fillId="0" borderId="23" xfId="2" applyFont="1" applyBorder="1" applyAlignment="1">
      <alignment vertical="center"/>
    </xf>
    <xf numFmtId="166" fontId="11" fillId="3" borderId="5" xfId="4" applyNumberFormat="1" applyFont="1" applyFill="1" applyBorder="1" applyAlignment="1">
      <alignment horizontal="right" vertical="center"/>
    </xf>
    <xf numFmtId="166" fontId="11" fillId="3" borderId="4" xfId="4" applyNumberFormat="1" applyFont="1" applyFill="1" applyBorder="1" applyAlignment="1">
      <alignment horizontal="right" vertical="center"/>
    </xf>
    <xf numFmtId="166" fontId="11" fillId="3" borderId="6" xfId="4" applyNumberFormat="1" applyFont="1" applyFill="1" applyBorder="1" applyAlignment="1">
      <alignment horizontal="right" vertical="center"/>
    </xf>
    <xf numFmtId="166" fontId="11" fillId="3" borderId="4" xfId="4" applyNumberFormat="1" applyFont="1" applyFill="1" applyBorder="1" applyAlignment="1">
      <alignment vertical="center"/>
    </xf>
    <xf numFmtId="166" fontId="11" fillId="3" borderId="25" xfId="4" applyNumberFormat="1" applyFont="1" applyFill="1" applyBorder="1" applyAlignment="1">
      <alignment vertical="center"/>
    </xf>
    <xf numFmtId="166" fontId="11" fillId="3" borderId="26" xfId="4" applyNumberFormat="1" applyFont="1" applyFill="1" applyBorder="1" applyAlignment="1">
      <alignment vertical="center"/>
    </xf>
    <xf numFmtId="166" fontId="11" fillId="3" borderId="6" xfId="4" applyNumberFormat="1" applyFont="1" applyFill="1" applyBorder="1" applyAlignment="1">
      <alignment vertical="center"/>
    </xf>
    <xf numFmtId="166" fontId="11" fillId="3" borderId="5" xfId="4" applyNumberFormat="1" applyFont="1" applyFill="1" applyBorder="1" applyAlignment="1">
      <alignment vertical="center"/>
    </xf>
    <xf numFmtId="10" fontId="11" fillId="3" borderId="4" xfId="4" applyNumberFormat="1" applyFont="1" applyFill="1" applyBorder="1" applyAlignment="1">
      <alignment vertical="center"/>
    </xf>
    <xf numFmtId="10" fontId="11" fillId="3" borderId="25" xfId="4" applyNumberFormat="1" applyFont="1" applyFill="1" applyBorder="1" applyAlignment="1">
      <alignment vertical="center"/>
    </xf>
    <xf numFmtId="10" fontId="11" fillId="3" borderId="26" xfId="4" applyNumberFormat="1" applyFont="1" applyFill="1" applyBorder="1" applyAlignment="1">
      <alignment vertical="center"/>
    </xf>
    <xf numFmtId="10" fontId="11" fillId="3" borderId="6" xfId="4" applyNumberFormat="1" applyFont="1" applyFill="1" applyBorder="1" applyAlignment="1">
      <alignment vertical="center"/>
    </xf>
    <xf numFmtId="10" fontId="11" fillId="3" borderId="5" xfId="4" applyNumberFormat="1" applyFont="1" applyFill="1" applyBorder="1" applyAlignment="1">
      <alignment vertical="center"/>
    </xf>
    <xf numFmtId="0" fontId="11" fillId="0" borderId="0" xfId="2" applyFont="1" applyAlignment="1">
      <alignment vertical="center" wrapText="1"/>
    </xf>
    <xf numFmtId="166" fontId="11" fillId="0" borderId="1" xfId="4" applyNumberFormat="1" applyFont="1" applyFill="1" applyBorder="1" applyAlignment="1">
      <alignment horizontal="right" vertical="center"/>
    </xf>
    <xf numFmtId="166" fontId="11" fillId="0" borderId="0" xfId="4" applyNumberFormat="1" applyFont="1" applyFill="1" applyBorder="1" applyAlignment="1">
      <alignment horizontal="right" vertical="center"/>
    </xf>
    <xf numFmtId="166" fontId="11" fillId="0" borderId="2" xfId="4" applyNumberFormat="1" applyFont="1" applyFill="1" applyBorder="1" applyAlignment="1">
      <alignment horizontal="right" vertical="center"/>
    </xf>
    <xf numFmtId="10" fontId="11" fillId="0" borderId="0" xfId="4" applyNumberFormat="1" applyFont="1" applyFill="1" applyBorder="1" applyAlignment="1">
      <alignment vertical="center"/>
    </xf>
    <xf numFmtId="0" fontId="42" fillId="0" borderId="0" xfId="2" applyFont="1" applyAlignment="1">
      <alignment vertical="center" wrapText="1"/>
    </xf>
    <xf numFmtId="166" fontId="43" fillId="0" borderId="1" xfId="4" applyNumberFormat="1" applyFont="1" applyFill="1" applyBorder="1" applyAlignment="1">
      <alignment horizontal="right" vertical="center"/>
    </xf>
    <xf numFmtId="166" fontId="43" fillId="0" borderId="0" xfId="4" applyNumberFormat="1" applyFont="1" applyFill="1" applyBorder="1" applyAlignment="1">
      <alignment horizontal="right" vertical="center"/>
    </xf>
    <xf numFmtId="166" fontId="43" fillId="0" borderId="2" xfId="4" applyNumberFormat="1" applyFont="1" applyFill="1" applyBorder="1" applyAlignment="1">
      <alignment horizontal="right" vertical="center"/>
    </xf>
    <xf numFmtId="10" fontId="43" fillId="0" borderId="0" xfId="4" applyNumberFormat="1" applyFont="1" applyFill="1" applyBorder="1" applyAlignment="1">
      <alignment vertical="center"/>
    </xf>
    <xf numFmtId="0" fontId="40" fillId="0" borderId="1" xfId="3" applyFont="1" applyBorder="1" applyAlignment="1">
      <alignment horizontal="center" vertical="center" wrapText="1"/>
    </xf>
    <xf numFmtId="0" fontId="40" fillId="0" borderId="0" xfId="3" applyFont="1" applyAlignment="1">
      <alignment horizontal="center" vertical="center" wrapText="1"/>
    </xf>
    <xf numFmtId="3" fontId="40" fillId="0" borderId="1" xfId="3" applyNumberFormat="1" applyFont="1" applyBorder="1" applyAlignment="1">
      <alignment horizontal="right" vertical="center" wrapText="1"/>
    </xf>
    <xf numFmtId="3" fontId="40" fillId="0" borderId="0" xfId="3" applyNumberFormat="1" applyFont="1" applyAlignment="1">
      <alignment horizontal="right" vertical="center" wrapText="1"/>
    </xf>
    <xf numFmtId="164" fontId="12" fillId="0" borderId="1" xfId="2" applyNumberFormat="1" applyFont="1" applyBorder="1" applyAlignment="1">
      <alignment horizontal="right" vertical="center"/>
    </xf>
    <xf numFmtId="164" fontId="12" fillId="0" borderId="0" xfId="2" applyNumberFormat="1" applyFont="1" applyAlignment="1">
      <alignment horizontal="right" vertical="center"/>
    </xf>
    <xf numFmtId="164" fontId="41" fillId="0" borderId="5" xfId="2" applyNumberFormat="1" applyFont="1" applyBorder="1" applyAlignment="1">
      <alignment vertical="center"/>
    </xf>
    <xf numFmtId="164" fontId="41" fillId="0" borderId="4" xfId="2" applyNumberFormat="1" applyFont="1" applyBorder="1" applyAlignment="1">
      <alignment vertical="center"/>
    </xf>
    <xf numFmtId="164" fontId="20" fillId="0" borderId="1" xfId="2" applyNumberFormat="1" applyFont="1" applyBorder="1" applyAlignment="1">
      <alignment horizontal="right" vertical="center"/>
    </xf>
    <xf numFmtId="164" fontId="20" fillId="0" borderId="0" xfId="2" applyNumberFormat="1" applyFont="1" applyAlignment="1">
      <alignment horizontal="right" vertical="center"/>
    </xf>
    <xf numFmtId="164" fontId="19" fillId="0" borderId="5" xfId="2" applyNumberFormat="1" applyFont="1" applyBorder="1" applyAlignment="1">
      <alignment vertical="center"/>
    </xf>
    <xf numFmtId="164" fontId="19" fillId="0" borderId="4" xfId="2" applyNumberFormat="1" applyFont="1" applyBorder="1" applyAlignment="1">
      <alignment vertical="center"/>
    </xf>
    <xf numFmtId="166" fontId="19" fillId="0" borderId="5" xfId="4" applyNumberFormat="1" applyFont="1" applyFill="1" applyBorder="1" applyAlignment="1">
      <alignment vertical="center"/>
    </xf>
    <xf numFmtId="166" fontId="19" fillId="0" borderId="4" xfId="4" applyNumberFormat="1" applyFont="1" applyFill="1" applyBorder="1" applyAlignment="1">
      <alignment vertical="center"/>
    </xf>
    <xf numFmtId="166" fontId="12" fillId="0" borderId="4" xfId="4" applyNumberFormat="1" applyFont="1" applyFill="1" applyBorder="1" applyAlignment="1">
      <alignment vertical="center"/>
    </xf>
    <xf numFmtId="166" fontId="12" fillId="0" borderId="6" xfId="4" applyNumberFormat="1" applyFont="1" applyFill="1" applyBorder="1" applyAlignment="1">
      <alignment vertical="center"/>
    </xf>
    <xf numFmtId="166" fontId="12" fillId="0" borderId="5" xfId="4" applyNumberFormat="1" applyFont="1" applyFill="1" applyBorder="1" applyAlignment="1">
      <alignment vertical="center"/>
    </xf>
    <xf numFmtId="3" fontId="19" fillId="0" borderId="5" xfId="2" applyNumberFormat="1" applyFont="1" applyBorder="1" applyAlignment="1">
      <alignment vertical="center"/>
    </xf>
    <xf numFmtId="3" fontId="19" fillId="0" borderId="4" xfId="2" applyNumberFormat="1" applyFont="1" applyBorder="1" applyAlignment="1">
      <alignment vertical="center"/>
    </xf>
    <xf numFmtId="3" fontId="12" fillId="0" borderId="1" xfId="2" applyNumberFormat="1" applyFont="1" applyBorder="1" applyAlignment="1">
      <alignment horizontal="right" vertical="center"/>
    </xf>
    <xf numFmtId="164" fontId="41" fillId="3" borderId="4" xfId="2" applyNumberFormat="1" applyFont="1" applyFill="1" applyBorder="1" applyAlignment="1">
      <alignment vertical="center"/>
    </xf>
    <xf numFmtId="164" fontId="11" fillId="0" borderId="1" xfId="2" applyNumberFormat="1" applyFont="1" applyBorder="1" applyAlignment="1">
      <alignment horizontal="right" vertical="center"/>
    </xf>
    <xf numFmtId="164" fontId="11" fillId="0" borderId="0" xfId="2" applyNumberFormat="1" applyFont="1" applyAlignment="1">
      <alignment horizontal="right" vertical="center"/>
    </xf>
    <xf numFmtId="166" fontId="12" fillId="0" borderId="1" xfId="4" applyNumberFormat="1" applyFont="1" applyFill="1" applyBorder="1" applyAlignment="1">
      <alignment horizontal="right" vertical="center"/>
    </xf>
    <xf numFmtId="166" fontId="12" fillId="0" borderId="0" xfId="4" applyNumberFormat="1" applyFont="1" applyFill="1" applyBorder="1" applyAlignment="1">
      <alignment horizontal="right" vertical="center"/>
    </xf>
    <xf numFmtId="166" fontId="41" fillId="0" borderId="5" xfId="4" applyNumberFormat="1" applyFont="1" applyFill="1" applyBorder="1" applyAlignment="1">
      <alignment vertical="center"/>
    </xf>
    <xf numFmtId="166" fontId="41" fillId="0" borderId="4" xfId="4" applyNumberFormat="1" applyFont="1" applyFill="1" applyBorder="1" applyAlignment="1">
      <alignment vertical="center"/>
    </xf>
    <xf numFmtId="166" fontId="20" fillId="0" borderId="4" xfId="4" applyNumberFormat="1" applyFont="1" applyFill="1" applyBorder="1" applyAlignment="1">
      <alignment vertical="center"/>
    </xf>
    <xf numFmtId="166" fontId="20" fillId="0" borderId="6" xfId="4" applyNumberFormat="1" applyFont="1" applyFill="1" applyBorder="1" applyAlignment="1">
      <alignment vertical="center"/>
    </xf>
    <xf numFmtId="166" fontId="20" fillId="0" borderId="5" xfId="4" applyNumberFormat="1" applyFont="1" applyFill="1" applyBorder="1" applyAlignment="1">
      <alignment vertical="center"/>
    </xf>
    <xf numFmtId="166" fontId="20" fillId="0" borderId="1" xfId="4" applyNumberFormat="1" applyFont="1" applyFill="1" applyBorder="1" applyAlignment="1">
      <alignment horizontal="right" vertical="center"/>
    </xf>
    <xf numFmtId="166" fontId="20" fillId="0" borderId="0" xfId="4" applyNumberFormat="1" applyFont="1" applyFill="1" applyBorder="1" applyAlignment="1">
      <alignment horizontal="right" vertical="center"/>
    </xf>
    <xf numFmtId="0" fontId="12" fillId="0" borderId="23" xfId="6" applyFont="1" applyBorder="1"/>
    <xf numFmtId="0" fontId="44" fillId="0" borderId="0" xfId="6" applyFont="1"/>
    <xf numFmtId="0" fontId="46" fillId="3" borderId="0" xfId="6" applyFont="1" applyFill="1" applyAlignment="1">
      <alignment vertical="center" wrapText="1"/>
    </xf>
    <xf numFmtId="0" fontId="11" fillId="3" borderId="27" xfId="6" applyFont="1" applyFill="1" applyBorder="1" applyAlignment="1">
      <alignment horizontal="center" vertical="center" wrapText="1"/>
    </xf>
    <xf numFmtId="3" fontId="11" fillId="2" borderId="27" xfId="3" applyNumberFormat="1" applyFont="1" applyFill="1" applyBorder="1" applyAlignment="1">
      <alignment horizontal="right" vertical="center" wrapText="1"/>
    </xf>
    <xf numFmtId="3" fontId="11" fillId="2" borderId="0" xfId="3" applyNumberFormat="1" applyFont="1" applyFill="1" applyAlignment="1">
      <alignment horizontal="right" vertical="center" wrapText="1"/>
    </xf>
    <xf numFmtId="3" fontId="11" fillId="2" borderId="1" xfId="3" applyNumberFormat="1" applyFont="1" applyFill="1" applyBorder="1" applyAlignment="1">
      <alignment horizontal="right" vertical="center" wrapText="1"/>
    </xf>
    <xf numFmtId="3" fontId="11" fillId="2" borderId="23" xfId="3" applyNumberFormat="1" applyFont="1" applyFill="1" applyBorder="1" applyAlignment="1">
      <alignment horizontal="right" vertical="center" wrapText="1"/>
    </xf>
    <xf numFmtId="3" fontId="11" fillId="2" borderId="15" xfId="3" applyNumberFormat="1" applyFont="1" applyFill="1" applyBorder="1" applyAlignment="1">
      <alignment horizontal="right" vertical="center" wrapText="1"/>
    </xf>
    <xf numFmtId="3" fontId="12" fillId="0" borderId="4" xfId="6" applyNumberFormat="1" applyFont="1" applyBorder="1" applyAlignment="1">
      <alignment horizontal="right" vertical="center"/>
    </xf>
    <xf numFmtId="3" fontId="12" fillId="0" borderId="28" xfId="6" applyNumberFormat="1" applyFont="1" applyBorder="1" applyAlignment="1">
      <alignment horizontal="right" vertical="center"/>
    </xf>
    <xf numFmtId="3" fontId="12" fillId="0" borderId="29" xfId="6" applyNumberFormat="1" applyFont="1" applyBorder="1" applyAlignment="1">
      <alignment horizontal="right" vertical="center"/>
    </xf>
    <xf numFmtId="0" fontId="12" fillId="0" borderId="24" xfId="6" applyFont="1" applyBorder="1" applyAlignment="1">
      <alignment horizontal="center" vertical="center" wrapText="1"/>
    </xf>
    <xf numFmtId="0" fontId="12" fillId="0" borderId="4" xfId="6" applyFont="1" applyBorder="1" applyAlignment="1">
      <alignment horizontal="center" vertical="center" wrapText="1"/>
    </xf>
    <xf numFmtId="0" fontId="12" fillId="0" borderId="5" xfId="6" applyFont="1" applyBorder="1" applyAlignment="1">
      <alignment horizontal="center" vertical="center" wrapText="1"/>
    </xf>
    <xf numFmtId="0" fontId="12" fillId="0" borderId="25" xfId="6" applyFont="1" applyBorder="1" applyAlignment="1">
      <alignment horizontal="center" vertical="center" wrapText="1"/>
    </xf>
    <xf numFmtId="0" fontId="12" fillId="0" borderId="26" xfId="6" applyFont="1" applyBorder="1" applyAlignment="1">
      <alignment horizontal="center" vertical="center" wrapText="1"/>
    </xf>
    <xf numFmtId="0" fontId="12" fillId="0" borderId="4" xfId="6" applyFont="1" applyBorder="1" applyAlignment="1">
      <alignment vertical="center" wrapText="1"/>
    </xf>
    <xf numFmtId="0" fontId="12" fillId="0" borderId="28" xfId="6" applyFont="1" applyBorder="1" applyAlignment="1">
      <alignment horizontal="left" vertical="center" wrapText="1"/>
    </xf>
    <xf numFmtId="0" fontId="12" fillId="0" borderId="29" xfId="6" applyFont="1" applyBorder="1" applyAlignment="1">
      <alignment horizontal="left" vertical="center" wrapText="1"/>
    </xf>
    <xf numFmtId="0" fontId="12" fillId="0" borderId="4" xfId="6" applyFont="1" applyBorder="1" applyAlignment="1">
      <alignment horizontal="left" vertical="center" wrapText="1"/>
    </xf>
    <xf numFmtId="164" fontId="12" fillId="0" borderId="24" xfId="6" applyNumberFormat="1" applyFont="1" applyBorder="1" applyAlignment="1">
      <alignment horizontal="right" vertical="center" wrapText="1"/>
    </xf>
    <xf numFmtId="164" fontId="12" fillId="0" borderId="4" xfId="6" applyNumberFormat="1" applyFont="1" applyBorder="1" applyAlignment="1">
      <alignment horizontal="right" vertical="center" wrapText="1"/>
    </xf>
    <xf numFmtId="164" fontId="12" fillId="0" borderId="5" xfId="6" applyNumberFormat="1" applyFont="1" applyBorder="1" applyAlignment="1">
      <alignment horizontal="right" vertical="center" wrapText="1"/>
    </xf>
    <xf numFmtId="164" fontId="12" fillId="0" borderId="25" xfId="6" applyNumberFormat="1" applyFont="1" applyBorder="1" applyAlignment="1">
      <alignment horizontal="right" vertical="center" wrapText="1"/>
    </xf>
    <xf numFmtId="164" fontId="12" fillId="0" borderId="26" xfId="6" applyNumberFormat="1" applyFont="1" applyBorder="1" applyAlignment="1">
      <alignment horizontal="right" vertical="center" wrapText="1"/>
    </xf>
    <xf numFmtId="0" fontId="11" fillId="3" borderId="4" xfId="6" applyFont="1" applyFill="1" applyBorder="1" applyAlignment="1">
      <alignment vertical="center" wrapText="1"/>
    </xf>
    <xf numFmtId="0" fontId="11" fillId="3" borderId="28" xfId="6" applyFont="1" applyFill="1" applyBorder="1" applyAlignment="1">
      <alignment vertical="center" wrapText="1"/>
    </xf>
    <xf numFmtId="0" fontId="11" fillId="3" borderId="29" xfId="6" applyFont="1" applyFill="1" applyBorder="1" applyAlignment="1">
      <alignment vertical="center" wrapText="1"/>
    </xf>
    <xf numFmtId="164" fontId="11" fillId="3" borderId="24" xfId="6" applyNumberFormat="1" applyFont="1" applyFill="1" applyBorder="1" applyAlignment="1">
      <alignment horizontal="right" vertical="center" wrapText="1"/>
    </xf>
    <xf numFmtId="164" fontId="11" fillId="3" borderId="4" xfId="6" applyNumberFormat="1" applyFont="1" applyFill="1" applyBorder="1" applyAlignment="1">
      <alignment horizontal="right" vertical="center" wrapText="1"/>
    </xf>
    <xf numFmtId="164" fontId="11" fillId="3" borderId="5" xfId="6" applyNumberFormat="1" applyFont="1" applyFill="1" applyBorder="1" applyAlignment="1">
      <alignment horizontal="right" vertical="center" wrapText="1"/>
    </xf>
    <xf numFmtId="164" fontId="11" fillId="3" borderId="25" xfId="6" applyNumberFormat="1" applyFont="1" applyFill="1" applyBorder="1" applyAlignment="1">
      <alignment horizontal="right" vertical="center" wrapText="1"/>
    </xf>
    <xf numFmtId="164" fontId="11" fillId="3" borderId="26" xfId="6" applyNumberFormat="1" applyFont="1" applyFill="1" applyBorder="1" applyAlignment="1">
      <alignment horizontal="right" vertical="center" wrapText="1"/>
    </xf>
    <xf numFmtId="0" fontId="12" fillId="0" borderId="4" xfId="6" applyFont="1" applyBorder="1"/>
    <xf numFmtId="0" fontId="12" fillId="0" borderId="5" xfId="6" applyFont="1" applyBorder="1"/>
    <xf numFmtId="0" fontId="12" fillId="0" borderId="25" xfId="6" applyFont="1" applyBorder="1"/>
    <xf numFmtId="0" fontId="12" fillId="0" borderId="26" xfId="6" applyFont="1" applyBorder="1"/>
    <xf numFmtId="0" fontId="4" fillId="0" borderId="1" xfId="2" applyBorder="1"/>
    <xf numFmtId="0" fontId="46" fillId="3" borderId="29" xfId="6" applyFont="1" applyFill="1" applyBorder="1" applyAlignment="1">
      <alignment vertical="center" wrapText="1"/>
    </xf>
    <xf numFmtId="0" fontId="46" fillId="3" borderId="4" xfId="6" applyFont="1" applyFill="1" applyBorder="1" applyAlignment="1">
      <alignment vertical="center" wrapText="1"/>
    </xf>
    <xf numFmtId="0" fontId="12" fillId="0" borderId="4" xfId="6" applyFont="1" applyBorder="1" applyAlignment="1">
      <alignment horizontal="right" vertical="center" wrapText="1"/>
    </xf>
    <xf numFmtId="0" fontId="12" fillId="0" borderId="28" xfId="6" applyFont="1" applyBorder="1" applyAlignment="1">
      <alignment horizontal="right" vertical="center" wrapText="1"/>
    </xf>
    <xf numFmtId="0" fontId="12" fillId="0" borderId="29" xfId="6" applyFont="1" applyBorder="1" applyAlignment="1">
      <alignment horizontal="right" vertical="center" wrapText="1"/>
    </xf>
    <xf numFmtId="0" fontId="20" fillId="0" borderId="24" xfId="6" applyFont="1" applyBorder="1" applyAlignment="1">
      <alignment horizontal="right" vertical="center" wrapText="1"/>
    </xf>
    <xf numFmtId="0" fontId="20" fillId="0" borderId="4" xfId="6" applyFont="1" applyBorder="1" applyAlignment="1">
      <alignment horizontal="right" vertical="center" wrapText="1"/>
    </xf>
    <xf numFmtId="0" fontId="20" fillId="0" borderId="5" xfId="6" applyFont="1" applyBorder="1" applyAlignment="1">
      <alignment horizontal="right" vertical="center" wrapText="1"/>
    </xf>
    <xf numFmtId="0" fontId="20" fillId="0" borderId="25" xfId="6" applyFont="1" applyBorder="1" applyAlignment="1">
      <alignment horizontal="right" vertical="center" wrapText="1"/>
    </xf>
    <xf numFmtId="0" fontId="20" fillId="0" borderId="26" xfId="6" applyFont="1" applyBorder="1" applyAlignment="1">
      <alignment horizontal="right" vertical="center" wrapText="1"/>
    </xf>
    <xf numFmtId="0" fontId="11" fillId="6" borderId="4" xfId="6" applyFont="1" applyFill="1" applyBorder="1" applyAlignment="1">
      <alignment vertical="center" wrapText="1"/>
    </xf>
    <xf numFmtId="0" fontId="11" fillId="6" borderId="28" xfId="6" applyFont="1" applyFill="1" applyBorder="1" applyAlignment="1">
      <alignment vertical="center" wrapText="1"/>
    </xf>
    <xf numFmtId="0" fontId="11" fillId="6" borderId="29" xfId="6" applyFont="1" applyFill="1" applyBorder="1" applyAlignment="1">
      <alignment vertical="center" wrapText="1"/>
    </xf>
    <xf numFmtId="164" fontId="11" fillId="6" borderId="24" xfId="6" applyNumberFormat="1" applyFont="1" applyFill="1" applyBorder="1" applyAlignment="1">
      <alignment horizontal="right" vertical="center" wrapText="1"/>
    </xf>
    <xf numFmtId="164" fontId="11" fillId="6" borderId="4" xfId="6" applyNumberFormat="1" applyFont="1" applyFill="1" applyBorder="1" applyAlignment="1">
      <alignment horizontal="right" vertical="center" wrapText="1"/>
    </xf>
    <xf numFmtId="164" fontId="11" fillId="6" borderId="5" xfId="6" applyNumberFormat="1" applyFont="1" applyFill="1" applyBorder="1" applyAlignment="1">
      <alignment horizontal="right" vertical="center" wrapText="1"/>
    </xf>
    <xf numFmtId="164" fontId="11" fillId="6" borderId="25" xfId="6" applyNumberFormat="1" applyFont="1" applyFill="1" applyBorder="1" applyAlignment="1">
      <alignment horizontal="right" vertical="center" wrapText="1"/>
    </xf>
    <xf numFmtId="164" fontId="11" fillId="6" borderId="26" xfId="6" applyNumberFormat="1" applyFont="1" applyFill="1" applyBorder="1" applyAlignment="1">
      <alignment horizontal="right" vertical="center" wrapText="1"/>
    </xf>
    <xf numFmtId="0" fontId="11" fillId="7" borderId="4" xfId="6" applyFont="1" applyFill="1" applyBorder="1" applyAlignment="1">
      <alignment vertical="center" wrapText="1"/>
    </xf>
    <xf numFmtId="0" fontId="11" fillId="7" borderId="28" xfId="6" applyFont="1" applyFill="1" applyBorder="1" applyAlignment="1">
      <alignment vertical="center" wrapText="1"/>
    </xf>
    <xf numFmtId="0" fontId="11" fillId="7" borderId="29" xfId="6" applyFont="1" applyFill="1" applyBorder="1" applyAlignment="1">
      <alignment vertical="center" wrapText="1"/>
    </xf>
    <xf numFmtId="164" fontId="11" fillId="7" borderId="24" xfId="6" applyNumberFormat="1" applyFont="1" applyFill="1" applyBorder="1" applyAlignment="1">
      <alignment horizontal="right" vertical="center" wrapText="1"/>
    </xf>
    <xf numFmtId="164" fontId="11" fillId="7" borderId="4" xfId="6" applyNumberFormat="1" applyFont="1" applyFill="1" applyBorder="1" applyAlignment="1">
      <alignment horizontal="right" vertical="center" wrapText="1"/>
    </xf>
    <xf numFmtId="164" fontId="11" fillId="7" borderId="5" xfId="6" applyNumberFormat="1" applyFont="1" applyFill="1" applyBorder="1" applyAlignment="1">
      <alignment horizontal="right" vertical="center" wrapText="1"/>
    </xf>
    <xf numFmtId="164" fontId="11" fillId="7" borderId="25" xfId="6" applyNumberFormat="1" applyFont="1" applyFill="1" applyBorder="1" applyAlignment="1">
      <alignment horizontal="right" vertical="center" wrapText="1"/>
    </xf>
    <xf numFmtId="164" fontId="11" fillId="7" borderId="26" xfId="6" applyNumberFormat="1" applyFont="1" applyFill="1" applyBorder="1" applyAlignment="1">
      <alignment horizontal="right" vertical="center" wrapText="1"/>
    </xf>
    <xf numFmtId="0" fontId="12" fillId="0" borderId="4" xfId="6" applyFont="1" applyBorder="1" applyAlignment="1">
      <alignment horizontal="left" vertical="center" wrapText="1" indent="1"/>
    </xf>
    <xf numFmtId="0" fontId="12" fillId="0" borderId="28" xfId="6" applyFont="1" applyBorder="1" applyAlignment="1">
      <alignment horizontal="left" vertical="center" wrapText="1" indent="1"/>
    </xf>
    <xf numFmtId="0" fontId="12" fillId="0" borderId="29" xfId="6" applyFont="1" applyBorder="1" applyAlignment="1">
      <alignment horizontal="left" vertical="center" wrapText="1" indent="1"/>
    </xf>
    <xf numFmtId="0" fontId="20" fillId="0" borderId="4" xfId="6" applyFont="1" applyBorder="1" applyAlignment="1">
      <alignment vertical="center" wrapText="1"/>
    </xf>
    <xf numFmtId="0" fontId="20" fillId="0" borderId="28" xfId="6" applyFont="1" applyBorder="1" applyAlignment="1">
      <alignment vertical="center" wrapText="1"/>
    </xf>
    <xf numFmtId="0" fontId="20" fillId="0" borderId="29" xfId="6" applyFont="1" applyBorder="1" applyAlignment="1">
      <alignment vertical="center" wrapText="1"/>
    </xf>
    <xf numFmtId="164" fontId="20" fillId="0" borderId="24" xfId="6" applyNumberFormat="1" applyFont="1" applyBorder="1" applyAlignment="1">
      <alignment horizontal="right" vertical="center" wrapText="1"/>
    </xf>
    <xf numFmtId="164" fontId="20" fillId="0" borderId="4" xfId="6" applyNumberFormat="1" applyFont="1" applyBorder="1" applyAlignment="1">
      <alignment horizontal="right" vertical="center" wrapText="1"/>
    </xf>
    <xf numFmtId="164" fontId="20" fillId="0" borderId="5" xfId="6" applyNumberFormat="1" applyFont="1" applyBorder="1" applyAlignment="1">
      <alignment horizontal="right" vertical="center" wrapText="1"/>
    </xf>
    <xf numFmtId="164" fontId="20" fillId="0" borderId="25" xfId="6" applyNumberFormat="1" applyFont="1" applyBorder="1" applyAlignment="1">
      <alignment horizontal="right" vertical="center" wrapText="1"/>
    </xf>
    <xf numFmtId="164" fontId="20" fillId="0" borderId="26" xfId="6" applyNumberFormat="1" applyFont="1" applyBorder="1" applyAlignment="1">
      <alignment horizontal="right" vertical="center" wrapText="1"/>
    </xf>
    <xf numFmtId="0" fontId="20" fillId="0" borderId="4" xfId="6" applyFont="1" applyBorder="1" applyAlignment="1">
      <alignment horizontal="left" vertical="center" wrapText="1" indent="1"/>
    </xf>
    <xf numFmtId="0" fontId="20" fillId="0" borderId="28" xfId="6" applyFont="1" applyBorder="1" applyAlignment="1">
      <alignment horizontal="left" vertical="center" wrapText="1" indent="1"/>
    </xf>
    <xf numFmtId="0" fontId="20" fillId="0" borderId="29" xfId="6" applyFont="1" applyBorder="1" applyAlignment="1">
      <alignment horizontal="left" vertical="center" wrapText="1" indent="1"/>
    </xf>
    <xf numFmtId="0" fontId="12" fillId="0" borderId="4" xfId="6" applyFont="1" applyBorder="1" applyAlignment="1">
      <alignment horizontal="left" vertical="center" wrapText="1" indent="3"/>
    </xf>
    <xf numFmtId="0" fontId="12" fillId="0" borderId="28" xfId="6" applyFont="1" applyBorder="1" applyAlignment="1">
      <alignment horizontal="left" vertical="center" wrapText="1" indent="3"/>
    </xf>
    <xf numFmtId="0" fontId="12" fillId="0" borderId="29" xfId="6" applyFont="1" applyBorder="1" applyAlignment="1">
      <alignment horizontal="left" vertical="center" wrapText="1" indent="3"/>
    </xf>
    <xf numFmtId="0" fontId="11" fillId="0" borderId="4" xfId="6" applyFont="1" applyBorder="1" applyAlignment="1">
      <alignment vertical="center" wrapText="1"/>
    </xf>
    <xf numFmtId="0" fontId="11" fillId="0" borderId="28" xfId="6" applyFont="1" applyBorder="1" applyAlignment="1">
      <alignment vertical="center" wrapText="1"/>
    </xf>
    <xf numFmtId="0" fontId="11" fillId="0" borderId="29" xfId="6" applyFont="1" applyBorder="1" applyAlignment="1">
      <alignment vertical="center" wrapText="1"/>
    </xf>
    <xf numFmtId="164" fontId="11" fillId="0" borderId="24" xfId="6" applyNumberFormat="1" applyFont="1" applyBorder="1" applyAlignment="1">
      <alignment horizontal="right" vertical="center" wrapText="1"/>
    </xf>
    <xf numFmtId="164" fontId="11" fillId="0" borderId="4" xfId="6" applyNumberFormat="1" applyFont="1" applyBorder="1" applyAlignment="1">
      <alignment horizontal="right" vertical="center" wrapText="1"/>
    </xf>
    <xf numFmtId="164" fontId="11" fillId="0" borderId="5" xfId="6" applyNumberFormat="1" applyFont="1" applyBorder="1" applyAlignment="1">
      <alignment horizontal="right" vertical="center" wrapText="1"/>
    </xf>
    <xf numFmtId="164" fontId="11" fillId="0" borderId="25" xfId="6" applyNumberFormat="1" applyFont="1" applyBorder="1" applyAlignment="1">
      <alignment horizontal="right" vertical="center" wrapText="1"/>
    </xf>
    <xf numFmtId="164" fontId="11" fillId="0" borderId="26" xfId="6" applyNumberFormat="1" applyFont="1" applyBorder="1" applyAlignment="1">
      <alignment horizontal="right" vertical="center" wrapText="1"/>
    </xf>
    <xf numFmtId="164" fontId="12" fillId="0" borderId="0" xfId="6" applyNumberFormat="1" applyFont="1" applyAlignment="1">
      <alignment horizontal="right" vertical="center" wrapText="1"/>
    </xf>
    <xf numFmtId="0" fontId="12" fillId="0" borderId="4" xfId="2" quotePrefix="1" applyFont="1" applyBorder="1" applyAlignment="1">
      <alignment vertical="center" wrapText="1"/>
    </xf>
    <xf numFmtId="0" fontId="12" fillId="0" borderId="4" xfId="2" quotePrefix="1" applyFont="1" applyBorder="1" applyAlignment="1">
      <alignment vertical="center"/>
    </xf>
    <xf numFmtId="164" fontId="31" fillId="0" borderId="0" xfId="2" applyNumberFormat="1" applyFont="1" applyAlignment="1">
      <alignment vertical="center"/>
    </xf>
    <xf numFmtId="0" fontId="51" fillId="0" borderId="0" xfId="2" applyFont="1" applyAlignment="1">
      <alignment horizontal="right" vertical="center"/>
    </xf>
    <xf numFmtId="3" fontId="10" fillId="2" borderId="21" xfId="2" applyNumberFormat="1" applyFont="1" applyFill="1" applyBorder="1" applyAlignment="1">
      <alignment horizontal="right" vertical="center" wrapText="1"/>
    </xf>
    <xf numFmtId="3" fontId="10" fillId="2" borderId="22" xfId="2" applyNumberFormat="1" applyFont="1" applyFill="1" applyBorder="1" applyAlignment="1">
      <alignment horizontal="right" vertical="center" wrapText="1"/>
    </xf>
    <xf numFmtId="3" fontId="12" fillId="0" borderId="25" xfId="2" applyNumberFormat="1" applyFont="1" applyBorder="1" applyAlignment="1">
      <alignment horizontal="right" vertical="center"/>
    </xf>
    <xf numFmtId="164" fontId="12" fillId="0" borderId="7" xfId="2" applyNumberFormat="1" applyFont="1" applyBorder="1" applyAlignment="1">
      <alignment horizontal="right" vertical="center"/>
    </xf>
    <xf numFmtId="3" fontId="12" fillId="0" borderId="4" xfId="2" quotePrefix="1" applyNumberFormat="1" applyFont="1" applyBorder="1" applyAlignment="1">
      <alignment vertical="center" wrapText="1"/>
    </xf>
    <xf numFmtId="10" fontId="15" fillId="0" borderId="4" xfId="4" applyNumberFormat="1" applyFont="1" applyFill="1" applyBorder="1" applyAlignment="1">
      <alignment horizontal="right" vertical="center"/>
    </xf>
    <xf numFmtId="164" fontId="5" fillId="0" borderId="0" xfId="2" applyNumberFormat="1" applyFont="1" applyAlignment="1">
      <alignment horizontal="right" vertical="center"/>
    </xf>
    <xf numFmtId="164" fontId="20" fillId="0" borderId="0" xfId="2" applyNumberFormat="1" applyFont="1" applyAlignment="1">
      <alignment vertical="center"/>
    </xf>
    <xf numFmtId="164" fontId="27" fillId="0" borderId="0" xfId="2" applyNumberFormat="1" applyFont="1" applyAlignment="1">
      <alignment vertical="center"/>
    </xf>
    <xf numFmtId="0" fontId="12" fillId="0" borderId="4" xfId="2" quotePrefix="1" applyFont="1" applyBorder="1" applyAlignment="1">
      <alignment horizontal="left" vertical="center" wrapText="1" indent="1"/>
    </xf>
    <xf numFmtId="0" fontId="12" fillId="0" borderId="4" xfId="2" applyFont="1" applyBorder="1" applyAlignment="1">
      <alignment horizontal="left" vertical="center" wrapText="1" indent="1"/>
    </xf>
    <xf numFmtId="164" fontId="16" fillId="0" borderId="3" xfId="2" applyNumberFormat="1" applyFont="1" applyBorder="1" applyAlignment="1">
      <alignment horizontal="center" vertical="center"/>
    </xf>
    <xf numFmtId="0" fontId="12" fillId="0" borderId="0" xfId="2" applyFont="1" applyAlignment="1">
      <alignment horizontal="left" vertical="center" wrapText="1" indent="1"/>
    </xf>
    <xf numFmtId="164" fontId="12" fillId="0" borderId="0" xfId="2" applyNumberFormat="1" applyFont="1" applyAlignment="1">
      <alignment vertical="center"/>
    </xf>
    <xf numFmtId="164" fontId="16" fillId="0" borderId="0" xfId="2" applyNumberFormat="1" applyFont="1" applyAlignment="1">
      <alignment vertical="center"/>
    </xf>
    <xf numFmtId="0" fontId="5" fillId="0" borderId="0" xfId="2" applyFont="1" applyAlignment="1">
      <alignment horizontal="right" vertical="center" wrapText="1"/>
    </xf>
    <xf numFmtId="0" fontId="5" fillId="0" borderId="1" xfId="2" applyFont="1" applyBorder="1" applyAlignment="1">
      <alignment vertical="center"/>
    </xf>
    <xf numFmtId="164" fontId="12" fillId="0" borderId="4" xfId="2" quotePrefix="1" applyNumberFormat="1" applyFont="1" applyBorder="1" applyAlignment="1">
      <alignment horizontal="right" vertical="center"/>
    </xf>
    <xf numFmtId="164" fontId="52" fillId="0" borderId="0" xfId="2" applyNumberFormat="1" applyFont="1" applyAlignment="1">
      <alignment vertical="center"/>
    </xf>
    <xf numFmtId="3" fontId="10" fillId="2" borderId="0" xfId="2" applyNumberFormat="1" applyFont="1" applyFill="1" applyAlignment="1">
      <alignment horizontal="center" vertical="center" wrapText="1"/>
    </xf>
    <xf numFmtId="0" fontId="12" fillId="0" borderId="4" xfId="2" applyFont="1" applyBorder="1" applyAlignment="1">
      <alignment horizontal="left" vertical="center"/>
    </xf>
    <xf numFmtId="0" fontId="12" fillId="0" borderId="4" xfId="2" applyFont="1" applyBorder="1" applyAlignment="1">
      <alignment horizontal="left" vertical="center" indent="2"/>
    </xf>
    <xf numFmtId="168" fontId="12" fillId="0" borderId="0" xfId="2" applyNumberFormat="1" applyFont="1" applyAlignment="1">
      <alignment vertical="center"/>
    </xf>
    <xf numFmtId="168" fontId="5" fillId="0" borderId="0" xfId="2" applyNumberFormat="1" applyFont="1" applyAlignment="1">
      <alignment vertical="center"/>
    </xf>
    <xf numFmtId="164" fontId="12" fillId="0" borderId="8" xfId="2" quotePrefix="1" applyNumberFormat="1" applyFont="1" applyBorder="1" applyAlignment="1">
      <alignment horizontal="right" vertical="center"/>
    </xf>
    <xf numFmtId="164" fontId="12" fillId="0" borderId="7" xfId="2" quotePrefix="1" applyNumberFormat="1" applyFont="1" applyBorder="1" applyAlignment="1">
      <alignment horizontal="right" vertical="center"/>
    </xf>
    <xf numFmtId="3" fontId="11" fillId="4" borderId="4" xfId="2" quotePrefix="1" applyNumberFormat="1" applyFont="1" applyFill="1" applyBorder="1" applyAlignment="1">
      <alignment vertical="center" wrapText="1"/>
    </xf>
    <xf numFmtId="10" fontId="11" fillId="4" borderId="4" xfId="4" applyNumberFormat="1" applyFont="1" applyFill="1" applyBorder="1" applyAlignment="1">
      <alignment horizontal="right" vertical="center"/>
    </xf>
    <xf numFmtId="10" fontId="11" fillId="4" borderId="5" xfId="4" applyNumberFormat="1" applyFont="1" applyFill="1" applyBorder="1" applyAlignment="1">
      <alignment horizontal="right" vertical="center"/>
    </xf>
    <xf numFmtId="3" fontId="11" fillId="4" borderId="4" xfId="2" applyNumberFormat="1" applyFont="1" applyFill="1" applyBorder="1" applyAlignment="1">
      <alignment vertical="center" wrapText="1"/>
    </xf>
    <xf numFmtId="3" fontId="10" fillId="2" borderId="23" xfId="2" applyNumberFormat="1" applyFont="1" applyFill="1" applyBorder="1" applyAlignment="1">
      <alignment horizontal="right" vertical="center" wrapText="1"/>
    </xf>
    <xf numFmtId="3" fontId="10" fillId="2" borderId="15" xfId="2" applyNumberFormat="1" applyFont="1" applyFill="1" applyBorder="1" applyAlignment="1">
      <alignment horizontal="right" vertical="center" wrapText="1"/>
    </xf>
    <xf numFmtId="3" fontId="5" fillId="0" borderId="5" xfId="2" applyNumberFormat="1" applyFont="1" applyBorder="1" applyAlignment="1">
      <alignment vertical="center"/>
    </xf>
    <xf numFmtId="0" fontId="52" fillId="0" borderId="0" xfId="2" applyFont="1" applyAlignment="1">
      <alignment vertical="center"/>
    </xf>
    <xf numFmtId="164" fontId="12" fillId="5" borderId="4" xfId="2" applyNumberFormat="1" applyFont="1" applyFill="1" applyBorder="1" applyAlignment="1">
      <alignment vertical="center"/>
    </xf>
    <xf numFmtId="164" fontId="12" fillId="5" borderId="6" xfId="2" applyNumberFormat="1" applyFont="1" applyFill="1" applyBorder="1" applyAlignment="1">
      <alignment vertical="center"/>
    </xf>
    <xf numFmtId="0" fontId="6" fillId="0" borderId="0" xfId="2" applyFont="1" applyAlignment="1">
      <alignment vertical="center"/>
    </xf>
    <xf numFmtId="0" fontId="15" fillId="0" borderId="4" xfId="2" applyFont="1" applyBorder="1" applyAlignment="1">
      <alignment vertical="center" wrapText="1"/>
    </xf>
    <xf numFmtId="164" fontId="11" fillId="3" borderId="25" xfId="2" applyNumberFormat="1" applyFont="1" applyFill="1" applyBorder="1" applyAlignment="1">
      <alignment vertical="center"/>
    </xf>
    <xf numFmtId="164" fontId="11" fillId="3" borderId="26" xfId="2" applyNumberFormat="1" applyFont="1" applyFill="1" applyBorder="1" applyAlignment="1">
      <alignment vertical="center"/>
    </xf>
    <xf numFmtId="0" fontId="31" fillId="0" borderId="0" xfId="2" applyFont="1" applyAlignment="1">
      <alignment vertical="center" wrapText="1"/>
    </xf>
    <xf numFmtId="3" fontId="31" fillId="0" borderId="7" xfId="2" applyNumberFormat="1" applyFont="1" applyBorder="1" applyAlignment="1">
      <alignment vertical="center"/>
    </xf>
    <xf numFmtId="164" fontId="31" fillId="0" borderId="7" xfId="2" applyNumberFormat="1" applyFont="1" applyBorder="1" applyAlignment="1">
      <alignment vertical="center"/>
    </xf>
    <xf numFmtId="3" fontId="31" fillId="0" borderId="0" xfId="2" applyNumberFormat="1" applyFont="1" applyAlignment="1">
      <alignment vertical="center"/>
    </xf>
    <xf numFmtId="2" fontId="12" fillId="0" borderId="0" xfId="2" applyNumberFormat="1" applyFont="1" applyAlignment="1">
      <alignment vertical="center"/>
    </xf>
    <xf numFmtId="3" fontId="5" fillId="0" borderId="5" xfId="2" applyNumberFormat="1" applyFont="1" applyBorder="1" applyAlignment="1">
      <alignment horizontal="right" vertical="center"/>
    </xf>
    <xf numFmtId="3" fontId="5" fillId="0" borderId="4" xfId="2" applyNumberFormat="1" applyFont="1" applyBorder="1" applyAlignment="1">
      <alignment horizontal="right" vertical="center"/>
    </xf>
    <xf numFmtId="3" fontId="5" fillId="0" borderId="6" xfId="2" applyNumberFormat="1" applyFont="1" applyBorder="1" applyAlignment="1">
      <alignment horizontal="right" vertical="center"/>
    </xf>
    <xf numFmtId="0" fontId="5" fillId="0" borderId="1" xfId="2" applyFont="1" applyBorder="1" applyAlignment="1">
      <alignment horizontal="right" vertical="center"/>
    </xf>
    <xf numFmtId="0" fontId="20" fillId="0" borderId="7" xfId="2" applyFont="1" applyBorder="1" applyAlignment="1">
      <alignment vertical="center" wrapText="1"/>
    </xf>
    <xf numFmtId="0" fontId="11" fillId="3" borderId="7" xfId="2" applyFont="1" applyFill="1" applyBorder="1" applyAlignment="1">
      <alignment vertical="center" wrapText="1"/>
    </xf>
    <xf numFmtId="0" fontId="54" fillId="0" borderId="0" xfId="2" applyFont="1"/>
    <xf numFmtId="0" fontId="12" fillId="0" borderId="4" xfId="2" quotePrefix="1" applyFont="1" applyBorder="1" applyAlignment="1">
      <alignment horizontal="left" vertical="center" wrapText="1"/>
    </xf>
    <xf numFmtId="164" fontId="52" fillId="0" borderId="0" xfId="2" applyNumberFormat="1" applyFont="1" applyAlignment="1">
      <alignment horizontal="right" vertical="center"/>
    </xf>
    <xf numFmtId="164" fontId="52" fillId="0" borderId="1" xfId="2" applyNumberFormat="1" applyFont="1" applyBorder="1" applyAlignment="1">
      <alignment horizontal="right" vertical="center"/>
    </xf>
    <xf numFmtId="0" fontId="12" fillId="0" borderId="7" xfId="2" applyFont="1" applyBorder="1" applyAlignment="1">
      <alignment horizontal="left" vertical="center" wrapText="1"/>
    </xf>
    <xf numFmtId="164" fontId="12" fillId="0" borderId="7" xfId="2" applyNumberFormat="1" applyFont="1" applyBorder="1" applyAlignment="1">
      <alignment vertical="center"/>
    </xf>
    <xf numFmtId="3" fontId="20" fillId="0" borderId="4" xfId="2" applyNumberFormat="1" applyFont="1" applyBorder="1" applyAlignment="1">
      <alignment vertical="center"/>
    </xf>
    <xf numFmtId="0" fontId="12" fillId="0" borderId="3" xfId="2" applyFont="1" applyBorder="1" applyAlignment="1">
      <alignment horizontal="left" vertical="center" wrapText="1"/>
    </xf>
    <xf numFmtId="164" fontId="12" fillId="0" borderId="3" xfId="2" applyNumberFormat="1" applyFont="1" applyBorder="1" applyAlignment="1">
      <alignment vertical="center"/>
    </xf>
    <xf numFmtId="10" fontId="12" fillId="0" borderId="4" xfId="4" applyNumberFormat="1" applyFont="1" applyFill="1" applyBorder="1" applyAlignment="1">
      <alignment vertical="center"/>
    </xf>
    <xf numFmtId="0" fontId="18" fillId="0" borderId="4" xfId="2" applyFont="1" applyBorder="1" applyAlignment="1">
      <alignment horizontal="left" vertical="center" wrapText="1"/>
    </xf>
    <xf numFmtId="0" fontId="56" fillId="0" borderId="0" xfId="2" applyFont="1" applyAlignment="1">
      <alignment vertical="center"/>
    </xf>
    <xf numFmtId="10" fontId="27" fillId="0" borderId="4" xfId="4" applyNumberFormat="1" applyFont="1" applyFill="1" applyBorder="1" applyAlignment="1">
      <alignment vertical="center"/>
    </xf>
    <xf numFmtId="9" fontId="27" fillId="0" borderId="4" xfId="4" applyFont="1" applyFill="1" applyBorder="1" applyAlignment="1">
      <alignment vertical="center"/>
    </xf>
    <xf numFmtId="168" fontId="12" fillId="0" borderId="4" xfId="4" applyNumberFormat="1" applyFont="1" applyFill="1" applyBorder="1" applyAlignment="1">
      <alignment vertical="center"/>
    </xf>
    <xf numFmtId="2" fontId="12" fillId="0" borderId="4" xfId="4" applyNumberFormat="1" applyFont="1" applyFill="1" applyBorder="1" applyAlignment="1">
      <alignment vertical="center"/>
    </xf>
    <xf numFmtId="0" fontId="16" fillId="0" borderId="4" xfId="2" applyFont="1" applyBorder="1" applyAlignment="1">
      <alignment horizontal="left" vertical="center" wrapText="1"/>
    </xf>
    <xf numFmtId="4" fontId="12" fillId="0" borderId="4" xfId="2" applyNumberFormat="1" applyFont="1" applyBorder="1" applyAlignment="1">
      <alignment vertical="center"/>
    </xf>
    <xf numFmtId="164" fontId="33" fillId="0" borderId="4" xfId="2" applyNumberFormat="1" applyFont="1" applyBorder="1" applyAlignment="1">
      <alignment vertical="center"/>
    </xf>
    <xf numFmtId="0" fontId="57" fillId="0" borderId="0" xfId="2" applyFont="1" applyAlignment="1">
      <alignment vertical="center"/>
    </xf>
    <xf numFmtId="3" fontId="12" fillId="0" borderId="7" xfId="2" applyNumberFormat="1" applyFont="1" applyBorder="1" applyAlignment="1">
      <alignment vertical="center"/>
    </xf>
    <xf numFmtId="3" fontId="12" fillId="0" borderId="0" xfId="2" applyNumberFormat="1" applyFont="1" applyAlignment="1">
      <alignment vertical="center"/>
    </xf>
    <xf numFmtId="0" fontId="58" fillId="0" borderId="0" xfId="7" applyFont="1" applyAlignment="1">
      <alignment vertical="center"/>
    </xf>
    <xf numFmtId="0" fontId="7" fillId="0" borderId="0" xfId="7" applyFont="1" applyAlignment="1">
      <alignment vertical="center"/>
    </xf>
    <xf numFmtId="0" fontId="59" fillId="0" borderId="0" xfId="7" applyFont="1" applyAlignment="1">
      <alignment vertical="center"/>
    </xf>
    <xf numFmtId="0" fontId="62" fillId="0" borderId="0" xfId="2" applyFont="1"/>
    <xf numFmtId="0" fontId="63" fillId="0" borderId="0" xfId="2" applyFont="1"/>
    <xf numFmtId="0" fontId="64" fillId="0" borderId="0" xfId="1" applyFont="1"/>
    <xf numFmtId="0" fontId="65" fillId="0" borderId="0" xfId="1" applyFont="1"/>
    <xf numFmtId="0" fontId="12" fillId="0" borderId="0" xfId="0" applyFont="1" applyAlignment="1">
      <alignment vertical="center"/>
    </xf>
    <xf numFmtId="0" fontId="5" fillId="0" borderId="0" xfId="0" applyFont="1" applyAlignment="1">
      <alignment vertical="center"/>
    </xf>
    <xf numFmtId="0" fontId="5" fillId="0" borderId="0" xfId="0" applyFont="1" applyAlignment="1">
      <alignment horizontal="right" vertical="center"/>
    </xf>
    <xf numFmtId="0" fontId="30" fillId="0" borderId="0" xfId="0" applyFont="1" applyAlignment="1">
      <alignment vertical="center" wrapText="1"/>
    </xf>
    <xf numFmtId="0" fontId="51" fillId="0" borderId="0" xfId="0" applyFont="1" applyAlignment="1">
      <alignment horizontal="right" vertical="center"/>
    </xf>
    <xf numFmtId="3" fontId="10" fillId="2" borderId="1" xfId="0" applyNumberFormat="1" applyFont="1" applyFill="1" applyBorder="1" applyAlignment="1">
      <alignment horizontal="right" vertical="center" wrapText="1"/>
    </xf>
    <xf numFmtId="3" fontId="10" fillId="2" borderId="0" xfId="0" applyNumberFormat="1" applyFont="1" applyFill="1" applyAlignment="1">
      <alignment horizontal="right" vertical="center" wrapText="1"/>
    </xf>
    <xf numFmtId="3" fontId="10" fillId="2" borderId="2" xfId="0" applyNumberFormat="1" applyFont="1" applyFill="1" applyBorder="1" applyAlignment="1">
      <alignment horizontal="right" vertical="center" wrapText="1"/>
    </xf>
    <xf numFmtId="3" fontId="12" fillId="0" borderId="4" xfId="0" applyNumberFormat="1" applyFont="1" applyBorder="1" applyAlignment="1">
      <alignment horizontal="right" vertical="center"/>
    </xf>
    <xf numFmtId="0" fontId="20" fillId="0" borderId="4" xfId="0" applyFont="1" applyBorder="1" applyAlignment="1">
      <alignment horizontal="left" vertical="center" wrapText="1"/>
    </xf>
    <xf numFmtId="0" fontId="11" fillId="3" borderId="4" xfId="0" applyFont="1" applyFill="1" applyBorder="1" applyAlignment="1">
      <alignment vertical="center" wrapText="1"/>
    </xf>
    <xf numFmtId="164" fontId="11" fillId="3" borderId="5" xfId="0" applyNumberFormat="1" applyFont="1" applyFill="1" applyBorder="1" applyAlignment="1">
      <alignment horizontal="right" vertical="center"/>
    </xf>
    <xf numFmtId="164" fontId="11" fillId="3" borderId="4" xfId="0" applyNumberFormat="1" applyFont="1" applyFill="1" applyBorder="1" applyAlignment="1">
      <alignment horizontal="right" vertical="center"/>
    </xf>
    <xf numFmtId="164" fontId="11" fillId="3" borderId="6" xfId="0" applyNumberFormat="1" applyFont="1" applyFill="1" applyBorder="1" applyAlignment="1">
      <alignment horizontal="right" vertical="center"/>
    </xf>
    <xf numFmtId="164" fontId="16" fillId="0" borderId="5" xfId="0" applyNumberFormat="1" applyFont="1" applyBorder="1" applyAlignment="1">
      <alignment horizontal="right" vertical="center"/>
    </xf>
    <xf numFmtId="164" fontId="16" fillId="0" borderId="4" xfId="0" applyNumberFormat="1" applyFont="1" applyBorder="1" applyAlignment="1">
      <alignment horizontal="right" vertical="center"/>
    </xf>
    <xf numFmtId="0" fontId="20" fillId="0" borderId="0" xfId="0" applyFont="1" applyAlignment="1">
      <alignment vertical="center"/>
    </xf>
    <xf numFmtId="0" fontId="30" fillId="0" borderId="0" xfId="0" applyFont="1" applyAlignment="1">
      <alignment vertical="top" wrapText="1"/>
    </xf>
    <xf numFmtId="164" fontId="16" fillId="0" borderId="14" xfId="2" applyNumberFormat="1" applyFont="1" applyBorder="1" applyAlignment="1">
      <alignment horizontal="center" vertical="center"/>
    </xf>
    <xf numFmtId="0" fontId="61" fillId="0" borderId="0" xfId="2" applyFont="1" applyAlignment="1">
      <alignment horizontal="center" vertical="center"/>
    </xf>
    <xf numFmtId="0" fontId="10" fillId="2" borderId="1" xfId="2" applyFont="1" applyFill="1" applyBorder="1" applyAlignment="1">
      <alignment horizontal="center" vertical="center" wrapText="1"/>
    </xf>
    <xf numFmtId="0" fontId="10" fillId="3" borderId="0" xfId="2" applyFont="1" applyFill="1" applyAlignment="1">
      <alignment horizontal="center" vertical="center" wrapText="1"/>
    </xf>
    <xf numFmtId="0" fontId="10" fillId="3" borderId="2"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3" xfId="2" applyFont="1" applyFill="1" applyBorder="1" applyAlignment="1">
      <alignment horizontal="center" vertical="center" wrapText="1"/>
    </xf>
    <xf numFmtId="0" fontId="10" fillId="2" borderId="0" xfId="2" applyFont="1" applyFill="1" applyAlignment="1">
      <alignment horizontal="center" vertical="center" wrapText="1"/>
    </xf>
    <xf numFmtId="0" fontId="4" fillId="0" borderId="0" xfId="2" applyAlignment="1">
      <alignment vertical="center"/>
    </xf>
    <xf numFmtId="0" fontId="10" fillId="3" borderId="1" xfId="2" applyFont="1" applyFill="1" applyBorder="1" applyAlignment="1">
      <alignment horizontal="center" vertical="center" wrapText="1"/>
    </xf>
    <xf numFmtId="0" fontId="5" fillId="0" borderId="0" xfId="2" applyFont="1" applyAlignment="1">
      <alignment horizontal="center" vertical="center" wrapText="1"/>
    </xf>
    <xf numFmtId="0" fontId="10" fillId="2" borderId="17" xfId="2" applyFont="1" applyFill="1" applyBorder="1" applyAlignment="1">
      <alignment horizontal="center" vertical="center" wrapText="1"/>
    </xf>
    <xf numFmtId="0" fontId="10" fillId="2" borderId="18" xfId="2" applyFont="1" applyFill="1" applyBorder="1" applyAlignment="1">
      <alignment horizontal="center" vertical="center" wrapText="1"/>
    </xf>
    <xf numFmtId="0" fontId="4" fillId="0" borderId="18" xfId="2" applyBorder="1" applyAlignment="1">
      <alignment vertical="center"/>
    </xf>
    <xf numFmtId="0" fontId="4" fillId="0" borderId="19" xfId="2" applyBorder="1" applyAlignment="1">
      <alignment vertical="center"/>
    </xf>
    <xf numFmtId="0" fontId="10" fillId="2" borderId="2" xfId="2" applyFont="1" applyFill="1" applyBorder="1" applyAlignment="1">
      <alignment horizontal="center" vertical="center" wrapText="1"/>
    </xf>
    <xf numFmtId="0" fontId="4" fillId="0" borderId="0" xfId="2" applyAlignment="1">
      <alignment vertical="center" wrapText="1"/>
    </xf>
    <xf numFmtId="0" fontId="12" fillId="0" borderId="0" xfId="2" applyFont="1" applyAlignment="1">
      <alignment vertical="center" wrapText="1"/>
    </xf>
    <xf numFmtId="0" fontId="5" fillId="0" borderId="0" xfId="2" applyFont="1" applyAlignment="1">
      <alignment vertical="center" wrapText="1"/>
    </xf>
    <xf numFmtId="0" fontId="4" fillId="0" borderId="18" xfId="2" applyBorder="1" applyAlignment="1">
      <alignment vertical="center" wrapText="1"/>
    </xf>
    <xf numFmtId="0" fontId="4" fillId="0" borderId="19" xfId="2" applyBorder="1" applyAlignment="1">
      <alignment vertical="center" wrapText="1"/>
    </xf>
    <xf numFmtId="0" fontId="10" fillId="2" borderId="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2"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0" fillId="0" borderId="0" xfId="0" applyAlignment="1">
      <alignment vertical="center" wrapText="1"/>
    </xf>
    <xf numFmtId="164" fontId="16" fillId="0" borderId="9" xfId="2" applyNumberFormat="1" applyFont="1" applyBorder="1" applyAlignment="1">
      <alignment horizontal="center" vertical="center"/>
    </xf>
    <xf numFmtId="164" fontId="16" fillId="0" borderId="2" xfId="2" applyNumberFormat="1" applyFont="1" applyBorder="1" applyAlignment="1">
      <alignment horizontal="center" vertical="center"/>
    </xf>
    <xf numFmtId="164" fontId="16" fillId="0" borderId="14" xfId="2" applyNumberFormat="1" applyFont="1" applyBorder="1" applyAlignment="1">
      <alignment horizontal="center" vertical="center"/>
    </xf>
    <xf numFmtId="0" fontId="10" fillId="3" borderId="17" xfId="2" applyFont="1" applyFill="1" applyBorder="1" applyAlignment="1">
      <alignment horizontal="center" vertical="center" wrapText="1"/>
    </xf>
    <xf numFmtId="0" fontId="10" fillId="3" borderId="18" xfId="2" applyFont="1" applyFill="1" applyBorder="1" applyAlignment="1">
      <alignment horizontal="center" vertical="center" wrapText="1"/>
    </xf>
    <xf numFmtId="0" fontId="11" fillId="3" borderId="1" xfId="6" applyFont="1" applyFill="1" applyBorder="1" applyAlignment="1">
      <alignment horizontal="center" vertical="center" wrapText="1"/>
    </xf>
    <xf numFmtId="0" fontId="11" fillId="3" borderId="0" xfId="6" applyFont="1" applyFill="1" applyAlignment="1">
      <alignment horizontal="center" vertical="center" wrapText="1"/>
    </xf>
    <xf numFmtId="0" fontId="4" fillId="0" borderId="0" xfId="2"/>
    <xf numFmtId="0" fontId="45" fillId="3" borderId="0" xfId="6" applyFont="1" applyFill="1" applyAlignment="1">
      <alignment horizontal="center" vertical="center" wrapText="1"/>
    </xf>
    <xf numFmtId="1" fontId="11" fillId="2" borderId="0" xfId="3" applyNumberFormat="1" applyFont="1" applyFill="1" applyAlignment="1">
      <alignment horizontal="center" vertical="center"/>
    </xf>
    <xf numFmtId="0" fontId="11" fillId="3" borderId="17" xfId="6" applyFont="1" applyFill="1" applyBorder="1" applyAlignment="1">
      <alignment horizontal="center" vertical="center" wrapText="1"/>
    </xf>
    <xf numFmtId="0" fontId="11" fillId="3" borderId="18" xfId="6" applyFont="1" applyFill="1" applyBorder="1" applyAlignment="1">
      <alignment horizontal="center" vertical="center" wrapText="1"/>
    </xf>
    <xf numFmtId="0" fontId="4" fillId="0" borderId="18" xfId="2" applyBorder="1"/>
    <xf numFmtId="0" fontId="4" fillId="0" borderId="19" xfId="2" applyBorder="1"/>
    <xf numFmtId="0" fontId="11" fillId="3" borderId="2" xfId="6" applyFont="1" applyFill="1" applyBorder="1" applyAlignment="1">
      <alignment horizontal="center" vertical="center" wrapText="1"/>
    </xf>
    <xf numFmtId="0" fontId="45" fillId="3" borderId="4" xfId="6" applyFont="1" applyFill="1" applyBorder="1" applyAlignment="1">
      <alignment horizontal="center" vertical="center" wrapText="1"/>
    </xf>
    <xf numFmtId="0" fontId="45" fillId="3" borderId="28" xfId="6" applyFont="1" applyFill="1" applyBorder="1" applyAlignment="1">
      <alignment horizontal="center" vertical="center" wrapText="1"/>
    </xf>
    <xf numFmtId="0" fontId="40" fillId="3" borderId="1" xfId="2" applyFont="1" applyFill="1" applyBorder="1" applyAlignment="1">
      <alignment horizontal="center" vertical="center" wrapText="1"/>
    </xf>
    <xf numFmtId="0" fontId="40" fillId="3" borderId="0" xfId="2" applyFont="1" applyFill="1" applyAlignment="1">
      <alignment horizontal="center" vertical="center" wrapText="1"/>
    </xf>
    <xf numFmtId="0" fontId="40" fillId="3" borderId="2" xfId="2" applyFont="1" applyFill="1" applyBorder="1" applyAlignment="1">
      <alignment horizontal="center" vertical="center" wrapText="1"/>
    </xf>
    <xf numFmtId="0" fontId="39" fillId="2" borderId="0" xfId="2" applyFont="1" applyFill="1" applyAlignment="1">
      <alignment horizontal="center" vertical="center" wrapText="1"/>
    </xf>
    <xf numFmtId="0" fontId="39" fillId="2" borderId="3" xfId="2" applyFont="1" applyFill="1" applyBorder="1" applyAlignment="1">
      <alignment horizontal="center" vertical="center" wrapText="1"/>
    </xf>
    <xf numFmtId="0" fontId="40" fillId="2" borderId="1" xfId="2" applyFont="1" applyFill="1" applyBorder="1" applyAlignment="1">
      <alignment horizontal="center" vertical="center" wrapText="1"/>
    </xf>
    <xf numFmtId="0" fontId="40" fillId="2" borderId="0" xfId="2" applyFont="1" applyFill="1" applyAlignment="1">
      <alignment horizontal="center" vertical="center" wrapText="1"/>
    </xf>
    <xf numFmtId="0" fontId="40" fillId="2" borderId="1" xfId="2" applyFont="1" applyFill="1" applyBorder="1" applyAlignment="1">
      <alignment horizontal="center" vertical="center"/>
    </xf>
    <xf numFmtId="0" fontId="40" fillId="2" borderId="0" xfId="2" applyFont="1" applyFill="1" applyAlignment="1">
      <alignment horizontal="center" vertical="center"/>
    </xf>
    <xf numFmtId="0" fontId="40" fillId="2" borderId="2" xfId="2" applyFont="1" applyFill="1" applyBorder="1" applyAlignment="1">
      <alignment horizontal="center" vertical="center"/>
    </xf>
    <xf numFmtId="0" fontId="40" fillId="2" borderId="0" xfId="3" applyFont="1" applyFill="1" applyAlignment="1">
      <alignment horizontal="center" vertical="center" wrapText="1"/>
    </xf>
    <xf numFmtId="1" fontId="40" fillId="2" borderId="0" xfId="3" applyNumberFormat="1" applyFont="1" applyFill="1" applyAlignment="1">
      <alignment horizontal="center" vertical="center" wrapText="1"/>
    </xf>
    <xf numFmtId="1" fontId="40" fillId="2" borderId="2" xfId="3" applyNumberFormat="1" applyFont="1" applyFill="1" applyBorder="1" applyAlignment="1">
      <alignment horizontal="center" vertical="center" wrapText="1"/>
    </xf>
    <xf numFmtId="0" fontId="40" fillId="2" borderId="17" xfId="3" applyFont="1" applyFill="1" applyBorder="1" applyAlignment="1">
      <alignment horizontal="center" vertical="center" wrapText="1"/>
    </xf>
    <xf numFmtId="0" fontId="40" fillId="2" borderId="18" xfId="3" applyFont="1" applyFill="1" applyBorder="1" applyAlignment="1">
      <alignment horizontal="center" vertical="center" wrapText="1"/>
    </xf>
    <xf numFmtId="0" fontId="40" fillId="2" borderId="1" xfId="3" applyFont="1" applyFill="1" applyBorder="1" applyAlignment="1">
      <alignment horizontal="center" vertical="center" wrapText="1"/>
    </xf>
    <xf numFmtId="0" fontId="40" fillId="2" borderId="2" xfId="3" applyFont="1" applyFill="1" applyBorder="1" applyAlignment="1">
      <alignment horizontal="center" vertical="center" wrapText="1"/>
    </xf>
    <xf numFmtId="1" fontId="40" fillId="2" borderId="1" xfId="3" applyNumberFormat="1" applyFont="1" applyFill="1" applyBorder="1" applyAlignment="1">
      <alignment horizontal="center" vertical="center" wrapText="1"/>
    </xf>
    <xf numFmtId="1" fontId="10" fillId="2" borderId="1" xfId="3" applyNumberFormat="1" applyFont="1" applyFill="1" applyBorder="1" applyAlignment="1">
      <alignment horizontal="center" vertical="center" wrapText="1"/>
    </xf>
    <xf numFmtId="1" fontId="10" fillId="2" borderId="0" xfId="3" applyNumberFormat="1" applyFont="1" applyFill="1" applyAlignment="1">
      <alignment horizontal="center" vertical="center" wrapText="1"/>
    </xf>
    <xf numFmtId="0" fontId="10" fillId="3" borderId="1" xfId="6" applyFont="1" applyFill="1" applyBorder="1" applyAlignment="1">
      <alignment horizontal="center" vertical="center" wrapText="1"/>
    </xf>
    <xf numFmtId="0" fontId="10" fillId="3" borderId="0" xfId="6" applyFont="1" applyFill="1" applyAlignment="1">
      <alignment horizontal="center" vertical="center" wrapText="1"/>
    </xf>
    <xf numFmtId="0" fontId="9" fillId="2" borderId="7" xfId="2" applyFont="1" applyFill="1" applyBorder="1" applyAlignment="1">
      <alignment horizontal="center" vertical="center" wrapText="1"/>
    </xf>
    <xf numFmtId="1" fontId="10" fillId="2" borderId="7" xfId="3" applyNumberFormat="1" applyFont="1" applyFill="1" applyBorder="1" applyAlignment="1">
      <alignment horizontal="center" vertical="center"/>
    </xf>
    <xf numFmtId="0" fontId="10" fillId="3" borderId="17" xfId="6" applyFont="1" applyFill="1" applyBorder="1" applyAlignment="1">
      <alignment horizontal="center" vertical="center" wrapText="1"/>
    </xf>
    <xf numFmtId="0" fontId="10" fillId="3" borderId="18" xfId="6" applyFont="1" applyFill="1" applyBorder="1" applyAlignment="1">
      <alignment horizontal="center" vertical="center" wrapText="1"/>
    </xf>
    <xf numFmtId="0" fontId="11" fillId="4" borderId="1" xfId="2" applyFont="1" applyFill="1" applyBorder="1" applyAlignment="1">
      <alignment horizontal="center" vertical="center"/>
    </xf>
    <xf numFmtId="0" fontId="11" fillId="4" borderId="0" xfId="2" applyFont="1" applyFill="1" applyAlignment="1">
      <alignment horizontal="center" vertical="center"/>
    </xf>
    <xf numFmtId="1" fontId="10" fillId="2" borderId="1" xfId="3" applyNumberFormat="1" applyFont="1" applyFill="1" applyBorder="1" applyAlignment="1">
      <alignment horizontal="center" vertical="center"/>
    </xf>
    <xf numFmtId="1" fontId="10" fillId="2" borderId="0" xfId="3" applyNumberFormat="1" applyFont="1" applyFill="1" applyAlignment="1">
      <alignment horizontal="center" vertical="center"/>
    </xf>
    <xf numFmtId="3" fontId="16" fillId="0" borderId="5" xfId="2" applyNumberFormat="1" applyFont="1" applyBorder="1" applyAlignment="1">
      <alignment vertical="center"/>
    </xf>
    <xf numFmtId="3" fontId="16" fillId="0" borderId="4" xfId="2" applyNumberFormat="1" applyFont="1" applyBorder="1" applyAlignment="1">
      <alignment vertical="center"/>
    </xf>
    <xf numFmtId="3" fontId="16" fillId="0" borderId="6" xfId="2" applyNumberFormat="1" applyFont="1" applyBorder="1" applyAlignment="1">
      <alignment vertical="center"/>
    </xf>
    <xf numFmtId="0" fontId="16" fillId="0" borderId="1" xfId="2" applyFont="1" applyBorder="1" applyAlignment="1">
      <alignment vertical="center"/>
    </xf>
    <xf numFmtId="0" fontId="16" fillId="0" borderId="0" xfId="2" applyFont="1" applyAlignment="1">
      <alignment vertical="center"/>
    </xf>
    <xf numFmtId="0" fontId="16" fillId="0" borderId="23" xfId="2" applyFont="1" applyBorder="1" applyAlignment="1">
      <alignment vertical="center"/>
    </xf>
    <xf numFmtId="0" fontId="16" fillId="0" borderId="15" xfId="2" applyFont="1" applyBorder="1" applyAlignment="1">
      <alignment vertical="center"/>
    </xf>
    <xf numFmtId="164" fontId="16" fillId="0" borderId="25" xfId="2" applyNumberFormat="1" applyFont="1" applyBorder="1" applyAlignment="1">
      <alignment vertical="center"/>
    </xf>
    <xf numFmtId="164" fontId="16" fillId="0" borderId="26" xfId="2" applyNumberFormat="1" applyFont="1" applyBorder="1" applyAlignment="1">
      <alignment vertical="center"/>
    </xf>
    <xf numFmtId="0" fontId="15" fillId="0" borderId="0" xfId="2" applyFont="1" applyAlignment="1">
      <alignment vertical="center"/>
    </xf>
    <xf numFmtId="3" fontId="16" fillId="5" borderId="5" xfId="2" applyNumberFormat="1" applyFont="1" applyFill="1" applyBorder="1" applyAlignment="1">
      <alignment vertical="center"/>
    </xf>
    <xf numFmtId="3" fontId="16" fillId="5" borderId="4" xfId="2" applyNumberFormat="1" applyFont="1" applyFill="1" applyBorder="1" applyAlignment="1">
      <alignment vertical="center"/>
    </xf>
    <xf numFmtId="3" fontId="16" fillId="5" borderId="6" xfId="2" applyNumberFormat="1" applyFont="1" applyFill="1" applyBorder="1" applyAlignment="1">
      <alignment vertical="center"/>
    </xf>
    <xf numFmtId="0" fontId="16" fillId="5" borderId="1" xfId="2" applyFont="1" applyFill="1" applyBorder="1" applyAlignment="1">
      <alignment vertical="center"/>
    </xf>
    <xf numFmtId="0" fontId="16" fillId="5" borderId="0" xfId="2" applyFont="1" applyFill="1" applyAlignment="1">
      <alignment vertical="center"/>
    </xf>
    <xf numFmtId="0" fontId="16" fillId="5" borderId="23" xfId="2" applyFont="1" applyFill="1" applyBorder="1" applyAlignment="1">
      <alignment vertical="center"/>
    </xf>
    <xf numFmtId="0" fontId="16" fillId="5" borderId="15" xfId="2" applyFont="1" applyFill="1" applyBorder="1" applyAlignment="1">
      <alignment vertical="center"/>
    </xf>
    <xf numFmtId="3" fontId="16" fillId="5" borderId="25" xfId="2" applyNumberFormat="1" applyFont="1" applyFill="1" applyBorder="1" applyAlignment="1">
      <alignment vertical="center"/>
    </xf>
    <xf numFmtId="3" fontId="16" fillId="5" borderId="26" xfId="2" applyNumberFormat="1" applyFont="1" applyFill="1" applyBorder="1" applyAlignment="1">
      <alignment vertical="center"/>
    </xf>
    <xf numFmtId="164" fontId="16" fillId="5" borderId="5" xfId="2" applyNumberFormat="1" applyFont="1" applyFill="1" applyBorder="1" applyAlignment="1">
      <alignment vertical="center"/>
    </xf>
    <xf numFmtId="164" fontId="16" fillId="5" borderId="4" xfId="2" applyNumberFormat="1" applyFont="1" applyFill="1" applyBorder="1" applyAlignment="1">
      <alignment vertical="center"/>
    </xf>
    <xf numFmtId="164" fontId="16" fillId="5" borderId="6" xfId="2" applyNumberFormat="1" applyFont="1" applyFill="1" applyBorder="1" applyAlignment="1">
      <alignment vertical="center"/>
    </xf>
    <xf numFmtId="164" fontId="16" fillId="5" borderId="25" xfId="2" applyNumberFormat="1" applyFont="1" applyFill="1" applyBorder="1" applyAlignment="1">
      <alignment vertical="center"/>
    </xf>
    <xf numFmtId="164" fontId="16" fillId="5" borderId="26" xfId="2" applyNumberFormat="1" applyFont="1" applyFill="1" applyBorder="1" applyAlignment="1">
      <alignment vertical="center"/>
    </xf>
    <xf numFmtId="164" fontId="16" fillId="5" borderId="8" xfId="2" applyNumberFormat="1" applyFont="1" applyFill="1" applyBorder="1" applyAlignment="1">
      <alignment vertical="center"/>
    </xf>
    <xf numFmtId="164" fontId="16" fillId="5" borderId="7" xfId="2" applyNumberFormat="1" applyFont="1" applyFill="1" applyBorder="1" applyAlignment="1">
      <alignment vertical="center"/>
    </xf>
    <xf numFmtId="164" fontId="16" fillId="5" borderId="9" xfId="2" applyNumberFormat="1" applyFont="1" applyFill="1" applyBorder="1" applyAlignment="1">
      <alignment vertical="center"/>
    </xf>
    <xf numFmtId="164" fontId="16" fillId="5" borderId="32" xfId="2" applyNumberFormat="1" applyFont="1" applyFill="1" applyBorder="1" applyAlignment="1">
      <alignment vertical="center"/>
    </xf>
    <xf numFmtId="164" fontId="16" fillId="5" borderId="30" xfId="2" applyNumberFormat="1" applyFont="1" applyFill="1" applyBorder="1" applyAlignment="1">
      <alignment vertical="center"/>
    </xf>
    <xf numFmtId="164" fontId="15" fillId="5" borderId="5" xfId="2" applyNumberFormat="1" applyFont="1" applyFill="1" applyBorder="1" applyAlignment="1">
      <alignment vertical="center"/>
    </xf>
    <xf numFmtId="164" fontId="15" fillId="5" borderId="4" xfId="2" applyNumberFormat="1" applyFont="1" applyFill="1" applyBorder="1" applyAlignment="1">
      <alignment vertical="center"/>
    </xf>
    <xf numFmtId="164" fontId="15" fillId="5" borderId="6" xfId="2" applyNumberFormat="1" applyFont="1" applyFill="1" applyBorder="1" applyAlignment="1">
      <alignment vertical="center"/>
    </xf>
    <xf numFmtId="164" fontId="15" fillId="5" borderId="25" xfId="2" applyNumberFormat="1" applyFont="1" applyFill="1" applyBorder="1" applyAlignment="1">
      <alignment vertical="center"/>
    </xf>
    <xf numFmtId="164" fontId="15" fillId="5" borderId="26" xfId="2" applyNumberFormat="1" applyFont="1" applyFill="1" applyBorder="1" applyAlignment="1">
      <alignment vertical="center"/>
    </xf>
    <xf numFmtId="3" fontId="15" fillId="5" borderId="5" xfId="2" applyNumberFormat="1" applyFont="1" applyFill="1" applyBorder="1" applyAlignment="1">
      <alignment vertical="center"/>
    </xf>
    <xf numFmtId="3" fontId="15" fillId="5" borderId="4" xfId="2" applyNumberFormat="1" applyFont="1" applyFill="1" applyBorder="1" applyAlignment="1">
      <alignment vertical="center"/>
    </xf>
    <xf numFmtId="3" fontId="15" fillId="5" borderId="6" xfId="2" applyNumberFormat="1" applyFont="1" applyFill="1" applyBorder="1" applyAlignment="1">
      <alignment vertical="center"/>
    </xf>
    <xf numFmtId="3" fontId="15" fillId="5" borderId="25" xfId="2" applyNumberFormat="1" applyFont="1" applyFill="1" applyBorder="1" applyAlignment="1">
      <alignment vertical="center"/>
    </xf>
    <xf numFmtId="3" fontId="15" fillId="5" borderId="26" xfId="2" applyNumberFormat="1" applyFont="1" applyFill="1" applyBorder="1" applyAlignment="1">
      <alignment vertical="center"/>
    </xf>
    <xf numFmtId="164" fontId="16" fillId="5" borderId="13" xfId="2" applyNumberFormat="1" applyFont="1" applyFill="1" applyBorder="1" applyAlignment="1">
      <alignment vertical="center"/>
    </xf>
    <xf numFmtId="164" fontId="16" fillId="5" borderId="3" xfId="2" applyNumberFormat="1" applyFont="1" applyFill="1" applyBorder="1" applyAlignment="1">
      <alignment vertical="center"/>
    </xf>
    <xf numFmtId="164" fontId="16" fillId="5" borderId="14" xfId="2" applyNumberFormat="1" applyFont="1" applyFill="1" applyBorder="1" applyAlignment="1">
      <alignment vertical="center"/>
    </xf>
    <xf numFmtId="164" fontId="16" fillId="5" borderId="21" xfId="2" applyNumberFormat="1" applyFont="1" applyFill="1" applyBorder="1" applyAlignment="1">
      <alignment vertical="center"/>
    </xf>
    <xf numFmtId="164" fontId="16" fillId="5" borderId="22" xfId="2" applyNumberFormat="1" applyFont="1" applyFill="1" applyBorder="1" applyAlignment="1">
      <alignment vertical="center"/>
    </xf>
    <xf numFmtId="164" fontId="17" fillId="5" borderId="5" xfId="2" applyNumberFormat="1" applyFont="1" applyFill="1" applyBorder="1" applyAlignment="1">
      <alignment vertical="center"/>
    </xf>
    <xf numFmtId="164" fontId="17" fillId="5" borderId="4" xfId="2" applyNumberFormat="1" applyFont="1" applyFill="1" applyBorder="1" applyAlignment="1">
      <alignment vertical="center"/>
    </xf>
    <xf numFmtId="164" fontId="17" fillId="5" borderId="6" xfId="2" applyNumberFormat="1" applyFont="1" applyFill="1" applyBorder="1" applyAlignment="1">
      <alignment vertical="center"/>
    </xf>
    <xf numFmtId="164" fontId="17" fillId="5" borderId="25" xfId="2" applyNumberFormat="1" applyFont="1" applyFill="1" applyBorder="1" applyAlignment="1">
      <alignment vertical="center"/>
    </xf>
    <xf numFmtId="164" fontId="17" fillId="5" borderId="26" xfId="2" applyNumberFormat="1" applyFont="1" applyFill="1" applyBorder="1" applyAlignment="1">
      <alignment vertical="center"/>
    </xf>
    <xf numFmtId="10" fontId="16" fillId="5" borderId="5" xfId="4" applyNumberFormat="1" applyFont="1" applyFill="1" applyBorder="1" applyAlignment="1">
      <alignment vertical="center"/>
    </xf>
    <xf numFmtId="10" fontId="16" fillId="5" borderId="4" xfId="4" applyNumberFormat="1" applyFont="1" applyFill="1" applyBorder="1" applyAlignment="1">
      <alignment vertical="center"/>
    </xf>
    <xf numFmtId="10" fontId="16" fillId="5" borderId="6" xfId="4" applyNumberFormat="1" applyFont="1" applyFill="1" applyBorder="1" applyAlignment="1">
      <alignment vertical="center"/>
    </xf>
    <xf numFmtId="0" fontId="15" fillId="5" borderId="1" xfId="2" applyFont="1" applyFill="1" applyBorder="1" applyAlignment="1">
      <alignment vertical="center"/>
    </xf>
    <xf numFmtId="0" fontId="15" fillId="5" borderId="0" xfId="2" applyFont="1" applyFill="1" applyAlignment="1">
      <alignment vertical="center"/>
    </xf>
    <xf numFmtId="0" fontId="15" fillId="5" borderId="23" xfId="2" applyFont="1" applyFill="1" applyBorder="1" applyAlignment="1">
      <alignment vertical="center"/>
    </xf>
    <xf numFmtId="0" fontId="15" fillId="5" borderId="15" xfId="2" applyFont="1" applyFill="1" applyBorder="1" applyAlignment="1">
      <alignment vertical="center"/>
    </xf>
    <xf numFmtId="10" fontId="16" fillId="5" borderId="5" xfId="4" applyNumberFormat="1" applyFont="1" applyFill="1" applyBorder="1" applyAlignment="1">
      <alignment horizontal="right" vertical="center"/>
    </xf>
    <xf numFmtId="10" fontId="16" fillId="5" borderId="4" xfId="4" applyNumberFormat="1" applyFont="1" applyFill="1" applyBorder="1" applyAlignment="1">
      <alignment horizontal="right" vertical="center"/>
    </xf>
    <xf numFmtId="10" fontId="16" fillId="5" borderId="6" xfId="4" applyNumberFormat="1" applyFont="1" applyFill="1" applyBorder="1" applyAlignment="1">
      <alignment horizontal="right" vertical="center"/>
    </xf>
    <xf numFmtId="10" fontId="16" fillId="5" borderId="25" xfId="4" applyNumberFormat="1" applyFont="1" applyFill="1" applyBorder="1" applyAlignment="1">
      <alignment vertical="center"/>
    </xf>
    <xf numFmtId="10" fontId="16" fillId="5" borderId="26" xfId="4" applyNumberFormat="1" applyFont="1" applyFill="1" applyBorder="1" applyAlignment="1">
      <alignment vertical="center"/>
    </xf>
    <xf numFmtId="10" fontId="17" fillId="5" borderId="5" xfId="4" applyNumberFormat="1" applyFont="1" applyFill="1" applyBorder="1" applyAlignment="1">
      <alignment horizontal="right" vertical="center"/>
    </xf>
    <xf numFmtId="10" fontId="17" fillId="5" borderId="4" xfId="4" applyNumberFormat="1" applyFont="1" applyFill="1" applyBorder="1" applyAlignment="1">
      <alignment horizontal="right" vertical="center"/>
    </xf>
    <xf numFmtId="10" fontId="17" fillId="5" borderId="6" xfId="4" applyNumberFormat="1" applyFont="1" applyFill="1" applyBorder="1" applyAlignment="1">
      <alignment horizontal="right" vertical="center"/>
    </xf>
    <xf numFmtId="10" fontId="17" fillId="5" borderId="4" xfId="4" applyNumberFormat="1" applyFont="1" applyFill="1" applyBorder="1" applyAlignment="1">
      <alignment vertical="center"/>
    </xf>
    <xf numFmtId="10" fontId="17" fillId="5" borderId="6" xfId="4" applyNumberFormat="1" applyFont="1" applyFill="1" applyBorder="1" applyAlignment="1">
      <alignment vertical="center"/>
    </xf>
    <xf numFmtId="0" fontId="66" fillId="5" borderId="1" xfId="2" applyFont="1" applyFill="1" applyBorder="1" applyAlignment="1">
      <alignment vertical="center"/>
    </xf>
    <xf numFmtId="0" fontId="66" fillId="5" borderId="0" xfId="2" applyFont="1" applyFill="1" applyAlignment="1">
      <alignment vertical="center"/>
    </xf>
    <xf numFmtId="0" fontId="66" fillId="5" borderId="23" xfId="2" applyFont="1" applyFill="1" applyBorder="1" applyAlignment="1">
      <alignment vertical="center"/>
    </xf>
    <xf numFmtId="0" fontId="66" fillId="5" borderId="15" xfId="2" applyFont="1" applyFill="1" applyBorder="1" applyAlignment="1">
      <alignment vertical="center"/>
    </xf>
    <xf numFmtId="9" fontId="16" fillId="5" borderId="4" xfId="4" applyFont="1" applyFill="1" applyBorder="1" applyAlignment="1">
      <alignment vertical="center"/>
    </xf>
    <xf numFmtId="9" fontId="16" fillId="5" borderId="6" xfId="4" applyFont="1" applyFill="1" applyBorder="1" applyAlignment="1">
      <alignment vertical="center"/>
    </xf>
    <xf numFmtId="9" fontId="16" fillId="5" borderId="25" xfId="4" applyFont="1" applyFill="1" applyBorder="1" applyAlignment="1">
      <alignment vertical="center"/>
    </xf>
    <xf numFmtId="9" fontId="16" fillId="5" borderId="26" xfId="4" applyFont="1" applyFill="1" applyBorder="1" applyAlignment="1">
      <alignment vertical="center"/>
    </xf>
    <xf numFmtId="9" fontId="16" fillId="5" borderId="5" xfId="4" applyFont="1" applyFill="1" applyBorder="1" applyAlignment="1">
      <alignment vertical="center"/>
    </xf>
    <xf numFmtId="166" fontId="16" fillId="5" borderId="4" xfId="4" applyNumberFormat="1" applyFont="1" applyFill="1" applyBorder="1" applyAlignment="1">
      <alignment vertical="center"/>
    </xf>
    <xf numFmtId="166" fontId="16" fillId="5" borderId="25" xfId="4" applyNumberFormat="1" applyFont="1" applyFill="1" applyBorder="1" applyAlignment="1">
      <alignment vertical="center"/>
    </xf>
    <xf numFmtId="168" fontId="16" fillId="5" borderId="5" xfId="4" applyNumberFormat="1" applyFont="1" applyFill="1" applyBorder="1" applyAlignment="1">
      <alignment vertical="center"/>
    </xf>
    <xf numFmtId="168" fontId="16" fillId="5" borderId="4" xfId="4" applyNumberFormat="1" applyFont="1" applyFill="1" applyBorder="1" applyAlignment="1">
      <alignment vertical="center"/>
    </xf>
    <xf numFmtId="168" fontId="16" fillId="5" borderId="6" xfId="4" applyNumberFormat="1" applyFont="1" applyFill="1" applyBorder="1" applyAlignment="1">
      <alignment vertical="center"/>
    </xf>
    <xf numFmtId="2" fontId="16" fillId="5" borderId="4" xfId="4" applyNumberFormat="1" applyFont="1" applyFill="1" applyBorder="1" applyAlignment="1">
      <alignment vertical="center"/>
    </xf>
    <xf numFmtId="2" fontId="16" fillId="5" borderId="6" xfId="4" applyNumberFormat="1" applyFont="1" applyFill="1" applyBorder="1" applyAlignment="1">
      <alignment vertical="center"/>
    </xf>
    <xf numFmtId="2" fontId="16" fillId="5" borderId="5" xfId="4" applyNumberFormat="1" applyFont="1" applyFill="1" applyBorder="1" applyAlignment="1">
      <alignment vertical="center"/>
    </xf>
    <xf numFmtId="2" fontId="16" fillId="5" borderId="4" xfId="2" applyNumberFormat="1" applyFont="1" applyFill="1" applyBorder="1" applyAlignment="1">
      <alignment vertical="center"/>
    </xf>
    <xf numFmtId="2" fontId="16" fillId="5" borderId="6" xfId="2" applyNumberFormat="1" applyFont="1" applyFill="1" applyBorder="1" applyAlignment="1">
      <alignment vertical="center"/>
    </xf>
    <xf numFmtId="2" fontId="16" fillId="5" borderId="5" xfId="2" applyNumberFormat="1" applyFont="1" applyFill="1" applyBorder="1" applyAlignment="1">
      <alignment vertical="center"/>
    </xf>
    <xf numFmtId="2" fontId="16" fillId="5" borderId="25" xfId="4" applyNumberFormat="1" applyFont="1" applyFill="1" applyBorder="1" applyAlignment="1">
      <alignment vertical="center"/>
    </xf>
    <xf numFmtId="2" fontId="16" fillId="5" borderId="26" xfId="2" applyNumberFormat="1" applyFont="1" applyFill="1" applyBorder="1" applyAlignment="1">
      <alignment vertical="center"/>
    </xf>
    <xf numFmtId="168" fontId="16" fillId="5" borderId="25" xfId="4" applyNumberFormat="1" applyFont="1" applyFill="1" applyBorder="1" applyAlignment="1">
      <alignment vertical="center"/>
    </xf>
    <xf numFmtId="168" fontId="16" fillId="5" borderId="26" xfId="4" applyNumberFormat="1" applyFont="1" applyFill="1" applyBorder="1" applyAlignment="1">
      <alignment vertical="center"/>
    </xf>
    <xf numFmtId="4" fontId="16" fillId="5" borderId="5" xfId="2" applyNumberFormat="1" applyFont="1" applyFill="1" applyBorder="1" applyAlignment="1">
      <alignment horizontal="right" vertical="center"/>
    </xf>
    <xf numFmtId="4" fontId="16" fillId="5" borderId="4" xfId="2" applyNumberFormat="1" applyFont="1" applyFill="1" applyBorder="1" applyAlignment="1">
      <alignment horizontal="right" vertical="center"/>
    </xf>
    <xf numFmtId="4" fontId="16" fillId="5" borderId="6" xfId="2" applyNumberFormat="1" applyFont="1" applyFill="1" applyBorder="1" applyAlignment="1">
      <alignment horizontal="right" vertical="center"/>
    </xf>
    <xf numFmtId="4" fontId="16" fillId="5" borderId="4" xfId="2" applyNumberFormat="1" applyFont="1" applyFill="1" applyBorder="1" applyAlignment="1">
      <alignment vertical="center"/>
    </xf>
    <xf numFmtId="4" fontId="16" fillId="5" borderId="6" xfId="2" applyNumberFormat="1" applyFont="1" applyFill="1" applyBorder="1" applyAlignment="1">
      <alignment vertical="center"/>
    </xf>
    <xf numFmtId="4" fontId="16" fillId="5" borderId="5" xfId="2" applyNumberFormat="1" applyFont="1" applyFill="1" applyBorder="1" applyAlignment="1">
      <alignment vertical="center"/>
    </xf>
    <xf numFmtId="4" fontId="16" fillId="5" borderId="25" xfId="2" applyNumberFormat="1" applyFont="1" applyFill="1" applyBorder="1" applyAlignment="1">
      <alignment vertical="center"/>
    </xf>
    <xf numFmtId="4" fontId="16" fillId="5" borderId="26" xfId="2" applyNumberFormat="1" applyFont="1" applyFill="1" applyBorder="1" applyAlignment="1">
      <alignment vertical="center"/>
    </xf>
    <xf numFmtId="0" fontId="12" fillId="5" borderId="4" xfId="2" applyFont="1" applyFill="1" applyBorder="1" applyAlignment="1">
      <alignment horizontal="left" vertical="center" wrapText="1"/>
    </xf>
    <xf numFmtId="0" fontId="57" fillId="5" borderId="0" xfId="2" applyFont="1" applyFill="1" applyAlignment="1">
      <alignment vertical="center"/>
    </xf>
    <xf numFmtId="3" fontId="12" fillId="5" borderId="4" xfId="2" applyNumberFormat="1" applyFont="1" applyFill="1" applyBorder="1" applyAlignment="1">
      <alignment vertical="center" wrapText="1"/>
    </xf>
    <xf numFmtId="0" fontId="12" fillId="5" borderId="4" xfId="2" applyFont="1" applyFill="1" applyBorder="1" applyAlignment="1">
      <alignment vertical="center" wrapText="1"/>
    </xf>
    <xf numFmtId="0" fontId="6" fillId="5" borderId="0" xfId="2" applyFont="1" applyFill="1" applyAlignment="1">
      <alignment vertical="center"/>
    </xf>
    <xf numFmtId="164" fontId="16" fillId="5" borderId="5" xfId="2" applyNumberFormat="1" applyFont="1" applyFill="1" applyBorder="1" applyAlignment="1">
      <alignment horizontal="right" vertical="center"/>
    </xf>
    <xf numFmtId="0" fontId="67" fillId="0" borderId="0" xfId="2" applyFont="1" applyAlignment="1">
      <alignment vertical="center"/>
    </xf>
    <xf numFmtId="0" fontId="16" fillId="0" borderId="4" xfId="2" applyFont="1" applyBorder="1" applyAlignment="1">
      <alignment vertical="center" wrapText="1"/>
    </xf>
    <xf numFmtId="0" fontId="68" fillId="0" borderId="0" xfId="2" applyFont="1" applyAlignment="1">
      <alignment vertical="center"/>
    </xf>
    <xf numFmtId="0" fontId="28" fillId="0" borderId="0" xfId="2" applyFont="1" applyAlignment="1">
      <alignment vertical="center"/>
    </xf>
    <xf numFmtId="3" fontId="16" fillId="0" borderId="4" xfId="2" applyNumberFormat="1" applyFont="1" applyBorder="1" applyAlignment="1">
      <alignment vertical="center" wrapText="1"/>
    </xf>
    <xf numFmtId="164" fontId="16" fillId="5" borderId="4" xfId="2" applyNumberFormat="1" applyFont="1" applyFill="1" applyBorder="1" applyAlignment="1">
      <alignment horizontal="right" vertical="center"/>
    </xf>
    <xf numFmtId="0" fontId="16" fillId="5" borderId="4" xfId="2" applyFont="1" applyFill="1" applyBorder="1" applyAlignment="1">
      <alignment vertical="center" wrapText="1"/>
    </xf>
    <xf numFmtId="164" fontId="16" fillId="5" borderId="6" xfId="2" applyNumberFormat="1" applyFont="1" applyFill="1" applyBorder="1" applyAlignment="1">
      <alignment horizontal="right" vertical="center"/>
    </xf>
    <xf numFmtId="164" fontId="16" fillId="5" borderId="6" xfId="2" quotePrefix="1" applyNumberFormat="1" applyFont="1" applyFill="1" applyBorder="1" applyAlignment="1">
      <alignment horizontal="right" vertical="center"/>
    </xf>
    <xf numFmtId="0" fontId="68" fillId="5" borderId="0" xfId="2" applyFont="1" applyFill="1" applyAlignment="1">
      <alignment vertical="center"/>
    </xf>
    <xf numFmtId="164" fontId="16" fillId="0" borderId="4" xfId="2" quotePrefix="1" applyNumberFormat="1" applyFont="1" applyBorder="1" applyAlignment="1">
      <alignment horizontal="right" vertical="center"/>
    </xf>
    <xf numFmtId="0" fontId="16" fillId="0" borderId="4" xfId="2" quotePrefix="1" applyFont="1" applyBorder="1" applyAlignment="1">
      <alignment vertical="center" wrapText="1"/>
    </xf>
    <xf numFmtId="0" fontId="16" fillId="0" borderId="0" xfId="2" applyFont="1" applyAlignment="1">
      <alignment vertical="center" wrapText="1"/>
    </xf>
    <xf numFmtId="0" fontId="15" fillId="0" borderId="7" xfId="2" applyFont="1" applyBorder="1" applyAlignment="1">
      <alignment vertical="center" wrapText="1"/>
    </xf>
    <xf numFmtId="164" fontId="28" fillId="0" borderId="0" xfId="2" applyNumberFormat="1" applyFont="1" applyAlignment="1">
      <alignment horizontal="right" vertical="center"/>
    </xf>
    <xf numFmtId="164" fontId="28" fillId="0" borderId="1" xfId="2" applyNumberFormat="1" applyFont="1" applyBorder="1" applyAlignment="1">
      <alignment horizontal="right" vertical="center"/>
    </xf>
    <xf numFmtId="0" fontId="12" fillId="5" borderId="0" xfId="2" applyFont="1" applyFill="1" applyAlignment="1">
      <alignment vertical="center"/>
    </xf>
    <xf numFmtId="164" fontId="12" fillId="5" borderId="5" xfId="2" applyNumberFormat="1" applyFont="1" applyFill="1" applyBorder="1" applyAlignment="1">
      <alignment vertical="center"/>
    </xf>
    <xf numFmtId="3" fontId="28" fillId="5" borderId="4" xfId="2" applyNumberFormat="1" applyFont="1" applyFill="1" applyBorder="1" applyAlignment="1">
      <alignment vertical="center"/>
    </xf>
    <xf numFmtId="3" fontId="28" fillId="5" borderId="5" xfId="2" applyNumberFormat="1" applyFont="1" applyFill="1" applyBorder="1" applyAlignment="1">
      <alignment vertical="center"/>
    </xf>
    <xf numFmtId="3" fontId="28" fillId="5" borderId="6" xfId="2" applyNumberFormat="1" applyFont="1" applyFill="1" applyBorder="1" applyAlignment="1">
      <alignment vertical="center"/>
    </xf>
    <xf numFmtId="3" fontId="28" fillId="5" borderId="25" xfId="2" applyNumberFormat="1" applyFont="1" applyFill="1" applyBorder="1" applyAlignment="1">
      <alignment vertical="center"/>
    </xf>
    <xf numFmtId="0" fontId="28" fillId="5" borderId="0" xfId="2" applyFont="1" applyFill="1" applyAlignment="1">
      <alignment vertical="center"/>
    </xf>
    <xf numFmtId="0" fontId="67" fillId="5" borderId="0" xfId="2" applyFont="1" applyFill="1" applyAlignment="1">
      <alignment vertical="center"/>
    </xf>
    <xf numFmtId="0" fontId="28" fillId="5" borderId="1" xfId="2" applyFont="1" applyFill="1" applyBorder="1" applyAlignment="1">
      <alignment vertical="center"/>
    </xf>
    <xf numFmtId="0" fontId="20" fillId="5" borderId="4" xfId="0" applyFont="1" applyFill="1" applyBorder="1" applyAlignment="1">
      <alignment horizontal="left" vertical="center" wrapText="1"/>
    </xf>
    <xf numFmtId="164" fontId="15" fillId="5" borderId="5" xfId="0" applyNumberFormat="1" applyFont="1" applyFill="1" applyBorder="1" applyAlignment="1">
      <alignment horizontal="right" vertical="center"/>
    </xf>
    <xf numFmtId="164" fontId="15" fillId="5" borderId="4" xfId="0" applyNumberFormat="1" applyFont="1" applyFill="1" applyBorder="1" applyAlignment="1">
      <alignment horizontal="right" vertical="center"/>
    </xf>
    <xf numFmtId="0" fontId="7" fillId="5" borderId="0" xfId="0" applyFont="1" applyFill="1" applyAlignment="1">
      <alignment vertical="center"/>
    </xf>
    <xf numFmtId="0" fontId="0" fillId="5" borderId="0" xfId="0" applyFill="1"/>
    <xf numFmtId="0" fontId="12" fillId="5" borderId="4" xfId="0" applyFont="1" applyFill="1" applyBorder="1" applyAlignment="1">
      <alignment vertical="center" wrapText="1"/>
    </xf>
    <xf numFmtId="164" fontId="16" fillId="5" borderId="5" xfId="0" applyNumberFormat="1" applyFont="1" applyFill="1" applyBorder="1" applyAlignment="1">
      <alignment horizontal="right" vertical="center"/>
    </xf>
    <xf numFmtId="164" fontId="16" fillId="5" borderId="4" xfId="0" applyNumberFormat="1" applyFont="1" applyFill="1" applyBorder="1" applyAlignment="1">
      <alignment horizontal="right" vertical="center"/>
    </xf>
    <xf numFmtId="0" fontId="12" fillId="5" borderId="4" xfId="0" quotePrefix="1" applyFont="1" applyFill="1" applyBorder="1" applyAlignment="1">
      <alignment horizontal="left" vertical="center" wrapText="1" indent="2"/>
    </xf>
    <xf numFmtId="0" fontId="12" fillId="5" borderId="4" xfId="0" applyFont="1" applyFill="1" applyBorder="1" applyAlignment="1">
      <alignment horizontal="left" vertical="center" wrapText="1"/>
    </xf>
    <xf numFmtId="0" fontId="12" fillId="5" borderId="0" xfId="0" applyFont="1" applyFill="1" applyAlignment="1">
      <alignment vertical="center"/>
    </xf>
    <xf numFmtId="3" fontId="12" fillId="5" borderId="4" xfId="0" applyNumberFormat="1" applyFont="1" applyFill="1" applyBorder="1" applyAlignment="1">
      <alignment vertical="center" wrapText="1"/>
    </xf>
    <xf numFmtId="0" fontId="20" fillId="5" borderId="0" xfId="0" applyFont="1" applyFill="1" applyAlignment="1">
      <alignment vertical="center"/>
    </xf>
    <xf numFmtId="3" fontId="20" fillId="5" borderId="4" xfId="0" applyNumberFormat="1" applyFont="1" applyFill="1" applyBorder="1" applyAlignment="1">
      <alignment vertical="center" wrapText="1"/>
    </xf>
    <xf numFmtId="0" fontId="20" fillId="5" borderId="4" xfId="0" applyFont="1" applyFill="1" applyBorder="1" applyAlignment="1">
      <alignment vertical="center" wrapText="1"/>
    </xf>
    <xf numFmtId="3" fontId="12" fillId="5" borderId="4" xfId="0" quotePrefix="1" applyNumberFormat="1" applyFont="1" applyFill="1" applyBorder="1" applyAlignment="1">
      <alignment vertical="center" wrapText="1"/>
    </xf>
    <xf numFmtId="3" fontId="16" fillId="0" borderId="4" xfId="0" applyNumberFormat="1" applyFont="1" applyBorder="1" applyAlignment="1">
      <alignment horizontal="right" vertical="center"/>
    </xf>
    <xf numFmtId="3" fontId="16" fillId="0" borderId="5" xfId="0" applyNumberFormat="1" applyFont="1" applyBorder="1" applyAlignment="1">
      <alignment horizontal="right" vertical="center"/>
    </xf>
    <xf numFmtId="3" fontId="17" fillId="0" borderId="4" xfId="0" applyNumberFormat="1" applyFont="1" applyBorder="1" applyAlignment="1">
      <alignment horizontal="right" vertical="center"/>
    </xf>
    <xf numFmtId="3" fontId="17" fillId="0" borderId="6" xfId="0" applyNumberFormat="1" applyFont="1" applyBorder="1" applyAlignment="1">
      <alignment horizontal="right" vertical="center"/>
    </xf>
    <xf numFmtId="3" fontId="16" fillId="0" borderId="6" xfId="0" applyNumberFormat="1" applyFont="1" applyBorder="1" applyAlignment="1">
      <alignment horizontal="right" vertical="center"/>
    </xf>
    <xf numFmtId="0" fontId="16" fillId="0" borderId="1" xfId="0" applyFont="1" applyBorder="1" applyAlignment="1">
      <alignment vertical="center"/>
    </xf>
    <xf numFmtId="0" fontId="16" fillId="0" borderId="0" xfId="0" applyFont="1" applyAlignment="1">
      <alignment vertical="center"/>
    </xf>
    <xf numFmtId="0" fontId="15" fillId="5" borderId="4" xfId="0" applyFont="1" applyFill="1" applyBorder="1" applyAlignment="1">
      <alignment horizontal="left" vertical="center" wrapText="1"/>
    </xf>
    <xf numFmtId="164" fontId="16" fillId="5" borderId="6" xfId="0" applyNumberFormat="1" applyFont="1" applyFill="1" applyBorder="1" applyAlignment="1">
      <alignment horizontal="right" vertical="center"/>
    </xf>
    <xf numFmtId="0" fontId="17" fillId="5" borderId="0" xfId="0" applyFont="1" applyFill="1" applyAlignment="1">
      <alignment vertical="center"/>
    </xf>
    <xf numFmtId="0" fontId="16" fillId="5" borderId="4" xfId="0" applyFont="1" applyFill="1" applyBorder="1" applyAlignment="1">
      <alignment vertical="center" wrapText="1"/>
    </xf>
    <xf numFmtId="0" fontId="16" fillId="5" borderId="4" xfId="0" applyFont="1" applyFill="1" applyBorder="1" applyAlignment="1">
      <alignment horizontal="left" vertical="center" wrapText="1" indent="2"/>
    </xf>
    <xf numFmtId="164" fontId="16" fillId="5" borderId="8" xfId="0" applyNumberFormat="1" applyFont="1" applyFill="1" applyBorder="1" applyAlignment="1">
      <alignment horizontal="right" vertical="center"/>
    </xf>
    <xf numFmtId="164" fontId="16" fillId="5" borderId="7" xfId="0" applyNumberFormat="1" applyFont="1" applyFill="1" applyBorder="1" applyAlignment="1">
      <alignment horizontal="right" vertical="center"/>
    </xf>
    <xf numFmtId="0" fontId="16" fillId="5" borderId="4" xfId="0" applyFont="1" applyFill="1" applyBorder="1" applyAlignment="1">
      <alignment horizontal="left" vertical="center" wrapText="1"/>
    </xf>
    <xf numFmtId="0" fontId="16" fillId="5" borderId="0" xfId="0" applyFont="1" applyFill="1" applyAlignment="1">
      <alignment vertical="center"/>
    </xf>
    <xf numFmtId="164" fontId="16" fillId="5" borderId="8" xfId="0" quotePrefix="1" applyNumberFormat="1" applyFont="1" applyFill="1" applyBorder="1" applyAlignment="1">
      <alignment horizontal="right" vertical="center"/>
    </xf>
    <xf numFmtId="164" fontId="16" fillId="5" borderId="7" xfId="0" quotePrefix="1" applyNumberFormat="1" applyFont="1" applyFill="1" applyBorder="1" applyAlignment="1">
      <alignment horizontal="right" vertical="center"/>
    </xf>
    <xf numFmtId="164" fontId="16" fillId="5" borderId="8" xfId="0" applyNumberFormat="1" applyFont="1" applyFill="1" applyBorder="1" applyAlignment="1">
      <alignment horizontal="right" vertical="center"/>
    </xf>
    <xf numFmtId="164" fontId="16" fillId="5" borderId="7" xfId="0" applyNumberFormat="1" applyFont="1" applyFill="1" applyBorder="1" applyAlignment="1">
      <alignment horizontal="right" vertical="center"/>
    </xf>
    <xf numFmtId="164" fontId="16" fillId="5" borderId="9" xfId="0" applyNumberFormat="1" applyFont="1" applyFill="1" applyBorder="1" applyAlignment="1">
      <alignment horizontal="right" vertical="center"/>
    </xf>
    <xf numFmtId="0" fontId="16" fillId="5" borderId="1" xfId="0" applyFont="1" applyFill="1" applyBorder="1" applyAlignment="1">
      <alignment horizontal="right" vertical="center"/>
    </xf>
    <xf numFmtId="0" fontId="16" fillId="5" borderId="0" xfId="0" applyFont="1" applyFill="1" applyAlignment="1">
      <alignment horizontal="right" vertical="center"/>
    </xf>
    <xf numFmtId="0" fontId="16" fillId="5" borderId="2" xfId="0" applyFont="1" applyFill="1" applyBorder="1" applyAlignment="1">
      <alignment horizontal="right" vertical="center"/>
    </xf>
    <xf numFmtId="0" fontId="16" fillId="5" borderId="13" xfId="0" applyFont="1" applyFill="1" applyBorder="1" applyAlignment="1">
      <alignment horizontal="right" vertical="center"/>
    </xf>
    <xf numFmtId="0" fontId="16" fillId="5" borderId="3" xfId="0" applyFont="1" applyFill="1" applyBorder="1" applyAlignment="1">
      <alignment horizontal="right" vertical="center"/>
    </xf>
    <xf numFmtId="0" fontId="16" fillId="5" borderId="14" xfId="0" applyFont="1" applyFill="1" applyBorder="1" applyAlignment="1">
      <alignment horizontal="right" vertical="center"/>
    </xf>
    <xf numFmtId="3" fontId="16" fillId="5" borderId="4" xfId="0" applyNumberFormat="1" applyFont="1" applyFill="1" applyBorder="1" applyAlignment="1">
      <alignment vertical="center" wrapText="1"/>
    </xf>
    <xf numFmtId="0" fontId="15" fillId="5" borderId="0" xfId="0" applyFont="1" applyFill="1" applyAlignment="1">
      <alignment vertical="center"/>
    </xf>
    <xf numFmtId="3" fontId="15" fillId="5" borderId="4" xfId="0" applyNumberFormat="1" applyFont="1" applyFill="1" applyBorder="1" applyAlignment="1">
      <alignment vertical="center" wrapText="1"/>
    </xf>
    <xf numFmtId="0" fontId="15" fillId="5" borderId="4" xfId="0" applyFont="1" applyFill="1" applyBorder="1" applyAlignment="1">
      <alignment vertical="center" wrapText="1"/>
    </xf>
    <xf numFmtId="3" fontId="16" fillId="5" borderId="4" xfId="0" quotePrefix="1" applyNumberFormat="1" applyFont="1" applyFill="1" applyBorder="1" applyAlignment="1">
      <alignment vertical="center" wrapText="1"/>
    </xf>
    <xf numFmtId="0" fontId="15" fillId="0" borderId="4" xfId="0" applyFont="1" applyBorder="1" applyAlignment="1">
      <alignment horizontal="left" vertical="center" wrapText="1"/>
    </xf>
    <xf numFmtId="164" fontId="16" fillId="0" borderId="6" xfId="0" applyNumberFormat="1" applyFont="1" applyBorder="1" applyAlignment="1">
      <alignment horizontal="right" vertical="center"/>
    </xf>
    <xf numFmtId="0" fontId="15" fillId="0" borderId="0" xfId="0" applyFont="1" applyAlignment="1">
      <alignment vertical="center"/>
    </xf>
    <xf numFmtId="0" fontId="17" fillId="0" borderId="1" xfId="2" applyFont="1" applyBorder="1" applyAlignment="1">
      <alignment vertical="center"/>
    </xf>
    <xf numFmtId="0" fontId="17" fillId="0" borderId="0" xfId="2" applyFont="1" applyAlignment="1">
      <alignment vertical="center"/>
    </xf>
    <xf numFmtId="164" fontId="16" fillId="5" borderId="3" xfId="2" applyNumberFormat="1" applyFont="1" applyFill="1" applyBorder="1" applyAlignment="1">
      <alignment horizontal="center" vertical="center"/>
    </xf>
    <xf numFmtId="164" fontId="27" fillId="5" borderId="0" xfId="2" applyNumberFormat="1" applyFont="1" applyFill="1" applyAlignment="1">
      <alignment vertical="center"/>
    </xf>
    <xf numFmtId="164" fontId="16" fillId="5" borderId="0" xfId="2" applyNumberFormat="1" applyFont="1" applyFill="1" applyAlignment="1">
      <alignment vertical="center"/>
    </xf>
    <xf numFmtId="164" fontId="16" fillId="0" borderId="8" xfId="2" applyNumberFormat="1" applyFont="1" applyBorder="1" applyAlignment="1">
      <alignment horizontal="center" vertical="center"/>
    </xf>
    <xf numFmtId="164" fontId="16" fillId="0" borderId="7" xfId="2" applyNumberFormat="1" applyFont="1" applyBorder="1" applyAlignment="1">
      <alignment horizontal="center" vertical="center"/>
    </xf>
    <xf numFmtId="164" fontId="16" fillId="0" borderId="1" xfId="2" applyNumberFormat="1" applyFont="1" applyBorder="1" applyAlignment="1">
      <alignment horizontal="center" vertical="center"/>
    </xf>
    <xf numFmtId="164" fontId="16" fillId="0" borderId="0" xfId="2" applyNumberFormat="1" applyFont="1" applyAlignment="1">
      <alignment horizontal="center" vertical="center"/>
    </xf>
    <xf numFmtId="164" fontId="16" fillId="0" borderId="13" xfId="2" applyNumberFormat="1" applyFont="1" applyBorder="1" applyAlignment="1">
      <alignment horizontal="center" vertical="center"/>
    </xf>
    <xf numFmtId="164" fontId="16" fillId="0" borderId="3" xfId="2" applyNumberFormat="1" applyFont="1" applyBorder="1" applyAlignment="1">
      <alignment horizontal="center" vertical="center"/>
    </xf>
    <xf numFmtId="164" fontId="16" fillId="5" borderId="13" xfId="2" applyNumberFormat="1" applyFont="1" applyFill="1" applyBorder="1" applyAlignment="1">
      <alignment horizontal="center" vertical="center"/>
    </xf>
    <xf numFmtId="164" fontId="16" fillId="5" borderId="14" xfId="2" applyNumberFormat="1" applyFont="1" applyFill="1" applyBorder="1" applyAlignment="1">
      <alignment horizontal="center" vertical="center"/>
    </xf>
    <xf numFmtId="164" fontId="16" fillId="0" borderId="13" xfId="2" applyNumberFormat="1" applyFont="1" applyBorder="1" applyAlignment="1">
      <alignment horizontal="center" vertical="center"/>
    </xf>
    <xf numFmtId="164" fontId="16" fillId="0" borderId="25" xfId="2" applyNumberFormat="1" applyFont="1" applyBorder="1" applyAlignment="1">
      <alignment horizontal="right" vertical="center"/>
    </xf>
    <xf numFmtId="164" fontId="16" fillId="0" borderId="26" xfId="2" applyNumberFormat="1" applyFont="1" applyBorder="1" applyAlignment="1">
      <alignment horizontal="right" vertical="center"/>
    </xf>
    <xf numFmtId="164" fontId="15" fillId="0" borderId="25" xfId="2" applyNumberFormat="1" applyFont="1" applyBorder="1" applyAlignment="1">
      <alignment horizontal="right" vertical="center"/>
    </xf>
    <xf numFmtId="164" fontId="15" fillId="0" borderId="26" xfId="2" applyNumberFormat="1" applyFont="1" applyBorder="1" applyAlignment="1">
      <alignment horizontal="right" vertical="center"/>
    </xf>
    <xf numFmtId="164" fontId="16" fillId="0" borderId="30" xfId="2" applyNumberFormat="1" applyFont="1" applyBorder="1" applyAlignment="1">
      <alignment horizontal="right" vertical="center"/>
    </xf>
    <xf numFmtId="164" fontId="16" fillId="0" borderId="7" xfId="2" applyNumberFormat="1" applyFont="1" applyBorder="1" applyAlignment="1">
      <alignment horizontal="right" vertical="center"/>
    </xf>
    <xf numFmtId="164" fontId="16" fillId="0" borderId="8" xfId="2" applyNumberFormat="1" applyFont="1" applyBorder="1" applyAlignment="1">
      <alignment horizontal="right" vertical="center"/>
    </xf>
    <xf numFmtId="164" fontId="16" fillId="0" borderId="31" xfId="2" applyNumberFormat="1" applyFont="1" applyBorder="1" applyAlignment="1">
      <alignment horizontal="right" vertical="center"/>
    </xf>
    <xf numFmtId="164" fontId="15" fillId="0" borderId="22" xfId="2" applyNumberFormat="1" applyFont="1" applyBorder="1" applyAlignment="1">
      <alignment horizontal="right" vertical="center"/>
    </xf>
    <xf numFmtId="164" fontId="15" fillId="0" borderId="3" xfId="2" applyNumberFormat="1" applyFont="1" applyBorder="1" applyAlignment="1">
      <alignment horizontal="right" vertical="center"/>
    </xf>
    <xf numFmtId="164" fontId="15" fillId="0" borderId="13" xfId="2" applyNumberFormat="1" applyFont="1" applyBorder="1" applyAlignment="1">
      <alignment horizontal="right" vertical="center"/>
    </xf>
    <xf numFmtId="10" fontId="16" fillId="0" borderId="25" xfId="4" applyNumberFormat="1" applyFont="1" applyFill="1" applyBorder="1" applyAlignment="1">
      <alignment horizontal="right" vertical="center"/>
    </xf>
    <xf numFmtId="10" fontId="16" fillId="0" borderId="26" xfId="4" applyNumberFormat="1" applyFont="1" applyFill="1" applyBorder="1" applyAlignment="1">
      <alignment horizontal="right" vertical="center"/>
    </xf>
    <xf numFmtId="10" fontId="15" fillId="0" borderId="5" xfId="4" applyNumberFormat="1" applyFont="1" applyFill="1" applyBorder="1" applyAlignment="1">
      <alignment horizontal="right" vertical="center"/>
    </xf>
    <xf numFmtId="10" fontId="15" fillId="0" borderId="25" xfId="4" applyNumberFormat="1" applyFont="1" applyFill="1" applyBorder="1" applyAlignment="1">
      <alignment horizontal="right" vertical="center"/>
    </xf>
    <xf numFmtId="10" fontId="15" fillId="0" borderId="26" xfId="4" applyNumberFormat="1" applyFont="1" applyFill="1" applyBorder="1" applyAlignment="1">
      <alignment horizontal="right" vertical="center"/>
    </xf>
    <xf numFmtId="0" fontId="28" fillId="0" borderId="0" xfId="2" applyFont="1" applyAlignment="1">
      <alignment horizontal="right" vertical="center"/>
    </xf>
    <xf numFmtId="164" fontId="16" fillId="0" borderId="24" xfId="6" applyNumberFormat="1" applyFont="1" applyBorder="1" applyAlignment="1">
      <alignment horizontal="right" vertical="center" wrapText="1"/>
    </xf>
    <xf numFmtId="164" fontId="16" fillId="0" borderId="4" xfId="6" applyNumberFormat="1" applyFont="1" applyBorder="1" applyAlignment="1">
      <alignment horizontal="right" vertical="center" wrapText="1"/>
    </xf>
    <xf numFmtId="164" fontId="16" fillId="0" borderId="5" xfId="6" applyNumberFormat="1" applyFont="1" applyBorder="1" applyAlignment="1">
      <alignment horizontal="right" vertical="center" wrapText="1"/>
    </xf>
    <xf numFmtId="164" fontId="16" fillId="0" borderId="25" xfId="6" applyNumberFormat="1" applyFont="1" applyBorder="1" applyAlignment="1">
      <alignment horizontal="right" vertical="center" wrapText="1"/>
    </xf>
    <xf numFmtId="164" fontId="16" fillId="0" borderId="26" xfId="6" applyNumberFormat="1" applyFont="1" applyBorder="1" applyAlignment="1">
      <alignment horizontal="right" vertical="center" wrapText="1"/>
    </xf>
    <xf numFmtId="0" fontId="69" fillId="0" borderId="0" xfId="2" applyFont="1"/>
    <xf numFmtId="0" fontId="16" fillId="0" borderId="28" xfId="6" applyFont="1" applyBorder="1" applyAlignment="1">
      <alignment horizontal="left" vertical="center" wrapText="1" indent="1"/>
    </xf>
    <xf numFmtId="0" fontId="16" fillId="0" borderId="29" xfId="6" applyFont="1" applyBorder="1" applyAlignment="1">
      <alignment horizontal="left" vertical="center" wrapText="1" indent="1"/>
    </xf>
    <xf numFmtId="0" fontId="16" fillId="0" borderId="4" xfId="6" applyFont="1" applyBorder="1" applyAlignment="1">
      <alignment horizontal="left" vertical="center" wrapText="1" indent="1"/>
    </xf>
    <xf numFmtId="0" fontId="15" fillId="0" borderId="28" xfId="6" applyFont="1" applyBorder="1" applyAlignment="1">
      <alignment vertical="center" wrapText="1"/>
    </xf>
    <xf numFmtId="0" fontId="15" fillId="0" borderId="29" xfId="6" applyFont="1" applyBorder="1" applyAlignment="1">
      <alignment vertical="center" wrapText="1"/>
    </xf>
    <xf numFmtId="0" fontId="15" fillId="0" borderId="4" xfId="6" applyFont="1" applyBorder="1" applyAlignment="1">
      <alignment vertical="center" wrapText="1"/>
    </xf>
    <xf numFmtId="164" fontId="15" fillId="0" borderId="24" xfId="6" applyNumberFormat="1" applyFont="1" applyBorder="1" applyAlignment="1">
      <alignment horizontal="right" vertical="center" wrapText="1"/>
    </xf>
    <xf numFmtId="164" fontId="15" fillId="0" borderId="4" xfId="6" applyNumberFormat="1" applyFont="1" applyBorder="1" applyAlignment="1">
      <alignment horizontal="right" vertical="center" wrapText="1"/>
    </xf>
    <xf numFmtId="164" fontId="15" fillId="0" borderId="5" xfId="6" applyNumberFormat="1" applyFont="1" applyBorder="1" applyAlignment="1">
      <alignment horizontal="right" vertical="center" wrapText="1"/>
    </xf>
    <xf numFmtId="164" fontId="15" fillId="0" borderId="25" xfId="6" applyNumberFormat="1" applyFont="1" applyBorder="1" applyAlignment="1">
      <alignment horizontal="right" vertical="center" wrapText="1"/>
    </xf>
    <xf numFmtId="164" fontId="15" fillId="0" borderId="26" xfId="6" applyNumberFormat="1" applyFont="1" applyBorder="1" applyAlignment="1">
      <alignment horizontal="right" vertical="center" wrapText="1"/>
    </xf>
    <xf numFmtId="0" fontId="15" fillId="0" borderId="28" xfId="6" applyFont="1" applyBorder="1" applyAlignment="1">
      <alignment horizontal="left" vertical="center" wrapText="1" indent="1"/>
    </xf>
    <xf numFmtId="0" fontId="15" fillId="0" borderId="29" xfId="6" applyFont="1" applyBorder="1" applyAlignment="1">
      <alignment horizontal="left" vertical="center" wrapText="1" indent="1"/>
    </xf>
    <xf numFmtId="0" fontId="15" fillId="0" borderId="4" xfId="6" applyFont="1" applyBorder="1" applyAlignment="1">
      <alignment horizontal="left" vertical="center" wrapText="1" indent="1"/>
    </xf>
    <xf numFmtId="0" fontId="16" fillId="0" borderId="28" xfId="6" applyFont="1" applyBorder="1" applyAlignment="1">
      <alignment horizontal="left" vertical="center" wrapText="1" indent="3"/>
    </xf>
    <xf numFmtId="0" fontId="16" fillId="0" borderId="29" xfId="6" applyFont="1" applyBorder="1" applyAlignment="1">
      <alignment horizontal="left" vertical="center" wrapText="1" indent="3"/>
    </xf>
    <xf numFmtId="0" fontId="16" fillId="0" borderId="4" xfId="6" applyFont="1" applyBorder="1" applyAlignment="1">
      <alignment horizontal="left" vertical="center" wrapText="1" indent="3"/>
    </xf>
    <xf numFmtId="164" fontId="16" fillId="5" borderId="25" xfId="2" applyNumberFormat="1" applyFont="1" applyFill="1" applyBorder="1" applyAlignment="1">
      <alignment horizontal="right" vertical="center"/>
    </xf>
    <xf numFmtId="164" fontId="16" fillId="5" borderId="26" xfId="2" applyNumberFormat="1" applyFont="1" applyFill="1" applyBorder="1" applyAlignment="1">
      <alignment horizontal="right" vertical="center"/>
    </xf>
    <xf numFmtId="0" fontId="69" fillId="5" borderId="0" xfId="2" applyFont="1" applyFill="1"/>
    <xf numFmtId="0" fontId="16" fillId="0" borderId="2" xfId="2" applyFont="1" applyBorder="1" applyAlignment="1">
      <alignment vertical="center"/>
    </xf>
    <xf numFmtId="164" fontId="16" fillId="0" borderId="24" xfId="2" applyNumberFormat="1" applyFont="1" applyBorder="1" applyAlignment="1">
      <alignment horizontal="right" vertical="center" wrapText="1"/>
    </xf>
    <xf numFmtId="164" fontId="16" fillId="0" borderId="4" xfId="2" applyNumberFormat="1" applyFont="1" applyBorder="1" applyAlignment="1">
      <alignment horizontal="right" vertical="center" wrapText="1"/>
    </xf>
    <xf numFmtId="164" fontId="16" fillId="0" borderId="5" xfId="2" applyNumberFormat="1" applyFont="1" applyBorder="1" applyAlignment="1">
      <alignment horizontal="right" vertical="center" wrapText="1"/>
    </xf>
    <xf numFmtId="164" fontId="16" fillId="0" borderId="25" xfId="2" applyNumberFormat="1" applyFont="1" applyBorder="1" applyAlignment="1">
      <alignment horizontal="right" vertical="center" wrapText="1"/>
    </xf>
    <xf numFmtId="164" fontId="16" fillId="0" borderId="26" xfId="2" applyNumberFormat="1" applyFont="1" applyBorder="1" applyAlignment="1">
      <alignment horizontal="right" vertical="center" wrapText="1"/>
    </xf>
    <xf numFmtId="0" fontId="16" fillId="0" borderId="4" xfId="2" applyFont="1" applyBorder="1" applyAlignment="1">
      <alignment horizontal="left" vertical="center" wrapText="1" indent="1"/>
    </xf>
    <xf numFmtId="164" fontId="15" fillId="0" borderId="24" xfId="2" applyNumberFormat="1" applyFont="1" applyBorder="1" applyAlignment="1">
      <alignment horizontal="right" vertical="center" wrapText="1"/>
    </xf>
    <xf numFmtId="164" fontId="15" fillId="0" borderId="4" xfId="2" applyNumberFormat="1" applyFont="1" applyBorder="1" applyAlignment="1">
      <alignment horizontal="right" vertical="center" wrapText="1"/>
    </xf>
    <xf numFmtId="164" fontId="15" fillId="0" borderId="5" xfId="2" applyNumberFormat="1" applyFont="1" applyBorder="1" applyAlignment="1">
      <alignment horizontal="right" vertical="center" wrapText="1"/>
    </xf>
    <xf numFmtId="164" fontId="15" fillId="0" borderId="25" xfId="2" applyNumberFormat="1" applyFont="1" applyBorder="1" applyAlignment="1">
      <alignment horizontal="right" vertical="center" wrapText="1"/>
    </xf>
    <xf numFmtId="164" fontId="15" fillId="0" borderId="26" xfId="2" applyNumberFormat="1" applyFont="1" applyBorder="1" applyAlignment="1">
      <alignment horizontal="right" vertical="center" wrapText="1"/>
    </xf>
    <xf numFmtId="0" fontId="15" fillId="0" borderId="4" xfId="2" applyFont="1" applyBorder="1" applyAlignment="1">
      <alignment horizontal="left" vertical="center" wrapText="1" indent="1"/>
    </xf>
    <xf numFmtId="0" fontId="16" fillId="0" borderId="4" xfId="2" applyFont="1" applyBorder="1" applyAlignment="1">
      <alignment horizontal="left" vertical="center" wrapText="1" indent="3"/>
    </xf>
    <xf numFmtId="0" fontId="21" fillId="5" borderId="4" xfId="2" applyFont="1" applyFill="1" applyBorder="1" applyAlignment="1">
      <alignment vertical="center"/>
    </xf>
    <xf numFmtId="0" fontId="12" fillId="5" borderId="0" xfId="2" applyFont="1" applyFill="1"/>
    <xf numFmtId="0" fontId="16" fillId="5" borderId="4" xfId="3" applyFont="1" applyFill="1" applyBorder="1" applyAlignment="1">
      <alignment vertical="center"/>
    </xf>
    <xf numFmtId="164" fontId="16" fillId="5" borderId="14"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0" fontId="16" fillId="5" borderId="0" xfId="2" applyFont="1" applyFill="1"/>
    <xf numFmtId="0" fontId="16" fillId="0" borderId="4" xfId="2" applyFont="1" applyBorder="1" applyAlignment="1">
      <alignment horizontal="right"/>
    </xf>
    <xf numFmtId="0" fontId="16" fillId="0" borderId="5" xfId="2" applyFont="1" applyBorder="1" applyAlignment="1">
      <alignment horizontal="right"/>
    </xf>
    <xf numFmtId="167" fontId="16" fillId="0" borderId="4" xfId="4" applyNumberFormat="1" applyFont="1" applyFill="1" applyBorder="1" applyAlignment="1">
      <alignment horizontal="right" vertical="center"/>
    </xf>
    <xf numFmtId="167" fontId="16" fillId="0" borderId="5" xfId="4" applyNumberFormat="1" applyFont="1" applyFill="1" applyBorder="1" applyAlignment="1">
      <alignment horizontal="right" vertical="center"/>
    </xf>
    <xf numFmtId="0" fontId="15" fillId="5" borderId="4" xfId="2" applyFont="1" applyFill="1" applyBorder="1" applyAlignment="1">
      <alignment vertical="center" wrapText="1"/>
    </xf>
    <xf numFmtId="0" fontId="17" fillId="5" borderId="0" xfId="2" applyFont="1" applyFill="1" applyAlignment="1">
      <alignment vertical="center"/>
    </xf>
    <xf numFmtId="0" fontId="16" fillId="5" borderId="4" xfId="2" applyFont="1" applyFill="1" applyBorder="1" applyAlignment="1">
      <alignment horizontal="left" vertical="center" wrapText="1"/>
    </xf>
    <xf numFmtId="0" fontId="16" fillId="5" borderId="5" xfId="2" applyFont="1" applyFill="1" applyBorder="1" applyAlignment="1">
      <alignment vertical="center"/>
    </xf>
    <xf numFmtId="0" fontId="15" fillId="5" borderId="4" xfId="2" applyFont="1" applyFill="1" applyBorder="1" applyAlignment="1">
      <alignment vertical="center"/>
    </xf>
  </cellXfs>
  <cellStyles count="8">
    <cellStyle name="Hiperłącze 2" xfId="1" xr:uid="{FC036663-91F8-4EEC-AAAC-DE8DD57B259A}"/>
    <cellStyle name="Normalny" xfId="0" builtinId="0"/>
    <cellStyle name="Normalny 2" xfId="2" xr:uid="{4C226A57-C94F-4E97-B37B-06822A63FBD1}"/>
    <cellStyle name="Normalny 2 2" xfId="3" xr:uid="{2129AB93-96FE-4B3F-A57E-E00353363EA4}"/>
    <cellStyle name="Normalny 3" xfId="5" xr:uid="{EAEF334D-C41A-4A44-9300-4AB99D76BB34}"/>
    <cellStyle name="Normalny 4 2" xfId="7" xr:uid="{7BC34F4B-4DEC-4B76-BE6C-0AFC8A7E4C61}"/>
    <cellStyle name="Normalny 6" xfId="6" xr:uid="{CFD4CC30-1564-490F-A7A6-AA0BD615CBBB}"/>
    <cellStyle name="Procentowy 2" xfId="4" xr:uid="{B5C07C97-0B00-4895-8CAA-A0E0BFCCDA5F}"/>
  </cellStyles>
  <dxfs count="0"/>
  <tableStyles count="0" defaultTableStyle="TableStyleMedium2" defaultPivotStyle="PivotStyleLight16"/>
  <colors>
    <mruColors>
      <color rgb="FF3333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theme/theme1.xml" Type="http://schemas.openxmlformats.org/officeDocument/2006/relationships/theme"/><Relationship Id="rId23" Target="styles.xml" Type="http://schemas.openxmlformats.org/officeDocument/2006/relationships/styles"/><Relationship Id="rId24" Target="sharedStrings.xml" Type="http://schemas.openxmlformats.org/officeDocument/2006/relationships/sharedStrings"/><Relationship Id="rId25" Target="calcChain.xml" Type="http://schemas.openxmlformats.org/officeDocument/2006/relationships/calcChain"/><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3</xdr:col>
      <xdr:colOff>28575</xdr:colOff>
      <xdr:row>9</xdr:row>
      <xdr:rowOff>142874</xdr:rowOff>
    </xdr:to>
    <xdr:pic>
      <xdr:nvPicPr>
        <xdr:cNvPr id="2" name="Picture 2">
          <a:extLst>
            <a:ext uri="{FF2B5EF4-FFF2-40B4-BE49-F238E27FC236}">
              <a16:creationId xmlns:a16="http://schemas.microsoft.com/office/drawing/2014/main" id="{B2DE6502-9766-4163-B715-73084B4FB0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1651634" cy="1651634"/>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1.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17.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409B1-791C-4C3E-B984-1E647AF37FFA}">
  <dimension ref="A1:E24"/>
  <sheetViews>
    <sheetView showGridLines="0" tabSelected="1" zoomScaleNormal="100" zoomScaleSheetLayoutView="100" workbookViewId="0">
      <selection activeCell="D1" sqref="D1:E2"/>
    </sheetView>
  </sheetViews>
  <sheetFormatPr defaultColWidth="0" defaultRowHeight="13.2" customHeight="1" zeroHeight="1"/>
  <cols>
    <col min="1" max="3" width="7.88671875" style="509" customWidth="1"/>
    <col min="4" max="5" width="42.5546875" style="509" customWidth="1"/>
    <col min="6" max="6" width="9.109375" style="509" hidden="1" customWidth="1"/>
    <col min="7" max="16384" width="9.109375" style="509" hidden="1"/>
  </cols>
  <sheetData>
    <row r="1" spans="4:5">
      <c r="D1" s="532" t="s">
        <v>953</v>
      </c>
      <c r="E1" s="532"/>
    </row>
    <row r="2" spans="4:5">
      <c r="D2" s="532"/>
      <c r="E2" s="532"/>
    </row>
    <row r="3" spans="4:5">
      <c r="D3" s="510" t="s">
        <v>954</v>
      </c>
      <c r="E3" s="510" t="s">
        <v>955</v>
      </c>
    </row>
    <row r="4" spans="4:5">
      <c r="D4" s="511" t="s">
        <v>956</v>
      </c>
      <c r="E4" s="512" t="s">
        <v>957</v>
      </c>
    </row>
    <row r="5" spans="4:5">
      <c r="D5" s="511" t="s">
        <v>958</v>
      </c>
      <c r="E5" s="512" t="s">
        <v>959</v>
      </c>
    </row>
    <row r="6" spans="4:5">
      <c r="D6" s="511" t="s">
        <v>960</v>
      </c>
      <c r="E6" s="512" t="s">
        <v>961</v>
      </c>
    </row>
    <row r="7" spans="4:5">
      <c r="D7" s="511" t="s">
        <v>962</v>
      </c>
      <c r="E7" s="512" t="s">
        <v>963</v>
      </c>
    </row>
    <row r="8" spans="4:5">
      <c r="D8" s="511" t="s">
        <v>799</v>
      </c>
      <c r="E8" s="512" t="s">
        <v>798</v>
      </c>
    </row>
    <row r="9" spans="4:5">
      <c r="D9" s="511" t="s">
        <v>735</v>
      </c>
      <c r="E9" s="512" t="s">
        <v>964</v>
      </c>
    </row>
    <row r="10" spans="4:5">
      <c r="D10" s="511" t="s">
        <v>965</v>
      </c>
      <c r="E10" s="512" t="s">
        <v>966</v>
      </c>
    </row>
    <row r="11" spans="4:5">
      <c r="D11" s="511" t="s">
        <v>967</v>
      </c>
      <c r="E11" s="512" t="s">
        <v>968</v>
      </c>
    </row>
    <row r="12" spans="4:5">
      <c r="D12" s="511" t="s">
        <v>610</v>
      </c>
      <c r="E12" s="512" t="s">
        <v>609</v>
      </c>
    </row>
    <row r="13" spans="4:5">
      <c r="D13" s="511" t="s">
        <v>581</v>
      </c>
      <c r="E13" s="512" t="s">
        <v>580</v>
      </c>
    </row>
    <row r="14" spans="4:5">
      <c r="D14" s="511" t="s">
        <v>969</v>
      </c>
      <c r="E14" s="512" t="s">
        <v>970</v>
      </c>
    </row>
    <row r="15" spans="4:5">
      <c r="D15" s="511" t="s">
        <v>971</v>
      </c>
      <c r="E15" s="512" t="s">
        <v>972</v>
      </c>
    </row>
    <row r="16" spans="4:5">
      <c r="D16" s="511" t="s">
        <v>973</v>
      </c>
      <c r="E16" s="512" t="s">
        <v>974</v>
      </c>
    </row>
    <row r="17" spans="4:5">
      <c r="D17" s="511" t="s">
        <v>327</v>
      </c>
      <c r="E17" s="512" t="s">
        <v>326</v>
      </c>
    </row>
    <row r="18" spans="4:5">
      <c r="D18" s="511" t="s">
        <v>975</v>
      </c>
      <c r="E18" s="512" t="s">
        <v>976</v>
      </c>
    </row>
    <row r="19" spans="4:5">
      <c r="D19" s="511" t="s">
        <v>83</v>
      </c>
      <c r="E19" s="512" t="s">
        <v>977</v>
      </c>
    </row>
    <row r="20" spans="4:5">
      <c r="D20" s="511" t="s">
        <v>259</v>
      </c>
      <c r="E20" s="512" t="s">
        <v>258</v>
      </c>
    </row>
    <row r="21" spans="4:5">
      <c r="D21" s="511" t="s">
        <v>978</v>
      </c>
      <c r="E21" s="512" t="s">
        <v>979</v>
      </c>
    </row>
    <row r="22" spans="4:5">
      <c r="D22" s="511" t="s">
        <v>980</v>
      </c>
      <c r="E22" s="512" t="s">
        <v>981</v>
      </c>
    </row>
    <row r="23" spans="4:5">
      <c r="D23" s="511" t="s">
        <v>982</v>
      </c>
      <c r="E23" s="512" t="s">
        <v>983</v>
      </c>
    </row>
    <row r="24" spans="4:5"/>
  </sheetData>
  <mergeCells count="1">
    <mergeCell ref="D1:E2"/>
  </mergeCells>
  <hyperlinks>
    <hyperlink ref="D4" location="'Kluczowe informacje_Key data'!Obszar_wydruku" display="Kluczowe informacje" xr:uid="{C05FDE88-E4A5-4D22-962F-48CA1F8022EF}"/>
    <hyperlink ref="E4" location="'Kluczowe informacje_Key data'!A1" display="Key data" xr:uid="{0245ACBF-7460-4972-8402-E9451430A581}"/>
    <hyperlink ref="D5" location="'RZiS_P&amp;L'!Obszar_wydruku" display="Rachunek zysków i strat" xr:uid="{55434F91-9269-43FE-81D9-9713B29C79E8}"/>
    <hyperlink ref="E5" location="'RZiS_P&amp;L'!A1" display="Profit and loss statement" xr:uid="{3B0192E2-7B67-4913-97A5-E9C16D26DEBC}"/>
    <hyperlink ref="D6" location="'RZiS B. Korp._P&amp;L Corporate'!Obszar_wydruku" display="Rachunek zysków i strat - segment korporacyjny" xr:uid="{8EA18607-EC65-42FF-B3C3-B41C8AD2B4D0}"/>
    <hyperlink ref="E6" location="'RZiS B. Korp._P&amp;L Corporate'!A1" display="Profit and loss statement - corporate segment" xr:uid="{BAA10952-665C-4DF2-A6D9-EC691EC545CB}"/>
    <hyperlink ref="D7" location="'RZiS B. Detaliczna_P&amp;L Retail'!Obszar_wydruku" display="Rachunek zysków i strat - segment detaliczny" xr:uid="{2D73AF56-4CF1-462F-98AA-FA8AAFC53186}"/>
    <hyperlink ref="E7" location="'RZiS B. Detaliczna_P&amp;L Retail'!A1" display="Profit and loss statement - retail segment" xr:uid="{DB58CA8B-2D18-46D7-ADDC-87D9014CAD6F}"/>
    <hyperlink ref="D8" location="'Wynik odsetkowy_Interest income'!A1" display="Wynik z tytułu odsetek" xr:uid="{3786B016-62E8-4025-AE35-D81615BB9F45}"/>
    <hyperlink ref="E8" location="'Wynik odsetkowy_Interest income'!A1" display="Net interest income" xr:uid="{D8333A0D-A632-4790-A9C0-545614BD4304}"/>
    <hyperlink ref="D9" location="'Marża odsetkowa_NIM'!A1" display="Marża odsetkowa" xr:uid="{7E06F825-A6A8-4863-86DD-318D823851A7}"/>
    <hyperlink ref="E9" location="'Marża odsetkowa_NIM'!A1" display="Net interest margin" xr:uid="{71141F22-0660-40D1-A2FE-EF0180041B96}"/>
    <hyperlink ref="D10" location="'Wynik prowizyjny_F&amp;C income'!Obszar_wydruku" display="Wynik z tytułu opłat i prowizji" xr:uid="{272EF00F-2C6E-4495-9D01-D0BDF8A37232}"/>
    <hyperlink ref="E10" location="'Wynik prowizyjny_F&amp;C income'!A1" display="Net fee and commission income" xr:uid="{735AF5D5-3225-4223-805C-3D8DC518B8A6}"/>
    <hyperlink ref="D11" location="'Pozost. dochody_Other income'!Obszar_wydruku" display="Pozostałe dochody" xr:uid="{CBFE841D-351F-45DA-9C8F-5976D3FF9949}"/>
    <hyperlink ref="E11" location="'Pozost. dochody_Other income'!A1" display="Other income" xr:uid="{359A3B44-3E49-4139-80FD-B0F3DDABE303}"/>
    <hyperlink ref="D12" location="'Koszty działania_Operating cost'!Obszar_wydruku" display="Koszty działania" xr:uid="{491117AE-C621-4584-BF4A-C313BAE86E03}"/>
    <hyperlink ref="E12" location="'Koszty działania_Operating cost'!A1" display="Operating costs" xr:uid="{BE460734-AE92-456D-AB6B-2A2B56A91AA3}"/>
    <hyperlink ref="D13" location="'Koszty ryzyka_Cost of risk'!Obszar_wydruku" display="Koszty ryzyka" xr:uid="{7C086FDC-B559-4008-BB88-6F64527E6D56}"/>
    <hyperlink ref="E13" location="'Koszty ryzyka_Cost of risk'!A1" display="Cost of risk" xr:uid="{8024916E-A910-4594-91A3-E60CA984A7C7}"/>
    <hyperlink ref="D14" location="Bilans_BS!Obszar_wydruku" display="Sprawozdanie z sytuacji finansowej" xr:uid="{5FF88F6E-73DD-42CF-842D-6D4E2658809D}"/>
    <hyperlink ref="E14" location="Bilans_BS!A1" display="Balance sheet statement" xr:uid="{9BB5FBCE-F58F-4354-9F6A-081109DF7CBB}"/>
    <hyperlink ref="D15" location="Kredyty_loans!A1" display="Portfel kredytowy" xr:uid="{04255D2F-29F8-408A-A870-690586DD2328}"/>
    <hyperlink ref="E15" location="Kredyty_loans!A1" display="Loan portfolio" xr:uid="{8DD4CFEC-D6CC-4FC9-8A81-4790FB3C6268}"/>
    <hyperlink ref="D21" location="Kredyty_loans_old!A1" display="Portfel kredytowy - poprzedni układ" xr:uid="{B492142F-AD68-4C4D-9737-E721EABD644E}"/>
    <hyperlink ref="E21" location="Kredyty_loans_old!A1" display="Loan portfolio - previous layout " xr:uid="{12AF5C46-5A9D-492B-96F4-1C10631CA5D7}"/>
    <hyperlink ref="D16" location="'Jakość portfela_Portf. quality'!A1" display="Jakość portfela kredytowego" xr:uid="{8D09E106-07BB-40AC-A93A-E7B68227B931}"/>
    <hyperlink ref="E16" location="'Jakość portfela_Portf. quality'!A1" display="Loan portfolio quality" xr:uid="{09D7F7BB-AB3E-4118-B3DA-95835923FD02}"/>
    <hyperlink ref="D17" location="'Aktywa finans_Financial assets'!A1" display="Aktywa finansowe" xr:uid="{6E433A25-2E65-4D5D-A2E8-04F12793C5BE}"/>
    <hyperlink ref="E17" location="'Aktywa finans_Financial assets'!A1" display="Financial assets" xr:uid="{63922352-6A55-491A-8D54-7CD08BF10033}"/>
    <hyperlink ref="D18" location="Depozyty_Deposits!Obszar_wydruku" display="Portfel depozytów" xr:uid="{07E3450B-5047-4114-88A1-696F3E247F41}"/>
    <hyperlink ref="E18" location="Depozyty_Deposits!A1" display="Deposit portfolio" xr:uid="{FF1C53AC-AC0F-4B8D-8AE2-2B5BBF94E1AF}"/>
    <hyperlink ref="D19" location="'Łączny współ kap_TCR'!A1" display="Łączny współczynnik kapitałowy" xr:uid="{E59EAD2A-9677-4504-9CE2-FA3032126E5C}"/>
    <hyperlink ref="E19" location="'Łączny współ kap_TCR'!A1" display="Total Capital Ratio" xr:uid="{03865CE4-7CDC-4A5C-BE9D-155E3FFA76CF}"/>
    <hyperlink ref="D20" location="'Pozost. dochody_Other income'!A1" display="Pozostałe informacje" xr:uid="{89EC24CF-20BD-4CA6-9E68-3B00AC26C0DB}"/>
    <hyperlink ref="E20" location="'Pozostałe informacje_other info'!Obszar_wydruku" display="Other information" xr:uid="{940B21EC-0C45-4358-8458-6A88623519DA}"/>
    <hyperlink ref="D22" location="'Depozyty i zobow_Deposits_old'!A1" display="Portfel depozytów  - poprzedni układ" xr:uid="{4AED625B-07F1-40F0-BFA2-FAF970DB0B83}"/>
    <hyperlink ref="E22" location="'Depozyty i zobow_Deposits_old'!A1" display="Deposit portfolio  - previous layout " xr:uid="{0E13DC79-9CDB-4736-8BEA-D90B6B2EBD3B}"/>
    <hyperlink ref="D23" location="'Łączny współ kap_TCR_GROUP_old'!A1" display="Łączny współczynnik kapitałowy - poprzedni układ" xr:uid="{4A2A2DD5-CB5C-4CDC-86FC-8C93150FE639}"/>
    <hyperlink ref="E23" location="'Łączny współ kap_TCR'!A1" display="Total Capital Ratio - previous layout" xr:uid="{5EFB37A5-1F8A-44B4-A888-2FCAC50FD702}"/>
  </hyperlinks>
  <pageMargins left="0.7" right="0.7" top="0.75" bottom="0.75" header="0.3" footer="0.3"/>
  <pageSetup paperSize="9" scale="75"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2F15D-F595-432C-BDFF-21C390524249}">
  <sheetPr>
    <pageSetUpPr fitToPage="1"/>
  </sheetPr>
  <dimension ref="A1:BV62"/>
  <sheetViews>
    <sheetView showGridLines="0" zoomScaleNormal="100" zoomScaleSheetLayoutView="100" zoomScalePageLayoutView="80" workbookViewId="0">
      <pane xSplit="2" ySplit="4" topLeftCell="BI13" activePane="bottomRight" state="frozen"/>
      <selection activeCell="B1" sqref="B1"/>
      <selection pane="topRight" activeCell="B1" sqref="B1"/>
      <selection pane="bottomLeft" activeCell="B1" sqref="B1"/>
      <selection pane="bottomRight" activeCell="BL2" sqref="BL2"/>
    </sheetView>
  </sheetViews>
  <sheetFormatPr defaultColWidth="0" defaultRowHeight="13.8" zeroHeight="1" outlineLevelCol="1"/>
  <cols>
    <col min="1" max="1" width="50.6640625" style="4" customWidth="1" outlineLevel="1"/>
    <col min="2" max="2" width="50.6640625" style="4" customWidth="1"/>
    <col min="3" max="27" width="9.5546875" style="150" bestFit="1" customWidth="1"/>
    <col min="28" max="28" width="9.5546875" style="2" bestFit="1" customWidth="1"/>
    <col min="29" max="32" width="9.5546875" style="2" customWidth="1"/>
    <col min="33" max="33" width="9.5546875" style="2" bestFit="1" customWidth="1"/>
    <col min="34" max="34" width="9.5546875" style="2" customWidth="1"/>
    <col min="35" max="35" width="9.5546875" style="2" bestFit="1" customWidth="1"/>
    <col min="36" max="36" width="9.5546875" style="2" customWidth="1"/>
    <col min="37" max="37" width="9.5546875" style="2" bestFit="1" customWidth="1"/>
    <col min="38" max="46" width="9.5546875" style="2" customWidth="1"/>
    <col min="47" max="48" width="9.5546875" style="2" bestFit="1" customWidth="1"/>
    <col min="49" max="50" width="9.5546875" style="2" customWidth="1"/>
    <col min="51" max="52" width="9.5546875" style="2" bestFit="1" customWidth="1"/>
    <col min="53" max="54" width="9.5546875" style="2" customWidth="1"/>
    <col min="55" max="56" width="9.5546875" style="2" bestFit="1" customWidth="1"/>
    <col min="57" max="58" width="9.5546875" style="2" customWidth="1"/>
    <col min="59" max="60" width="9.5546875" style="2" bestFit="1" customWidth="1"/>
    <col min="61" max="62" width="9.5546875" style="2" customWidth="1"/>
    <col min="63" max="64" width="9.5546875" style="2" bestFit="1" customWidth="1"/>
    <col min="65" max="66" width="9.5546875" style="2" customWidth="1"/>
    <col min="67" max="68" width="9.5546875" style="2" bestFit="1" customWidth="1"/>
    <col min="69" max="74" width="9.5546875" style="2" customWidth="1"/>
    <col min="75" max="16384" width="8.88671875" style="2" hidden="1"/>
  </cols>
  <sheetData>
    <row r="1" spans="1:74">
      <c r="A1" s="1" t="s">
        <v>0</v>
      </c>
      <c r="B1" s="1" t="s">
        <v>1</v>
      </c>
      <c r="AY1" s="219"/>
    </row>
    <row r="2" spans="1:74">
      <c r="A2" s="152" t="s">
        <v>4</v>
      </c>
      <c r="B2" s="152" t="s">
        <v>5</v>
      </c>
      <c r="AY2" s="219" t="s">
        <v>295</v>
      </c>
      <c r="AZ2" s="150"/>
      <c r="BA2" s="150"/>
      <c r="BB2" s="150"/>
    </row>
    <row r="3" spans="1:74">
      <c r="A3" s="536" t="s">
        <v>866</v>
      </c>
      <c r="B3" s="536" t="s">
        <v>867</v>
      </c>
      <c r="C3" s="533">
        <v>2007</v>
      </c>
      <c r="D3" s="534"/>
      <c r="E3" s="534"/>
      <c r="F3" s="535"/>
      <c r="G3" s="538">
        <v>2008</v>
      </c>
      <c r="H3" s="534"/>
      <c r="I3" s="534"/>
      <c r="J3" s="534"/>
      <c r="K3" s="533">
        <v>2009</v>
      </c>
      <c r="L3" s="534"/>
      <c r="M3" s="534"/>
      <c r="N3" s="535"/>
      <c r="O3" s="533">
        <v>2010</v>
      </c>
      <c r="P3" s="534"/>
      <c r="Q3" s="534"/>
      <c r="R3" s="534"/>
      <c r="S3" s="533">
        <v>2011</v>
      </c>
      <c r="T3" s="534"/>
      <c r="U3" s="534"/>
      <c r="V3" s="534"/>
      <c r="W3" s="533">
        <v>2012</v>
      </c>
      <c r="X3" s="534"/>
      <c r="Y3" s="534"/>
      <c r="Z3" s="535"/>
      <c r="AA3" s="533">
        <v>2013</v>
      </c>
      <c r="AB3" s="534"/>
      <c r="AC3" s="534"/>
      <c r="AD3" s="535"/>
      <c r="AE3" s="533">
        <v>2014</v>
      </c>
      <c r="AF3" s="534"/>
      <c r="AG3" s="534"/>
      <c r="AH3" s="534"/>
      <c r="AI3" s="533">
        <v>2015</v>
      </c>
      <c r="AJ3" s="534"/>
      <c r="AK3" s="534"/>
      <c r="AL3" s="534"/>
      <c r="AM3" s="533">
        <v>2016</v>
      </c>
      <c r="AN3" s="534"/>
      <c r="AO3" s="534"/>
      <c r="AP3" s="535"/>
      <c r="AQ3" s="540">
        <v>2017</v>
      </c>
      <c r="AR3" s="534"/>
      <c r="AS3" s="534"/>
      <c r="AT3" s="541"/>
      <c r="AU3" s="542">
        <v>2018</v>
      </c>
      <c r="AV3" s="543"/>
      <c r="AW3" s="543"/>
      <c r="AX3" s="544"/>
      <c r="AY3" s="543">
        <v>2019</v>
      </c>
      <c r="AZ3" s="543"/>
      <c r="BA3" s="543"/>
      <c r="BB3" s="545"/>
      <c r="BC3" s="533">
        <v>2020</v>
      </c>
      <c r="BD3" s="538"/>
      <c r="BE3" s="538"/>
      <c r="BF3" s="539"/>
      <c r="BG3" s="533">
        <v>2021</v>
      </c>
      <c r="BH3" s="538"/>
      <c r="BI3" s="538"/>
      <c r="BJ3" s="539"/>
      <c r="BK3" s="533">
        <v>2022</v>
      </c>
      <c r="BL3" s="538"/>
      <c r="BM3" s="538"/>
      <c r="BN3" s="539"/>
      <c r="BO3" s="533">
        <v>2023</v>
      </c>
      <c r="BP3" s="538"/>
      <c r="BQ3" s="538"/>
      <c r="BR3" s="539"/>
      <c r="BS3" s="533">
        <v>2024</v>
      </c>
      <c r="BT3" s="538"/>
      <c r="BU3" s="538"/>
      <c r="BV3" s="539"/>
    </row>
    <row r="4" spans="1:74">
      <c r="A4" s="537"/>
      <c r="B4" s="537"/>
      <c r="C4" s="11" t="s">
        <v>8</v>
      </c>
      <c r="D4" s="12" t="s">
        <v>9</v>
      </c>
      <c r="E4" s="12" t="s">
        <v>10</v>
      </c>
      <c r="F4" s="13" t="s">
        <v>11</v>
      </c>
      <c r="G4" s="12" t="s">
        <v>8</v>
      </c>
      <c r="H4" s="12" t="s">
        <v>9</v>
      </c>
      <c r="I4" s="12" t="s">
        <v>10</v>
      </c>
      <c r="J4" s="12" t="s">
        <v>11</v>
      </c>
      <c r="K4" s="11" t="s">
        <v>8</v>
      </c>
      <c r="L4" s="12" t="s">
        <v>9</v>
      </c>
      <c r="M4" s="12" t="s">
        <v>10</v>
      </c>
      <c r="N4" s="13" t="s">
        <v>11</v>
      </c>
      <c r="O4" s="11" t="s">
        <v>8</v>
      </c>
      <c r="P4" s="12" t="s">
        <v>9</v>
      </c>
      <c r="Q4" s="12" t="s">
        <v>10</v>
      </c>
      <c r="R4" s="12" t="s">
        <v>11</v>
      </c>
      <c r="S4" s="11" t="s">
        <v>8</v>
      </c>
      <c r="T4" s="12" t="s">
        <v>9</v>
      </c>
      <c r="U4" s="12" t="s">
        <v>10</v>
      </c>
      <c r="V4" s="13" t="s">
        <v>11</v>
      </c>
      <c r="W4" s="11" t="s">
        <v>8</v>
      </c>
      <c r="X4" s="12" t="s">
        <v>9</v>
      </c>
      <c r="Y4" s="12" t="s">
        <v>10</v>
      </c>
      <c r="Z4" s="13" t="s">
        <v>11</v>
      </c>
      <c r="AA4" s="11" t="s">
        <v>8</v>
      </c>
      <c r="AB4" s="12" t="s">
        <v>9</v>
      </c>
      <c r="AC4" s="12" t="s">
        <v>10</v>
      </c>
      <c r="AD4" s="13" t="s">
        <v>11</v>
      </c>
      <c r="AE4" s="12" t="s">
        <v>8</v>
      </c>
      <c r="AF4" s="12" t="s">
        <v>9</v>
      </c>
      <c r="AG4" s="12" t="s">
        <v>10</v>
      </c>
      <c r="AH4" s="12" t="s">
        <v>11</v>
      </c>
      <c r="AI4" s="11" t="s">
        <v>8</v>
      </c>
      <c r="AJ4" s="12" t="s">
        <v>9</v>
      </c>
      <c r="AK4" s="12" t="s">
        <v>10</v>
      </c>
      <c r="AL4" s="13" t="s">
        <v>11</v>
      </c>
      <c r="AM4" s="11" t="s">
        <v>8</v>
      </c>
      <c r="AN4" s="12" t="s">
        <v>9</v>
      </c>
      <c r="AO4" s="12" t="s">
        <v>10</v>
      </c>
      <c r="AP4" s="13" t="s">
        <v>11</v>
      </c>
      <c r="AQ4" s="11" t="s">
        <v>8</v>
      </c>
      <c r="AR4" s="12" t="s">
        <v>9</v>
      </c>
      <c r="AS4" s="12" t="s">
        <v>10</v>
      </c>
      <c r="AT4" s="13" t="s">
        <v>11</v>
      </c>
      <c r="AU4" s="11" t="s">
        <v>8</v>
      </c>
      <c r="AV4" s="12" t="s">
        <v>9</v>
      </c>
      <c r="AW4" s="12" t="s">
        <v>10</v>
      </c>
      <c r="AX4" s="463" t="s">
        <v>11</v>
      </c>
      <c r="AY4" s="464"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s="150" customFormat="1" ht="12.75" customHeight="1">
      <c r="A5" s="17" t="s">
        <v>12</v>
      </c>
      <c r="B5" s="17" t="s">
        <v>13</v>
      </c>
      <c r="C5" s="616"/>
      <c r="D5" s="617"/>
      <c r="E5" s="617"/>
      <c r="F5" s="618"/>
      <c r="G5" s="617"/>
      <c r="H5" s="617"/>
      <c r="I5" s="617"/>
      <c r="J5" s="618"/>
      <c r="K5" s="616"/>
      <c r="L5" s="617"/>
      <c r="M5" s="617"/>
      <c r="N5" s="618"/>
      <c r="O5" s="616"/>
      <c r="P5" s="617"/>
      <c r="Q5" s="617"/>
      <c r="R5" s="618"/>
      <c r="S5" s="616"/>
      <c r="T5" s="617"/>
      <c r="U5" s="617"/>
      <c r="V5" s="618"/>
      <c r="W5" s="616"/>
      <c r="X5" s="617"/>
      <c r="Y5" s="617"/>
      <c r="Z5" s="618"/>
      <c r="AA5" s="616"/>
      <c r="AB5" s="617"/>
      <c r="AC5" s="617"/>
      <c r="AD5" s="618"/>
      <c r="AE5" s="617"/>
      <c r="AF5" s="617"/>
      <c r="AG5" s="617"/>
      <c r="AH5" s="617"/>
      <c r="AI5" s="616"/>
      <c r="AJ5" s="617"/>
      <c r="AK5" s="617"/>
      <c r="AL5" s="618"/>
      <c r="AM5" s="616"/>
      <c r="AN5" s="617"/>
      <c r="AO5" s="617"/>
      <c r="AP5" s="618"/>
      <c r="AQ5" s="616"/>
      <c r="AR5" s="617"/>
      <c r="AS5" s="617"/>
      <c r="AT5" s="618"/>
      <c r="AU5" s="619"/>
      <c r="AV5" s="620"/>
      <c r="AW5" s="620"/>
      <c r="AX5" s="621"/>
      <c r="AY5" s="622"/>
      <c r="AZ5" s="620"/>
      <c r="BA5" s="620"/>
      <c r="BB5" s="620"/>
      <c r="BC5" s="619"/>
      <c r="BD5" s="620"/>
      <c r="BE5" s="620"/>
      <c r="BF5" s="620"/>
      <c r="BG5" s="619"/>
      <c r="BH5" s="620"/>
      <c r="BI5" s="620"/>
      <c r="BJ5" s="620"/>
      <c r="BK5" s="619"/>
      <c r="BL5" s="620"/>
      <c r="BM5" s="620"/>
      <c r="BN5" s="620"/>
      <c r="BO5" s="619"/>
      <c r="BP5" s="620"/>
      <c r="BQ5" s="620"/>
      <c r="BR5" s="620"/>
      <c r="BS5" s="619"/>
      <c r="BT5" s="620"/>
    </row>
    <row r="6" spans="1:74" s="164" customFormat="1" ht="10.8">
      <c r="A6" s="177" t="s">
        <v>868</v>
      </c>
      <c r="B6" s="177" t="s">
        <v>869</v>
      </c>
      <c r="C6" s="616"/>
      <c r="D6" s="617"/>
      <c r="E6" s="617"/>
      <c r="F6" s="618"/>
      <c r="G6" s="617"/>
      <c r="H6" s="617"/>
      <c r="I6" s="617"/>
      <c r="J6" s="618"/>
      <c r="K6" s="616"/>
      <c r="L6" s="617"/>
      <c r="M6" s="617"/>
      <c r="N6" s="618"/>
      <c r="O6" s="616"/>
      <c r="P6" s="617"/>
      <c r="Q6" s="617"/>
      <c r="R6" s="618"/>
      <c r="S6" s="616"/>
      <c r="T6" s="617"/>
      <c r="U6" s="617"/>
      <c r="V6" s="618"/>
      <c r="W6" s="616"/>
      <c r="X6" s="617"/>
      <c r="Y6" s="617"/>
      <c r="Z6" s="618"/>
      <c r="AA6" s="616"/>
      <c r="AB6" s="617"/>
      <c r="AC6" s="617"/>
      <c r="AD6" s="618"/>
      <c r="AE6" s="617"/>
      <c r="AF6" s="617"/>
      <c r="AG6" s="617"/>
      <c r="AH6" s="617"/>
      <c r="AI6" s="616"/>
      <c r="AJ6" s="617"/>
      <c r="AK6" s="617"/>
      <c r="AL6" s="618"/>
      <c r="AM6" s="616"/>
      <c r="AN6" s="617"/>
      <c r="AO6" s="617"/>
      <c r="AP6" s="618"/>
      <c r="AQ6" s="616"/>
      <c r="AR6" s="617"/>
      <c r="AS6" s="617"/>
      <c r="AT6" s="618"/>
      <c r="AU6" s="616"/>
      <c r="AV6" s="617"/>
      <c r="AW6" s="617"/>
      <c r="AX6" s="623"/>
      <c r="AY6" s="624"/>
      <c r="AZ6" s="617"/>
      <c r="BA6" s="617"/>
      <c r="BB6" s="617"/>
      <c r="BC6" s="616"/>
      <c r="BD6" s="617"/>
      <c r="BE6" s="617"/>
      <c r="BF6" s="617"/>
      <c r="BG6" s="616"/>
      <c r="BH6" s="617"/>
      <c r="BI6" s="617"/>
      <c r="BJ6" s="617"/>
      <c r="BK6" s="616"/>
      <c r="BL6" s="617"/>
      <c r="BM6" s="617"/>
      <c r="BN6" s="617"/>
      <c r="BO6" s="616"/>
      <c r="BP6" s="617"/>
      <c r="BQ6" s="617"/>
      <c r="BR6" s="617"/>
      <c r="BS6" s="616"/>
      <c r="BT6" s="617"/>
      <c r="BU6" s="20"/>
      <c r="BV6" s="20"/>
    </row>
    <row r="7" spans="1:74" s="6" customFormat="1" ht="12">
      <c r="A7" s="163" t="s">
        <v>870</v>
      </c>
      <c r="B7" s="163" t="s">
        <v>871</v>
      </c>
      <c r="C7" s="625">
        <v>539.20000000000005</v>
      </c>
      <c r="D7" s="626">
        <v>522.20000000000016</v>
      </c>
      <c r="E7" s="626">
        <v>542.29999999999995</v>
      </c>
      <c r="F7" s="627">
        <v>473.19999999999993</v>
      </c>
      <c r="G7" s="626">
        <v>582.70000000000005</v>
      </c>
      <c r="H7" s="626">
        <v>625.69999999999993</v>
      </c>
      <c r="I7" s="626">
        <v>620.20000000000005</v>
      </c>
      <c r="J7" s="627">
        <v>303.89999999999998</v>
      </c>
      <c r="K7" s="625">
        <v>561.39999999999986</v>
      </c>
      <c r="L7" s="626">
        <v>689.1</v>
      </c>
      <c r="M7" s="626">
        <v>708.39999999999986</v>
      </c>
      <c r="N7" s="627">
        <v>589.69999999999993</v>
      </c>
      <c r="O7" s="625">
        <v>661.99999999999989</v>
      </c>
      <c r="P7" s="626">
        <v>682.5</v>
      </c>
      <c r="Q7" s="626">
        <v>704.09999999999991</v>
      </c>
      <c r="R7" s="627">
        <v>698.59999999999991</v>
      </c>
      <c r="S7" s="625">
        <v>741.6</v>
      </c>
      <c r="T7" s="626">
        <v>759.5</v>
      </c>
      <c r="U7" s="626">
        <v>734.80000000000007</v>
      </c>
      <c r="V7" s="627">
        <v>754.1</v>
      </c>
      <c r="W7" s="625">
        <v>856.80000000000007</v>
      </c>
      <c r="X7" s="626">
        <v>803.5</v>
      </c>
      <c r="Y7" s="626">
        <v>801.49999999999989</v>
      </c>
      <c r="Z7" s="627">
        <v>783.30000000000007</v>
      </c>
      <c r="AA7" s="625">
        <v>864.19999999999993</v>
      </c>
      <c r="AB7" s="626">
        <v>814.09999999999991</v>
      </c>
      <c r="AC7" s="626">
        <v>811.10000000000014</v>
      </c>
      <c r="AD7" s="627">
        <v>839.1</v>
      </c>
      <c r="AE7" s="626">
        <v>883.8</v>
      </c>
      <c r="AF7" s="626">
        <v>897.7</v>
      </c>
      <c r="AG7" s="626">
        <v>897.30000000000018</v>
      </c>
      <c r="AH7" s="626">
        <v>866</v>
      </c>
      <c r="AI7" s="625">
        <v>906</v>
      </c>
      <c r="AJ7" s="626">
        <v>981.4</v>
      </c>
      <c r="AK7" s="626">
        <v>937.1</v>
      </c>
      <c r="AL7" s="627">
        <v>953.6</v>
      </c>
      <c r="AM7" s="625">
        <v>975.6</v>
      </c>
      <c r="AN7" s="626">
        <v>1152.4000000000001</v>
      </c>
      <c r="AO7" s="626">
        <v>1074.5000000000002</v>
      </c>
      <c r="AP7" s="627">
        <v>1121.9999999999998</v>
      </c>
      <c r="AQ7" s="625">
        <v>1135.3</v>
      </c>
      <c r="AR7" s="626">
        <v>1191.5999999999999</v>
      </c>
      <c r="AS7" s="626">
        <v>1214.8999999999996</v>
      </c>
      <c r="AT7" s="627">
        <v>1227.3000000000002</v>
      </c>
      <c r="AU7" s="625">
        <v>1256.8999999999999</v>
      </c>
      <c r="AV7" s="626">
        <v>1310.2000000000003</v>
      </c>
      <c r="AW7" s="626">
        <v>1305.8999999999999</v>
      </c>
      <c r="AX7" s="628">
        <v>1359.4000000000003</v>
      </c>
      <c r="AY7" s="629">
        <v>1386.3000000000004</v>
      </c>
      <c r="AZ7" s="626">
        <v>1451.1999999999998</v>
      </c>
      <c r="BA7" s="626">
        <v>1472.1</v>
      </c>
      <c r="BB7" s="626">
        <v>1486.7999999999997</v>
      </c>
      <c r="BC7" s="625">
        <v>1562.7</v>
      </c>
      <c r="BD7" s="626">
        <v>1512.1000000000004</v>
      </c>
      <c r="BE7" s="626">
        <v>1552.1000000000004</v>
      </c>
      <c r="BF7" s="626">
        <v>1603.8000000000002</v>
      </c>
      <c r="BG7" s="625">
        <v>1601.6999999999996</v>
      </c>
      <c r="BH7" s="626">
        <v>1659.5000000000002</v>
      </c>
      <c r="BI7" s="626">
        <v>1751.9000000000003</v>
      </c>
      <c r="BJ7" s="626">
        <v>1883.8</v>
      </c>
      <c r="BK7" s="625">
        <v>2304.0000000000005</v>
      </c>
      <c r="BL7" s="626">
        <v>2374.6000000000004</v>
      </c>
      <c r="BM7" s="626">
        <v>722.39999999999986</v>
      </c>
      <c r="BN7" s="626">
        <v>2321.2000000000003</v>
      </c>
      <c r="BO7" s="625">
        <v>2457.8999999999996</v>
      </c>
      <c r="BP7" s="626">
        <v>2637.2999999999997</v>
      </c>
      <c r="BQ7" s="626">
        <v>2667.9000000000005</v>
      </c>
      <c r="BR7" s="626">
        <v>2914.5</v>
      </c>
      <c r="BS7" s="625">
        <v>2760.5</v>
      </c>
      <c r="BT7" s="626"/>
      <c r="BU7" s="161"/>
      <c r="BV7" s="161"/>
    </row>
    <row r="8" spans="1:74" s="6" customFormat="1" ht="10.8">
      <c r="A8" s="163" t="s">
        <v>872</v>
      </c>
      <c r="B8" s="163" t="s">
        <v>873</v>
      </c>
      <c r="C8" s="625">
        <v>-336.1</v>
      </c>
      <c r="D8" s="626">
        <v>-345</v>
      </c>
      <c r="E8" s="626">
        <v>-356.9</v>
      </c>
      <c r="F8" s="627">
        <v>-355.1</v>
      </c>
      <c r="G8" s="626">
        <v>-367.69999999999993</v>
      </c>
      <c r="H8" s="626">
        <v>-389.9</v>
      </c>
      <c r="I8" s="626">
        <v>-407.7</v>
      </c>
      <c r="J8" s="627">
        <v>-338.59999999999997</v>
      </c>
      <c r="K8" s="625">
        <v>-366.79999999999995</v>
      </c>
      <c r="L8" s="626">
        <v>-386.6</v>
      </c>
      <c r="M8" s="626">
        <v>-397.29999999999995</v>
      </c>
      <c r="N8" s="627">
        <v>-355.2</v>
      </c>
      <c r="O8" s="625">
        <v>-394.4</v>
      </c>
      <c r="P8" s="626">
        <v>-407.1</v>
      </c>
      <c r="Q8" s="626">
        <v>-411.6</v>
      </c>
      <c r="R8" s="627">
        <v>-396.4</v>
      </c>
      <c r="S8" s="625">
        <v>-417.4</v>
      </c>
      <c r="T8" s="626">
        <v>-431.8</v>
      </c>
      <c r="U8" s="626">
        <v>-431.1</v>
      </c>
      <c r="V8" s="627">
        <v>-419.7</v>
      </c>
      <c r="W8" s="625">
        <v>-474.90000000000003</v>
      </c>
      <c r="X8" s="626">
        <v>-465</v>
      </c>
      <c r="Y8" s="626">
        <v>-466.2</v>
      </c>
      <c r="Z8" s="627">
        <v>-460.1</v>
      </c>
      <c r="AA8" s="625">
        <v>-482.2</v>
      </c>
      <c r="AB8" s="626">
        <v>-477</v>
      </c>
      <c r="AC8" s="626">
        <v>-458.79999999999995</v>
      </c>
      <c r="AD8" s="627">
        <v>-450.40000000000003</v>
      </c>
      <c r="AE8" s="626">
        <v>-471.20000000000005</v>
      </c>
      <c r="AF8" s="626">
        <v>-480.5</v>
      </c>
      <c r="AG8" s="626">
        <v>-489.5</v>
      </c>
      <c r="AH8" s="626">
        <v>-488.5</v>
      </c>
      <c r="AI8" s="625">
        <v>-495.6</v>
      </c>
      <c r="AJ8" s="626">
        <v>-502.29999999999995</v>
      </c>
      <c r="AK8" s="626">
        <v>-509.8</v>
      </c>
      <c r="AL8" s="627">
        <v>-648</v>
      </c>
      <c r="AM8" s="625">
        <v>-508.8</v>
      </c>
      <c r="AN8" s="626">
        <v>-517.20000000000005</v>
      </c>
      <c r="AO8" s="626">
        <v>-515.5</v>
      </c>
      <c r="AP8" s="627">
        <v>-557.69999999999993</v>
      </c>
      <c r="AQ8" s="625">
        <v>-565.6</v>
      </c>
      <c r="AR8" s="626">
        <v>-512.1</v>
      </c>
      <c r="AS8" s="626">
        <v>-529.6</v>
      </c>
      <c r="AT8" s="627">
        <v>-528.5</v>
      </c>
      <c r="AU8" s="625">
        <v>-628.29999999999995</v>
      </c>
      <c r="AV8" s="626">
        <v>-555</v>
      </c>
      <c r="AW8" s="626">
        <v>-577.20000000000005</v>
      </c>
      <c r="AX8" s="628">
        <v>-566.29999999999995</v>
      </c>
      <c r="AY8" s="629">
        <v>-721.1</v>
      </c>
      <c r="AZ8" s="626">
        <v>-581.1</v>
      </c>
      <c r="BA8" s="626">
        <v>-604.4</v>
      </c>
      <c r="BB8" s="626">
        <v>-590.79999999999995</v>
      </c>
      <c r="BC8" s="625">
        <v>-775</v>
      </c>
      <c r="BD8" s="626">
        <v>-638.5</v>
      </c>
      <c r="BE8" s="626">
        <v>-666.7</v>
      </c>
      <c r="BF8" s="626">
        <v>-682.3</v>
      </c>
      <c r="BG8" s="625">
        <v>-820.8</v>
      </c>
      <c r="BH8" s="626">
        <v>-692</v>
      </c>
      <c r="BI8" s="626">
        <v>-694.2</v>
      </c>
      <c r="BJ8" s="626">
        <v>-757.5</v>
      </c>
      <c r="BK8" s="625">
        <v>-931.4</v>
      </c>
      <c r="BL8" s="626">
        <v>-1200.0999999999999</v>
      </c>
      <c r="BM8" s="626">
        <v>-821.6</v>
      </c>
      <c r="BN8" s="626">
        <v>-689</v>
      </c>
      <c r="BO8" s="625">
        <v>-1002.3</v>
      </c>
      <c r="BP8" s="626">
        <v>-850.6</v>
      </c>
      <c r="BQ8" s="626">
        <v>-860.4</v>
      </c>
      <c r="BR8" s="626">
        <v>-986.8</v>
      </c>
      <c r="BS8" s="625">
        <v>-1089.3</v>
      </c>
      <c r="BT8" s="626"/>
      <c r="BU8" s="161"/>
      <c r="BV8" s="161"/>
    </row>
    <row r="9" spans="1:74" s="6" customFormat="1" ht="21.6">
      <c r="A9" s="163" t="s">
        <v>874</v>
      </c>
      <c r="B9" s="163" t="s">
        <v>875</v>
      </c>
      <c r="C9" s="625">
        <v>6.3</v>
      </c>
      <c r="D9" s="626">
        <v>26.7</v>
      </c>
      <c r="E9" s="626">
        <v>64.400000000000006</v>
      </c>
      <c r="F9" s="627">
        <v>5.8</v>
      </c>
      <c r="G9" s="626">
        <v>-0.7</v>
      </c>
      <c r="H9" s="626">
        <v>58.8</v>
      </c>
      <c r="I9" s="626">
        <v>-7.2</v>
      </c>
      <c r="J9" s="627">
        <v>-116.5</v>
      </c>
      <c r="K9" s="625">
        <v>-91.7</v>
      </c>
      <c r="L9" s="626">
        <v>-73.8</v>
      </c>
      <c r="M9" s="626">
        <v>-54.1</v>
      </c>
      <c r="N9" s="627">
        <v>-84.8</v>
      </c>
      <c r="O9" s="625">
        <v>-48.1</v>
      </c>
      <c r="P9" s="626">
        <v>-39.200000000000003</v>
      </c>
      <c r="Q9" s="626">
        <v>-55.1</v>
      </c>
      <c r="R9" s="627">
        <v>-61.2</v>
      </c>
      <c r="S9" s="625">
        <v>-57.1</v>
      </c>
      <c r="T9" s="626">
        <v>-37.700000000000003</v>
      </c>
      <c r="U9" s="626">
        <v>-27.1</v>
      </c>
      <c r="V9" s="627">
        <v>-50.5</v>
      </c>
      <c r="W9" s="625">
        <v>-64.3</v>
      </c>
      <c r="X9" s="626">
        <v>-131.19999999999999</v>
      </c>
      <c r="Y9" s="626">
        <v>-82.600000000000023</v>
      </c>
      <c r="Z9" s="627">
        <v>-84.7</v>
      </c>
      <c r="AA9" s="625">
        <v>-58</v>
      </c>
      <c r="AB9" s="626">
        <v>-69.099999999999994</v>
      </c>
      <c r="AC9" s="626">
        <v>-63.7</v>
      </c>
      <c r="AD9" s="627">
        <v>-76.399999999999991</v>
      </c>
      <c r="AE9" s="626">
        <v>-84.1</v>
      </c>
      <c r="AF9" s="626">
        <v>-33.299999999999997</v>
      </c>
      <c r="AG9" s="626">
        <v>-65.2</v>
      </c>
      <c r="AH9" s="626">
        <v>-85.1</v>
      </c>
      <c r="AI9" s="625">
        <v>-84.3</v>
      </c>
      <c r="AJ9" s="626">
        <v>-64.3</v>
      </c>
      <c r="AK9" s="626">
        <v>-32</v>
      </c>
      <c r="AL9" s="627">
        <v>-51.5</v>
      </c>
      <c r="AM9" s="625">
        <v>-78.900000000000006</v>
      </c>
      <c r="AN9" s="626">
        <v>-33.5</v>
      </c>
      <c r="AO9" s="626">
        <v>-49.7</v>
      </c>
      <c r="AP9" s="627">
        <v>-138.5</v>
      </c>
      <c r="AQ9" s="625">
        <v>-76.400000000000006</v>
      </c>
      <c r="AR9" s="626">
        <v>-123.1</v>
      </c>
      <c r="AS9" s="626">
        <v>-109.1</v>
      </c>
      <c r="AT9" s="627">
        <v>-112.6</v>
      </c>
      <c r="AU9" s="625">
        <v>-94.8</v>
      </c>
      <c r="AV9" s="626">
        <v>-173.7</v>
      </c>
      <c r="AW9" s="626">
        <v>-133.9</v>
      </c>
      <c r="AX9" s="628">
        <v>-98.5</v>
      </c>
      <c r="AY9" s="629">
        <v>-125</v>
      </c>
      <c r="AZ9" s="626">
        <v>-135.9</v>
      </c>
      <c r="BA9" s="626">
        <v>-180.2</v>
      </c>
      <c r="BB9" s="626">
        <v>-164.39999999999998</v>
      </c>
      <c r="BC9" s="625">
        <v>-294.7</v>
      </c>
      <c r="BD9" s="626">
        <v>-312.39999999999998</v>
      </c>
      <c r="BE9" s="626">
        <v>-145.29999999999998</v>
      </c>
      <c r="BF9" s="626">
        <v>-322.5</v>
      </c>
      <c r="BG9" s="625">
        <v>-128.80000000000001</v>
      </c>
      <c r="BH9" s="626">
        <v>-19.099999999999998</v>
      </c>
      <c r="BI9" s="626">
        <v>-80.400000000000006</v>
      </c>
      <c r="BJ9" s="626">
        <v>-144.1</v>
      </c>
      <c r="BK9" s="625">
        <v>-151.6</v>
      </c>
      <c r="BL9" s="626">
        <v>-183.2</v>
      </c>
      <c r="BM9" s="626">
        <v>-206</v>
      </c>
      <c r="BN9" s="626">
        <v>-489.3</v>
      </c>
      <c r="BO9" s="625">
        <v>-88.199999999999989</v>
      </c>
      <c r="BP9" s="626">
        <v>-196.8</v>
      </c>
      <c r="BQ9" s="626">
        <v>-151.19999999999999</v>
      </c>
      <c r="BR9" s="626">
        <v>-177</v>
      </c>
      <c r="BS9" s="625">
        <v>-197</v>
      </c>
      <c r="BT9" s="626"/>
      <c r="BU9" s="161"/>
      <c r="BV9" s="161"/>
    </row>
    <row r="10" spans="1:74" s="150" customFormat="1" ht="10.8">
      <c r="A10" s="488" t="s">
        <v>876</v>
      </c>
      <c r="B10" s="488" t="s">
        <v>877</v>
      </c>
      <c r="C10" s="630">
        <v>209.40000000000006</v>
      </c>
      <c r="D10" s="631">
        <v>203.90000000000018</v>
      </c>
      <c r="E10" s="631">
        <v>249.79999999999995</v>
      </c>
      <c r="F10" s="632">
        <v>123.89999999999992</v>
      </c>
      <c r="G10" s="631">
        <v>214.3000000000001</v>
      </c>
      <c r="H10" s="631">
        <v>294.59999999999991</v>
      </c>
      <c r="I10" s="631">
        <v>205.30000000000007</v>
      </c>
      <c r="J10" s="632">
        <v>-151.19999999999996</v>
      </c>
      <c r="K10" s="630">
        <v>102.89999999999988</v>
      </c>
      <c r="L10" s="631">
        <v>228.7</v>
      </c>
      <c r="M10" s="631">
        <v>256.99999999999994</v>
      </c>
      <c r="N10" s="632">
        <v>149.6999999999999</v>
      </c>
      <c r="O10" s="630">
        <v>219.49999999999997</v>
      </c>
      <c r="P10" s="631">
        <v>236.20000000000002</v>
      </c>
      <c r="Q10" s="631">
        <v>237.39999999999986</v>
      </c>
      <c r="R10" s="632">
        <v>240.99999999999997</v>
      </c>
      <c r="S10" s="630">
        <v>267.09999999999997</v>
      </c>
      <c r="T10" s="631">
        <v>289.99999999999994</v>
      </c>
      <c r="U10" s="631">
        <v>276.59999999999997</v>
      </c>
      <c r="V10" s="632">
        <v>283.90000000000003</v>
      </c>
      <c r="W10" s="630">
        <v>317.60000000000008</v>
      </c>
      <c r="X10" s="631">
        <v>207.29999999999995</v>
      </c>
      <c r="Y10" s="631">
        <v>252.69999999999985</v>
      </c>
      <c r="Z10" s="632">
        <v>238.50000000000003</v>
      </c>
      <c r="AA10" s="630">
        <v>323.99999999999994</v>
      </c>
      <c r="AB10" s="631">
        <v>267.99999999999994</v>
      </c>
      <c r="AC10" s="631">
        <v>288.60000000000025</v>
      </c>
      <c r="AD10" s="632">
        <v>312.3</v>
      </c>
      <c r="AE10" s="631">
        <v>328.49999999999983</v>
      </c>
      <c r="AF10" s="631">
        <v>383.90000000000003</v>
      </c>
      <c r="AG10" s="631">
        <v>342.60000000000019</v>
      </c>
      <c r="AH10" s="631">
        <v>292.39999999999998</v>
      </c>
      <c r="AI10" s="630">
        <v>326.09999999999997</v>
      </c>
      <c r="AJ10" s="631">
        <v>414.8</v>
      </c>
      <c r="AK10" s="631">
        <v>395.3</v>
      </c>
      <c r="AL10" s="632">
        <v>254.10000000000002</v>
      </c>
      <c r="AM10" s="630">
        <v>337.4</v>
      </c>
      <c r="AN10" s="631">
        <v>524.90000000000009</v>
      </c>
      <c r="AO10" s="631">
        <v>433.60000000000025</v>
      </c>
      <c r="AP10" s="632">
        <v>348.59999999999985</v>
      </c>
      <c r="AQ10" s="630">
        <v>413.9</v>
      </c>
      <c r="AR10" s="631">
        <v>475.99999999999989</v>
      </c>
      <c r="AS10" s="631">
        <v>492.09999999999957</v>
      </c>
      <c r="AT10" s="632">
        <v>500.00000000000011</v>
      </c>
      <c r="AU10" s="630">
        <v>446.2999999999999</v>
      </c>
      <c r="AV10" s="631">
        <v>489.40000000000026</v>
      </c>
      <c r="AW10" s="631">
        <v>500.0999999999998</v>
      </c>
      <c r="AX10" s="633">
        <v>595.10000000000025</v>
      </c>
      <c r="AY10" s="634">
        <v>438.00000000000023</v>
      </c>
      <c r="AZ10" s="631">
        <v>625.79999999999973</v>
      </c>
      <c r="BA10" s="631">
        <v>576</v>
      </c>
      <c r="BB10" s="631">
        <v>617.99999999999977</v>
      </c>
      <c r="BC10" s="630">
        <v>376.99999999999994</v>
      </c>
      <c r="BD10" s="631">
        <v>440.10000000000036</v>
      </c>
      <c r="BE10" s="631">
        <v>618.10000000000025</v>
      </c>
      <c r="BF10" s="631">
        <v>476.50000000000023</v>
      </c>
      <c r="BG10" s="630">
        <v>526.19999999999982</v>
      </c>
      <c r="BH10" s="631">
        <v>817.50000000000034</v>
      </c>
      <c r="BI10" s="631">
        <v>839.10000000000025</v>
      </c>
      <c r="BJ10" s="631">
        <v>832.49999999999989</v>
      </c>
      <c r="BK10" s="630">
        <v>1069.3000000000002</v>
      </c>
      <c r="BL10" s="631">
        <v>830.00000000000023</v>
      </c>
      <c r="BM10" s="631">
        <v>-470.00000000000011</v>
      </c>
      <c r="BN10" s="631">
        <v>973.80000000000041</v>
      </c>
      <c r="BO10" s="630">
        <v>1208.7999999999997</v>
      </c>
      <c r="BP10" s="631">
        <v>1424.2999999999997</v>
      </c>
      <c r="BQ10" s="631">
        <v>1492.2000000000003</v>
      </c>
      <c r="BR10" s="631">
        <v>1594.6999999999998</v>
      </c>
      <c r="BS10" s="630">
        <v>1287.6000000000004</v>
      </c>
      <c r="BT10" s="631"/>
      <c r="BU10" s="489"/>
      <c r="BV10" s="489"/>
    </row>
    <row r="11" spans="1:74" s="150" customFormat="1" ht="12">
      <c r="A11" s="163" t="s">
        <v>878</v>
      </c>
      <c r="B11" s="163" t="s">
        <v>879</v>
      </c>
      <c r="C11" s="625">
        <v>167.40000000000006</v>
      </c>
      <c r="D11" s="626">
        <v>167.80000000000018</v>
      </c>
      <c r="E11" s="626">
        <v>197.99999999999994</v>
      </c>
      <c r="F11" s="627">
        <v>97.499999999999915</v>
      </c>
      <c r="G11" s="626">
        <v>173.8000000000001</v>
      </c>
      <c r="H11" s="626">
        <v>233.6999999999999</v>
      </c>
      <c r="I11" s="626">
        <v>166.90000000000006</v>
      </c>
      <c r="J11" s="627">
        <v>-128.99999999999997</v>
      </c>
      <c r="K11" s="625">
        <v>80.799999999999869</v>
      </c>
      <c r="L11" s="626">
        <v>182.7</v>
      </c>
      <c r="M11" s="626">
        <v>210.79999999999995</v>
      </c>
      <c r="N11" s="627">
        <v>120.7999999999999</v>
      </c>
      <c r="O11" s="625">
        <v>177.49999999999997</v>
      </c>
      <c r="P11" s="626">
        <v>191.5</v>
      </c>
      <c r="Q11" s="626">
        <v>192.39999999999986</v>
      </c>
      <c r="R11" s="627">
        <v>191.7</v>
      </c>
      <c r="S11" s="625">
        <v>212.49999999999997</v>
      </c>
      <c r="T11" s="626">
        <v>233.89999999999995</v>
      </c>
      <c r="U11" s="626">
        <v>220.09999999999997</v>
      </c>
      <c r="V11" s="627">
        <v>213.60000000000002</v>
      </c>
      <c r="W11" s="625">
        <v>271.50000000000006</v>
      </c>
      <c r="X11" s="626">
        <v>167.59999999999997</v>
      </c>
      <c r="Y11" s="626">
        <v>203.19999999999985</v>
      </c>
      <c r="Z11" s="627">
        <v>190.00000000000003</v>
      </c>
      <c r="AA11" s="625">
        <v>259.69999999999993</v>
      </c>
      <c r="AB11" s="626">
        <v>216.89999999999995</v>
      </c>
      <c r="AC11" s="626">
        <v>234.40000000000026</v>
      </c>
      <c r="AD11" s="627">
        <v>250.5</v>
      </c>
      <c r="AE11" s="626">
        <v>254.59999999999982</v>
      </c>
      <c r="AF11" s="626">
        <v>282.3</v>
      </c>
      <c r="AG11" s="626">
        <v>273.00000000000017</v>
      </c>
      <c r="AH11" s="626">
        <v>230.79999999999998</v>
      </c>
      <c r="AI11" s="625">
        <v>261</v>
      </c>
      <c r="AJ11" s="626">
        <v>344.6</v>
      </c>
      <c r="AK11" s="626">
        <v>315.70000000000005</v>
      </c>
      <c r="AL11" s="627">
        <v>205.70000000000002</v>
      </c>
      <c r="AM11" s="625">
        <v>259.2</v>
      </c>
      <c r="AN11" s="626">
        <v>406.90000000000009</v>
      </c>
      <c r="AO11" s="626">
        <v>332.00000000000023</v>
      </c>
      <c r="AP11" s="627">
        <v>254.89999999999986</v>
      </c>
      <c r="AQ11" s="625">
        <v>300.29999999999995</v>
      </c>
      <c r="AR11" s="626">
        <v>360.2999999999999</v>
      </c>
      <c r="AS11" s="626">
        <v>375.69999999999959</v>
      </c>
      <c r="AT11" s="627">
        <v>366.80000000000013</v>
      </c>
      <c r="AU11" s="625">
        <v>322.19999999999993</v>
      </c>
      <c r="AV11" s="626">
        <v>371.70000000000027</v>
      </c>
      <c r="AW11" s="626">
        <v>378.29999999999978</v>
      </c>
      <c r="AX11" s="628">
        <v>451.60000000000025</v>
      </c>
      <c r="AY11" s="629">
        <v>324.50000000000023</v>
      </c>
      <c r="AZ11" s="626">
        <v>469.09999999999974</v>
      </c>
      <c r="BA11" s="626">
        <v>414.8</v>
      </c>
      <c r="BB11" s="626">
        <v>450.29999999999978</v>
      </c>
      <c r="BC11" s="625">
        <v>267.29999999999995</v>
      </c>
      <c r="BD11" s="626">
        <v>316.20000000000039</v>
      </c>
      <c r="BE11" s="626">
        <v>440.20000000000027</v>
      </c>
      <c r="BF11" s="626">
        <v>313.9000000000002</v>
      </c>
      <c r="BG11" s="625">
        <v>385.5999999999998</v>
      </c>
      <c r="BH11" s="626">
        <v>615.30000000000041</v>
      </c>
      <c r="BI11" s="626">
        <v>638.40000000000032</v>
      </c>
      <c r="BJ11" s="626">
        <v>668.99999999999989</v>
      </c>
      <c r="BK11" s="625">
        <v>792.80000000000018</v>
      </c>
      <c r="BL11" s="626">
        <v>573.00000000000023</v>
      </c>
      <c r="BM11" s="626">
        <v>-317.30000000000013</v>
      </c>
      <c r="BN11" s="626">
        <v>665.90000000000043</v>
      </c>
      <c r="BO11" s="625">
        <v>908.6999999999997</v>
      </c>
      <c r="BP11" s="626">
        <v>1099.3999999999996</v>
      </c>
      <c r="BQ11" s="626">
        <v>1162.0000000000002</v>
      </c>
      <c r="BR11" s="626">
        <v>1270.7999999999997</v>
      </c>
      <c r="BS11" s="625">
        <v>993.30000000000041</v>
      </c>
      <c r="BT11" s="626"/>
      <c r="BU11" s="161"/>
      <c r="BV11" s="161"/>
    </row>
    <row r="12" spans="1:74" s="164" customFormat="1" ht="10.8">
      <c r="A12" s="177"/>
      <c r="B12" s="177"/>
      <c r="C12" s="635"/>
      <c r="D12" s="636"/>
      <c r="E12" s="636"/>
      <c r="F12" s="637"/>
      <c r="G12" s="636"/>
      <c r="H12" s="636"/>
      <c r="I12" s="636"/>
      <c r="J12" s="636"/>
      <c r="K12" s="635"/>
      <c r="L12" s="636"/>
      <c r="M12" s="636"/>
      <c r="N12" s="637"/>
      <c r="O12" s="636"/>
      <c r="P12" s="636"/>
      <c r="Q12" s="636"/>
      <c r="R12" s="636"/>
      <c r="S12" s="635"/>
      <c r="T12" s="636"/>
      <c r="U12" s="636"/>
      <c r="V12" s="637"/>
      <c r="W12" s="635"/>
      <c r="X12" s="636"/>
      <c r="Y12" s="636"/>
      <c r="Z12" s="637"/>
      <c r="AA12" s="635"/>
      <c r="AB12" s="636"/>
      <c r="AC12" s="636"/>
      <c r="AD12" s="637"/>
      <c r="AE12" s="636"/>
      <c r="AF12" s="636"/>
      <c r="AG12" s="636"/>
      <c r="AH12" s="636"/>
      <c r="AI12" s="635"/>
      <c r="AJ12" s="636"/>
      <c r="AK12" s="636"/>
      <c r="AL12" s="637"/>
      <c r="AM12" s="635"/>
      <c r="AN12" s="636"/>
      <c r="AO12" s="636"/>
      <c r="AP12" s="637"/>
      <c r="AQ12" s="635"/>
      <c r="AR12" s="636"/>
      <c r="AS12" s="636"/>
      <c r="AT12" s="637"/>
      <c r="AU12" s="635"/>
      <c r="AV12" s="636"/>
      <c r="AW12" s="636"/>
      <c r="AX12" s="638"/>
      <c r="AY12" s="639"/>
      <c r="AZ12" s="636"/>
      <c r="BA12" s="636"/>
      <c r="BB12" s="636"/>
      <c r="BC12" s="635"/>
      <c r="BD12" s="636"/>
      <c r="BE12" s="636"/>
      <c r="BF12" s="636"/>
      <c r="BG12" s="635"/>
      <c r="BH12" s="636"/>
      <c r="BI12" s="636"/>
      <c r="BJ12" s="636"/>
      <c r="BK12" s="635"/>
      <c r="BL12" s="636"/>
      <c r="BM12" s="636"/>
      <c r="BN12" s="636"/>
      <c r="BO12" s="635"/>
      <c r="BP12" s="636"/>
      <c r="BQ12" s="636"/>
      <c r="BR12" s="636"/>
      <c r="BS12" s="635"/>
      <c r="BT12" s="636"/>
      <c r="BU12" s="157"/>
      <c r="BV12" s="157"/>
    </row>
    <row r="13" spans="1:74" s="164" customFormat="1" ht="10.8">
      <c r="A13" s="177" t="s">
        <v>880</v>
      </c>
      <c r="B13" s="177" t="s">
        <v>881</v>
      </c>
      <c r="C13" s="640"/>
      <c r="D13" s="641"/>
      <c r="E13" s="641"/>
      <c r="F13" s="642"/>
      <c r="G13" s="641"/>
      <c r="H13" s="641"/>
      <c r="I13" s="641"/>
      <c r="J13" s="641"/>
      <c r="K13" s="640"/>
      <c r="L13" s="641"/>
      <c r="M13" s="641"/>
      <c r="N13" s="642"/>
      <c r="O13" s="641"/>
      <c r="P13" s="641"/>
      <c r="Q13" s="641"/>
      <c r="R13" s="641"/>
      <c r="S13" s="640"/>
      <c r="T13" s="641"/>
      <c r="U13" s="641"/>
      <c r="V13" s="642"/>
      <c r="W13" s="640"/>
      <c r="X13" s="641"/>
      <c r="Y13" s="641"/>
      <c r="Z13" s="642"/>
      <c r="AA13" s="640"/>
      <c r="AB13" s="641"/>
      <c r="AC13" s="641"/>
      <c r="AD13" s="642"/>
      <c r="AE13" s="641"/>
      <c r="AF13" s="641"/>
      <c r="AG13" s="641"/>
      <c r="AH13" s="641"/>
      <c r="AI13" s="640"/>
      <c r="AJ13" s="641"/>
      <c r="AK13" s="641"/>
      <c r="AL13" s="642"/>
      <c r="AM13" s="640"/>
      <c r="AN13" s="641"/>
      <c r="AO13" s="641"/>
      <c r="AP13" s="642"/>
      <c r="AQ13" s="640"/>
      <c r="AR13" s="641"/>
      <c r="AS13" s="641"/>
      <c r="AT13" s="642"/>
      <c r="AU13" s="640"/>
      <c r="AV13" s="641"/>
      <c r="AW13" s="641"/>
      <c r="AX13" s="643"/>
      <c r="AY13" s="644"/>
      <c r="AZ13" s="641"/>
      <c r="BA13" s="641"/>
      <c r="BB13" s="641"/>
      <c r="BC13" s="640"/>
      <c r="BD13" s="641"/>
      <c r="BE13" s="641"/>
      <c r="BF13" s="641"/>
      <c r="BG13" s="640"/>
      <c r="BH13" s="641"/>
      <c r="BI13" s="641"/>
      <c r="BJ13" s="641"/>
      <c r="BK13" s="640"/>
      <c r="BL13" s="641"/>
      <c r="BM13" s="641"/>
      <c r="BN13" s="641"/>
      <c r="BO13" s="640"/>
      <c r="BP13" s="641"/>
      <c r="BQ13" s="641"/>
      <c r="BR13" s="641"/>
      <c r="BS13" s="640"/>
      <c r="BT13" s="641"/>
      <c r="BU13" s="490"/>
      <c r="BV13" s="490"/>
    </row>
    <row r="14" spans="1:74" s="150" customFormat="1" ht="10.8">
      <c r="A14" s="491" t="s">
        <v>882</v>
      </c>
      <c r="B14" s="491" t="s">
        <v>883</v>
      </c>
      <c r="C14" s="645">
        <v>56616.89999999998</v>
      </c>
      <c r="D14" s="646">
        <v>53203.100000000013</v>
      </c>
      <c r="E14" s="646">
        <v>53246.599999999991</v>
      </c>
      <c r="F14" s="647">
        <v>52010.80000000001</v>
      </c>
      <c r="G14" s="646">
        <v>60234.400000000009</v>
      </c>
      <c r="H14" s="646">
        <v>60513.200000000004</v>
      </c>
      <c r="I14" s="646">
        <v>65262.600000000006</v>
      </c>
      <c r="J14" s="647">
        <v>69610.5</v>
      </c>
      <c r="K14" s="645">
        <v>68205.799999999988</v>
      </c>
      <c r="L14" s="646">
        <v>64516.5</v>
      </c>
      <c r="M14" s="646">
        <v>64256.4</v>
      </c>
      <c r="N14" s="647">
        <v>59883.400000000009</v>
      </c>
      <c r="O14" s="645">
        <v>62099.1</v>
      </c>
      <c r="P14" s="646">
        <v>61583.000000000007</v>
      </c>
      <c r="Q14" s="646">
        <v>62165.500000000007</v>
      </c>
      <c r="R14" s="647">
        <v>64517.499999999985</v>
      </c>
      <c r="S14" s="645">
        <v>65839.799999999988</v>
      </c>
      <c r="T14" s="646">
        <v>67500.900000000009</v>
      </c>
      <c r="U14" s="646">
        <v>73696.099999999991</v>
      </c>
      <c r="V14" s="647">
        <v>69723.400000000009</v>
      </c>
      <c r="W14" s="645">
        <v>72263.099999999991</v>
      </c>
      <c r="X14" s="646">
        <v>70260.099999999991</v>
      </c>
      <c r="Y14" s="646">
        <v>73637.799999999988</v>
      </c>
      <c r="Z14" s="647">
        <v>78266.799999999988</v>
      </c>
      <c r="AA14" s="645">
        <v>77753.800000000032</v>
      </c>
      <c r="AB14" s="646">
        <v>81790.60000000002</v>
      </c>
      <c r="AC14" s="646">
        <v>84639.5</v>
      </c>
      <c r="AD14" s="647">
        <v>86750.6</v>
      </c>
      <c r="AE14" s="646">
        <v>92244.699999999968</v>
      </c>
      <c r="AF14" s="646">
        <v>98261.799999999988</v>
      </c>
      <c r="AG14" s="646">
        <v>96848.5</v>
      </c>
      <c r="AH14" s="646">
        <v>99860.700000000012</v>
      </c>
      <c r="AI14" s="645">
        <v>102568.3</v>
      </c>
      <c r="AJ14" s="646">
        <v>105318.90000000001</v>
      </c>
      <c r="AK14" s="646">
        <v>112180.7</v>
      </c>
      <c r="AL14" s="647">
        <v>108893.09999999999</v>
      </c>
      <c r="AM14" s="645">
        <v>112732.69999999998</v>
      </c>
      <c r="AN14" s="646">
        <v>115639.7</v>
      </c>
      <c r="AO14" s="646">
        <v>116550</v>
      </c>
      <c r="AP14" s="647">
        <v>117477.70000000001</v>
      </c>
      <c r="AQ14" s="645">
        <v>118850.5</v>
      </c>
      <c r="AR14" s="646">
        <v>120197.6</v>
      </c>
      <c r="AS14" s="646">
        <v>122290</v>
      </c>
      <c r="AT14" s="647">
        <v>125971.80000000002</v>
      </c>
      <c r="AU14" s="645">
        <v>127549.1</v>
      </c>
      <c r="AV14" s="646">
        <v>131042.50000000001</v>
      </c>
      <c r="AW14" s="646">
        <v>134384.30000000002</v>
      </c>
      <c r="AX14" s="648">
        <v>141812.90000000002</v>
      </c>
      <c r="AY14" s="649">
        <v>145717.4</v>
      </c>
      <c r="AZ14" s="646">
        <v>150909.1</v>
      </c>
      <c r="BA14" s="646">
        <v>156013.79999999999</v>
      </c>
      <c r="BB14" s="646">
        <v>158610.69999999998</v>
      </c>
      <c r="BC14" s="645">
        <v>171241.60000000001</v>
      </c>
      <c r="BD14" s="646">
        <v>180639.30000000002</v>
      </c>
      <c r="BE14" s="646">
        <v>184859.50000000003</v>
      </c>
      <c r="BF14" s="646">
        <v>186595.70000000004</v>
      </c>
      <c r="BG14" s="645">
        <v>194821.3</v>
      </c>
      <c r="BH14" s="646">
        <v>197282.3</v>
      </c>
      <c r="BI14" s="646">
        <v>200543.30000000002</v>
      </c>
      <c r="BJ14" s="646">
        <v>201654.19999999998</v>
      </c>
      <c r="BK14" s="645">
        <v>210068.99999999997</v>
      </c>
      <c r="BL14" s="646">
        <v>212395.00000000003</v>
      </c>
      <c r="BM14" s="646">
        <v>213012.19999999998</v>
      </c>
      <c r="BN14" s="646">
        <v>217266.1</v>
      </c>
      <c r="BO14" s="645">
        <v>227656.6</v>
      </c>
      <c r="BP14" s="646">
        <v>227735.8</v>
      </c>
      <c r="BQ14" s="646">
        <v>232840.20000000004</v>
      </c>
      <c r="BR14" s="646">
        <v>245361.40000000002</v>
      </c>
      <c r="BS14" s="645">
        <v>252720.7</v>
      </c>
      <c r="BT14" s="646"/>
      <c r="BU14" s="492"/>
      <c r="BV14" s="492"/>
    </row>
    <row r="15" spans="1:74" s="6" customFormat="1" ht="12">
      <c r="A15" s="163" t="s">
        <v>884</v>
      </c>
      <c r="B15" s="163" t="s">
        <v>885</v>
      </c>
      <c r="C15" s="625">
        <v>13782.6</v>
      </c>
      <c r="D15" s="626">
        <v>14567.2</v>
      </c>
      <c r="E15" s="626">
        <v>15449.4</v>
      </c>
      <c r="F15" s="627">
        <v>16379.1</v>
      </c>
      <c r="G15" s="626">
        <v>18039.900000000001</v>
      </c>
      <c r="H15" s="626">
        <v>20372</v>
      </c>
      <c r="I15" s="626">
        <v>21986.799999999999</v>
      </c>
      <c r="J15" s="626">
        <v>24088.799999999999</v>
      </c>
      <c r="K15" s="625">
        <v>25265.1</v>
      </c>
      <c r="L15" s="626">
        <v>25829.5</v>
      </c>
      <c r="M15" s="626">
        <v>25701.1</v>
      </c>
      <c r="N15" s="627">
        <v>27330.899999999998</v>
      </c>
      <c r="O15" s="626">
        <v>27011.699999999997</v>
      </c>
      <c r="P15" s="626">
        <v>28333.5</v>
      </c>
      <c r="Q15" s="626">
        <v>29895.5</v>
      </c>
      <c r="R15" s="626">
        <v>31240.5</v>
      </c>
      <c r="S15" s="625">
        <v>32116.800000000003</v>
      </c>
      <c r="T15" s="626">
        <v>33905.800000000003</v>
      </c>
      <c r="U15" s="626">
        <v>36003.5</v>
      </c>
      <c r="V15" s="627">
        <v>38457.1</v>
      </c>
      <c r="W15" s="626">
        <v>44115.199999999997</v>
      </c>
      <c r="X15" s="626">
        <v>44732.4</v>
      </c>
      <c r="Y15" s="626">
        <v>45542.6</v>
      </c>
      <c r="Z15" s="626">
        <v>45205.599999999999</v>
      </c>
      <c r="AA15" s="625">
        <v>45301.600000000013</v>
      </c>
      <c r="AB15" s="626">
        <v>47962.5</v>
      </c>
      <c r="AC15" s="626">
        <v>48634.6</v>
      </c>
      <c r="AD15" s="627">
        <v>49191.299999999996</v>
      </c>
      <c r="AE15" s="626">
        <v>51507.700000000004</v>
      </c>
      <c r="AF15" s="626">
        <v>54369.399999999987</v>
      </c>
      <c r="AG15" s="626">
        <v>56905.599999999999</v>
      </c>
      <c r="AH15" s="646">
        <v>57238</v>
      </c>
      <c r="AI15" s="625">
        <v>60635.9</v>
      </c>
      <c r="AJ15" s="626">
        <v>64907.700000000004</v>
      </c>
      <c r="AK15" s="626">
        <v>68185.7</v>
      </c>
      <c r="AL15" s="627">
        <v>70035.899999999994</v>
      </c>
      <c r="AM15" s="625">
        <v>71497.2</v>
      </c>
      <c r="AN15" s="626">
        <v>74399.599999999991</v>
      </c>
      <c r="AO15" s="626">
        <v>76575.199999999997</v>
      </c>
      <c r="AP15" s="647">
        <v>78069.5</v>
      </c>
      <c r="AQ15" s="625">
        <v>80713.7</v>
      </c>
      <c r="AR15" s="626">
        <v>83333.2</v>
      </c>
      <c r="AS15" s="626">
        <v>86433.3</v>
      </c>
      <c r="AT15" s="627">
        <v>83710.5</v>
      </c>
      <c r="AU15" s="625">
        <v>90028.2</v>
      </c>
      <c r="AV15" s="626">
        <v>94475.3</v>
      </c>
      <c r="AW15" s="626">
        <v>98986</v>
      </c>
      <c r="AX15" s="628">
        <v>102907.40000000001</v>
      </c>
      <c r="AY15" s="629">
        <v>107181.3</v>
      </c>
      <c r="AZ15" s="626">
        <v>110316.4</v>
      </c>
      <c r="BA15" s="626">
        <v>115551</v>
      </c>
      <c r="BB15" s="626">
        <v>118127.8</v>
      </c>
      <c r="BC15" s="625">
        <v>123459.7</v>
      </c>
      <c r="BD15" s="626">
        <v>120598.09999999999</v>
      </c>
      <c r="BE15" s="626">
        <v>122382</v>
      </c>
      <c r="BF15" s="626">
        <v>124655.3</v>
      </c>
      <c r="BG15" s="625">
        <v>129453.2</v>
      </c>
      <c r="BH15" s="626">
        <v>133768.79999999999</v>
      </c>
      <c r="BI15" s="626">
        <v>141168.6</v>
      </c>
      <c r="BJ15" s="626">
        <v>146536</v>
      </c>
      <c r="BK15" s="625">
        <v>149709.69999999998</v>
      </c>
      <c r="BL15" s="626">
        <v>152117.69999999998</v>
      </c>
      <c r="BM15" s="626">
        <v>154350.20000000001</v>
      </c>
      <c r="BN15" s="626">
        <v>154974.6</v>
      </c>
      <c r="BO15" s="625">
        <v>156050.9</v>
      </c>
      <c r="BP15" s="626">
        <v>156213.4</v>
      </c>
      <c r="BQ15" s="626">
        <v>158085.70000000001</v>
      </c>
      <c r="BR15" s="626">
        <v>156520.70000000001</v>
      </c>
      <c r="BS15" s="625">
        <v>158425.5</v>
      </c>
      <c r="BT15" s="626"/>
      <c r="BU15" s="161"/>
      <c r="BV15" s="161"/>
    </row>
    <row r="16" spans="1:74" s="6" customFormat="1" ht="10.8">
      <c r="A16" s="176" t="s">
        <v>886</v>
      </c>
      <c r="B16" s="176" t="s">
        <v>887</v>
      </c>
      <c r="C16" s="650">
        <v>13547.400000000001</v>
      </c>
      <c r="D16" s="651">
        <v>14323.800000000001</v>
      </c>
      <c r="E16" s="651">
        <v>15231.499999999998</v>
      </c>
      <c r="F16" s="652">
        <v>16105.499999999998</v>
      </c>
      <c r="G16" s="651">
        <v>17758.900000000001</v>
      </c>
      <c r="H16" s="651">
        <v>19283.500000000004</v>
      </c>
      <c r="I16" s="651">
        <v>21522.100000000002</v>
      </c>
      <c r="J16" s="652">
        <v>23639.8</v>
      </c>
      <c r="K16" s="650">
        <v>24679.600000000002</v>
      </c>
      <c r="L16" s="651">
        <v>24767.5</v>
      </c>
      <c r="M16" s="651">
        <v>25157</v>
      </c>
      <c r="N16" s="652">
        <v>26315.599999999999</v>
      </c>
      <c r="O16" s="650">
        <v>26507.800000000003</v>
      </c>
      <c r="P16" s="651">
        <v>27855.300000000003</v>
      </c>
      <c r="Q16" s="651">
        <v>29465.7</v>
      </c>
      <c r="R16" s="652">
        <v>30975.4</v>
      </c>
      <c r="S16" s="650">
        <v>31759.899999999998</v>
      </c>
      <c r="T16" s="651">
        <v>33421.4</v>
      </c>
      <c r="U16" s="651">
        <v>35459.999999999993</v>
      </c>
      <c r="V16" s="652">
        <v>38084.9</v>
      </c>
      <c r="W16" s="650">
        <v>39016.200000000004</v>
      </c>
      <c r="X16" s="651">
        <v>39442.399999999987</v>
      </c>
      <c r="Y16" s="651">
        <v>40300.400000000001</v>
      </c>
      <c r="Z16" s="652">
        <v>39718.799999999988</v>
      </c>
      <c r="AA16" s="650">
        <v>40054.699999999997</v>
      </c>
      <c r="AB16" s="651">
        <v>41021.9</v>
      </c>
      <c r="AC16" s="651">
        <v>42356.7</v>
      </c>
      <c r="AD16" s="652">
        <v>42383.7</v>
      </c>
      <c r="AE16" s="651">
        <v>44572.400000000009</v>
      </c>
      <c r="AF16" s="651">
        <v>46704.200000000004</v>
      </c>
      <c r="AG16" s="651">
        <v>48976.900000000009</v>
      </c>
      <c r="AH16" s="651">
        <v>49878.6</v>
      </c>
      <c r="AI16" s="650">
        <v>52663.299999999996</v>
      </c>
      <c r="AJ16" s="651">
        <v>56848</v>
      </c>
      <c r="AK16" s="651">
        <v>59612.6</v>
      </c>
      <c r="AL16" s="652">
        <v>60228.600000000006</v>
      </c>
      <c r="AM16" s="650">
        <v>62931</v>
      </c>
      <c r="AN16" s="651">
        <v>64859.600000000006</v>
      </c>
      <c r="AO16" s="651">
        <v>66660.600000000006</v>
      </c>
      <c r="AP16" s="652">
        <v>67572.60000000002</v>
      </c>
      <c r="AQ16" s="650">
        <v>69982.900000000009</v>
      </c>
      <c r="AR16" s="651">
        <v>72021.200000000012</v>
      </c>
      <c r="AS16" s="651">
        <v>74721.799999999988</v>
      </c>
      <c r="AT16" s="652">
        <v>75407.199999999997</v>
      </c>
      <c r="AU16" s="650">
        <v>77893.399999999994</v>
      </c>
      <c r="AV16" s="651">
        <v>81668.39999999998</v>
      </c>
      <c r="AW16" s="651">
        <v>85819.599999999991</v>
      </c>
      <c r="AX16" s="653">
        <v>89028.7</v>
      </c>
      <c r="AY16" s="654">
        <v>92324.299999999988</v>
      </c>
      <c r="AZ16" s="651">
        <v>94640.5</v>
      </c>
      <c r="BA16" s="651">
        <v>98957.6</v>
      </c>
      <c r="BB16" s="651">
        <v>101203</v>
      </c>
      <c r="BC16" s="650">
        <v>106249.99999999997</v>
      </c>
      <c r="BD16" s="651">
        <v>104508.80000000002</v>
      </c>
      <c r="BE16" s="651">
        <v>106442.90000000001</v>
      </c>
      <c r="BF16" s="651">
        <v>108230.00000000001</v>
      </c>
      <c r="BG16" s="650">
        <v>112435.29999999999</v>
      </c>
      <c r="BH16" s="651">
        <v>115650.60000000002</v>
      </c>
      <c r="BI16" s="651">
        <v>121405.40000000001</v>
      </c>
      <c r="BJ16" s="651">
        <v>125372.90000000001</v>
      </c>
      <c r="BK16" s="650">
        <v>129068.50000000003</v>
      </c>
      <c r="BL16" s="651">
        <v>131440.79999999999</v>
      </c>
      <c r="BM16" s="651">
        <v>132935.29999999999</v>
      </c>
      <c r="BN16" s="651">
        <v>133045.70000000001</v>
      </c>
      <c r="BO16" s="650">
        <v>134405.70000000001</v>
      </c>
      <c r="BP16" s="651">
        <v>134641.70000000001</v>
      </c>
      <c r="BQ16" s="651">
        <v>136224.69999999998</v>
      </c>
      <c r="BR16" s="651">
        <v>134870.00000000003</v>
      </c>
      <c r="BS16" s="650">
        <v>136652.90000000002</v>
      </c>
      <c r="BT16" s="651"/>
      <c r="BU16" s="52"/>
      <c r="BV16" s="52"/>
    </row>
    <row r="17" spans="1:74" s="6" customFormat="1" ht="10.8">
      <c r="A17" s="176" t="s">
        <v>888</v>
      </c>
      <c r="B17" s="176" t="s">
        <v>889</v>
      </c>
      <c r="C17" s="650">
        <v>0</v>
      </c>
      <c r="D17" s="651">
        <v>0</v>
      </c>
      <c r="E17" s="651">
        <v>0</v>
      </c>
      <c r="F17" s="652">
        <v>0</v>
      </c>
      <c r="G17" s="651">
        <v>0</v>
      </c>
      <c r="H17" s="651">
        <v>0</v>
      </c>
      <c r="I17" s="651">
        <v>0</v>
      </c>
      <c r="J17" s="652">
        <v>0</v>
      </c>
      <c r="K17" s="650">
        <v>0</v>
      </c>
      <c r="L17" s="651">
        <v>0</v>
      </c>
      <c r="M17" s="651">
        <v>0</v>
      </c>
      <c r="N17" s="652">
        <v>0</v>
      </c>
      <c r="O17" s="650">
        <v>0</v>
      </c>
      <c r="P17" s="651">
        <v>0</v>
      </c>
      <c r="Q17" s="651">
        <v>0</v>
      </c>
      <c r="R17" s="652">
        <v>0</v>
      </c>
      <c r="S17" s="650">
        <v>0</v>
      </c>
      <c r="T17" s="651">
        <v>0</v>
      </c>
      <c r="U17" s="651">
        <v>0</v>
      </c>
      <c r="V17" s="652">
        <v>0</v>
      </c>
      <c r="W17" s="650">
        <v>3045.6000000000004</v>
      </c>
      <c r="X17" s="651">
        <v>3084.3999999999996</v>
      </c>
      <c r="Y17" s="651">
        <v>3067.2</v>
      </c>
      <c r="Z17" s="652">
        <v>3164.5</v>
      </c>
      <c r="AA17" s="650">
        <v>3188.4</v>
      </c>
      <c r="AB17" s="651">
        <v>3322.4</v>
      </c>
      <c r="AC17" s="651">
        <v>3472.2</v>
      </c>
      <c r="AD17" s="652">
        <v>3590.8</v>
      </c>
      <c r="AE17" s="651">
        <v>3774.3</v>
      </c>
      <c r="AF17" s="651">
        <v>4162.0999999999995</v>
      </c>
      <c r="AG17" s="651">
        <v>4244.1000000000004</v>
      </c>
      <c r="AH17" s="651">
        <v>4335.6000000000004</v>
      </c>
      <c r="AI17" s="650">
        <v>4301.2000000000007</v>
      </c>
      <c r="AJ17" s="651">
        <v>4611.6000000000004</v>
      </c>
      <c r="AK17" s="651">
        <v>4789.6000000000004</v>
      </c>
      <c r="AL17" s="652">
        <v>4882.7</v>
      </c>
      <c r="AM17" s="650">
        <v>5023.2999999999993</v>
      </c>
      <c r="AN17" s="651">
        <v>5444.0999999999995</v>
      </c>
      <c r="AO17" s="651">
        <v>5509.3</v>
      </c>
      <c r="AP17" s="652">
        <v>5710.6</v>
      </c>
      <c r="AQ17" s="650">
        <v>5774.0999999999995</v>
      </c>
      <c r="AR17" s="651">
        <v>6098.6</v>
      </c>
      <c r="AS17" s="651">
        <v>6327.4000000000005</v>
      </c>
      <c r="AT17" s="652">
        <v>6560.0999999999995</v>
      </c>
      <c r="AU17" s="650">
        <v>6825</v>
      </c>
      <c r="AV17" s="651">
        <v>7246.2999999999993</v>
      </c>
      <c r="AW17" s="651">
        <v>7608.2999999999993</v>
      </c>
      <c r="AX17" s="653">
        <v>8093.6000000000013</v>
      </c>
      <c r="AY17" s="654">
        <v>8618.1</v>
      </c>
      <c r="AZ17" s="651">
        <v>9077.9</v>
      </c>
      <c r="BA17" s="651">
        <v>9423.1</v>
      </c>
      <c r="BB17" s="651">
        <v>9334.6999999999989</v>
      </c>
      <c r="BC17" s="650">
        <v>9526.5</v>
      </c>
      <c r="BD17" s="651">
        <v>9364</v>
      </c>
      <c r="BE17" s="651">
        <v>9504.6999999999989</v>
      </c>
      <c r="BF17" s="651">
        <v>9697.6</v>
      </c>
      <c r="BG17" s="650">
        <v>10024.400000000001</v>
      </c>
      <c r="BH17" s="651">
        <v>10267.9</v>
      </c>
      <c r="BI17" s="651">
        <v>10551.8</v>
      </c>
      <c r="BJ17" s="651">
        <v>11090</v>
      </c>
      <c r="BK17" s="650">
        <v>11484.8</v>
      </c>
      <c r="BL17" s="651">
        <v>11894.3</v>
      </c>
      <c r="BM17" s="651">
        <v>12438.999999999998</v>
      </c>
      <c r="BN17" s="651">
        <v>12363.500000000002</v>
      </c>
      <c r="BO17" s="650">
        <v>12525.4</v>
      </c>
      <c r="BP17" s="651">
        <v>12600.300000000001</v>
      </c>
      <c r="BQ17" s="651">
        <v>13186.1</v>
      </c>
      <c r="BR17" s="651">
        <v>13130.4</v>
      </c>
      <c r="BS17" s="650">
        <v>13192.399999999998</v>
      </c>
      <c r="BT17" s="651"/>
      <c r="BU17" s="52"/>
      <c r="BV17" s="52"/>
    </row>
    <row r="18" spans="1:74" s="6" customFormat="1" ht="10.8">
      <c r="A18" s="176" t="s">
        <v>890</v>
      </c>
      <c r="B18" s="176" t="s">
        <v>891</v>
      </c>
      <c r="C18" s="650">
        <v>148.70000000000002</v>
      </c>
      <c r="D18" s="651">
        <v>148.10000000000002</v>
      </c>
      <c r="E18" s="651">
        <v>125.5</v>
      </c>
      <c r="F18" s="652">
        <v>128.6</v>
      </c>
      <c r="G18" s="651">
        <v>130.5</v>
      </c>
      <c r="H18" s="651">
        <v>136</v>
      </c>
      <c r="I18" s="651">
        <v>178.20000000000002</v>
      </c>
      <c r="J18" s="652">
        <v>164.6</v>
      </c>
      <c r="K18" s="650">
        <v>270.09999999999997</v>
      </c>
      <c r="L18" s="651">
        <v>252.7</v>
      </c>
      <c r="M18" s="651">
        <v>175.6</v>
      </c>
      <c r="N18" s="652">
        <v>173.1</v>
      </c>
      <c r="O18" s="650">
        <v>142.40000000000003</v>
      </c>
      <c r="P18" s="651">
        <v>171.1</v>
      </c>
      <c r="Q18" s="651">
        <v>165</v>
      </c>
      <c r="R18" s="652">
        <v>122.7</v>
      </c>
      <c r="S18" s="650">
        <v>108.4</v>
      </c>
      <c r="T18" s="651">
        <v>196.29999999999998</v>
      </c>
      <c r="U18" s="651">
        <v>279.90000000000003</v>
      </c>
      <c r="V18" s="652">
        <v>272.40000000000003</v>
      </c>
      <c r="W18" s="650">
        <v>1852.5000000000002</v>
      </c>
      <c r="X18" s="651">
        <v>2094.2000000000003</v>
      </c>
      <c r="Y18" s="651">
        <v>2022.6000000000001</v>
      </c>
      <c r="Z18" s="652">
        <v>2202.6999999999998</v>
      </c>
      <c r="AA18" s="650">
        <v>1958.3</v>
      </c>
      <c r="AB18" s="651">
        <v>2223.0000000000005</v>
      </c>
      <c r="AC18" s="651">
        <v>2442.7999999999993</v>
      </c>
      <c r="AD18" s="652">
        <v>2453.7999999999997</v>
      </c>
      <c r="AE18" s="651">
        <v>2361.1999999999998</v>
      </c>
      <c r="AF18" s="651">
        <v>2621.0000000000005</v>
      </c>
      <c r="AG18" s="651">
        <v>2868.7</v>
      </c>
      <c r="AH18" s="651">
        <v>2816.5</v>
      </c>
      <c r="AI18" s="650">
        <v>2567.6000000000004</v>
      </c>
      <c r="AJ18" s="651">
        <v>2822.4000000000005</v>
      </c>
      <c r="AK18" s="651">
        <v>3139.4</v>
      </c>
      <c r="AL18" s="652">
        <v>3389.7</v>
      </c>
      <c r="AM18" s="650">
        <v>3396.8</v>
      </c>
      <c r="AN18" s="651">
        <v>4027.5</v>
      </c>
      <c r="AO18" s="651">
        <v>4264.7</v>
      </c>
      <c r="AP18" s="652">
        <v>4350.4000000000005</v>
      </c>
      <c r="AQ18" s="650">
        <v>4513.3999999999996</v>
      </c>
      <c r="AR18" s="651">
        <v>4622.2</v>
      </c>
      <c r="AS18" s="651">
        <v>4715.1000000000004</v>
      </c>
      <c r="AT18" s="652">
        <v>4589</v>
      </c>
      <c r="AU18" s="650">
        <v>4562.6000000000004</v>
      </c>
      <c r="AV18" s="651">
        <v>4751.6000000000004</v>
      </c>
      <c r="AW18" s="651">
        <v>4766.9999999999991</v>
      </c>
      <c r="AX18" s="653">
        <v>4834.5</v>
      </c>
      <c r="AY18" s="654">
        <v>5011.8999999999996</v>
      </c>
      <c r="AZ18" s="651">
        <v>5138.7999999999993</v>
      </c>
      <c r="BA18" s="651">
        <v>5289.9</v>
      </c>
      <c r="BB18" s="651">
        <v>5293.2999999999993</v>
      </c>
      <c r="BC18" s="650">
        <v>5326.5</v>
      </c>
      <c r="BD18" s="651">
        <v>4542.4000000000005</v>
      </c>
      <c r="BE18" s="651">
        <v>4611.9000000000005</v>
      </c>
      <c r="BF18" s="651">
        <v>4794.5</v>
      </c>
      <c r="BG18" s="650">
        <v>5054.5999999999995</v>
      </c>
      <c r="BH18" s="651">
        <v>5693.2</v>
      </c>
      <c r="BI18" s="651">
        <v>6172.5</v>
      </c>
      <c r="BJ18" s="651">
        <v>6823.8</v>
      </c>
      <c r="BK18" s="650">
        <v>6477.5999999999995</v>
      </c>
      <c r="BL18" s="651">
        <v>7228.2</v>
      </c>
      <c r="BM18" s="651">
        <v>7464</v>
      </c>
      <c r="BN18" s="651">
        <v>7682</v>
      </c>
      <c r="BO18" s="650">
        <v>7679.8</v>
      </c>
      <c r="BP18" s="651">
        <v>7308</v>
      </c>
      <c r="BQ18" s="651">
        <v>7132.4000000000005</v>
      </c>
      <c r="BR18" s="651">
        <v>6747.3</v>
      </c>
      <c r="BS18" s="650">
        <v>6672.2999999999993</v>
      </c>
      <c r="BT18" s="651"/>
      <c r="BU18" s="52"/>
      <c r="BV18" s="52"/>
    </row>
    <row r="19" spans="1:74" s="164" customFormat="1" ht="10.8">
      <c r="A19" s="163" t="s">
        <v>223</v>
      </c>
      <c r="B19" s="163" t="s">
        <v>224</v>
      </c>
      <c r="C19" s="625">
        <v>40774.6</v>
      </c>
      <c r="D19" s="626">
        <v>40253.4</v>
      </c>
      <c r="E19" s="626">
        <v>40658.1</v>
      </c>
      <c r="F19" s="627">
        <v>44501.8</v>
      </c>
      <c r="G19" s="626">
        <v>45359.100000000006</v>
      </c>
      <c r="H19" s="626">
        <v>47651.4</v>
      </c>
      <c r="I19" s="626">
        <v>51303.5</v>
      </c>
      <c r="J19" s="627">
        <v>47111.9</v>
      </c>
      <c r="K19" s="625">
        <v>46583.4</v>
      </c>
      <c r="L19" s="626">
        <v>45927.9</v>
      </c>
      <c r="M19" s="626">
        <v>46520</v>
      </c>
      <c r="N19" s="627">
        <v>47630.7</v>
      </c>
      <c r="O19" s="625">
        <v>46197.299999999996</v>
      </c>
      <c r="P19" s="626">
        <v>46022.6</v>
      </c>
      <c r="Q19" s="626">
        <v>47701.599999999999</v>
      </c>
      <c r="R19" s="627">
        <v>47448.200000000004</v>
      </c>
      <c r="S19" s="625">
        <v>46487.900000000009</v>
      </c>
      <c r="T19" s="626">
        <v>48310.7</v>
      </c>
      <c r="U19" s="626">
        <v>50782.5</v>
      </c>
      <c r="V19" s="627">
        <v>52976.69999999999</v>
      </c>
      <c r="W19" s="625">
        <v>52465.499999999993</v>
      </c>
      <c r="X19" s="626">
        <v>54186.000000000007</v>
      </c>
      <c r="Y19" s="626">
        <v>54896.2</v>
      </c>
      <c r="Z19" s="627">
        <v>57898.399999999994</v>
      </c>
      <c r="AA19" s="625">
        <v>58126.799999999996</v>
      </c>
      <c r="AB19" s="626">
        <v>64159.100000000006</v>
      </c>
      <c r="AC19" s="626">
        <v>66911.399999999994</v>
      </c>
      <c r="AD19" s="627">
        <v>67981.399999999994</v>
      </c>
      <c r="AE19" s="626">
        <v>67036.3</v>
      </c>
      <c r="AF19" s="626">
        <v>70975.3</v>
      </c>
      <c r="AG19" s="626">
        <v>71979.60000000002</v>
      </c>
      <c r="AH19" s="626">
        <v>75688.599999999991</v>
      </c>
      <c r="AI19" s="625">
        <v>77661.500000000015</v>
      </c>
      <c r="AJ19" s="626">
        <v>80755.099999999991</v>
      </c>
      <c r="AK19" s="626">
        <v>83830</v>
      </c>
      <c r="AL19" s="627">
        <v>87866</v>
      </c>
      <c r="AM19" s="625">
        <v>90413.4</v>
      </c>
      <c r="AN19" s="626">
        <v>93492.400000000009</v>
      </c>
      <c r="AO19" s="626">
        <v>92304.6</v>
      </c>
      <c r="AP19" s="627">
        <v>95825.4</v>
      </c>
      <c r="AQ19" s="625">
        <v>96620.7</v>
      </c>
      <c r="AR19" s="626">
        <v>97708.800000000003</v>
      </c>
      <c r="AS19" s="626">
        <v>98459.8</v>
      </c>
      <c r="AT19" s="627">
        <v>104503.3</v>
      </c>
      <c r="AU19" s="625">
        <v>104662.1</v>
      </c>
      <c r="AV19" s="626">
        <v>109174.1</v>
      </c>
      <c r="AW19" s="626">
        <v>110205</v>
      </c>
      <c r="AX19" s="628">
        <v>117682.5</v>
      </c>
      <c r="AY19" s="629">
        <v>120414</v>
      </c>
      <c r="AZ19" s="626">
        <v>122992</v>
      </c>
      <c r="BA19" s="626">
        <v>125786.3</v>
      </c>
      <c r="BB19" s="626">
        <v>130473.5</v>
      </c>
      <c r="BC19" s="625">
        <v>139648.70000000001</v>
      </c>
      <c r="BD19" s="626">
        <v>150979.29999999999</v>
      </c>
      <c r="BE19" s="626">
        <v>154399.79999999999</v>
      </c>
      <c r="BF19" s="626">
        <v>151028.5</v>
      </c>
      <c r="BG19" s="625">
        <v>158931.1</v>
      </c>
      <c r="BH19" s="626">
        <v>161998.29999999999</v>
      </c>
      <c r="BI19" s="626">
        <v>164586.30000000002</v>
      </c>
      <c r="BJ19" s="626">
        <v>170609.9</v>
      </c>
      <c r="BK19" s="625">
        <v>174661.9</v>
      </c>
      <c r="BL19" s="626">
        <v>185095.1</v>
      </c>
      <c r="BM19" s="626">
        <v>186580.5</v>
      </c>
      <c r="BN19" s="626">
        <v>192731.3</v>
      </c>
      <c r="BO19" s="625">
        <v>201651.9</v>
      </c>
      <c r="BP19" s="626">
        <v>199740.2</v>
      </c>
      <c r="BQ19" s="626">
        <v>202417.4</v>
      </c>
      <c r="BR19" s="626">
        <v>205289.9</v>
      </c>
      <c r="BS19" s="625">
        <v>214125.8</v>
      </c>
      <c r="BT19" s="626"/>
      <c r="BU19" s="161"/>
      <c r="BV19" s="161"/>
    </row>
    <row r="20" spans="1:74" s="164" customFormat="1" ht="12">
      <c r="A20" s="163" t="s">
        <v>892</v>
      </c>
      <c r="B20" s="163" t="s">
        <v>893</v>
      </c>
      <c r="C20" s="625">
        <v>3902.2999999999997</v>
      </c>
      <c r="D20" s="626">
        <v>3622</v>
      </c>
      <c r="E20" s="626">
        <v>3820.3999999999996</v>
      </c>
      <c r="F20" s="627">
        <v>3838.7999999999997</v>
      </c>
      <c r="G20" s="626">
        <v>4013.7</v>
      </c>
      <c r="H20" s="626">
        <v>3977.5999999999995</v>
      </c>
      <c r="I20" s="626">
        <v>4277.8999999999996</v>
      </c>
      <c r="J20" s="627">
        <v>4222.2</v>
      </c>
      <c r="K20" s="625">
        <v>4280.8999999999996</v>
      </c>
      <c r="L20" s="626">
        <v>4514.6000000000004</v>
      </c>
      <c r="M20" s="626">
        <v>4742.0999999999995</v>
      </c>
      <c r="N20" s="627">
        <v>4884.3999999999996</v>
      </c>
      <c r="O20" s="625">
        <v>5131.7</v>
      </c>
      <c r="P20" s="626">
        <v>5280.2000000000007</v>
      </c>
      <c r="Q20" s="626">
        <v>5529.4999999999991</v>
      </c>
      <c r="R20" s="627">
        <v>5650.8</v>
      </c>
      <c r="S20" s="625">
        <v>5782</v>
      </c>
      <c r="T20" s="626">
        <v>5951.5</v>
      </c>
      <c r="U20" s="626">
        <v>6194.6</v>
      </c>
      <c r="V20" s="627">
        <v>6413.7</v>
      </c>
      <c r="W20" s="625">
        <v>6751.1</v>
      </c>
      <c r="X20" s="626">
        <v>6978.8</v>
      </c>
      <c r="Y20" s="626">
        <v>7424.9</v>
      </c>
      <c r="Z20" s="627">
        <v>8133.7999999999993</v>
      </c>
      <c r="AA20" s="625">
        <v>8236.5</v>
      </c>
      <c r="AB20" s="626">
        <v>8131.2</v>
      </c>
      <c r="AC20" s="626">
        <v>8269.2000000000007</v>
      </c>
      <c r="AD20" s="627">
        <v>8626.2999999999993</v>
      </c>
      <c r="AE20" s="626">
        <v>8885.5999999999985</v>
      </c>
      <c r="AF20" s="626">
        <v>9158.6999999999989</v>
      </c>
      <c r="AG20" s="626">
        <v>9931.5999999999985</v>
      </c>
      <c r="AH20" s="626">
        <v>10454</v>
      </c>
      <c r="AI20" s="625">
        <v>10229.5</v>
      </c>
      <c r="AJ20" s="626">
        <v>9556.1</v>
      </c>
      <c r="AK20" s="626">
        <v>10301.799999999999</v>
      </c>
      <c r="AL20" s="627">
        <v>10677.899999999998</v>
      </c>
      <c r="AM20" s="625">
        <v>10667.7</v>
      </c>
      <c r="AN20" s="626">
        <v>10810.099999999999</v>
      </c>
      <c r="AO20" s="626">
        <v>10976.7</v>
      </c>
      <c r="AP20" s="627">
        <v>10474.9</v>
      </c>
      <c r="AQ20" s="625">
        <v>10787.3</v>
      </c>
      <c r="AR20" s="626">
        <v>11154.1</v>
      </c>
      <c r="AS20" s="626">
        <v>11486.199999999997</v>
      </c>
      <c r="AT20" s="627">
        <v>11534.3</v>
      </c>
      <c r="AU20" s="625">
        <v>12058.9</v>
      </c>
      <c r="AV20" s="626">
        <v>11875.899999999998</v>
      </c>
      <c r="AW20" s="626">
        <v>12147.800000000001</v>
      </c>
      <c r="AX20" s="628">
        <v>13321.600000000002</v>
      </c>
      <c r="AY20" s="629">
        <v>13413.3</v>
      </c>
      <c r="AZ20" s="626">
        <v>14219.8</v>
      </c>
      <c r="BA20" s="626">
        <v>15262.7</v>
      </c>
      <c r="BB20" s="626">
        <v>15223.3</v>
      </c>
      <c r="BC20" s="625">
        <v>17341</v>
      </c>
      <c r="BD20" s="626">
        <v>18235.5</v>
      </c>
      <c r="BE20" s="626">
        <v>18595.800000000003</v>
      </c>
      <c r="BF20" s="626">
        <v>18618.300000000003</v>
      </c>
      <c r="BG20" s="625">
        <v>17560.300000000003</v>
      </c>
      <c r="BH20" s="626">
        <v>17857.599999999999</v>
      </c>
      <c r="BI20" s="626">
        <v>17440.8</v>
      </c>
      <c r="BJ20" s="626">
        <v>13531.4</v>
      </c>
      <c r="BK20" s="625">
        <v>11155.800000000001</v>
      </c>
      <c r="BL20" s="626">
        <v>7716.9</v>
      </c>
      <c r="BM20" s="626">
        <v>7422.9000000000015</v>
      </c>
      <c r="BN20" s="626">
        <v>9344.3000000000011</v>
      </c>
      <c r="BO20" s="625">
        <v>11239.2</v>
      </c>
      <c r="BP20" s="626">
        <v>12962.599999999999</v>
      </c>
      <c r="BQ20" s="626">
        <v>15182.4</v>
      </c>
      <c r="BR20" s="626">
        <v>16736.000000000004</v>
      </c>
      <c r="BS20" s="625">
        <v>17439.7</v>
      </c>
      <c r="BT20" s="626"/>
      <c r="BU20" s="161"/>
      <c r="BV20" s="161"/>
    </row>
    <row r="21" spans="1:74" s="164" customFormat="1" ht="10.8">
      <c r="A21" s="163"/>
      <c r="B21" s="163"/>
      <c r="C21" s="655"/>
      <c r="D21" s="656"/>
      <c r="E21" s="656"/>
      <c r="F21" s="657"/>
      <c r="G21" s="656"/>
      <c r="H21" s="656"/>
      <c r="I21" s="656"/>
      <c r="J21" s="657"/>
      <c r="K21" s="655"/>
      <c r="L21" s="656"/>
      <c r="M21" s="656"/>
      <c r="N21" s="657"/>
      <c r="O21" s="655"/>
      <c r="P21" s="656"/>
      <c r="Q21" s="656"/>
      <c r="R21" s="657"/>
      <c r="S21" s="655"/>
      <c r="T21" s="656"/>
      <c r="U21" s="656"/>
      <c r="V21" s="657"/>
      <c r="W21" s="655"/>
      <c r="X21" s="656"/>
      <c r="Y21" s="656"/>
      <c r="Z21" s="657"/>
      <c r="AA21" s="655"/>
      <c r="AB21" s="656"/>
      <c r="AC21" s="656"/>
      <c r="AD21" s="657"/>
      <c r="AE21" s="656"/>
      <c r="AF21" s="656"/>
      <c r="AG21" s="656"/>
      <c r="AH21" s="656"/>
      <c r="AI21" s="655"/>
      <c r="AJ21" s="656"/>
      <c r="AK21" s="656"/>
      <c r="AL21" s="657"/>
      <c r="AM21" s="655"/>
      <c r="AN21" s="656"/>
      <c r="AO21" s="656"/>
      <c r="AP21" s="657"/>
      <c r="AQ21" s="655"/>
      <c r="AR21" s="656"/>
      <c r="AS21" s="656"/>
      <c r="AT21" s="657"/>
      <c r="AU21" s="658"/>
      <c r="AV21" s="659"/>
      <c r="AW21" s="659"/>
      <c r="AX21" s="660"/>
      <c r="AY21" s="661"/>
      <c r="AZ21" s="659"/>
      <c r="BA21" s="659"/>
      <c r="BB21" s="659"/>
      <c r="BC21" s="658"/>
      <c r="BD21" s="659"/>
      <c r="BE21" s="659"/>
      <c r="BF21" s="659"/>
      <c r="BG21" s="658"/>
      <c r="BH21" s="659"/>
      <c r="BI21" s="659"/>
      <c r="BJ21" s="659"/>
      <c r="BK21" s="658"/>
      <c r="BL21" s="659"/>
      <c r="BM21" s="659"/>
      <c r="BN21" s="659"/>
      <c r="BO21" s="658"/>
      <c r="BP21" s="659"/>
      <c r="BQ21" s="659"/>
      <c r="BR21" s="659"/>
      <c r="BS21" s="658"/>
      <c r="BT21" s="659"/>
    </row>
    <row r="22" spans="1:74" s="164" customFormat="1" ht="10.8">
      <c r="A22" s="163" t="s">
        <v>894</v>
      </c>
      <c r="B22" s="163" t="s">
        <v>895</v>
      </c>
      <c r="C22" s="662">
        <v>0.13739999999999999</v>
      </c>
      <c r="D22" s="663">
        <v>0.1341</v>
      </c>
      <c r="E22" s="663">
        <v>0.1305</v>
      </c>
      <c r="F22" s="664">
        <v>0.13120000000000001</v>
      </c>
      <c r="G22" s="663">
        <v>0.11020000000000001</v>
      </c>
      <c r="H22" s="663">
        <v>0.11219999999999999</v>
      </c>
      <c r="I22" s="663">
        <v>0.11899999999999999</v>
      </c>
      <c r="J22" s="664">
        <v>0.10390000000000001</v>
      </c>
      <c r="K22" s="662">
        <v>0.10100000000000001</v>
      </c>
      <c r="L22" s="663">
        <v>0.1087</v>
      </c>
      <c r="M22" s="663">
        <v>0.1207</v>
      </c>
      <c r="N22" s="664">
        <v>0.1201</v>
      </c>
      <c r="O22" s="662">
        <v>0.13</v>
      </c>
      <c r="P22" s="663">
        <v>0.12559999999999999</v>
      </c>
      <c r="Q22" s="663">
        <v>0.13300000000000001</v>
      </c>
      <c r="R22" s="664">
        <v>0.13150000000000001</v>
      </c>
      <c r="S22" s="662">
        <v>0.12740000000000001</v>
      </c>
      <c r="T22" s="663">
        <v>0.12609999999999999</v>
      </c>
      <c r="U22" s="663">
        <v>0.12559999999999999</v>
      </c>
      <c r="V22" s="664">
        <v>0.1192</v>
      </c>
      <c r="W22" s="662">
        <v>0.1211</v>
      </c>
      <c r="X22" s="656">
        <v>0.1298</v>
      </c>
      <c r="Y22" s="656">
        <v>0.13669999999999999</v>
      </c>
      <c r="Z22" s="657">
        <v>0.14549999999999999</v>
      </c>
      <c r="AA22" s="662">
        <v>0.1515</v>
      </c>
      <c r="AB22" s="663">
        <v>0.1583</v>
      </c>
      <c r="AC22" s="663">
        <v>0.1739</v>
      </c>
      <c r="AD22" s="664">
        <v>0.17280000000000001</v>
      </c>
      <c r="AE22" s="656">
        <v>0.1457</v>
      </c>
      <c r="AF22" s="656">
        <v>0.15040000000000001</v>
      </c>
      <c r="AG22" s="656">
        <v>0.14180000000000001</v>
      </c>
      <c r="AH22" s="656">
        <v>0.14169999999999999</v>
      </c>
      <c r="AI22" s="662">
        <v>0.14810000000000001</v>
      </c>
      <c r="AJ22" s="663">
        <v>0.13700000000000001</v>
      </c>
      <c r="AK22" s="663">
        <v>0.1366</v>
      </c>
      <c r="AL22" s="664">
        <v>0.13739999999999999</v>
      </c>
      <c r="AM22" s="662">
        <v>0.1411</v>
      </c>
      <c r="AN22" s="656">
        <v>0.14580000000000001</v>
      </c>
      <c r="AO22" s="656">
        <v>0.14799999999999999</v>
      </c>
      <c r="AP22" s="657">
        <v>0.14729999999999999</v>
      </c>
      <c r="AQ22" s="662">
        <v>0.1429</v>
      </c>
      <c r="AR22" s="663">
        <v>0.15279999999999999</v>
      </c>
      <c r="AS22" s="663">
        <v>0.15049999999999999</v>
      </c>
      <c r="AT22" s="664">
        <v>0.1671</v>
      </c>
      <c r="AU22" s="655">
        <v>0.1605</v>
      </c>
      <c r="AV22" s="656">
        <v>0.15240000000000001</v>
      </c>
      <c r="AW22" s="656">
        <v>0.15240000000000001</v>
      </c>
      <c r="AX22" s="665">
        <v>0.15579999999999999</v>
      </c>
      <c r="AY22" s="666">
        <v>0.15820000000000001</v>
      </c>
      <c r="AZ22" s="656">
        <v>0.15029999999999999</v>
      </c>
      <c r="BA22" s="656">
        <v>0.1547</v>
      </c>
      <c r="BB22" s="656">
        <v>0.16880000000000001</v>
      </c>
      <c r="BC22" s="655">
        <v>0.15759999999999999</v>
      </c>
      <c r="BD22" s="656">
        <v>0.18310000000000001</v>
      </c>
      <c r="BE22" s="656">
        <v>0.18640000000000001</v>
      </c>
      <c r="BF22" s="656">
        <v>0.19520000000000001</v>
      </c>
      <c r="BG22" s="655">
        <v>0.188</v>
      </c>
      <c r="BH22" s="656">
        <v>0.18540000000000001</v>
      </c>
      <c r="BI22" s="656">
        <v>0.17649999999999999</v>
      </c>
      <c r="BJ22" s="656">
        <v>0.1605</v>
      </c>
      <c r="BK22" s="655">
        <v>0.1542</v>
      </c>
      <c r="BL22" s="656">
        <v>0.14710000000000001</v>
      </c>
      <c r="BM22" s="656">
        <v>0.14430000000000001</v>
      </c>
      <c r="BN22" s="656">
        <v>0.16220000000000001</v>
      </c>
      <c r="BO22" s="655">
        <v>0.16370000000000001</v>
      </c>
      <c r="BP22" s="656">
        <v>0.16950000000000001</v>
      </c>
      <c r="BQ22" s="656">
        <v>0.1656</v>
      </c>
      <c r="BR22" s="656">
        <v>0.1741</v>
      </c>
      <c r="BS22" s="655">
        <v>0.16950000000000001</v>
      </c>
      <c r="BT22" s="656"/>
      <c r="BU22" s="493"/>
      <c r="BV22" s="493"/>
    </row>
    <row r="23" spans="1:74" s="495" customFormat="1" ht="12.75" hidden="1" customHeight="1">
      <c r="A23" s="494"/>
      <c r="B23" s="494"/>
      <c r="C23" s="667"/>
      <c r="D23" s="668"/>
      <c r="E23" s="668"/>
      <c r="F23" s="669"/>
      <c r="G23" s="668"/>
      <c r="H23" s="668"/>
      <c r="I23" s="668"/>
      <c r="J23" s="669"/>
      <c r="K23" s="667"/>
      <c r="L23" s="668"/>
      <c r="M23" s="668"/>
      <c r="N23" s="669"/>
      <c r="O23" s="667"/>
      <c r="P23" s="668"/>
      <c r="Q23" s="668"/>
      <c r="R23" s="669"/>
      <c r="S23" s="667"/>
      <c r="T23" s="668"/>
      <c r="U23" s="668"/>
      <c r="V23" s="669"/>
      <c r="W23" s="667"/>
      <c r="X23" s="670"/>
      <c r="Y23" s="670"/>
      <c r="Z23" s="671"/>
      <c r="AA23" s="667"/>
      <c r="AB23" s="668"/>
      <c r="AC23" s="668"/>
      <c r="AD23" s="669"/>
      <c r="AE23" s="668"/>
      <c r="AF23" s="668"/>
      <c r="AG23" s="668"/>
      <c r="AH23" s="668"/>
      <c r="AI23" s="667"/>
      <c r="AJ23" s="668"/>
      <c r="AK23" s="668"/>
      <c r="AL23" s="669"/>
      <c r="AM23" s="667"/>
      <c r="AN23" s="668"/>
      <c r="AO23" s="668"/>
      <c r="AP23" s="669"/>
      <c r="AQ23" s="667"/>
      <c r="AR23" s="668"/>
      <c r="AS23" s="668"/>
      <c r="AT23" s="669"/>
      <c r="AU23" s="672"/>
      <c r="AV23" s="673"/>
      <c r="AW23" s="673"/>
      <c r="AX23" s="674"/>
      <c r="AY23" s="675"/>
      <c r="AZ23" s="673"/>
      <c r="BA23" s="673"/>
      <c r="BB23" s="673"/>
      <c r="BC23" s="672"/>
      <c r="BD23" s="673"/>
      <c r="BE23" s="673"/>
      <c r="BF23" s="673"/>
      <c r="BG23" s="672"/>
      <c r="BH23" s="673"/>
      <c r="BI23" s="673"/>
      <c r="BJ23" s="673"/>
      <c r="BK23" s="672"/>
      <c r="BL23" s="673"/>
      <c r="BM23" s="673"/>
      <c r="BN23" s="673"/>
      <c r="BO23" s="672"/>
      <c r="BP23" s="673"/>
      <c r="BQ23" s="673"/>
      <c r="BR23" s="673"/>
      <c r="BS23" s="672"/>
      <c r="BT23" s="673"/>
    </row>
    <row r="24" spans="1:74" s="495" customFormat="1" ht="12.75" hidden="1" customHeight="1">
      <c r="A24" s="494"/>
      <c r="B24" s="494"/>
      <c r="C24" s="667"/>
      <c r="D24" s="668"/>
      <c r="E24" s="668"/>
      <c r="F24" s="669"/>
      <c r="G24" s="668"/>
      <c r="H24" s="668"/>
      <c r="I24" s="668"/>
      <c r="J24" s="669"/>
      <c r="K24" s="667"/>
      <c r="L24" s="668"/>
      <c r="M24" s="668"/>
      <c r="N24" s="669"/>
      <c r="O24" s="667"/>
      <c r="P24" s="668"/>
      <c r="Q24" s="668"/>
      <c r="R24" s="669"/>
      <c r="S24" s="667"/>
      <c r="T24" s="668"/>
      <c r="U24" s="668"/>
      <c r="V24" s="669"/>
      <c r="W24" s="667"/>
      <c r="X24" s="670"/>
      <c r="Y24" s="670"/>
      <c r="Z24" s="671"/>
      <c r="AA24" s="667"/>
      <c r="AB24" s="668"/>
      <c r="AC24" s="668"/>
      <c r="AD24" s="669"/>
      <c r="AE24" s="668"/>
      <c r="AF24" s="668"/>
      <c r="AG24" s="668"/>
      <c r="AH24" s="668"/>
      <c r="AI24" s="667"/>
      <c r="AJ24" s="668"/>
      <c r="AK24" s="668"/>
      <c r="AL24" s="669"/>
      <c r="AM24" s="667"/>
      <c r="AN24" s="668"/>
      <c r="AO24" s="668"/>
      <c r="AP24" s="669"/>
      <c r="AQ24" s="667"/>
      <c r="AR24" s="668"/>
      <c r="AS24" s="668"/>
      <c r="AT24" s="669"/>
      <c r="AU24" s="672"/>
      <c r="AV24" s="673"/>
      <c r="AW24" s="673"/>
      <c r="AX24" s="674"/>
      <c r="AY24" s="675"/>
      <c r="AZ24" s="673"/>
      <c r="BA24" s="673"/>
      <c r="BB24" s="673"/>
      <c r="BC24" s="672"/>
      <c r="BD24" s="673"/>
      <c r="BE24" s="673"/>
      <c r="BF24" s="673"/>
      <c r="BG24" s="672"/>
      <c r="BH24" s="673"/>
      <c r="BI24" s="673"/>
      <c r="BJ24" s="673"/>
      <c r="BK24" s="672"/>
      <c r="BL24" s="673"/>
      <c r="BM24" s="673"/>
      <c r="BN24" s="673"/>
      <c r="BO24" s="672"/>
      <c r="BP24" s="673"/>
      <c r="BQ24" s="673"/>
      <c r="BR24" s="673"/>
      <c r="BS24" s="672"/>
      <c r="BT24" s="673"/>
    </row>
    <row r="25" spans="1:74" s="164" customFormat="1" ht="12.75" hidden="1" customHeight="1">
      <c r="A25" s="163"/>
      <c r="B25" s="163"/>
      <c r="C25" s="655"/>
      <c r="D25" s="656"/>
      <c r="E25" s="656"/>
      <c r="F25" s="657"/>
      <c r="G25" s="656"/>
      <c r="H25" s="656"/>
      <c r="I25" s="656"/>
      <c r="J25" s="657"/>
      <c r="K25" s="655"/>
      <c r="L25" s="656"/>
      <c r="M25" s="656"/>
      <c r="N25" s="657"/>
      <c r="O25" s="655"/>
      <c r="P25" s="656"/>
      <c r="Q25" s="656"/>
      <c r="R25" s="657"/>
      <c r="S25" s="655"/>
      <c r="T25" s="656"/>
      <c r="U25" s="656"/>
      <c r="V25" s="657"/>
      <c r="W25" s="655"/>
      <c r="X25" s="656"/>
      <c r="Y25" s="656"/>
      <c r="Z25" s="657"/>
      <c r="AA25" s="655"/>
      <c r="AB25" s="656"/>
      <c r="AC25" s="656"/>
      <c r="AD25" s="657"/>
      <c r="AE25" s="656"/>
      <c r="AF25" s="656"/>
      <c r="AG25" s="656"/>
      <c r="AH25" s="656"/>
      <c r="AI25" s="655"/>
      <c r="AJ25" s="656"/>
      <c r="AK25" s="656"/>
      <c r="AL25" s="657"/>
      <c r="AM25" s="655"/>
      <c r="AN25" s="656"/>
      <c r="AO25" s="656"/>
      <c r="AP25" s="657"/>
      <c r="AQ25" s="655"/>
      <c r="AR25" s="656"/>
      <c r="AS25" s="656"/>
      <c r="AT25" s="657"/>
      <c r="AU25" s="658"/>
      <c r="AV25" s="659"/>
      <c r="AW25" s="659"/>
      <c r="AX25" s="660"/>
      <c r="AY25" s="661"/>
      <c r="AZ25" s="659"/>
      <c r="BA25" s="659"/>
      <c r="BB25" s="659"/>
      <c r="BC25" s="658"/>
      <c r="BD25" s="659"/>
      <c r="BE25" s="659"/>
      <c r="BF25" s="659"/>
      <c r="BG25" s="658"/>
      <c r="BH25" s="659"/>
      <c r="BI25" s="659"/>
      <c r="BJ25" s="659"/>
      <c r="BK25" s="658"/>
      <c r="BL25" s="659"/>
      <c r="BM25" s="659"/>
      <c r="BN25" s="659"/>
      <c r="BO25" s="658"/>
      <c r="BP25" s="659"/>
      <c r="BQ25" s="659"/>
      <c r="BR25" s="659"/>
      <c r="BS25" s="658"/>
      <c r="BT25" s="659"/>
    </row>
    <row r="26" spans="1:74" s="164" customFormat="1" ht="10.8">
      <c r="A26" s="163" t="s">
        <v>896</v>
      </c>
      <c r="B26" s="163" t="s">
        <v>897</v>
      </c>
      <c r="C26" s="655">
        <v>0.1318</v>
      </c>
      <c r="D26" s="656">
        <v>0.1255</v>
      </c>
      <c r="E26" s="656">
        <v>0.1217</v>
      </c>
      <c r="F26" s="657">
        <v>0.1203</v>
      </c>
      <c r="G26" s="656">
        <v>0.10249999999999999</v>
      </c>
      <c r="H26" s="656">
        <v>0.1033</v>
      </c>
      <c r="I26" s="656">
        <v>0.11310000000000001</v>
      </c>
      <c r="J26" s="657">
        <v>9.8299999999999998E-2</v>
      </c>
      <c r="K26" s="655">
        <v>9.3899999999999997E-2</v>
      </c>
      <c r="L26" s="656">
        <v>9.9299999999999999E-2</v>
      </c>
      <c r="M26" s="656">
        <v>0.11210000000000001</v>
      </c>
      <c r="N26" s="657">
        <v>0.1124</v>
      </c>
      <c r="O26" s="655">
        <v>0.12180000000000001</v>
      </c>
      <c r="P26" s="656">
        <v>0.1159</v>
      </c>
      <c r="Q26" s="656">
        <v>0.1236</v>
      </c>
      <c r="R26" s="657">
        <v>0.122</v>
      </c>
      <c r="S26" s="655">
        <v>0.1173</v>
      </c>
      <c r="T26" s="656">
        <v>0.11609999999999999</v>
      </c>
      <c r="U26" s="656">
        <v>0.1178</v>
      </c>
      <c r="V26" s="657">
        <v>0.1158</v>
      </c>
      <c r="W26" s="655">
        <v>0.1157</v>
      </c>
      <c r="X26" s="656">
        <v>0.124</v>
      </c>
      <c r="Y26" s="656">
        <v>0.13089999999999999</v>
      </c>
      <c r="Z26" s="657">
        <v>0.14000000000000001</v>
      </c>
      <c r="AA26" s="655">
        <v>0.14410000000000001</v>
      </c>
      <c r="AB26" s="656">
        <v>0.1525</v>
      </c>
      <c r="AC26" s="656">
        <v>0.17330000000000001</v>
      </c>
      <c r="AD26" s="657">
        <v>0.17100000000000001</v>
      </c>
      <c r="AE26" s="656">
        <v>0.153</v>
      </c>
      <c r="AF26" s="656">
        <v>0.157</v>
      </c>
      <c r="AG26" s="656">
        <v>0.15310000000000001</v>
      </c>
      <c r="AH26" s="656">
        <v>0.1552</v>
      </c>
      <c r="AI26" s="655">
        <v>0.15759999999999999</v>
      </c>
      <c r="AJ26" s="656">
        <v>0.1462</v>
      </c>
      <c r="AK26" s="656">
        <v>0.1467</v>
      </c>
      <c r="AL26" s="657">
        <v>0.1507</v>
      </c>
      <c r="AM26" s="655">
        <v>0.154</v>
      </c>
      <c r="AN26" s="656">
        <v>0.1628</v>
      </c>
      <c r="AO26" s="656">
        <v>0.16589999999999999</v>
      </c>
      <c r="AP26" s="657">
        <v>0.16600000000000001</v>
      </c>
      <c r="AQ26" s="662">
        <v>0.1613</v>
      </c>
      <c r="AR26" s="663">
        <v>0.17199999999999999</v>
      </c>
      <c r="AS26" s="663">
        <v>0.16470000000000001</v>
      </c>
      <c r="AT26" s="664">
        <v>0.18390000000000001</v>
      </c>
      <c r="AU26" s="655">
        <v>0.17649999999999999</v>
      </c>
      <c r="AV26" s="656">
        <v>0.16639999999999999</v>
      </c>
      <c r="AW26" s="656">
        <v>0.1673</v>
      </c>
      <c r="AX26" s="665">
        <v>0.17169999999999999</v>
      </c>
      <c r="AY26" s="666">
        <v>0.17169999999999999</v>
      </c>
      <c r="AZ26" s="656">
        <v>0.16239999999999999</v>
      </c>
      <c r="BA26" s="656">
        <v>0.1709</v>
      </c>
      <c r="BB26" s="656">
        <v>0.183</v>
      </c>
      <c r="BC26" s="655">
        <v>0.17069999999999999</v>
      </c>
      <c r="BD26" s="656">
        <v>0.19539999999999999</v>
      </c>
      <c r="BE26" s="656">
        <v>0.19739999999999999</v>
      </c>
      <c r="BF26" s="656">
        <v>0.2087</v>
      </c>
      <c r="BG26" s="655">
        <v>0.20130000000000001</v>
      </c>
      <c r="BH26" s="656">
        <v>0.1986</v>
      </c>
      <c r="BI26" s="656">
        <v>0.1895</v>
      </c>
      <c r="BJ26" s="656">
        <v>0.1709</v>
      </c>
      <c r="BK26" s="655">
        <v>0.1638</v>
      </c>
      <c r="BL26" s="656">
        <v>0.15720000000000001</v>
      </c>
      <c r="BM26" s="656">
        <v>0.1565</v>
      </c>
      <c r="BN26" s="656">
        <v>0.1784</v>
      </c>
      <c r="BO26" s="655">
        <v>0.17879999999999999</v>
      </c>
      <c r="BP26" s="656">
        <v>0.18490000000000001</v>
      </c>
      <c r="BQ26" s="656">
        <v>0.18129999999999999</v>
      </c>
      <c r="BR26" s="656">
        <v>0.18740000000000001</v>
      </c>
      <c r="BS26" s="655">
        <v>0.1787</v>
      </c>
      <c r="BT26" s="656"/>
      <c r="BU26" s="493"/>
      <c r="BV26" s="493"/>
    </row>
    <row r="27" spans="1:74" s="164" customFormat="1" ht="10.8">
      <c r="A27" s="163" t="s">
        <v>898</v>
      </c>
      <c r="B27" s="163" t="s">
        <v>899</v>
      </c>
      <c r="C27" s="655"/>
      <c r="D27" s="656"/>
      <c r="E27" s="656"/>
      <c r="F27" s="657"/>
      <c r="G27" s="656"/>
      <c r="H27" s="656"/>
      <c r="I27" s="656"/>
      <c r="J27" s="657"/>
      <c r="K27" s="655"/>
      <c r="L27" s="656"/>
      <c r="M27" s="656"/>
      <c r="N27" s="657"/>
      <c r="O27" s="655"/>
      <c r="P27" s="656"/>
      <c r="Q27" s="656"/>
      <c r="R27" s="657"/>
      <c r="S27" s="655"/>
      <c r="T27" s="656"/>
      <c r="U27" s="656"/>
      <c r="V27" s="657"/>
      <c r="W27" s="655"/>
      <c r="X27" s="656"/>
      <c r="Y27" s="656"/>
      <c r="Z27" s="657"/>
      <c r="AA27" s="655"/>
      <c r="AB27" s="656"/>
      <c r="AC27" s="656"/>
      <c r="AD27" s="657"/>
      <c r="AE27" s="656"/>
      <c r="AF27" s="656"/>
      <c r="AG27" s="656"/>
      <c r="AH27" s="656"/>
      <c r="AI27" s="655"/>
      <c r="AJ27" s="656"/>
      <c r="AK27" s="656"/>
      <c r="AL27" s="657"/>
      <c r="AM27" s="655"/>
      <c r="AN27" s="656"/>
      <c r="AO27" s="656"/>
      <c r="AP27" s="657"/>
      <c r="AQ27" s="662"/>
      <c r="AR27" s="663"/>
      <c r="AS27" s="663"/>
      <c r="AT27" s="664"/>
      <c r="AU27" s="655"/>
      <c r="AV27" s="656"/>
      <c r="AW27" s="656"/>
      <c r="AX27" s="665"/>
      <c r="AY27" s="666"/>
      <c r="AZ27" s="656"/>
      <c r="BA27" s="656"/>
      <c r="BB27" s="656"/>
      <c r="BC27" s="655"/>
      <c r="BD27" s="656"/>
      <c r="BE27" s="656"/>
      <c r="BF27" s="656"/>
      <c r="BG27" s="655"/>
      <c r="BH27" s="656"/>
      <c r="BI27" s="656"/>
      <c r="BJ27" s="656">
        <v>0.17085166384658768</v>
      </c>
      <c r="BK27" s="655">
        <v>0.16381242966112292</v>
      </c>
      <c r="BL27" s="656">
        <v>0.15718508163163411</v>
      </c>
      <c r="BM27" s="656">
        <v>0.15649304463529695</v>
      </c>
      <c r="BN27" s="656">
        <v>0.17839155239715748</v>
      </c>
      <c r="BO27" s="655">
        <v>0.1911698191473731</v>
      </c>
      <c r="BP27" s="656">
        <v>0.19704643501352578</v>
      </c>
      <c r="BQ27" s="656">
        <v>0.19381223222084859</v>
      </c>
      <c r="BR27" s="656">
        <v>0.26312209865787128</v>
      </c>
      <c r="BS27" s="655">
        <v>0.24961363557660038</v>
      </c>
      <c r="BT27" s="656"/>
      <c r="BU27" s="496"/>
      <c r="BV27" s="496"/>
    </row>
    <row r="28" spans="1:74" s="495" customFormat="1" ht="12.75" hidden="1" customHeight="1">
      <c r="A28" s="494"/>
      <c r="B28" s="494"/>
      <c r="C28" s="667"/>
      <c r="D28" s="668"/>
      <c r="E28" s="668"/>
      <c r="F28" s="669"/>
      <c r="G28" s="668"/>
      <c r="H28" s="668"/>
      <c r="I28" s="668"/>
      <c r="J28" s="669"/>
      <c r="K28" s="667"/>
      <c r="L28" s="668"/>
      <c r="M28" s="668"/>
      <c r="N28" s="669"/>
      <c r="O28" s="667"/>
      <c r="P28" s="668"/>
      <c r="Q28" s="668"/>
      <c r="R28" s="669"/>
      <c r="S28" s="667"/>
      <c r="T28" s="668"/>
      <c r="U28" s="668"/>
      <c r="V28" s="669"/>
      <c r="W28" s="667"/>
      <c r="X28" s="670"/>
      <c r="Y28" s="670"/>
      <c r="Z28" s="671"/>
      <c r="AA28" s="667"/>
      <c r="AB28" s="668"/>
      <c r="AC28" s="668"/>
      <c r="AD28" s="669"/>
      <c r="AE28" s="668"/>
      <c r="AF28" s="668"/>
      <c r="AG28" s="668"/>
      <c r="AH28" s="668"/>
      <c r="AI28" s="667"/>
      <c r="AJ28" s="668"/>
      <c r="AK28" s="668"/>
      <c r="AL28" s="669"/>
      <c r="AM28" s="667"/>
      <c r="AN28" s="668"/>
      <c r="AO28" s="668"/>
      <c r="AP28" s="669"/>
      <c r="AQ28" s="667"/>
      <c r="AR28" s="668"/>
      <c r="AS28" s="668"/>
      <c r="AT28" s="657"/>
      <c r="AU28" s="672"/>
      <c r="AV28" s="673"/>
      <c r="AW28" s="673"/>
      <c r="AX28" s="674"/>
      <c r="AY28" s="675"/>
      <c r="AZ28" s="673"/>
      <c r="BA28" s="673"/>
      <c r="BB28" s="673"/>
      <c r="BC28" s="672"/>
      <c r="BD28" s="673"/>
      <c r="BE28" s="673"/>
      <c r="BF28" s="673"/>
      <c r="BG28" s="672"/>
      <c r="BH28" s="673"/>
      <c r="BI28" s="673"/>
      <c r="BJ28" s="673"/>
      <c r="BK28" s="672"/>
      <c r="BL28" s="673"/>
      <c r="BM28" s="673"/>
      <c r="BN28" s="673"/>
      <c r="BO28" s="672"/>
      <c r="BP28" s="673"/>
      <c r="BQ28" s="673"/>
      <c r="BR28" s="673"/>
      <c r="BS28" s="672"/>
      <c r="BT28" s="673"/>
    </row>
    <row r="29" spans="1:74" s="495" customFormat="1" ht="12.75" customHeight="1">
      <c r="A29" s="163" t="s">
        <v>900</v>
      </c>
      <c r="B29" s="163" t="s">
        <v>901</v>
      </c>
      <c r="C29" s="667"/>
      <c r="D29" s="668"/>
      <c r="E29" s="668"/>
      <c r="F29" s="669"/>
      <c r="G29" s="668"/>
      <c r="H29" s="668"/>
      <c r="I29" s="668"/>
      <c r="J29" s="669"/>
      <c r="K29" s="667"/>
      <c r="L29" s="668"/>
      <c r="M29" s="668"/>
      <c r="N29" s="669"/>
      <c r="O29" s="667"/>
      <c r="P29" s="668"/>
      <c r="Q29" s="668"/>
      <c r="R29" s="669"/>
      <c r="S29" s="667"/>
      <c r="T29" s="668"/>
      <c r="U29" s="668"/>
      <c r="V29" s="669"/>
      <c r="W29" s="667"/>
      <c r="X29" s="670"/>
      <c r="Y29" s="670"/>
      <c r="Z29" s="671"/>
      <c r="AA29" s="667"/>
      <c r="AB29" s="668"/>
      <c r="AC29" s="668"/>
      <c r="AD29" s="669"/>
      <c r="AE29" s="668"/>
      <c r="AF29" s="668"/>
      <c r="AG29" s="668"/>
      <c r="AH29" s="668"/>
      <c r="AI29" s="667"/>
      <c r="AJ29" s="668"/>
      <c r="AK29" s="668"/>
      <c r="AL29" s="669"/>
      <c r="AM29" s="667"/>
      <c r="AN29" s="668"/>
      <c r="AO29" s="668"/>
      <c r="AP29" s="669"/>
      <c r="AQ29" s="656">
        <v>6.9599999999999995E-2</v>
      </c>
      <c r="AR29" s="656">
        <v>7.6799999999999993E-2</v>
      </c>
      <c r="AS29" s="656">
        <v>7.4899999999999994E-2</v>
      </c>
      <c r="AT29" s="657">
        <v>7.7299999999999994E-2</v>
      </c>
      <c r="AU29" s="656">
        <v>7.6100000000000001E-2</v>
      </c>
      <c r="AV29" s="656">
        <v>7.4999999999999997E-2</v>
      </c>
      <c r="AW29" s="656">
        <v>7.6799999999999993E-2</v>
      </c>
      <c r="AX29" s="665">
        <v>7.4200000000000002E-2</v>
      </c>
      <c r="AY29" s="666">
        <v>7.3899999999999993E-2</v>
      </c>
      <c r="AZ29" s="656">
        <v>7.2300000000000003E-2</v>
      </c>
      <c r="BA29" s="656">
        <v>7.22E-2</v>
      </c>
      <c r="BB29" s="657">
        <v>7.2300000000000003E-2</v>
      </c>
      <c r="BC29" s="656">
        <v>6.4299999999999996E-2</v>
      </c>
      <c r="BD29" s="656">
        <v>6.9599999999999995E-2</v>
      </c>
      <c r="BE29" s="656">
        <v>6.8500000000000005E-2</v>
      </c>
      <c r="BF29" s="657">
        <v>7.3099999999999998E-2</v>
      </c>
      <c r="BG29" s="656">
        <v>7.0499999999999993E-2</v>
      </c>
      <c r="BH29" s="656">
        <v>7.1900000000000006E-2</v>
      </c>
      <c r="BI29" s="656">
        <v>7.1099999999999997E-2</v>
      </c>
      <c r="BJ29" s="657">
        <v>6.948962377456136E-2</v>
      </c>
      <c r="BK29" s="656">
        <v>6.5683733765554558E-2</v>
      </c>
      <c r="BL29" s="656">
        <v>6.3373162748630238E-2</v>
      </c>
      <c r="BM29" s="656">
        <v>6.3757473743667137E-2</v>
      </c>
      <c r="BN29" s="657">
        <v>6.9753025638825725E-2</v>
      </c>
      <c r="BO29" s="656">
        <v>6.6584008126340424E-2</v>
      </c>
      <c r="BP29" s="656">
        <v>6.7242187784018692E-2</v>
      </c>
      <c r="BQ29" s="656">
        <v>6.5000000000000002E-2</v>
      </c>
      <c r="BR29" s="656">
        <v>6.7500000000000004E-2</v>
      </c>
      <c r="BS29" s="655">
        <v>6.6600000000000006E-2</v>
      </c>
      <c r="BT29" s="656"/>
      <c r="BU29" s="496"/>
      <c r="BV29" s="496"/>
    </row>
    <row r="30" spans="1:74" s="495" customFormat="1" ht="12.75" customHeight="1">
      <c r="A30" s="163" t="s">
        <v>902</v>
      </c>
      <c r="B30" s="163" t="s">
        <v>903</v>
      </c>
      <c r="C30" s="667"/>
      <c r="D30" s="668"/>
      <c r="E30" s="668"/>
      <c r="F30" s="669"/>
      <c r="G30" s="668"/>
      <c r="H30" s="668"/>
      <c r="I30" s="668"/>
      <c r="J30" s="669"/>
      <c r="K30" s="667"/>
      <c r="L30" s="668"/>
      <c r="M30" s="668"/>
      <c r="N30" s="669"/>
      <c r="O30" s="667"/>
      <c r="P30" s="668"/>
      <c r="Q30" s="668"/>
      <c r="R30" s="669"/>
      <c r="S30" s="667"/>
      <c r="T30" s="668"/>
      <c r="U30" s="668"/>
      <c r="V30" s="669"/>
      <c r="W30" s="667"/>
      <c r="X30" s="670"/>
      <c r="Y30" s="670"/>
      <c r="Z30" s="671"/>
      <c r="AA30" s="667"/>
      <c r="AB30" s="668"/>
      <c r="AC30" s="668"/>
      <c r="AD30" s="669"/>
      <c r="AE30" s="668"/>
      <c r="AF30" s="668"/>
      <c r="AG30" s="668"/>
      <c r="AH30" s="668"/>
      <c r="AI30" s="667"/>
      <c r="AJ30" s="668"/>
      <c r="AK30" s="668"/>
      <c r="AL30" s="669"/>
      <c r="AM30" s="667"/>
      <c r="AN30" s="668"/>
      <c r="AO30" s="668"/>
      <c r="AP30" s="669"/>
      <c r="AQ30" s="676">
        <v>1.44</v>
      </c>
      <c r="AR30" s="676">
        <v>1.34</v>
      </c>
      <c r="AS30" s="676">
        <v>1.31</v>
      </c>
      <c r="AT30" s="677">
        <v>1.45</v>
      </c>
      <c r="AU30" s="676">
        <v>1.35</v>
      </c>
      <c r="AV30" s="676">
        <v>1.23</v>
      </c>
      <c r="AW30" s="676">
        <v>1.19</v>
      </c>
      <c r="AX30" s="678">
        <v>1.33</v>
      </c>
      <c r="AY30" s="679">
        <v>1.25</v>
      </c>
      <c r="AZ30" s="676">
        <v>1.22</v>
      </c>
      <c r="BA30" s="676">
        <v>1.19</v>
      </c>
      <c r="BB30" s="677">
        <v>1.3</v>
      </c>
      <c r="BC30" s="676">
        <v>1.41</v>
      </c>
      <c r="BD30" s="676">
        <v>2.23</v>
      </c>
      <c r="BE30" s="676">
        <v>2.13</v>
      </c>
      <c r="BF30" s="677">
        <v>2.2000000000000002</v>
      </c>
      <c r="BG30" s="676">
        <v>2.08</v>
      </c>
      <c r="BH30" s="676">
        <v>2</v>
      </c>
      <c r="BI30" s="676">
        <v>2</v>
      </c>
      <c r="BJ30" s="677">
        <v>1.64</v>
      </c>
      <c r="BK30" s="676">
        <v>1.26</v>
      </c>
      <c r="BL30" s="676">
        <v>1.32</v>
      </c>
      <c r="BM30" s="676">
        <v>1.32</v>
      </c>
      <c r="BN30" s="677">
        <v>1.52</v>
      </c>
      <c r="BO30" s="676">
        <v>2.21</v>
      </c>
      <c r="BP30" s="676">
        <v>1.66</v>
      </c>
      <c r="BQ30" s="676">
        <v>1.94</v>
      </c>
      <c r="BR30" s="676">
        <v>2.72</v>
      </c>
      <c r="BS30" s="680">
        <v>2.34</v>
      </c>
      <c r="BT30" s="676"/>
      <c r="BU30" s="497"/>
      <c r="BV30" s="497"/>
    </row>
    <row r="31" spans="1:74" s="495" customFormat="1" ht="12.75" customHeight="1">
      <c r="A31" s="163" t="s">
        <v>904</v>
      </c>
      <c r="B31" s="163" t="s">
        <v>905</v>
      </c>
      <c r="C31" s="667"/>
      <c r="D31" s="668"/>
      <c r="E31" s="668"/>
      <c r="F31" s="669"/>
      <c r="G31" s="668"/>
      <c r="H31" s="668"/>
      <c r="I31" s="668"/>
      <c r="J31" s="669"/>
      <c r="K31" s="667"/>
      <c r="L31" s="668"/>
      <c r="M31" s="668"/>
      <c r="N31" s="669"/>
      <c r="O31" s="667"/>
      <c r="P31" s="668"/>
      <c r="Q31" s="668"/>
      <c r="R31" s="669"/>
      <c r="S31" s="667"/>
      <c r="T31" s="668"/>
      <c r="U31" s="668"/>
      <c r="V31" s="669"/>
      <c r="W31" s="667"/>
      <c r="X31" s="670"/>
      <c r="Y31" s="670"/>
      <c r="Z31" s="671"/>
      <c r="AA31" s="667"/>
      <c r="AB31" s="668"/>
      <c r="AC31" s="668"/>
      <c r="AD31" s="669"/>
      <c r="AE31" s="668"/>
      <c r="AF31" s="668"/>
      <c r="AG31" s="668"/>
      <c r="AH31" s="668"/>
      <c r="AI31" s="667"/>
      <c r="AJ31" s="668"/>
      <c r="AK31" s="668"/>
      <c r="AL31" s="669"/>
      <c r="AM31" s="667"/>
      <c r="AN31" s="668"/>
      <c r="AO31" s="668"/>
      <c r="AP31" s="669"/>
      <c r="AQ31" s="676">
        <v>1.22</v>
      </c>
      <c r="AR31" s="676">
        <v>1.19</v>
      </c>
      <c r="AS31" s="676">
        <v>1.1599999999999999</v>
      </c>
      <c r="AT31" s="677">
        <v>1.22</v>
      </c>
      <c r="AU31" s="676">
        <v>1.19</v>
      </c>
      <c r="AV31" s="676">
        <v>1.23</v>
      </c>
      <c r="AW31" s="676">
        <v>1.17</v>
      </c>
      <c r="AX31" s="678">
        <v>1.31</v>
      </c>
      <c r="AY31" s="679">
        <v>1.28</v>
      </c>
      <c r="AZ31" s="676">
        <v>1.28</v>
      </c>
      <c r="BA31" s="676">
        <v>1.26</v>
      </c>
      <c r="BB31" s="677">
        <v>1.3</v>
      </c>
      <c r="BC31" s="676">
        <v>1.3</v>
      </c>
      <c r="BD31" s="676">
        <v>1.44</v>
      </c>
      <c r="BE31" s="676">
        <v>1.44</v>
      </c>
      <c r="BF31" s="677">
        <v>1.44</v>
      </c>
      <c r="BG31" s="676">
        <v>1.42</v>
      </c>
      <c r="BH31" s="676">
        <v>1.63</v>
      </c>
      <c r="BI31" s="676">
        <v>1.57</v>
      </c>
      <c r="BJ31" s="677">
        <v>1.57</v>
      </c>
      <c r="BK31" s="676">
        <v>1.53</v>
      </c>
      <c r="BL31" s="676">
        <v>1.53</v>
      </c>
      <c r="BM31" s="676">
        <v>1.54</v>
      </c>
      <c r="BN31" s="677">
        <v>1.56</v>
      </c>
      <c r="BO31" s="676">
        <v>1.64</v>
      </c>
      <c r="BP31" s="676">
        <v>1.62</v>
      </c>
      <c r="BQ31" s="676">
        <v>1.7</v>
      </c>
      <c r="BR31" s="676">
        <v>1.81</v>
      </c>
      <c r="BS31" s="680">
        <v>1.86</v>
      </c>
      <c r="BT31" s="676"/>
      <c r="BU31" s="497"/>
      <c r="BV31" s="497"/>
    </row>
    <row r="32" spans="1:74" s="164" customFormat="1" ht="10.8">
      <c r="A32" s="163"/>
      <c r="B32" s="163"/>
      <c r="C32" s="616"/>
      <c r="D32" s="617"/>
      <c r="E32" s="617"/>
      <c r="F32" s="618"/>
      <c r="G32" s="617"/>
      <c r="H32" s="617"/>
      <c r="I32" s="617"/>
      <c r="J32" s="618"/>
      <c r="K32" s="616"/>
      <c r="L32" s="617"/>
      <c r="M32" s="617"/>
      <c r="N32" s="618"/>
      <c r="O32" s="616"/>
      <c r="P32" s="617"/>
      <c r="Q32" s="617"/>
      <c r="R32" s="618"/>
      <c r="S32" s="616"/>
      <c r="T32" s="617"/>
      <c r="U32" s="617"/>
      <c r="V32" s="618"/>
      <c r="W32" s="616"/>
      <c r="X32" s="617"/>
      <c r="Y32" s="617"/>
      <c r="Z32" s="618"/>
      <c r="AA32" s="616"/>
      <c r="AB32" s="617"/>
      <c r="AC32" s="617"/>
      <c r="AD32" s="618"/>
      <c r="AE32" s="617"/>
      <c r="AF32" s="617"/>
      <c r="AG32" s="617"/>
      <c r="AH32" s="617"/>
      <c r="AI32" s="616"/>
      <c r="AJ32" s="617"/>
      <c r="AK32" s="617"/>
      <c r="AL32" s="618"/>
      <c r="AM32" s="616"/>
      <c r="AN32" s="617"/>
      <c r="AO32" s="617"/>
      <c r="AP32" s="618"/>
      <c r="AQ32" s="616"/>
      <c r="AR32" s="617"/>
      <c r="AS32" s="617"/>
      <c r="AT32" s="618"/>
      <c r="AU32" s="616"/>
      <c r="AV32" s="617"/>
      <c r="AW32" s="617"/>
      <c r="AX32" s="623"/>
      <c r="AY32" s="624"/>
      <c r="AZ32" s="617"/>
      <c r="BA32" s="617"/>
      <c r="BB32" s="617"/>
      <c r="BC32" s="616"/>
      <c r="BD32" s="617"/>
      <c r="BE32" s="617"/>
      <c r="BF32" s="617"/>
      <c r="BG32" s="616"/>
      <c r="BH32" s="617"/>
      <c r="BI32" s="617"/>
      <c r="BJ32" s="617"/>
      <c r="BK32" s="616"/>
      <c r="BL32" s="617"/>
      <c r="BM32" s="617"/>
      <c r="BN32" s="617"/>
      <c r="BO32" s="616"/>
      <c r="BP32" s="617"/>
      <c r="BQ32" s="617"/>
      <c r="BR32" s="617"/>
      <c r="BS32" s="616"/>
      <c r="BT32" s="617"/>
      <c r="BU32" s="20"/>
      <c r="BV32" s="20"/>
    </row>
    <row r="33" spans="1:74" s="164" customFormat="1" ht="10.8">
      <c r="A33" s="177" t="s">
        <v>906</v>
      </c>
      <c r="B33" s="177" t="s">
        <v>907</v>
      </c>
      <c r="C33" s="616"/>
      <c r="D33" s="617"/>
      <c r="E33" s="617"/>
      <c r="F33" s="618"/>
      <c r="G33" s="617"/>
      <c r="H33" s="617"/>
      <c r="I33" s="617"/>
      <c r="J33" s="618"/>
      <c r="K33" s="616"/>
      <c r="L33" s="617"/>
      <c r="M33" s="617"/>
      <c r="N33" s="618"/>
      <c r="O33" s="616"/>
      <c r="P33" s="617"/>
      <c r="Q33" s="617"/>
      <c r="R33" s="618"/>
      <c r="S33" s="616"/>
      <c r="T33" s="617"/>
      <c r="U33" s="617"/>
      <c r="V33" s="618"/>
      <c r="W33" s="616"/>
      <c r="X33" s="617"/>
      <c r="Y33" s="617"/>
      <c r="Z33" s="618"/>
      <c r="AA33" s="616"/>
      <c r="AB33" s="617"/>
      <c r="AC33" s="617"/>
      <c r="AD33" s="618"/>
      <c r="AE33" s="617"/>
      <c r="AF33" s="617"/>
      <c r="AG33" s="617"/>
      <c r="AH33" s="617"/>
      <c r="AI33" s="616"/>
      <c r="AJ33" s="617"/>
      <c r="AK33" s="617"/>
      <c r="AL33" s="618"/>
      <c r="AM33" s="616"/>
      <c r="AN33" s="617"/>
      <c r="AO33" s="617"/>
      <c r="AP33" s="618"/>
      <c r="AQ33" s="616"/>
      <c r="AR33" s="617"/>
      <c r="AS33" s="617"/>
      <c r="AT33" s="618"/>
      <c r="AU33" s="616"/>
      <c r="AV33" s="681"/>
      <c r="AW33" s="681"/>
      <c r="AX33" s="682"/>
      <c r="AY33" s="624"/>
      <c r="AZ33" s="681"/>
      <c r="BA33" s="681"/>
      <c r="BB33" s="681"/>
      <c r="BC33" s="616"/>
      <c r="BD33" s="681"/>
      <c r="BE33" s="681"/>
      <c r="BF33" s="681"/>
      <c r="BG33" s="616"/>
      <c r="BH33" s="681"/>
      <c r="BI33" s="681"/>
      <c r="BJ33" s="681"/>
      <c r="BK33" s="616"/>
      <c r="BL33" s="681"/>
      <c r="BM33" s="681"/>
      <c r="BN33" s="681"/>
      <c r="BO33" s="616"/>
      <c r="BP33" s="681"/>
      <c r="BQ33" s="681"/>
      <c r="BR33" s="681"/>
      <c r="BS33" s="616"/>
      <c r="BT33" s="681"/>
      <c r="BU33" s="320"/>
      <c r="BV33" s="320"/>
    </row>
    <row r="34" spans="1:74" s="164" customFormat="1" ht="10.8">
      <c r="A34" s="163" t="s">
        <v>908</v>
      </c>
      <c r="B34" s="163" t="s">
        <v>909</v>
      </c>
      <c r="C34" s="683">
        <v>1.3</v>
      </c>
      <c r="D34" s="684">
        <v>1.2</v>
      </c>
      <c r="E34" s="684">
        <v>1.2</v>
      </c>
      <c r="F34" s="685">
        <v>1.2</v>
      </c>
      <c r="G34" s="686">
        <f t="shared" ref="G34:AW34" si="0">SUM(D11:G11)/AVERAGE(C14:G14)*100</f>
        <v>1.1570517500521229</v>
      </c>
      <c r="H34" s="686">
        <f t="shared" si="0"/>
        <v>1.2589176316876189</v>
      </c>
      <c r="I34" s="686">
        <f t="shared" si="0"/>
        <v>1.1534066954237272</v>
      </c>
      <c r="J34" s="687">
        <f t="shared" si="0"/>
        <v>0.72391806430745886</v>
      </c>
      <c r="K34" s="688">
        <f t="shared" si="0"/>
        <v>0.54411853260928289</v>
      </c>
      <c r="L34" s="686">
        <f t="shared" si="0"/>
        <v>0.45929914668496952</v>
      </c>
      <c r="M34" s="686">
        <f t="shared" si="0"/>
        <v>0.5202623580767074</v>
      </c>
      <c r="N34" s="687">
        <f t="shared" si="0"/>
        <v>0.91140879816560361</v>
      </c>
      <c r="O34" s="688">
        <f t="shared" si="0"/>
        <v>1.0844579215277594</v>
      </c>
      <c r="P34" s="686">
        <f t="shared" si="0"/>
        <v>1.1215399707496736</v>
      </c>
      <c r="Q34" s="686">
        <f t="shared" si="0"/>
        <v>1.1003673052517613</v>
      </c>
      <c r="R34" s="687">
        <f t="shared" si="0"/>
        <v>1.2137044981684035</v>
      </c>
      <c r="S34" s="688">
        <f t="shared" si="0"/>
        <v>1.2461856220444401</v>
      </c>
      <c r="T34" s="686">
        <f t="shared" si="0"/>
        <v>1.2911733493114412</v>
      </c>
      <c r="U34" s="686">
        <f t="shared" si="0"/>
        <v>1.28580923277552</v>
      </c>
      <c r="V34" s="687">
        <f t="shared" si="0"/>
        <v>1.2894191445851866</v>
      </c>
      <c r="W34" s="688">
        <f t="shared" si="0"/>
        <v>1.3453256559089319</v>
      </c>
      <c r="X34" s="686">
        <f t="shared" si="0"/>
        <v>1.2347090172236814</v>
      </c>
      <c r="Y34" s="686">
        <f t="shared" si="0"/>
        <v>1.1901368400121808</v>
      </c>
      <c r="Z34" s="687">
        <f t="shared" si="0"/>
        <v>1.1427945315022991</v>
      </c>
      <c r="AA34" s="688">
        <f t="shared" si="0"/>
        <v>1.1022844761804449</v>
      </c>
      <c r="AB34" s="686">
        <f t="shared" si="0"/>
        <v>1.1393493107709507</v>
      </c>
      <c r="AC34" s="686">
        <f t="shared" si="0"/>
        <v>1.137372077199919</v>
      </c>
      <c r="AD34" s="687">
        <f t="shared" si="0"/>
        <v>1.1748496400182504</v>
      </c>
      <c r="AE34" s="689">
        <f t="shared" si="0"/>
        <v>1.1300177324405358</v>
      </c>
      <c r="AF34" s="689">
        <f t="shared" si="0"/>
        <v>1.1514869033859894</v>
      </c>
      <c r="AG34" s="689">
        <f t="shared" si="0"/>
        <v>1.1557616637213128</v>
      </c>
      <c r="AH34" s="689">
        <f t="shared" si="0"/>
        <v>1.0978628649336462</v>
      </c>
      <c r="AI34" s="688">
        <f t="shared" si="0"/>
        <v>1.0689405942211263</v>
      </c>
      <c r="AJ34" s="686">
        <f t="shared" si="0"/>
        <v>1.1030942719040875</v>
      </c>
      <c r="AK34" s="686">
        <f t="shared" si="0"/>
        <v>1.1146972263283337</v>
      </c>
      <c r="AL34" s="687">
        <f t="shared" si="0"/>
        <v>1.0655765449867127</v>
      </c>
      <c r="AM34" s="688">
        <f t="shared" si="0"/>
        <v>1.0385943200003989</v>
      </c>
      <c r="AN34" s="689">
        <f t="shared" si="0"/>
        <v>1.0702728055531974</v>
      </c>
      <c r="AO34" s="689">
        <f t="shared" si="0"/>
        <v>1.0634347015050634</v>
      </c>
      <c r="AP34" s="690">
        <f t="shared" si="0"/>
        <v>1.0966347927824105</v>
      </c>
      <c r="AQ34" s="688">
        <f t="shared" si="0"/>
        <v>1.113203151962338</v>
      </c>
      <c r="AR34" s="686">
        <f t="shared" si="0"/>
        <v>1.0595100689552084</v>
      </c>
      <c r="AS34" s="686">
        <f t="shared" si="0"/>
        <v>1.0843753537740994</v>
      </c>
      <c r="AT34" s="687">
        <f t="shared" si="0"/>
        <v>1.1599940210414363</v>
      </c>
      <c r="AU34" s="691">
        <f t="shared" si="0"/>
        <v>1.1588022619820151</v>
      </c>
      <c r="AV34" s="686">
        <f t="shared" si="0"/>
        <v>1.1453613820885384</v>
      </c>
      <c r="AW34" s="686">
        <f t="shared" si="0"/>
        <v>1.1220488127881438</v>
      </c>
      <c r="AX34" s="692">
        <f t="shared" ref="AX34:BS34" si="1">SUM(AU11:AX11)/AVERAGE(AT14:AX14)*100</f>
        <v>1.1530651191974823</v>
      </c>
      <c r="AY34" s="693">
        <f t="shared" si="1"/>
        <v>1.1212976457819197</v>
      </c>
      <c r="AZ34" s="686">
        <f t="shared" si="1"/>
        <v>1.1532731647009047</v>
      </c>
      <c r="BA34" s="686">
        <f t="shared" si="1"/>
        <v>1.1387998010530471</v>
      </c>
      <c r="BB34" s="686">
        <f t="shared" si="1"/>
        <v>1.1013009652965704</v>
      </c>
      <c r="BC34" s="691">
        <f t="shared" si="1"/>
        <v>1.0233323612261636</v>
      </c>
      <c r="BD34" s="686">
        <f t="shared" si="1"/>
        <v>0.88608655706498962</v>
      </c>
      <c r="BE34" s="686">
        <f t="shared" si="1"/>
        <v>0.86566876318250863</v>
      </c>
      <c r="BF34" s="686">
        <f t="shared" si="1"/>
        <v>0.75832238407123909</v>
      </c>
      <c r="BG34" s="691">
        <f t="shared" si="1"/>
        <v>0.79283791646181812</v>
      </c>
      <c r="BH34" s="686">
        <f t="shared" si="1"/>
        <v>0.92936005696262292</v>
      </c>
      <c r="BI34" s="686">
        <f t="shared" si="1"/>
        <v>1.0129632535807156</v>
      </c>
      <c r="BJ34" s="686">
        <f t="shared" si="1"/>
        <v>1.1766273475456339</v>
      </c>
      <c r="BK34" s="691">
        <f t="shared" si="1"/>
        <v>1.3518423139040086</v>
      </c>
      <c r="BL34" s="686">
        <f t="shared" si="1"/>
        <v>1.3078997103363224</v>
      </c>
      <c r="BM34" s="686">
        <f t="shared" si="1"/>
        <v>0.82757228982482667</v>
      </c>
      <c r="BN34" s="686">
        <f t="shared" si="1"/>
        <v>0.81297690195291838</v>
      </c>
      <c r="BO34" s="691">
        <f t="shared" si="1"/>
        <v>0.84704825227052727</v>
      </c>
      <c r="BP34" s="686">
        <f t="shared" si="1"/>
        <v>1.0731142954378776</v>
      </c>
      <c r="BQ34" s="686">
        <f t="shared" si="1"/>
        <v>1.7147798917292627</v>
      </c>
      <c r="BR34" s="686">
        <f t="shared" si="1"/>
        <v>1.9293830761879742</v>
      </c>
      <c r="BS34" s="691">
        <f t="shared" si="1"/>
        <v>1.9073775280707552</v>
      </c>
      <c r="BT34" s="686"/>
      <c r="BU34" s="499"/>
      <c r="BV34" s="499"/>
    </row>
    <row r="35" spans="1:74" s="164" customFormat="1" ht="10.8">
      <c r="A35" s="163" t="s">
        <v>910</v>
      </c>
      <c r="B35" s="163" t="s">
        <v>911</v>
      </c>
      <c r="C35" s="683">
        <v>16.3</v>
      </c>
      <c r="D35" s="684">
        <v>16.3</v>
      </c>
      <c r="E35" s="684">
        <v>17</v>
      </c>
      <c r="F35" s="685">
        <v>16.7</v>
      </c>
      <c r="G35" s="684">
        <f t="shared" ref="G35:AW35" si="2">SUM(D11:G11)/AVERAGE(C20:G20)*100</f>
        <v>16.593565728335388</v>
      </c>
      <c r="H35" s="684">
        <f t="shared" si="2"/>
        <v>18.238422622908288</v>
      </c>
      <c r="I35" s="684">
        <f t="shared" si="2"/>
        <v>16.857851106962933</v>
      </c>
      <c r="J35" s="685">
        <f t="shared" si="2"/>
        <v>10.954147032493536</v>
      </c>
      <c r="K35" s="683">
        <f t="shared" si="2"/>
        <v>8.4824501860650958</v>
      </c>
      <c r="L35" s="684">
        <f t="shared" si="2"/>
        <v>7.084030611285562</v>
      </c>
      <c r="M35" s="684">
        <f t="shared" si="2"/>
        <v>7.8343021277175007</v>
      </c>
      <c r="N35" s="685">
        <f t="shared" si="2"/>
        <v>13.140230169314876</v>
      </c>
      <c r="O35" s="683">
        <f t="shared" si="2"/>
        <v>14.685590798897834</v>
      </c>
      <c r="P35" s="684">
        <f t="shared" si="2"/>
        <v>14.267095670590146</v>
      </c>
      <c r="Q35" s="684">
        <f t="shared" si="2"/>
        <v>13.340947046883</v>
      </c>
      <c r="R35" s="685">
        <f t="shared" si="2"/>
        <v>14.221992249760165</v>
      </c>
      <c r="S35" s="683">
        <f t="shared" si="2"/>
        <v>14.394941222026578</v>
      </c>
      <c r="T35" s="684">
        <f t="shared" si="2"/>
        <v>14.728310988153503</v>
      </c>
      <c r="U35" s="684">
        <f t="shared" si="2"/>
        <v>14.741449203666294</v>
      </c>
      <c r="V35" s="685">
        <f t="shared" si="2"/>
        <v>14.671952414929013</v>
      </c>
      <c r="W35" s="683">
        <f t="shared" si="2"/>
        <v>15.101518353064524</v>
      </c>
      <c r="X35" s="684">
        <f t="shared" si="2"/>
        <v>13.515145696615328</v>
      </c>
      <c r="Y35" s="684">
        <f t="shared" si="2"/>
        <v>12.675080191096194</v>
      </c>
      <c r="Z35" s="685">
        <f t="shared" si="2"/>
        <v>11.656111791117095</v>
      </c>
      <c r="AA35" s="683">
        <f t="shared" si="2"/>
        <v>10.932682391252783</v>
      </c>
      <c r="AB35" s="684">
        <f t="shared" si="2"/>
        <v>11.178454294027533</v>
      </c>
      <c r="AC35" s="684">
        <f t="shared" si="2"/>
        <v>11.207694374508655</v>
      </c>
      <c r="AD35" s="685">
        <f t="shared" si="2"/>
        <v>11.613160373940143</v>
      </c>
      <c r="AE35" s="626">
        <f t="shared" si="2"/>
        <v>11.345518733629429</v>
      </c>
      <c r="AF35" s="626">
        <f t="shared" si="2"/>
        <v>11.861809570244482</v>
      </c>
      <c r="AG35" s="626">
        <f t="shared" si="2"/>
        <v>11.815989694995032</v>
      </c>
      <c r="AH35" s="626">
        <f t="shared" si="2"/>
        <v>11.058053986509748</v>
      </c>
      <c r="AI35" s="683">
        <f t="shared" si="2"/>
        <v>10.759483265309481</v>
      </c>
      <c r="AJ35" s="684">
        <f t="shared" si="2"/>
        <v>11.244701489360409</v>
      </c>
      <c r="AK35" s="684">
        <f t="shared" si="2"/>
        <v>11.413032710558118</v>
      </c>
      <c r="AL35" s="685">
        <f t="shared" si="2"/>
        <v>11.001712245188829</v>
      </c>
      <c r="AM35" s="683">
        <f t="shared" si="2"/>
        <v>10.938502517838741</v>
      </c>
      <c r="AN35" s="626">
        <f t="shared" si="2"/>
        <v>11.41528369503361</v>
      </c>
      <c r="AO35" s="626">
        <f t="shared" si="2"/>
        <v>11.264321352242574</v>
      </c>
      <c r="AP35" s="627">
        <f t="shared" si="2"/>
        <v>11.686841157827388</v>
      </c>
      <c r="AQ35" s="683">
        <f t="shared" si="2"/>
        <v>12.045602205645544</v>
      </c>
      <c r="AR35" s="684">
        <f t="shared" si="2"/>
        <v>11.507644396722698</v>
      </c>
      <c r="AS35" s="684">
        <f t="shared" si="2"/>
        <v>11.764019883671768</v>
      </c>
      <c r="AT35" s="685">
        <f t="shared" si="2"/>
        <v>12.654951223735859</v>
      </c>
      <c r="AU35" s="625">
        <f t="shared" si="2"/>
        <v>12.495440260396203</v>
      </c>
      <c r="AV35" s="684">
        <f t="shared" si="2"/>
        <v>12.3594461481275</v>
      </c>
      <c r="AW35" s="684">
        <f t="shared" si="2"/>
        <v>12.173642330097746</v>
      </c>
      <c r="AX35" s="694">
        <f t="shared" ref="AX35:BS35" si="3">SUM(AU11:AX11)/AVERAGE(AT20:AX20)*100</f>
        <v>12.502769185326191</v>
      </c>
      <c r="AY35" s="629">
        <f t="shared" si="3"/>
        <v>12.147092768734833</v>
      </c>
      <c r="AZ35" s="684">
        <f t="shared" si="3"/>
        <v>12.492612929835143</v>
      </c>
      <c r="BA35" s="684">
        <f t="shared" si="3"/>
        <v>12.14067976104802</v>
      </c>
      <c r="BB35" s="684">
        <f t="shared" si="3"/>
        <v>11.608928803889098</v>
      </c>
      <c r="BC35" s="625">
        <f t="shared" si="3"/>
        <v>10.611568232748164</v>
      </c>
      <c r="BD35" s="684">
        <f t="shared" si="3"/>
        <v>9.0219139212503858</v>
      </c>
      <c r="BE35" s="684">
        <f t="shared" si="3"/>
        <v>8.7055846857307575</v>
      </c>
      <c r="BF35" s="684">
        <f t="shared" si="3"/>
        <v>7.5987997350418546</v>
      </c>
      <c r="BG35" s="625">
        <f t="shared" si="3"/>
        <v>8.0569202963113842</v>
      </c>
      <c r="BH35" s="684">
        <f t="shared" si="3"/>
        <v>9.6569180400033048</v>
      </c>
      <c r="BI35" s="684">
        <f t="shared" si="3"/>
        <v>10.842340862058251</v>
      </c>
      <c r="BJ35" s="684">
        <f t="shared" si="3"/>
        <v>13.576893577575866</v>
      </c>
      <c r="BK35" s="625">
        <f t="shared" si="3"/>
        <v>17.508985001141266</v>
      </c>
      <c r="BL35" s="684">
        <f t="shared" si="3"/>
        <v>19.742254717329498</v>
      </c>
      <c r="BM35" s="684">
        <f t="shared" si="3"/>
        <v>14.995337694131781</v>
      </c>
      <c r="BN35" s="684">
        <f t="shared" si="3"/>
        <v>17.432933438814924</v>
      </c>
      <c r="BO35" s="625">
        <f t="shared" si="3"/>
        <v>19.521492520120905</v>
      </c>
      <c r="BP35" s="684">
        <f t="shared" si="3"/>
        <v>24.203106032752807</v>
      </c>
      <c r="BQ35" s="684">
        <f t="shared" si="3"/>
        <v>34.157652347047446</v>
      </c>
      <c r="BR35" s="684">
        <f t="shared" si="3"/>
        <v>33.918383245881358</v>
      </c>
      <c r="BS35" s="625">
        <f t="shared" si="3"/>
        <v>30.760645405988861</v>
      </c>
      <c r="BT35" s="684"/>
      <c r="BU35" s="498"/>
      <c r="BV35" s="498"/>
    </row>
    <row r="36" spans="1:74" s="164" customFormat="1" ht="10.8">
      <c r="A36" s="500" t="s">
        <v>912</v>
      </c>
      <c r="B36" s="500" t="s">
        <v>913</v>
      </c>
      <c r="C36" s="683">
        <f>-C8/C7*100</f>
        <v>62.333086053412458</v>
      </c>
      <c r="D36" s="684">
        <f t="shared" ref="D36:AP36" si="4">(ROUND(D8/D7*100,1))*-1</f>
        <v>66.099999999999994</v>
      </c>
      <c r="E36" s="684">
        <f t="shared" si="4"/>
        <v>65.8</v>
      </c>
      <c r="F36" s="685">
        <f t="shared" si="4"/>
        <v>75</v>
      </c>
      <c r="G36" s="684">
        <f t="shared" si="4"/>
        <v>63.1</v>
      </c>
      <c r="H36" s="684">
        <f t="shared" si="4"/>
        <v>62.3</v>
      </c>
      <c r="I36" s="684">
        <f t="shared" si="4"/>
        <v>65.7</v>
      </c>
      <c r="J36" s="685">
        <f t="shared" si="4"/>
        <v>111.4</v>
      </c>
      <c r="K36" s="683">
        <f t="shared" si="4"/>
        <v>65.3</v>
      </c>
      <c r="L36" s="684">
        <f t="shared" si="4"/>
        <v>56.1</v>
      </c>
      <c r="M36" s="684">
        <f t="shared" si="4"/>
        <v>56.1</v>
      </c>
      <c r="N36" s="685">
        <f t="shared" si="4"/>
        <v>60.2</v>
      </c>
      <c r="O36" s="683">
        <f t="shared" si="4"/>
        <v>59.6</v>
      </c>
      <c r="P36" s="684">
        <f t="shared" si="4"/>
        <v>59.6</v>
      </c>
      <c r="Q36" s="684">
        <f t="shared" si="4"/>
        <v>58.5</v>
      </c>
      <c r="R36" s="685">
        <f t="shared" si="4"/>
        <v>56.7</v>
      </c>
      <c r="S36" s="683">
        <f t="shared" si="4"/>
        <v>56.3</v>
      </c>
      <c r="T36" s="684">
        <f t="shared" si="4"/>
        <v>56.9</v>
      </c>
      <c r="U36" s="684">
        <f t="shared" si="4"/>
        <v>58.7</v>
      </c>
      <c r="V36" s="685">
        <f t="shared" si="4"/>
        <v>55.7</v>
      </c>
      <c r="W36" s="683">
        <f t="shared" si="4"/>
        <v>55.4</v>
      </c>
      <c r="X36" s="684">
        <f t="shared" si="4"/>
        <v>57.9</v>
      </c>
      <c r="Y36" s="684">
        <f t="shared" si="4"/>
        <v>58.2</v>
      </c>
      <c r="Z36" s="685">
        <f t="shared" si="4"/>
        <v>58.7</v>
      </c>
      <c r="AA36" s="683">
        <f t="shared" si="4"/>
        <v>55.8</v>
      </c>
      <c r="AB36" s="684">
        <f t="shared" si="4"/>
        <v>58.6</v>
      </c>
      <c r="AC36" s="684">
        <f t="shared" si="4"/>
        <v>56.6</v>
      </c>
      <c r="AD36" s="685">
        <f t="shared" si="4"/>
        <v>53.7</v>
      </c>
      <c r="AE36" s="626">
        <f t="shared" si="4"/>
        <v>53.3</v>
      </c>
      <c r="AF36" s="626">
        <f t="shared" si="4"/>
        <v>53.5</v>
      </c>
      <c r="AG36" s="626">
        <f t="shared" si="4"/>
        <v>54.6</v>
      </c>
      <c r="AH36" s="626">
        <f t="shared" si="4"/>
        <v>56.4</v>
      </c>
      <c r="AI36" s="683">
        <f t="shared" si="4"/>
        <v>54.7</v>
      </c>
      <c r="AJ36" s="684">
        <f t="shared" si="4"/>
        <v>51.2</v>
      </c>
      <c r="AK36" s="684">
        <f t="shared" si="4"/>
        <v>54.4</v>
      </c>
      <c r="AL36" s="685">
        <f t="shared" si="4"/>
        <v>68</v>
      </c>
      <c r="AM36" s="683">
        <f t="shared" si="4"/>
        <v>52.2</v>
      </c>
      <c r="AN36" s="626">
        <f t="shared" si="4"/>
        <v>44.9</v>
      </c>
      <c r="AO36" s="626">
        <f t="shared" si="4"/>
        <v>48</v>
      </c>
      <c r="AP36" s="627">
        <f t="shared" si="4"/>
        <v>49.7</v>
      </c>
      <c r="AQ36" s="683">
        <f>-ROUND(AQ8/AQ7*100,1)</f>
        <v>49.8</v>
      </c>
      <c r="AR36" s="684">
        <f>-ROUND(AR8/AR7*100,1)</f>
        <v>43</v>
      </c>
      <c r="AS36" s="684">
        <f>-ROUND(AS8/AS7*100,1)</f>
        <v>43.6</v>
      </c>
      <c r="AT36" s="685">
        <f>-ROUND(AT8/AT7*100,1)</f>
        <v>43.1</v>
      </c>
      <c r="AU36" s="625">
        <f t="shared" ref="AU36:BP36" si="5">-ROUND(AU8/AU7*100,1)</f>
        <v>50</v>
      </c>
      <c r="AV36" s="684">
        <f t="shared" si="5"/>
        <v>42.4</v>
      </c>
      <c r="AW36" s="684">
        <f t="shared" si="5"/>
        <v>44.2</v>
      </c>
      <c r="AX36" s="694">
        <f t="shared" si="5"/>
        <v>41.7</v>
      </c>
      <c r="AY36" s="629">
        <f t="shared" si="5"/>
        <v>52</v>
      </c>
      <c r="AZ36" s="684">
        <f t="shared" si="5"/>
        <v>40</v>
      </c>
      <c r="BA36" s="684">
        <f t="shared" si="5"/>
        <v>41.1</v>
      </c>
      <c r="BB36" s="684">
        <f t="shared" si="5"/>
        <v>39.700000000000003</v>
      </c>
      <c r="BC36" s="625">
        <f t="shared" si="5"/>
        <v>49.6</v>
      </c>
      <c r="BD36" s="684">
        <f t="shared" si="5"/>
        <v>42.2</v>
      </c>
      <c r="BE36" s="684">
        <f t="shared" si="5"/>
        <v>43</v>
      </c>
      <c r="BF36" s="684">
        <f t="shared" si="5"/>
        <v>42.5</v>
      </c>
      <c r="BG36" s="625">
        <f t="shared" si="5"/>
        <v>51.2</v>
      </c>
      <c r="BH36" s="684">
        <f t="shared" si="5"/>
        <v>41.7</v>
      </c>
      <c r="BI36" s="684">
        <f t="shared" si="5"/>
        <v>39.6</v>
      </c>
      <c r="BJ36" s="684">
        <f t="shared" si="5"/>
        <v>40.200000000000003</v>
      </c>
      <c r="BK36" s="625">
        <f t="shared" si="5"/>
        <v>40.4</v>
      </c>
      <c r="BL36" s="684">
        <f t="shared" si="5"/>
        <v>50.5</v>
      </c>
      <c r="BM36" s="684">
        <f t="shared" si="5"/>
        <v>113.7</v>
      </c>
      <c r="BN36" s="684">
        <f t="shared" si="5"/>
        <v>29.7</v>
      </c>
      <c r="BO36" s="625">
        <f t="shared" si="5"/>
        <v>40.799999999999997</v>
      </c>
      <c r="BP36" s="684">
        <f t="shared" si="5"/>
        <v>32.299999999999997</v>
      </c>
      <c r="BQ36" s="684">
        <f>-ROUND(BQ8/BQ7*100,1)</f>
        <v>32.299999999999997</v>
      </c>
      <c r="BR36" s="684">
        <f>-ROUND(BR8/BR7*100,1)</f>
        <v>33.9</v>
      </c>
      <c r="BS36" s="625">
        <f t="shared" ref="BS36" si="6">-ROUND(BS8/BS7*100,1)</f>
        <v>39.5</v>
      </c>
      <c r="BT36" s="684"/>
      <c r="BU36" s="498"/>
      <c r="BV36" s="498"/>
    </row>
    <row r="37" spans="1:74" s="164" customFormat="1" ht="10.8">
      <c r="A37" s="500" t="s">
        <v>914</v>
      </c>
      <c r="B37" s="500" t="s">
        <v>915</v>
      </c>
      <c r="C37" s="683">
        <f>-C8/C7*100</f>
        <v>62.333086053412458</v>
      </c>
      <c r="D37" s="684">
        <f>((+C8+D8)/(C7+D7)*100)*-1</f>
        <v>64.16996419822874</v>
      </c>
      <c r="E37" s="684">
        <f>((+C8+D8+E8)/(C7+D7+E7)*100)*-1</f>
        <v>64.725322691276418</v>
      </c>
      <c r="F37" s="685">
        <f>((+C8+D8+E8+F8)/(C7+D7+E7+F7)*100)*-1</f>
        <v>67.075930473301554</v>
      </c>
      <c r="G37" s="684">
        <f>(+G8/G7*100)*-1</f>
        <v>63.102797322807604</v>
      </c>
      <c r="H37" s="684">
        <f>((+G8+H8)/(G7+H7)*100)*-1</f>
        <v>62.694472029129415</v>
      </c>
      <c r="I37" s="684">
        <f>((+G8+H8+I8)/(G7+H7+I7)*100)*-1</f>
        <v>63.726348025812086</v>
      </c>
      <c r="J37" s="684">
        <f>((+G8+H8+I8+J8)/(G7+H7+I7+J7)*100)*-1</f>
        <v>70.52286049237982</v>
      </c>
      <c r="K37" s="683">
        <f>(+K8/K7*100)*-1</f>
        <v>65.336658354114718</v>
      </c>
      <c r="L37" s="684">
        <f>((+K8+L8)/(K7+L7)*100)*-1</f>
        <v>60.24790083966414</v>
      </c>
      <c r="M37" s="684">
        <f>((+K8+L8+M8)/(K7+L7+M7)*100)*-1</f>
        <v>58.742151207310222</v>
      </c>
      <c r="N37" s="685">
        <f>((+K8+L8+M8+N8)/(K7+L7+M7+N7)*100)*-1</f>
        <v>59.087342070156154</v>
      </c>
      <c r="O37" s="683">
        <f>(+O8/O7*100)*-1</f>
        <v>59.577039274924481</v>
      </c>
      <c r="P37" s="684">
        <f>((+O8+P8)/(O7+P7)*100)*-1</f>
        <v>59.613239122350315</v>
      </c>
      <c r="Q37" s="684">
        <f>((+O8+P8+Q8)/(O7+P7+Q7)*100)*-1</f>
        <v>59.216049985355859</v>
      </c>
      <c r="R37" s="684">
        <f>((+O8+P8+Q8+R8)/(O7+P7+Q7+R7)*100)*-1</f>
        <v>58.586924868957489</v>
      </c>
      <c r="S37" s="683">
        <f>(+S8/S7*100)*-1</f>
        <v>56.283710895361374</v>
      </c>
      <c r="T37" s="684">
        <f>((+S8+T8)/(S7+T7)*100)*-1</f>
        <v>56.571847311971226</v>
      </c>
      <c r="U37" s="684">
        <f>((+S8+T8+U8)/(S7+T7+U7)*100)*-1</f>
        <v>57.261058186859884</v>
      </c>
      <c r="V37" s="685">
        <f>((+S8+T8+U8+V8)/(S7+T7+U7+V7)*100)*-1</f>
        <v>56.856187290969906</v>
      </c>
      <c r="W37" s="683">
        <f>(+W8/W7*100)*-1</f>
        <v>55.427170868347339</v>
      </c>
      <c r="X37" s="684">
        <f>((+W8+X8)/(W7+X7)*100)*-1</f>
        <v>56.610251159429012</v>
      </c>
      <c r="Y37" s="684">
        <f>((+X8+Y8+W8)/(X7+Y7+W7)*100)*-1</f>
        <v>57.116743845966369</v>
      </c>
      <c r="Z37" s="685">
        <f>((+Y8+W8+X8+Z8)/(Y7+W7+X7+Z7)*100)*-1</f>
        <v>57.50824319743613</v>
      </c>
      <c r="AA37" s="683">
        <f>((+AA8/AA7)*100)*-1</f>
        <v>55.797269150659567</v>
      </c>
      <c r="AB37" s="684">
        <f>((+AA8+AB8)/(AA7+AB7)*100)*-1</f>
        <v>57.153071560507676</v>
      </c>
      <c r="AC37" s="684">
        <f>((+AA8+AC8+AB8)/(AA7+AC7+AB7)*100)*-1</f>
        <v>56.961516831364989</v>
      </c>
      <c r="AD37" s="685">
        <f>((+AA8+AD8+AC8+AB8)/(AA7+AD7+AC7+AB7)*100)*-1</f>
        <v>56.133393420459669</v>
      </c>
      <c r="AE37" s="683">
        <f>((+AE8/AE7)*100)*-1</f>
        <v>53.315229689975119</v>
      </c>
      <c r="AF37" s="684">
        <f>((+AE8+AF8)/(AE7+AF7)*100)*-1</f>
        <v>53.421274207128825</v>
      </c>
      <c r="AG37" s="684">
        <f>((+AE8+AG8+AF8)/(AE7+AG7+AF7)*100)*-1</f>
        <v>53.800209048827831</v>
      </c>
      <c r="AH37" s="684">
        <f>((+AE8+AH8+AF8+AG8)/(AE7+AH7+AF7+AG7)*100)*-1</f>
        <v>54.437485894831859</v>
      </c>
      <c r="AI37" s="683">
        <f>((+AI8)/(AI7)*100)*-1</f>
        <v>54.701986754966889</v>
      </c>
      <c r="AJ37" s="684">
        <f>((+AI8+AJ8)/(AI7+AJ7)*100)*-1</f>
        <v>52.871675320546785</v>
      </c>
      <c r="AK37" s="684">
        <f>((+AI8+AK8+AJ8)/(AI7+AK7+AJ7)*100)*-1</f>
        <v>53.37935917861568</v>
      </c>
      <c r="AL37" s="685">
        <f>((+AJ8+AL8+AK8+AI8)/(AJ7+AL7+AK7+AI7)*100)*-1</f>
        <v>57.057780365792318</v>
      </c>
      <c r="AM37" s="683">
        <f>(ROUND(AM8/AM7*100,1))*-1</f>
        <v>52.2</v>
      </c>
      <c r="AN37" s="684">
        <f>((+AM8+AN8)/(AM7+AN7)*100)*-1</f>
        <v>48.214285714285715</v>
      </c>
      <c r="AO37" s="684">
        <f>((+AN8+AO8+AM8)/(AN7+AO7+AM7)*100)*-1</f>
        <v>48.13427010148321</v>
      </c>
      <c r="AP37" s="685">
        <f>((+AN8+AP8+AM8+AO8)/(AN7+AP7+AM7+AO7)*100)*-1</f>
        <v>48.542027980113303</v>
      </c>
      <c r="AQ37" s="683">
        <f>-SUM($AQ$8:AQ8)/SUM($AQ$7:AQ7)*100</f>
        <v>49.81943098740421</v>
      </c>
      <c r="AR37" s="684">
        <f>-SUM($AQ$8:AR8)/SUM($AQ$7:AR7)*100</f>
        <v>46.314839486011437</v>
      </c>
      <c r="AS37" s="684">
        <f>-SUM($AQ$8:AS8)/SUM($AQ$7:AS7)*100</f>
        <v>45.380879778643639</v>
      </c>
      <c r="AT37" s="685">
        <f>-SUM($AQ$8:AT8)/SUM($AQ$7:AT7)*100</f>
        <v>44.784131177790364</v>
      </c>
      <c r="AU37" s="683">
        <f>-SUM($AU$8:AU8)/SUM($AU$7:AU7)*100</f>
        <v>49.988065876362484</v>
      </c>
      <c r="AV37" s="684">
        <f>-SUM($AU$8:AV8)/SUM($AU$7:AV7)*100</f>
        <v>46.094815161076689</v>
      </c>
      <c r="AW37" s="684">
        <f>-SUM($AU$8:AW8)/SUM($AU$7:AW7)*100</f>
        <v>45.455719080815904</v>
      </c>
      <c r="AX37" s="694">
        <f>-SUM($AU$8:AX8)/SUM($AU$7:AX7)*100</f>
        <v>44.469077287669137</v>
      </c>
      <c r="AY37" s="695">
        <f>-SUM($AY$8:AY8)/SUM($AY$7:AY7)*100</f>
        <v>52.016158118733301</v>
      </c>
      <c r="AZ37" s="684">
        <f>-SUM($AY$8:AZ8)/SUM($AY$7:AZ7)*100</f>
        <v>45.892511013215859</v>
      </c>
      <c r="BA37" s="684">
        <f>-SUM($AY$8:BA8)/SUM($AY$7:BA7)*100</f>
        <v>44.240764804158147</v>
      </c>
      <c r="BB37" s="684">
        <f>-SUM($AY$8:BB8)/SUM($AY$7:BB7)*100</f>
        <v>43.085363328962799</v>
      </c>
      <c r="BC37" s="683">
        <f>-SUM($BC$8:BC8)/SUM($BC$7:BC7)*100</f>
        <v>49.593652012542393</v>
      </c>
      <c r="BD37" s="684">
        <f>-SUM($BC$8:BD8)/SUM($BC$7:BD7)*100</f>
        <v>45.970469624040582</v>
      </c>
      <c r="BE37" s="684">
        <f>-SUM($BC$8:BE8)/SUM($BC$7:BE7)*100</f>
        <v>44.958827724826548</v>
      </c>
      <c r="BF37" s="684">
        <f>-SUM($BC$8:BF8)/SUM($BC$7:BF7)*100</f>
        <v>44.336912385446254</v>
      </c>
      <c r="BG37" s="683">
        <f>-SUM($BG$8:BG8)/SUM($BG$7:BG7)*100</f>
        <v>51.2455516014235</v>
      </c>
      <c r="BH37" s="684">
        <f>-SUM($BG$8:BH8)/SUM($BG$7:BH7)*100</f>
        <v>46.387832699619771</v>
      </c>
      <c r="BI37" s="684">
        <f>-SUM($BG$8:BI8)/SUM($BG$7:BI7)*100</f>
        <v>44.024655402844544</v>
      </c>
      <c r="BJ37" s="684">
        <f>-SUM($BG$8:BJ8)/SUM($BG$7:BJ7)*100</f>
        <v>42.983079354492595</v>
      </c>
      <c r="BK37" s="683">
        <f>-SUM($BK$8:BK8)/SUM($BK$7:BK7)*100</f>
        <v>40.425347222222214</v>
      </c>
      <c r="BL37" s="684">
        <f>-SUM($BK$8:BL8)/SUM($BK$7:BL7)*100</f>
        <v>45.558500406104386</v>
      </c>
      <c r="BM37" s="684">
        <f>-SUM($BK$8:BM8)/SUM($BK$7:BM7)*100</f>
        <v>54.676911683021657</v>
      </c>
      <c r="BN37" s="684">
        <f>-SUM($BK$8:BN8)/SUM($BK$7:BN7)*100</f>
        <v>47.164020615886656</v>
      </c>
      <c r="BO37" s="683">
        <f>-SUM($BO$8:BO8)/SUM($BO$7:BO7)*100</f>
        <v>40.778713535945322</v>
      </c>
      <c r="BP37" s="684">
        <f>-SUM($BO$8:BP8)/SUM($BO$7:BP7)*100</f>
        <v>36.365598995132679</v>
      </c>
      <c r="BQ37" s="684">
        <f>-SUM($BO$8:BQ8)/SUM($BO$7:BQ7)*100</f>
        <v>34.951243704190347</v>
      </c>
      <c r="BR37" s="684">
        <f>-SUM($BO$8:BR8)/SUM($BO$7:BR7)*100</f>
        <v>34.652918258784752</v>
      </c>
      <c r="BS37" s="683">
        <f>-SUM($BO$8:BS8)/SUM($BO$7:BS7)*100</f>
        <v>35.640455123864243</v>
      </c>
      <c r="BT37" s="684"/>
      <c r="BU37" s="498"/>
      <c r="BV37" s="498"/>
    </row>
    <row r="38" spans="1:74" s="164" customFormat="1" ht="12">
      <c r="A38" s="163" t="s">
        <v>916</v>
      </c>
      <c r="B38" s="163" t="s">
        <v>917</v>
      </c>
      <c r="C38" s="696" t="s">
        <v>28</v>
      </c>
      <c r="D38" s="697" t="s">
        <v>28</v>
      </c>
      <c r="E38" s="697" t="s">
        <v>28</v>
      </c>
      <c r="F38" s="698" t="s">
        <v>28</v>
      </c>
      <c r="G38" s="699">
        <v>2.04</v>
      </c>
      <c r="H38" s="699">
        <v>2.14</v>
      </c>
      <c r="I38" s="699">
        <v>2.15</v>
      </c>
      <c r="J38" s="700">
        <v>2.14</v>
      </c>
      <c r="K38" s="696">
        <v>2.08</v>
      </c>
      <c r="L38" s="697">
        <v>2.11</v>
      </c>
      <c r="M38" s="697">
        <v>2.1800000000000002</v>
      </c>
      <c r="N38" s="698">
        <v>2.25</v>
      </c>
      <c r="O38" s="701">
        <v>2.4500000000000002</v>
      </c>
      <c r="P38" s="699">
        <v>2.58</v>
      </c>
      <c r="Q38" s="699">
        <v>2.66</v>
      </c>
      <c r="R38" s="700">
        <v>2.78</v>
      </c>
      <c r="S38" s="696">
        <v>2.79</v>
      </c>
      <c r="T38" s="697">
        <v>2.83</v>
      </c>
      <c r="U38" s="697">
        <v>2.84</v>
      </c>
      <c r="V38" s="698">
        <v>2.87</v>
      </c>
      <c r="W38" s="701">
        <v>2.89</v>
      </c>
      <c r="X38" s="699">
        <v>2.94</v>
      </c>
      <c r="Y38" s="699">
        <v>2.95</v>
      </c>
      <c r="Z38" s="700">
        <v>2.94</v>
      </c>
      <c r="AA38" s="696">
        <v>2.87</v>
      </c>
      <c r="AB38" s="697">
        <v>2.76</v>
      </c>
      <c r="AC38" s="697">
        <v>2.69</v>
      </c>
      <c r="AD38" s="698">
        <v>2.68</v>
      </c>
      <c r="AE38" s="699">
        <v>2.73</v>
      </c>
      <c r="AF38" s="699">
        <v>2.73</v>
      </c>
      <c r="AG38" s="699">
        <v>2.72</v>
      </c>
      <c r="AH38" s="699">
        <v>2.67</v>
      </c>
      <c r="AI38" s="696">
        <v>2.56</v>
      </c>
      <c r="AJ38" s="697">
        <v>2.4700000000000002</v>
      </c>
      <c r="AK38" s="697">
        <v>2.4300000000000002</v>
      </c>
      <c r="AL38" s="698">
        <v>2.4500000000000002</v>
      </c>
      <c r="AM38" s="701">
        <v>2.48</v>
      </c>
      <c r="AN38" s="699">
        <v>2.5</v>
      </c>
      <c r="AO38" s="699">
        <v>2.57</v>
      </c>
      <c r="AP38" s="690">
        <v>2.6973078796021999</v>
      </c>
      <c r="AQ38" s="688">
        <v>2.7616096361984348</v>
      </c>
      <c r="AR38" s="686">
        <v>2.8498695753387189</v>
      </c>
      <c r="AS38" s="686">
        <v>2.886485130106327</v>
      </c>
      <c r="AT38" s="687">
        <v>2.9085817664687057</v>
      </c>
      <c r="AU38" s="691">
        <v>2.9230328533561418</v>
      </c>
      <c r="AV38" s="686">
        <v>2.9381898622030058</v>
      </c>
      <c r="AW38" s="686">
        <v>2.9372939042121442</v>
      </c>
      <c r="AX38" s="692">
        <v>2.9265624564534387</v>
      </c>
      <c r="AY38" s="693">
        <v>2.9503217755023572</v>
      </c>
      <c r="AZ38" s="686">
        <v>2.9558172907793048</v>
      </c>
      <c r="BA38" s="686">
        <v>2.9677428845388678</v>
      </c>
      <c r="BB38" s="686">
        <v>2.9572358709271938</v>
      </c>
      <c r="BC38" s="691">
        <v>2.9281139805649969</v>
      </c>
      <c r="BD38" s="686">
        <v>2.8226170417619452</v>
      </c>
      <c r="BE38" s="686">
        <v>2.7059668743830385</v>
      </c>
      <c r="BF38" s="686">
        <v>2.6281094878583171</v>
      </c>
      <c r="BG38" s="691">
        <v>2.5177469684577365</v>
      </c>
      <c r="BH38" s="686">
        <v>2.4886506059006157</v>
      </c>
      <c r="BI38" s="686">
        <v>2.4931753462534632</v>
      </c>
      <c r="BJ38" s="686">
        <v>2.5908451002337016</v>
      </c>
      <c r="BK38" s="691">
        <v>2.8345265901705901</v>
      </c>
      <c r="BL38" s="686">
        <v>3.160639044378708</v>
      </c>
      <c r="BM38" s="686">
        <v>2.5959359639958084</v>
      </c>
      <c r="BN38" s="686">
        <v>2.7495457666153817</v>
      </c>
      <c r="BO38" s="691">
        <v>2.7420339991585458</v>
      </c>
      <c r="BP38" s="686">
        <v>2.7685133562589828</v>
      </c>
      <c r="BQ38" s="686">
        <v>3.5878811633001799</v>
      </c>
      <c r="BR38" s="686">
        <v>3.6334439605584223</v>
      </c>
      <c r="BS38" s="691">
        <v>3.6486659439988114</v>
      </c>
      <c r="BT38" s="686"/>
      <c r="BU38" s="499"/>
      <c r="BV38" s="499"/>
    </row>
    <row r="39" spans="1:74" s="150" customFormat="1" ht="10.8">
      <c r="A39" s="202"/>
      <c r="B39" s="202"/>
      <c r="C39" s="616"/>
      <c r="D39" s="617"/>
      <c r="E39" s="617"/>
      <c r="F39" s="618"/>
      <c r="G39" s="617"/>
      <c r="H39" s="617"/>
      <c r="I39" s="617"/>
      <c r="J39" s="618"/>
      <c r="K39" s="616"/>
      <c r="L39" s="617"/>
      <c r="M39" s="617"/>
      <c r="N39" s="618"/>
      <c r="O39" s="616"/>
      <c r="P39" s="617"/>
      <c r="Q39" s="617"/>
      <c r="R39" s="618"/>
      <c r="S39" s="616"/>
      <c r="T39" s="617"/>
      <c r="U39" s="617"/>
      <c r="V39" s="618"/>
      <c r="W39" s="616"/>
      <c r="X39" s="617"/>
      <c r="Y39" s="617"/>
      <c r="Z39" s="618"/>
      <c r="AA39" s="616"/>
      <c r="AB39" s="617"/>
      <c r="AC39" s="617"/>
      <c r="AD39" s="618"/>
      <c r="AE39" s="617"/>
      <c r="AF39" s="617"/>
      <c r="AG39" s="617"/>
      <c r="AH39" s="617"/>
      <c r="AI39" s="616"/>
      <c r="AJ39" s="617"/>
      <c r="AK39" s="617"/>
      <c r="AL39" s="618"/>
      <c r="AM39" s="616"/>
      <c r="AN39" s="617"/>
      <c r="AO39" s="617"/>
      <c r="AP39" s="618"/>
      <c r="AQ39" s="616"/>
      <c r="AR39" s="617"/>
      <c r="AS39" s="617"/>
      <c r="AT39" s="618"/>
      <c r="AU39" s="616"/>
      <c r="AV39" s="617"/>
      <c r="AW39" s="617"/>
      <c r="AX39" s="623"/>
      <c r="AY39" s="624"/>
      <c r="AZ39" s="617"/>
      <c r="BA39" s="617"/>
      <c r="BB39" s="617"/>
      <c r="BC39" s="616"/>
      <c r="BD39" s="617"/>
      <c r="BE39" s="617"/>
      <c r="BF39" s="617"/>
      <c r="BG39" s="616"/>
      <c r="BH39" s="617"/>
      <c r="BI39" s="617"/>
      <c r="BJ39" s="617"/>
      <c r="BK39" s="616"/>
      <c r="BL39" s="617"/>
      <c r="BM39" s="617"/>
      <c r="BN39" s="617"/>
      <c r="BO39" s="616"/>
      <c r="BP39" s="617"/>
      <c r="BQ39" s="617"/>
      <c r="BR39" s="617"/>
      <c r="BS39" s="616"/>
      <c r="BT39" s="617"/>
      <c r="BU39" s="20"/>
      <c r="BV39" s="20"/>
    </row>
    <row r="40" spans="1:74" s="150" customFormat="1" ht="10.8">
      <c r="A40" s="177" t="s">
        <v>918</v>
      </c>
      <c r="B40" s="177" t="s">
        <v>919</v>
      </c>
      <c r="C40" s="616"/>
      <c r="D40" s="617"/>
      <c r="E40" s="617"/>
      <c r="F40" s="618"/>
      <c r="G40" s="617"/>
      <c r="H40" s="617"/>
      <c r="I40" s="617"/>
      <c r="J40" s="618"/>
      <c r="K40" s="616"/>
      <c r="L40" s="617"/>
      <c r="M40" s="617"/>
      <c r="N40" s="618"/>
      <c r="O40" s="616"/>
      <c r="P40" s="617"/>
      <c r="Q40" s="617"/>
      <c r="R40" s="618"/>
      <c r="S40" s="616"/>
      <c r="T40" s="617"/>
      <c r="U40" s="617"/>
      <c r="V40" s="618"/>
      <c r="W40" s="616"/>
      <c r="X40" s="617"/>
      <c r="Y40" s="617"/>
      <c r="Z40" s="618"/>
      <c r="AA40" s="616"/>
      <c r="AB40" s="617"/>
      <c r="AC40" s="617"/>
      <c r="AD40" s="618"/>
      <c r="AE40" s="617"/>
      <c r="AF40" s="617"/>
      <c r="AG40" s="617"/>
      <c r="AH40" s="617"/>
      <c r="AI40" s="616"/>
      <c r="AJ40" s="617"/>
      <c r="AK40" s="617"/>
      <c r="AL40" s="618"/>
      <c r="AM40" s="616"/>
      <c r="AN40" s="617"/>
      <c r="AO40" s="617"/>
      <c r="AP40" s="618"/>
      <c r="AQ40" s="616"/>
      <c r="AR40" s="617"/>
      <c r="AS40" s="617"/>
      <c r="AT40" s="618"/>
      <c r="AU40" s="616"/>
      <c r="AV40" s="617"/>
      <c r="AW40" s="617"/>
      <c r="AX40" s="623"/>
      <c r="AY40" s="624"/>
      <c r="AZ40" s="617"/>
      <c r="BA40" s="617"/>
      <c r="BB40" s="617"/>
      <c r="BC40" s="616"/>
      <c r="BD40" s="617"/>
      <c r="BE40" s="617"/>
      <c r="BF40" s="617"/>
      <c r="BG40" s="616"/>
      <c r="BH40" s="617"/>
      <c r="BI40" s="617"/>
      <c r="BJ40" s="617"/>
      <c r="BK40" s="616"/>
      <c r="BL40" s="617"/>
      <c r="BM40" s="617"/>
      <c r="BN40" s="617"/>
      <c r="BO40" s="616"/>
      <c r="BP40" s="617"/>
      <c r="BQ40" s="617"/>
      <c r="BR40" s="617"/>
      <c r="BS40" s="616"/>
      <c r="BT40" s="617"/>
      <c r="BU40" s="20"/>
      <c r="BV40" s="20"/>
    </row>
    <row r="41" spans="1:74" s="150" customFormat="1" ht="12">
      <c r="A41" s="163" t="s">
        <v>920</v>
      </c>
      <c r="B41" s="163" t="s">
        <v>921</v>
      </c>
      <c r="C41" s="616">
        <v>130100000</v>
      </c>
      <c r="D41" s="617">
        <v>130100000</v>
      </c>
      <c r="E41" s="617">
        <v>130100000</v>
      </c>
      <c r="F41" s="618">
        <v>130100000</v>
      </c>
      <c r="G41" s="617">
        <v>130100000</v>
      </c>
      <c r="H41" s="617">
        <v>130100000</v>
      </c>
      <c r="I41" s="617">
        <v>130100000</v>
      </c>
      <c r="J41" s="617">
        <v>130100000</v>
      </c>
      <c r="K41" s="616">
        <v>130100000</v>
      </c>
      <c r="L41" s="617">
        <v>130100000</v>
      </c>
      <c r="M41" s="617">
        <v>130100000</v>
      </c>
      <c r="N41" s="618">
        <v>130100000</v>
      </c>
      <c r="O41" s="617">
        <v>130100000</v>
      </c>
      <c r="P41" s="617">
        <v>130100000</v>
      </c>
      <c r="Q41" s="617">
        <v>130100000</v>
      </c>
      <c r="R41" s="617">
        <v>130100000</v>
      </c>
      <c r="S41" s="616">
        <v>130100000</v>
      </c>
      <c r="T41" s="617">
        <v>130100000</v>
      </c>
      <c r="U41" s="617">
        <v>130100000</v>
      </c>
      <c r="V41" s="618">
        <v>130100000</v>
      </c>
      <c r="W41" s="616">
        <v>130100000</v>
      </c>
      <c r="X41" s="617">
        <v>130100000</v>
      </c>
      <c r="Y41" s="617">
        <v>130100000</v>
      </c>
      <c r="Z41" s="618">
        <v>130100000</v>
      </c>
      <c r="AA41" s="616">
        <v>130100000</v>
      </c>
      <c r="AB41" s="617">
        <v>130100000</v>
      </c>
      <c r="AC41" s="617">
        <v>130100000</v>
      </c>
      <c r="AD41" s="618">
        <v>130100000</v>
      </c>
      <c r="AE41" s="617">
        <v>130100000</v>
      </c>
      <c r="AF41" s="617">
        <v>130100000</v>
      </c>
      <c r="AG41" s="617">
        <v>130100000</v>
      </c>
      <c r="AH41" s="617">
        <v>130100000</v>
      </c>
      <c r="AI41" s="616">
        <v>130100000</v>
      </c>
      <c r="AJ41" s="617">
        <v>130100000</v>
      </c>
      <c r="AK41" s="617">
        <v>130100000</v>
      </c>
      <c r="AL41" s="618">
        <v>130100000</v>
      </c>
      <c r="AM41" s="616">
        <v>130100000</v>
      </c>
      <c r="AN41" s="617">
        <v>130100000</v>
      </c>
      <c r="AO41" s="617">
        <v>130100000</v>
      </c>
      <c r="AP41" s="618">
        <v>130100000</v>
      </c>
      <c r="AQ41" s="616">
        <v>130100000</v>
      </c>
      <c r="AR41" s="617">
        <v>130100000</v>
      </c>
      <c r="AS41" s="617">
        <v>130100000</v>
      </c>
      <c r="AT41" s="618">
        <v>130100000</v>
      </c>
      <c r="AU41" s="616">
        <v>130100000</v>
      </c>
      <c r="AV41" s="617">
        <v>130100000</v>
      </c>
      <c r="AW41" s="617">
        <v>130100000</v>
      </c>
      <c r="AX41" s="623">
        <v>130100000</v>
      </c>
      <c r="AY41" s="624">
        <v>130100000</v>
      </c>
      <c r="AZ41" s="617">
        <f>$AY$41</f>
        <v>130100000</v>
      </c>
      <c r="BA41" s="617">
        <f t="shared" ref="BA41:BS41" si="7">$AY$41</f>
        <v>130100000</v>
      </c>
      <c r="BB41" s="617">
        <f t="shared" si="7"/>
        <v>130100000</v>
      </c>
      <c r="BC41" s="616">
        <f t="shared" si="7"/>
        <v>130100000</v>
      </c>
      <c r="BD41" s="617">
        <f t="shared" si="7"/>
        <v>130100000</v>
      </c>
      <c r="BE41" s="617">
        <f t="shared" si="7"/>
        <v>130100000</v>
      </c>
      <c r="BF41" s="617">
        <f t="shared" si="7"/>
        <v>130100000</v>
      </c>
      <c r="BG41" s="616">
        <f t="shared" si="7"/>
        <v>130100000</v>
      </c>
      <c r="BH41" s="617">
        <f t="shared" si="7"/>
        <v>130100000</v>
      </c>
      <c r="BI41" s="617">
        <f t="shared" si="7"/>
        <v>130100000</v>
      </c>
      <c r="BJ41" s="617">
        <f t="shared" si="7"/>
        <v>130100000</v>
      </c>
      <c r="BK41" s="616">
        <f t="shared" si="7"/>
        <v>130100000</v>
      </c>
      <c r="BL41" s="617">
        <f t="shared" si="7"/>
        <v>130100000</v>
      </c>
      <c r="BM41" s="617">
        <f t="shared" si="7"/>
        <v>130100000</v>
      </c>
      <c r="BN41" s="617">
        <f t="shared" si="7"/>
        <v>130100000</v>
      </c>
      <c r="BO41" s="616">
        <f t="shared" si="7"/>
        <v>130100000</v>
      </c>
      <c r="BP41" s="617">
        <f t="shared" si="7"/>
        <v>130100000</v>
      </c>
      <c r="BQ41" s="617">
        <f t="shared" si="7"/>
        <v>130100000</v>
      </c>
      <c r="BR41" s="617">
        <f t="shared" si="7"/>
        <v>130100000</v>
      </c>
      <c r="BS41" s="616">
        <f t="shared" si="7"/>
        <v>130100000</v>
      </c>
      <c r="BT41" s="617"/>
      <c r="BU41" s="20"/>
      <c r="BV41" s="20"/>
    </row>
    <row r="42" spans="1:74" s="150" customFormat="1" ht="10.8">
      <c r="A42" s="163" t="s">
        <v>922</v>
      </c>
      <c r="B42" s="163" t="s">
        <v>923</v>
      </c>
      <c r="C42" s="625">
        <v>3902.2999999999993</v>
      </c>
      <c r="D42" s="626">
        <v>3622</v>
      </c>
      <c r="E42" s="626">
        <v>3820.3999999999996</v>
      </c>
      <c r="F42" s="627">
        <v>3838.7999999999997</v>
      </c>
      <c r="G42" s="626">
        <v>4013.7</v>
      </c>
      <c r="H42" s="626">
        <v>3977.5999999999995</v>
      </c>
      <c r="I42" s="626">
        <v>4277.8999999999996</v>
      </c>
      <c r="J42" s="627">
        <v>4222.2</v>
      </c>
      <c r="K42" s="625">
        <v>4280.8999999999996</v>
      </c>
      <c r="L42" s="626">
        <v>4514.6000000000004</v>
      </c>
      <c r="M42" s="626">
        <v>4742.1000000000004</v>
      </c>
      <c r="N42" s="627">
        <v>4884.3999999999996</v>
      </c>
      <c r="O42" s="625">
        <v>5131.7</v>
      </c>
      <c r="P42" s="626">
        <v>5280.2</v>
      </c>
      <c r="Q42" s="626">
        <v>5529.5</v>
      </c>
      <c r="R42" s="626">
        <v>5650.7999999999993</v>
      </c>
      <c r="S42" s="625">
        <v>5782</v>
      </c>
      <c r="T42" s="626">
        <v>5951.5</v>
      </c>
      <c r="U42" s="626">
        <v>6194.5999999999995</v>
      </c>
      <c r="V42" s="627">
        <v>6413.7</v>
      </c>
      <c r="W42" s="625">
        <v>6751.1</v>
      </c>
      <c r="X42" s="626">
        <v>6978.8</v>
      </c>
      <c r="Y42" s="626">
        <f t="shared" ref="Y42:BS42" si="8">Y20</f>
        <v>7424.9</v>
      </c>
      <c r="Z42" s="627">
        <f t="shared" si="8"/>
        <v>8133.7999999999993</v>
      </c>
      <c r="AA42" s="625">
        <f t="shared" si="8"/>
        <v>8236.5</v>
      </c>
      <c r="AB42" s="626">
        <f t="shared" si="8"/>
        <v>8131.2</v>
      </c>
      <c r="AC42" s="626">
        <f t="shared" si="8"/>
        <v>8269.2000000000007</v>
      </c>
      <c r="AD42" s="627">
        <f>AD20</f>
        <v>8626.2999999999993</v>
      </c>
      <c r="AE42" s="626">
        <f>AE20</f>
        <v>8885.5999999999985</v>
      </c>
      <c r="AF42" s="626">
        <f>AF20</f>
        <v>9158.6999999999989</v>
      </c>
      <c r="AG42" s="626">
        <f t="shared" si="8"/>
        <v>9931.5999999999985</v>
      </c>
      <c r="AH42" s="626">
        <f t="shared" si="8"/>
        <v>10454</v>
      </c>
      <c r="AI42" s="625">
        <f t="shared" si="8"/>
        <v>10229.5</v>
      </c>
      <c r="AJ42" s="626">
        <f t="shared" si="8"/>
        <v>9556.1</v>
      </c>
      <c r="AK42" s="626">
        <f t="shared" si="8"/>
        <v>10301.799999999999</v>
      </c>
      <c r="AL42" s="627">
        <f t="shared" si="8"/>
        <v>10677.899999999998</v>
      </c>
      <c r="AM42" s="625">
        <f t="shared" si="8"/>
        <v>10667.7</v>
      </c>
      <c r="AN42" s="626">
        <f t="shared" si="8"/>
        <v>10810.099999999999</v>
      </c>
      <c r="AO42" s="626">
        <f t="shared" si="8"/>
        <v>10976.7</v>
      </c>
      <c r="AP42" s="627">
        <f>AP20</f>
        <v>10474.9</v>
      </c>
      <c r="AQ42" s="625">
        <f>AQ20</f>
        <v>10787.3</v>
      </c>
      <c r="AR42" s="626">
        <f>AR20</f>
        <v>11154.1</v>
      </c>
      <c r="AS42" s="626">
        <f t="shared" si="8"/>
        <v>11486.199999999997</v>
      </c>
      <c r="AT42" s="627">
        <f t="shared" si="8"/>
        <v>11534.3</v>
      </c>
      <c r="AU42" s="625">
        <f t="shared" si="8"/>
        <v>12058.9</v>
      </c>
      <c r="AV42" s="626">
        <f t="shared" si="8"/>
        <v>11875.899999999998</v>
      </c>
      <c r="AW42" s="626">
        <f t="shared" si="8"/>
        <v>12147.800000000001</v>
      </c>
      <c r="AX42" s="628">
        <f t="shared" si="8"/>
        <v>13321.600000000002</v>
      </c>
      <c r="AY42" s="629">
        <f t="shared" si="8"/>
        <v>13413.3</v>
      </c>
      <c r="AZ42" s="626">
        <f t="shared" si="8"/>
        <v>14219.8</v>
      </c>
      <c r="BA42" s="626">
        <f t="shared" si="8"/>
        <v>15262.7</v>
      </c>
      <c r="BB42" s="626">
        <f t="shared" si="8"/>
        <v>15223.3</v>
      </c>
      <c r="BC42" s="625">
        <f t="shared" si="8"/>
        <v>17341</v>
      </c>
      <c r="BD42" s="626">
        <f t="shared" si="8"/>
        <v>18235.5</v>
      </c>
      <c r="BE42" s="626">
        <f t="shared" si="8"/>
        <v>18595.800000000003</v>
      </c>
      <c r="BF42" s="626">
        <f t="shared" si="8"/>
        <v>18618.300000000003</v>
      </c>
      <c r="BG42" s="625">
        <f t="shared" si="8"/>
        <v>17560.300000000003</v>
      </c>
      <c r="BH42" s="626">
        <f t="shared" si="8"/>
        <v>17857.599999999999</v>
      </c>
      <c r="BI42" s="626">
        <f t="shared" si="8"/>
        <v>17440.8</v>
      </c>
      <c r="BJ42" s="626">
        <f t="shared" si="8"/>
        <v>13531.4</v>
      </c>
      <c r="BK42" s="625">
        <f t="shared" si="8"/>
        <v>11155.800000000001</v>
      </c>
      <c r="BL42" s="626">
        <f t="shared" si="8"/>
        <v>7716.9</v>
      </c>
      <c r="BM42" s="626">
        <f t="shared" si="8"/>
        <v>7422.9000000000015</v>
      </c>
      <c r="BN42" s="626">
        <f t="shared" si="8"/>
        <v>9344.3000000000011</v>
      </c>
      <c r="BO42" s="625">
        <f t="shared" si="8"/>
        <v>11239.2</v>
      </c>
      <c r="BP42" s="626">
        <f t="shared" si="8"/>
        <v>12962.599999999999</v>
      </c>
      <c r="BQ42" s="626">
        <f t="shared" si="8"/>
        <v>15182.4</v>
      </c>
      <c r="BR42" s="626">
        <f t="shared" si="8"/>
        <v>16736.000000000004</v>
      </c>
      <c r="BS42" s="625">
        <f t="shared" si="8"/>
        <v>17439.7</v>
      </c>
      <c r="BT42" s="626"/>
      <c r="BU42" s="161"/>
      <c r="BV42" s="161"/>
    </row>
    <row r="43" spans="1:74" s="150" customFormat="1" ht="10.8">
      <c r="A43" s="163" t="s">
        <v>924</v>
      </c>
      <c r="B43" s="163" t="s">
        <v>925</v>
      </c>
      <c r="C43" s="701">
        <f t="shared" ref="C43:BN43" si="9">+C42/C41*1000000</f>
        <v>29.9946195234435</v>
      </c>
      <c r="D43" s="699">
        <f t="shared" si="9"/>
        <v>27.84012298232129</v>
      </c>
      <c r="E43" s="699">
        <f t="shared" si="9"/>
        <v>29.365103766333586</v>
      </c>
      <c r="F43" s="700">
        <f t="shared" si="9"/>
        <v>29.5065334358186</v>
      </c>
      <c r="G43" s="699">
        <f t="shared" si="9"/>
        <v>30.850883935434279</v>
      </c>
      <c r="H43" s="699">
        <f t="shared" si="9"/>
        <v>30.573405073020748</v>
      </c>
      <c r="I43" s="699">
        <f t="shared" si="9"/>
        <v>32.881629515757105</v>
      </c>
      <c r="J43" s="699">
        <f t="shared" si="9"/>
        <v>32.453497309761723</v>
      </c>
      <c r="K43" s="701">
        <f t="shared" si="9"/>
        <v>32.904688700999223</v>
      </c>
      <c r="L43" s="699">
        <f t="shared" si="9"/>
        <v>34.700999231360491</v>
      </c>
      <c r="M43" s="699">
        <f t="shared" si="9"/>
        <v>36.449654112221374</v>
      </c>
      <c r="N43" s="700">
        <f t="shared" si="9"/>
        <v>37.543428132205996</v>
      </c>
      <c r="O43" s="701">
        <f t="shared" si="9"/>
        <v>39.444273635664871</v>
      </c>
      <c r="P43" s="699">
        <f t="shared" si="9"/>
        <v>40.585703305149885</v>
      </c>
      <c r="Q43" s="699">
        <f t="shared" si="9"/>
        <v>42.501921598770174</v>
      </c>
      <c r="R43" s="699">
        <f t="shared" si="9"/>
        <v>43.434281322059952</v>
      </c>
      <c r="S43" s="701">
        <f t="shared" si="9"/>
        <v>44.44273635664873</v>
      </c>
      <c r="T43" s="699">
        <f t="shared" si="9"/>
        <v>45.745580322828594</v>
      </c>
      <c r="U43" s="699">
        <f t="shared" si="9"/>
        <v>47.614142966948499</v>
      </c>
      <c r="V43" s="700">
        <f t="shared" si="9"/>
        <v>49.298232129131435</v>
      </c>
      <c r="W43" s="701">
        <f t="shared" si="9"/>
        <v>51.89162182936203</v>
      </c>
      <c r="X43" s="699">
        <f t="shared" si="9"/>
        <v>53.641813989239047</v>
      </c>
      <c r="Y43" s="699">
        <f t="shared" si="9"/>
        <v>57.070714834742503</v>
      </c>
      <c r="Z43" s="700">
        <f t="shared" si="9"/>
        <v>62.519600307455789</v>
      </c>
      <c r="AA43" s="701">
        <f t="shared" si="9"/>
        <v>63.308993082244434</v>
      </c>
      <c r="AB43" s="699">
        <f t="shared" si="9"/>
        <v>62.499615680245959</v>
      </c>
      <c r="AC43" s="699">
        <f t="shared" si="9"/>
        <v>63.560338201383558</v>
      </c>
      <c r="AD43" s="700">
        <f>+AD42/AD41*1000000</f>
        <v>66.305149884704065</v>
      </c>
      <c r="AE43" s="699">
        <f>+AE42/AE41*1000000</f>
        <v>68.298232129131435</v>
      </c>
      <c r="AF43" s="699">
        <f>+AF42/AF41*1000000</f>
        <v>70.397386625672553</v>
      </c>
      <c r="AG43" s="699">
        <f t="shared" si="9"/>
        <v>76.338201383551095</v>
      </c>
      <c r="AH43" s="699">
        <f t="shared" si="9"/>
        <v>80.353574173712531</v>
      </c>
      <c r="AI43" s="701">
        <f t="shared" si="9"/>
        <v>78.62797847809378</v>
      </c>
      <c r="AJ43" s="699">
        <f t="shared" si="9"/>
        <v>73.451960030745582</v>
      </c>
      <c r="AK43" s="699">
        <f t="shared" si="9"/>
        <v>79.183704842428895</v>
      </c>
      <c r="AL43" s="700">
        <f t="shared" si="9"/>
        <v>82.074558032282852</v>
      </c>
      <c r="AM43" s="701">
        <f t="shared" si="9"/>
        <v>81.996156802459652</v>
      </c>
      <c r="AN43" s="699">
        <f t="shared" si="9"/>
        <v>83.09069946195234</v>
      </c>
      <c r="AO43" s="699">
        <f t="shared" si="9"/>
        <v>84.371252882398167</v>
      </c>
      <c r="AP43" s="700">
        <f>+AP42/AP41*1000000</f>
        <v>80.514219830899307</v>
      </c>
      <c r="AQ43" s="701">
        <f>+AQ42/AQ41*1000000</f>
        <v>82.915449654112223</v>
      </c>
      <c r="AR43" s="699">
        <f>+AR42/AR41*1000000</f>
        <v>85.734819369715609</v>
      </c>
      <c r="AS43" s="699">
        <f t="shared" si="9"/>
        <v>88.287471176018428</v>
      </c>
      <c r="AT43" s="700">
        <f t="shared" si="9"/>
        <v>88.657186779400462</v>
      </c>
      <c r="AU43" s="701">
        <f t="shared" si="9"/>
        <v>92.689469638739425</v>
      </c>
      <c r="AV43" s="699">
        <f t="shared" si="9"/>
        <v>91.282859338969999</v>
      </c>
      <c r="AW43" s="699">
        <f t="shared" si="9"/>
        <v>93.372790161414301</v>
      </c>
      <c r="AX43" s="702">
        <f t="shared" si="9"/>
        <v>102.39508070714837</v>
      </c>
      <c r="AY43" s="703">
        <f t="shared" si="9"/>
        <v>103.0999231360492</v>
      </c>
      <c r="AZ43" s="699">
        <f t="shared" si="9"/>
        <v>109.2990007686395</v>
      </c>
      <c r="BA43" s="699">
        <f t="shared" si="9"/>
        <v>117.31514219830899</v>
      </c>
      <c r="BB43" s="699">
        <f t="shared" si="9"/>
        <v>117.01229823212913</v>
      </c>
      <c r="BC43" s="701">
        <f t="shared" si="9"/>
        <v>133.28977709454267</v>
      </c>
      <c r="BD43" s="699">
        <f t="shared" si="9"/>
        <v>140.16525749423519</v>
      </c>
      <c r="BE43" s="699">
        <f t="shared" si="9"/>
        <v>142.93466564181401</v>
      </c>
      <c r="BF43" s="699">
        <f t="shared" si="9"/>
        <v>143.10760953112992</v>
      </c>
      <c r="BG43" s="701">
        <f t="shared" si="9"/>
        <v>134.97540353574175</v>
      </c>
      <c r="BH43" s="699">
        <f t="shared" si="9"/>
        <v>137.26056879323596</v>
      </c>
      <c r="BI43" s="699">
        <f t="shared" si="9"/>
        <v>134.05687932359723</v>
      </c>
      <c r="BJ43" s="699">
        <f t="shared" si="9"/>
        <v>104.0076863950807</v>
      </c>
      <c r="BK43" s="701">
        <f t="shared" si="9"/>
        <v>85.747886241352816</v>
      </c>
      <c r="BL43" s="699">
        <f t="shared" si="9"/>
        <v>59.31514219830899</v>
      </c>
      <c r="BM43" s="699">
        <f t="shared" si="9"/>
        <v>57.055342044581103</v>
      </c>
      <c r="BN43" s="699">
        <f t="shared" si="9"/>
        <v>71.823981552651816</v>
      </c>
      <c r="BO43" s="701">
        <f t="shared" ref="BO43:BS43" si="10">+BO42/BO41*1000000</f>
        <v>86.388931591083789</v>
      </c>
      <c r="BP43" s="699">
        <f t="shared" si="10"/>
        <v>99.635664873174463</v>
      </c>
      <c r="BQ43" s="699">
        <f t="shared" si="10"/>
        <v>116.6979246733282</v>
      </c>
      <c r="BR43" s="699">
        <f t="shared" si="10"/>
        <v>128.63950807071487</v>
      </c>
      <c r="BS43" s="701">
        <f t="shared" si="10"/>
        <v>134.04842428900847</v>
      </c>
      <c r="BT43" s="699"/>
      <c r="BU43" s="501"/>
      <c r="BV43" s="501"/>
    </row>
    <row r="44" spans="1:74" s="150" customFormat="1" ht="10.8">
      <c r="A44" s="163" t="s">
        <v>926</v>
      </c>
      <c r="B44" s="163" t="s">
        <v>927</v>
      </c>
      <c r="C44" s="701">
        <f t="shared" ref="C44:BN44" si="11">(C11/C41)*1000000</f>
        <v>1.2867025365103772</v>
      </c>
      <c r="D44" s="699">
        <f t="shared" si="11"/>
        <v>1.2897770945426608</v>
      </c>
      <c r="E44" s="699">
        <f t="shared" si="11"/>
        <v>1.5219062259800151</v>
      </c>
      <c r="F44" s="700">
        <f t="shared" si="11"/>
        <v>0.74942352036894633</v>
      </c>
      <c r="G44" s="699">
        <f t="shared" si="11"/>
        <v>1.3358954650269033</v>
      </c>
      <c r="H44" s="699">
        <f t="shared" si="11"/>
        <v>1.7963105303612599</v>
      </c>
      <c r="I44" s="699">
        <f t="shared" si="11"/>
        <v>1.2828593389700236</v>
      </c>
      <c r="J44" s="699">
        <f t="shared" si="11"/>
        <v>-0.99154496541122195</v>
      </c>
      <c r="K44" s="701">
        <f t="shared" si="11"/>
        <v>0.62106072252113664</v>
      </c>
      <c r="L44" s="699">
        <f t="shared" si="11"/>
        <v>1.4043043812451959</v>
      </c>
      <c r="M44" s="699">
        <f t="shared" si="11"/>
        <v>1.6202920830130665</v>
      </c>
      <c r="N44" s="700">
        <f t="shared" si="11"/>
        <v>0.92851652574942278</v>
      </c>
      <c r="O44" s="701">
        <f t="shared" si="11"/>
        <v>1.3643351268255186</v>
      </c>
      <c r="P44" s="699">
        <f t="shared" si="11"/>
        <v>1.471944657955419</v>
      </c>
      <c r="Q44" s="699">
        <f t="shared" si="11"/>
        <v>1.4788624135280544</v>
      </c>
      <c r="R44" s="699">
        <f t="shared" si="11"/>
        <v>1.4734819369715602</v>
      </c>
      <c r="S44" s="701">
        <f t="shared" si="11"/>
        <v>1.6333589546502687</v>
      </c>
      <c r="T44" s="699">
        <f t="shared" si="11"/>
        <v>1.7978478093774015</v>
      </c>
      <c r="U44" s="699">
        <f t="shared" si="11"/>
        <v>1.691775557263643</v>
      </c>
      <c r="V44" s="700">
        <f t="shared" si="11"/>
        <v>1.6418139892390471</v>
      </c>
      <c r="W44" s="701">
        <f t="shared" si="11"/>
        <v>2.0868562644119915</v>
      </c>
      <c r="X44" s="699">
        <f t="shared" si="11"/>
        <v>1.2882398155265178</v>
      </c>
      <c r="Y44" s="699">
        <f t="shared" si="11"/>
        <v>1.5618754803996913</v>
      </c>
      <c r="Z44" s="700">
        <f t="shared" si="11"/>
        <v>1.4604150653343584</v>
      </c>
      <c r="AA44" s="701">
        <f t="shared" si="11"/>
        <v>1.9961568024596461</v>
      </c>
      <c r="AB44" s="699">
        <f t="shared" si="11"/>
        <v>1.66717909300538</v>
      </c>
      <c r="AC44" s="699">
        <f t="shared" si="11"/>
        <v>1.8016910069177574</v>
      </c>
      <c r="AD44" s="700">
        <f t="shared" si="11"/>
        <v>1.9254419677171406</v>
      </c>
      <c r="AE44" s="699">
        <f t="shared" si="11"/>
        <v>1.9569561875480384</v>
      </c>
      <c r="AF44" s="699">
        <f t="shared" si="11"/>
        <v>2.1698693312836279</v>
      </c>
      <c r="AG44" s="699">
        <f t="shared" si="11"/>
        <v>2.0983858570330529</v>
      </c>
      <c r="AH44" s="699">
        <f t="shared" si="11"/>
        <v>1.7740199846272096</v>
      </c>
      <c r="AI44" s="701">
        <f t="shared" si="11"/>
        <v>2.0061491160645657</v>
      </c>
      <c r="AJ44" s="699">
        <f t="shared" si="11"/>
        <v>2.6487317448116836</v>
      </c>
      <c r="AK44" s="699">
        <f t="shared" si="11"/>
        <v>2.4265949269792468</v>
      </c>
      <c r="AL44" s="700">
        <f t="shared" si="11"/>
        <v>1.5810914681014605</v>
      </c>
      <c r="AM44" s="701">
        <f t="shared" si="11"/>
        <v>1.9923136049192927</v>
      </c>
      <c r="AN44" s="699">
        <f t="shared" si="11"/>
        <v>3.1275941583397393</v>
      </c>
      <c r="AO44" s="699">
        <f t="shared" si="11"/>
        <v>2.551883166794775</v>
      </c>
      <c r="AP44" s="700">
        <f>(AP11/AP41)*1000000</f>
        <v>1.959262106072251</v>
      </c>
      <c r="AQ44" s="701">
        <f>(AQ11/AQ41)*1000000</f>
        <v>2.3082244427363565</v>
      </c>
      <c r="AR44" s="699">
        <f>(AR11/AR41)*1000000</f>
        <v>2.7694081475787851</v>
      </c>
      <c r="AS44" s="699">
        <f t="shared" si="11"/>
        <v>2.8877786318216727</v>
      </c>
      <c r="AT44" s="700">
        <f t="shared" si="11"/>
        <v>2.8193697156033832</v>
      </c>
      <c r="AU44" s="701">
        <f t="shared" si="11"/>
        <v>2.4765564950038423</v>
      </c>
      <c r="AV44" s="699">
        <f t="shared" si="11"/>
        <v>2.8570330514988491</v>
      </c>
      <c r="AW44" s="699">
        <f t="shared" si="11"/>
        <v>2.9077632590315128</v>
      </c>
      <c r="AX44" s="702">
        <f t="shared" si="11"/>
        <v>3.4711760184473501</v>
      </c>
      <c r="AY44" s="703">
        <f t="shared" si="11"/>
        <v>2.4942352036894713</v>
      </c>
      <c r="AZ44" s="699">
        <f t="shared" si="11"/>
        <v>3.6056879323597211</v>
      </c>
      <c r="BA44" s="699">
        <f t="shared" si="11"/>
        <v>3.188316679477325</v>
      </c>
      <c r="BB44" s="699">
        <f t="shared" si="11"/>
        <v>3.4611837048424272</v>
      </c>
      <c r="BC44" s="701">
        <f t="shared" si="11"/>
        <v>2.0545734050730204</v>
      </c>
      <c r="BD44" s="699">
        <f t="shared" si="11"/>
        <v>2.4304381245196032</v>
      </c>
      <c r="BE44" s="699">
        <f t="shared" si="11"/>
        <v>3.3835511145272887</v>
      </c>
      <c r="BF44" s="699">
        <f t="shared" si="11"/>
        <v>2.4127594158339756</v>
      </c>
      <c r="BG44" s="701">
        <f t="shared" si="11"/>
        <v>2.9638739431206749</v>
      </c>
      <c r="BH44" s="699">
        <f t="shared" si="11"/>
        <v>4.7294388931591111</v>
      </c>
      <c r="BI44" s="699">
        <f t="shared" si="11"/>
        <v>4.906994619523446</v>
      </c>
      <c r="BJ44" s="699">
        <f t="shared" si="11"/>
        <v>5.1421983089930814</v>
      </c>
      <c r="BK44" s="701">
        <f t="shared" si="11"/>
        <v>6.093774019984628</v>
      </c>
      <c r="BL44" s="699">
        <f t="shared" si="11"/>
        <v>4.4043043812451979</v>
      </c>
      <c r="BM44" s="699">
        <f t="shared" si="11"/>
        <v>-2.4388931591083791</v>
      </c>
      <c r="BN44" s="699">
        <f t="shared" si="11"/>
        <v>5.1183704842428934</v>
      </c>
      <c r="BO44" s="701">
        <f t="shared" ref="BO44:BS44" si="12">(BO11/BO41)*1000000</f>
        <v>6.9846272098385835</v>
      </c>
      <c r="BP44" s="699">
        <f t="shared" si="12"/>
        <v>8.4504227517294357</v>
      </c>
      <c r="BQ44" s="699">
        <f t="shared" si="12"/>
        <v>8.9315910837817079</v>
      </c>
      <c r="BR44" s="699">
        <f t="shared" si="12"/>
        <v>9.7678708685626425</v>
      </c>
      <c r="BS44" s="701">
        <f t="shared" si="12"/>
        <v>7.6348962336664128</v>
      </c>
      <c r="BT44" s="699"/>
      <c r="BU44" s="501"/>
      <c r="BV44" s="501"/>
    </row>
    <row r="45" spans="1:74" s="150" customFormat="1" ht="10.8">
      <c r="A45" s="163" t="s">
        <v>928</v>
      </c>
      <c r="B45" s="163" t="s">
        <v>929</v>
      </c>
      <c r="C45" s="625">
        <f>(+C46*C41)/1000000</f>
        <v>9887.6</v>
      </c>
      <c r="D45" s="626">
        <f>+(D46*D41)/1000000</f>
        <v>13049.03</v>
      </c>
      <c r="E45" s="626">
        <f>(+E46*E41)/1000000</f>
        <v>11839.1</v>
      </c>
      <c r="F45" s="627">
        <f>(+F46*F41)/1000000</f>
        <v>9432.25</v>
      </c>
      <c r="G45" s="626">
        <f>(+G46*G41)/1000000</f>
        <v>6895.3</v>
      </c>
      <c r="H45" s="626">
        <f>+(H46*H41)/1000000</f>
        <v>5399.15</v>
      </c>
      <c r="I45" s="626">
        <f>(+I46*I41)/1000000</f>
        <v>6648.11</v>
      </c>
      <c r="J45" s="626">
        <f>(+J46*J41)/1000000</f>
        <v>5594.3</v>
      </c>
      <c r="K45" s="625">
        <f>(+K46*K41)/1000000</f>
        <v>2758.12</v>
      </c>
      <c r="L45" s="626">
        <f>+(L46*L41)/1000000</f>
        <v>4566.51</v>
      </c>
      <c r="M45" s="626">
        <f>(+M46*M41)/1000000</f>
        <v>8326.4</v>
      </c>
      <c r="N45" s="627">
        <f>(+N46*N41)/1000000</f>
        <v>10147.799999999999</v>
      </c>
      <c r="O45" s="625">
        <f>(+O46*O41)/1000000</f>
        <v>9705.4599999999991</v>
      </c>
      <c r="P45" s="626">
        <f>+(P46*P41)/1000000</f>
        <v>9822.5499999999993</v>
      </c>
      <c r="Q45" s="626">
        <f>(+Q46*Q41)/1000000</f>
        <v>10733.25</v>
      </c>
      <c r="R45" s="626">
        <f>(+R46*R41)/1000000</f>
        <v>11630.94</v>
      </c>
      <c r="S45" s="625">
        <f>(+S46*S41)/1000000</f>
        <v>11630.94</v>
      </c>
      <c r="T45" s="626">
        <f>+(T46*T41)/1000000</f>
        <v>11227.63</v>
      </c>
      <c r="U45" s="626">
        <f t="shared" ref="U45:BS45" si="13">(+U46*U41)/1000000</f>
        <v>9627.4</v>
      </c>
      <c r="V45" s="627">
        <f t="shared" si="13"/>
        <v>10225.86</v>
      </c>
      <c r="W45" s="625">
        <f t="shared" si="13"/>
        <v>11500.84</v>
      </c>
      <c r="X45" s="626">
        <f t="shared" si="13"/>
        <v>10616.16</v>
      </c>
      <c r="Y45" s="626">
        <f t="shared" si="13"/>
        <v>10941.41</v>
      </c>
      <c r="Z45" s="627">
        <f t="shared" si="13"/>
        <v>11839.1</v>
      </c>
      <c r="AA45" s="625">
        <f t="shared" si="13"/>
        <v>11813.08</v>
      </c>
      <c r="AB45" s="626">
        <f t="shared" si="13"/>
        <v>12315.266</v>
      </c>
      <c r="AC45" s="626">
        <f t="shared" si="13"/>
        <v>14571.2</v>
      </c>
      <c r="AD45" s="627">
        <f t="shared" si="13"/>
        <v>14746.834999999999</v>
      </c>
      <c r="AE45" s="626">
        <f t="shared" si="13"/>
        <v>17238.25</v>
      </c>
      <c r="AF45" s="626">
        <f t="shared" si="13"/>
        <v>17251.259999999998</v>
      </c>
      <c r="AG45" s="626">
        <f t="shared" si="13"/>
        <v>19254.8</v>
      </c>
      <c r="AH45" s="626">
        <f t="shared" si="13"/>
        <v>18200.990000000002</v>
      </c>
      <c r="AI45" s="625">
        <f t="shared" si="13"/>
        <v>17797.68</v>
      </c>
      <c r="AJ45" s="626">
        <f t="shared" si="13"/>
        <v>16522.7</v>
      </c>
      <c r="AK45" s="626">
        <f t="shared" si="13"/>
        <v>15507.92</v>
      </c>
      <c r="AL45" s="627">
        <f t="shared" si="13"/>
        <v>15241.215</v>
      </c>
      <c r="AM45" s="625">
        <f t="shared" si="13"/>
        <v>15742.1</v>
      </c>
      <c r="AN45" s="626">
        <f t="shared" si="13"/>
        <v>16060.844999999999</v>
      </c>
      <c r="AO45" s="626">
        <f t="shared" si="13"/>
        <v>19254.8</v>
      </c>
      <c r="AP45" s="627">
        <f>(+AP46*AP41)/1000000</f>
        <v>20998.14</v>
      </c>
      <c r="AQ45" s="625">
        <f>(+AQ46*AQ41)/1000000</f>
        <v>22390.21</v>
      </c>
      <c r="AR45" s="626">
        <f>(+AR46*AR41)/1000000</f>
        <v>23730.240000000002</v>
      </c>
      <c r="AS45" s="626">
        <f t="shared" si="13"/>
        <v>26605.45</v>
      </c>
      <c r="AT45" s="627">
        <f t="shared" si="13"/>
        <v>26748.560000000001</v>
      </c>
      <c r="AU45" s="625">
        <f t="shared" si="13"/>
        <v>25603.68</v>
      </c>
      <c r="AV45" s="626">
        <f t="shared" si="13"/>
        <v>23287.9</v>
      </c>
      <c r="AW45" s="626">
        <f t="shared" si="13"/>
        <v>23782.28</v>
      </c>
      <c r="AX45" s="628">
        <f t="shared" si="13"/>
        <v>23418</v>
      </c>
      <c r="AY45" s="629">
        <f t="shared" si="13"/>
        <v>24981.802</v>
      </c>
      <c r="AZ45" s="626">
        <f t="shared" si="13"/>
        <v>26280.2</v>
      </c>
      <c r="BA45" s="626">
        <f t="shared" si="13"/>
        <v>25941.94</v>
      </c>
      <c r="BB45" s="626">
        <f t="shared" si="13"/>
        <v>26345.25</v>
      </c>
      <c r="BC45" s="625">
        <f t="shared" si="13"/>
        <v>19358.88</v>
      </c>
      <c r="BD45" s="626">
        <f t="shared" si="13"/>
        <v>18500.22</v>
      </c>
      <c r="BE45" s="626">
        <f t="shared" si="13"/>
        <v>16002.3</v>
      </c>
      <c r="BF45" s="626">
        <f t="shared" si="13"/>
        <v>22247.1</v>
      </c>
      <c r="BG45" s="625">
        <f t="shared" si="13"/>
        <v>22689.439999999999</v>
      </c>
      <c r="BH45" s="626">
        <f t="shared" si="13"/>
        <v>24068.5</v>
      </c>
      <c r="BI45" s="626">
        <f t="shared" si="13"/>
        <v>30248.25</v>
      </c>
      <c r="BJ45" s="626">
        <f t="shared" si="13"/>
        <v>34736.699999999997</v>
      </c>
      <c r="BK45" s="625">
        <f t="shared" si="13"/>
        <v>30768.65</v>
      </c>
      <c r="BL45" s="626">
        <f t="shared" si="13"/>
        <v>22169.040000000001</v>
      </c>
      <c r="BM45" s="626">
        <f t="shared" si="13"/>
        <v>18109.919999999998</v>
      </c>
      <c r="BN45" s="626">
        <f t="shared" si="13"/>
        <v>21440.48</v>
      </c>
      <c r="BO45" s="625">
        <f t="shared" si="13"/>
        <v>21336.400000000001</v>
      </c>
      <c r="BP45" s="626">
        <f t="shared" si="13"/>
        <v>24380.74</v>
      </c>
      <c r="BQ45" s="626">
        <f t="shared" si="13"/>
        <v>23418</v>
      </c>
      <c r="BR45" s="626">
        <f t="shared" si="13"/>
        <v>33305.599999999999</v>
      </c>
      <c r="BS45" s="625">
        <f t="shared" si="13"/>
        <v>39914.68</v>
      </c>
      <c r="BT45" s="626"/>
      <c r="BU45" s="161"/>
      <c r="BV45" s="161"/>
    </row>
    <row r="46" spans="1:74" s="150" customFormat="1" ht="10.8">
      <c r="A46" s="163" t="s">
        <v>930</v>
      </c>
      <c r="B46" s="163" t="s">
        <v>931</v>
      </c>
      <c r="C46" s="625">
        <v>76</v>
      </c>
      <c r="D46" s="626">
        <v>100.3</v>
      </c>
      <c r="E46" s="626">
        <v>91</v>
      </c>
      <c r="F46" s="627">
        <v>72.5</v>
      </c>
      <c r="G46" s="626">
        <v>53</v>
      </c>
      <c r="H46" s="626">
        <v>41.5</v>
      </c>
      <c r="I46" s="626">
        <v>51.1</v>
      </c>
      <c r="J46" s="627">
        <v>43</v>
      </c>
      <c r="K46" s="625">
        <v>21.2</v>
      </c>
      <c r="L46" s="626">
        <v>35.1</v>
      </c>
      <c r="M46" s="626">
        <v>64</v>
      </c>
      <c r="N46" s="627">
        <v>78</v>
      </c>
      <c r="O46" s="625">
        <v>74.599999999999994</v>
      </c>
      <c r="P46" s="626">
        <v>75.5</v>
      </c>
      <c r="Q46" s="626">
        <v>82.5</v>
      </c>
      <c r="R46" s="627">
        <v>89.4</v>
      </c>
      <c r="S46" s="625">
        <v>89.4</v>
      </c>
      <c r="T46" s="626">
        <v>86.3</v>
      </c>
      <c r="U46" s="626">
        <v>74</v>
      </c>
      <c r="V46" s="627">
        <v>78.599999999999994</v>
      </c>
      <c r="W46" s="625">
        <v>88.4</v>
      </c>
      <c r="X46" s="626">
        <v>81.599999999999994</v>
      </c>
      <c r="Y46" s="626">
        <v>84.1</v>
      </c>
      <c r="Z46" s="627">
        <v>91</v>
      </c>
      <c r="AA46" s="625">
        <v>90.8</v>
      </c>
      <c r="AB46" s="626">
        <v>94.66</v>
      </c>
      <c r="AC46" s="626">
        <v>112</v>
      </c>
      <c r="AD46" s="627">
        <v>113.35</v>
      </c>
      <c r="AE46" s="626">
        <v>132.5</v>
      </c>
      <c r="AF46" s="626">
        <v>132.6</v>
      </c>
      <c r="AG46" s="626">
        <v>148</v>
      </c>
      <c r="AH46" s="626">
        <v>139.9</v>
      </c>
      <c r="AI46" s="625">
        <v>136.80000000000001</v>
      </c>
      <c r="AJ46" s="626">
        <v>127</v>
      </c>
      <c r="AK46" s="626">
        <v>119.2</v>
      </c>
      <c r="AL46" s="627">
        <v>117.15</v>
      </c>
      <c r="AM46" s="625">
        <v>121</v>
      </c>
      <c r="AN46" s="626">
        <v>123.45</v>
      </c>
      <c r="AO46" s="626">
        <v>148</v>
      </c>
      <c r="AP46" s="627">
        <v>161.4</v>
      </c>
      <c r="AQ46" s="625">
        <v>172.1</v>
      </c>
      <c r="AR46" s="626">
        <v>182.4</v>
      </c>
      <c r="AS46" s="626">
        <v>204.5</v>
      </c>
      <c r="AT46" s="627">
        <v>205.6</v>
      </c>
      <c r="AU46" s="625">
        <v>196.8</v>
      </c>
      <c r="AV46" s="626">
        <v>179</v>
      </c>
      <c r="AW46" s="626">
        <v>182.8</v>
      </c>
      <c r="AX46" s="628">
        <v>180</v>
      </c>
      <c r="AY46" s="629">
        <v>192.02</v>
      </c>
      <c r="AZ46" s="626">
        <v>202</v>
      </c>
      <c r="BA46" s="626">
        <v>199.4</v>
      </c>
      <c r="BB46" s="626">
        <v>202.5</v>
      </c>
      <c r="BC46" s="625">
        <v>148.80000000000001</v>
      </c>
      <c r="BD46" s="626">
        <v>142.19999999999999</v>
      </c>
      <c r="BE46" s="626">
        <v>123</v>
      </c>
      <c r="BF46" s="626">
        <v>171</v>
      </c>
      <c r="BG46" s="625">
        <v>174.4</v>
      </c>
      <c r="BH46" s="626">
        <v>185</v>
      </c>
      <c r="BI46" s="626">
        <v>232.5</v>
      </c>
      <c r="BJ46" s="626">
        <v>267</v>
      </c>
      <c r="BK46" s="625">
        <v>236.5</v>
      </c>
      <c r="BL46" s="626">
        <v>170.4</v>
      </c>
      <c r="BM46" s="626">
        <v>139.19999999999999</v>
      </c>
      <c r="BN46" s="626">
        <v>164.8</v>
      </c>
      <c r="BO46" s="625">
        <v>164</v>
      </c>
      <c r="BP46" s="626">
        <v>187.4</v>
      </c>
      <c r="BQ46" s="626">
        <v>180</v>
      </c>
      <c r="BR46" s="626">
        <v>256</v>
      </c>
      <c r="BS46" s="625">
        <v>306.8</v>
      </c>
      <c r="BT46" s="626"/>
      <c r="BU46" s="502"/>
      <c r="BV46" s="502"/>
    </row>
    <row r="47" spans="1:74" s="150" customFormat="1" ht="10.8">
      <c r="A47" s="163"/>
      <c r="B47" s="163"/>
      <c r="C47" s="616"/>
      <c r="D47" s="617"/>
      <c r="E47" s="617"/>
      <c r="F47" s="618"/>
      <c r="G47" s="617"/>
      <c r="H47" s="617"/>
      <c r="I47" s="617"/>
      <c r="J47" s="618"/>
      <c r="K47" s="616"/>
      <c r="L47" s="617"/>
      <c r="M47" s="617"/>
      <c r="N47" s="618"/>
      <c r="O47" s="616"/>
      <c r="P47" s="617"/>
      <c r="Q47" s="617"/>
      <c r="R47" s="618"/>
      <c r="S47" s="616"/>
      <c r="T47" s="617"/>
      <c r="U47" s="617"/>
      <c r="V47" s="618"/>
      <c r="W47" s="616"/>
      <c r="X47" s="617"/>
      <c r="Y47" s="617"/>
      <c r="Z47" s="618"/>
      <c r="AA47" s="616"/>
      <c r="AB47" s="617"/>
      <c r="AC47" s="617"/>
      <c r="AD47" s="618"/>
      <c r="AE47" s="617"/>
      <c r="AF47" s="617"/>
      <c r="AG47" s="617"/>
      <c r="AH47" s="617"/>
      <c r="AI47" s="616"/>
      <c r="AJ47" s="617"/>
      <c r="AK47" s="617"/>
      <c r="AL47" s="618"/>
      <c r="AM47" s="616"/>
      <c r="AN47" s="617"/>
      <c r="AO47" s="617"/>
      <c r="AP47" s="618"/>
      <c r="AQ47" s="616"/>
      <c r="AR47" s="617"/>
      <c r="AS47" s="617"/>
      <c r="AT47" s="618"/>
      <c r="AU47" s="616"/>
      <c r="AV47" s="617"/>
      <c r="AW47" s="617"/>
      <c r="AX47" s="623"/>
      <c r="AY47" s="624"/>
      <c r="AZ47" s="626"/>
      <c r="BA47" s="626"/>
      <c r="BB47" s="626"/>
      <c r="BC47" s="616"/>
      <c r="BD47" s="626"/>
      <c r="BE47" s="626"/>
      <c r="BF47" s="626"/>
      <c r="BG47" s="616"/>
      <c r="BH47" s="626"/>
      <c r="BI47" s="626"/>
      <c r="BJ47" s="626"/>
      <c r="BK47" s="616"/>
      <c r="BL47" s="626"/>
      <c r="BM47" s="626"/>
      <c r="BN47" s="626"/>
      <c r="BO47" s="616"/>
      <c r="BP47" s="626"/>
      <c r="BQ47" s="626"/>
      <c r="BR47" s="626"/>
      <c r="BS47" s="616"/>
      <c r="BT47" s="626"/>
      <c r="BU47" s="161"/>
      <c r="BV47" s="161"/>
    </row>
    <row r="48" spans="1:74" s="150" customFormat="1" ht="10.8">
      <c r="A48" s="177" t="s">
        <v>932</v>
      </c>
      <c r="B48" s="177" t="s">
        <v>933</v>
      </c>
      <c r="C48" s="616"/>
      <c r="D48" s="617"/>
      <c r="E48" s="617"/>
      <c r="F48" s="618"/>
      <c r="G48" s="617"/>
      <c r="H48" s="617"/>
      <c r="I48" s="617"/>
      <c r="J48" s="618"/>
      <c r="K48" s="616"/>
      <c r="L48" s="617"/>
      <c r="M48" s="617"/>
      <c r="N48" s="618"/>
      <c r="O48" s="616"/>
      <c r="P48" s="617"/>
      <c r="Q48" s="617"/>
      <c r="R48" s="618"/>
      <c r="S48" s="616"/>
      <c r="T48" s="617"/>
      <c r="U48" s="617"/>
      <c r="V48" s="618"/>
      <c r="W48" s="616"/>
      <c r="X48" s="617"/>
      <c r="Y48" s="617"/>
      <c r="Z48" s="618"/>
      <c r="AA48" s="616"/>
      <c r="AB48" s="617"/>
      <c r="AC48" s="617"/>
      <c r="AD48" s="618"/>
      <c r="AE48" s="617"/>
      <c r="AF48" s="617"/>
      <c r="AG48" s="617"/>
      <c r="AH48" s="617"/>
      <c r="AI48" s="616"/>
      <c r="AJ48" s="617"/>
      <c r="AK48" s="617"/>
      <c r="AL48" s="618"/>
      <c r="AM48" s="616"/>
      <c r="AN48" s="617"/>
      <c r="AO48" s="617"/>
      <c r="AP48" s="618"/>
      <c r="AQ48" s="616"/>
      <c r="AR48" s="617"/>
      <c r="AS48" s="617"/>
      <c r="AT48" s="618"/>
      <c r="AU48" s="616"/>
      <c r="AV48" s="617"/>
      <c r="AW48" s="617"/>
      <c r="AX48" s="621"/>
      <c r="AY48" s="624"/>
      <c r="AZ48" s="617"/>
      <c r="BA48" s="617"/>
      <c r="BB48" s="617"/>
      <c r="BC48" s="616"/>
      <c r="BD48" s="617"/>
      <c r="BE48" s="617"/>
      <c r="BF48" s="617"/>
      <c r="BG48" s="616"/>
      <c r="BH48" s="617"/>
      <c r="BI48" s="617"/>
      <c r="BJ48" s="617"/>
      <c r="BK48" s="616"/>
      <c r="BL48" s="617"/>
      <c r="BM48" s="617"/>
      <c r="BN48" s="617"/>
      <c r="BO48" s="616"/>
      <c r="BP48" s="617"/>
      <c r="BQ48" s="617"/>
      <c r="BR48" s="617"/>
      <c r="BS48" s="616"/>
      <c r="BT48" s="617"/>
      <c r="BU48" s="20"/>
      <c r="BV48" s="20"/>
    </row>
    <row r="49" spans="1:74" s="705" customFormat="1" ht="10.8">
      <c r="A49" s="704" t="s">
        <v>934</v>
      </c>
      <c r="B49" s="704" t="s">
        <v>935</v>
      </c>
      <c r="C49" s="616">
        <v>2089</v>
      </c>
      <c r="D49" s="617">
        <v>2133</v>
      </c>
      <c r="E49" s="617">
        <v>2213</v>
      </c>
      <c r="F49" s="618">
        <v>2257</v>
      </c>
      <c r="G49" s="617">
        <v>2343</v>
      </c>
      <c r="H49" s="617">
        <v>2411</v>
      </c>
      <c r="I49" s="617">
        <v>2525</v>
      </c>
      <c r="J49" s="618">
        <v>2598</v>
      </c>
      <c r="K49" s="616">
        <v>2632</v>
      </c>
      <c r="L49" s="617">
        <v>2673</v>
      </c>
      <c r="M49" s="617">
        <v>2705</v>
      </c>
      <c r="N49" s="618">
        <v>2761</v>
      </c>
      <c r="O49" s="616">
        <v>2805</v>
      </c>
      <c r="P49" s="617">
        <v>2858</v>
      </c>
      <c r="Q49" s="617">
        <v>2917</v>
      </c>
      <c r="R49" s="618">
        <v>2969</v>
      </c>
      <c r="S49" s="616">
        <v>3000</v>
      </c>
      <c r="T49" s="617">
        <v>3028</v>
      </c>
      <c r="U49" s="617">
        <v>3046</v>
      </c>
      <c r="V49" s="618">
        <v>3073</v>
      </c>
      <c r="W49" s="616">
        <v>3123</v>
      </c>
      <c r="X49" s="617">
        <v>3145</v>
      </c>
      <c r="Y49" s="617">
        <v>3199</v>
      </c>
      <c r="Z49" s="618">
        <v>3236</v>
      </c>
      <c r="AA49" s="616">
        <v>3268</v>
      </c>
      <c r="AB49" s="617">
        <v>3316</v>
      </c>
      <c r="AC49" s="617">
        <v>3347</v>
      </c>
      <c r="AD49" s="618">
        <v>3542</v>
      </c>
      <c r="AE49" s="616">
        <v>3546</v>
      </c>
      <c r="AF49" s="617">
        <v>3602</v>
      </c>
      <c r="AG49" s="617">
        <v>3668</v>
      </c>
      <c r="AH49" s="617">
        <v>3727</v>
      </c>
      <c r="AI49" s="616">
        <v>3806</v>
      </c>
      <c r="AJ49" s="617">
        <v>3883</v>
      </c>
      <c r="AK49" s="617">
        <v>3958</v>
      </c>
      <c r="AL49" s="618">
        <v>4016</v>
      </c>
      <c r="AM49" s="616">
        <v>4081</v>
      </c>
      <c r="AN49" s="617">
        <v>4149</v>
      </c>
      <c r="AO49" s="617">
        <v>4202</v>
      </c>
      <c r="AP49" s="618">
        <v>4272</v>
      </c>
      <c r="AQ49" s="616">
        <v>4329</v>
      </c>
      <c r="AR49" s="617">
        <v>4393</v>
      </c>
      <c r="AS49" s="617">
        <v>4468</v>
      </c>
      <c r="AT49" s="618">
        <v>4532</v>
      </c>
      <c r="AU49" s="616">
        <v>4610</v>
      </c>
      <c r="AV49" s="617">
        <v>4680</v>
      </c>
      <c r="AW49" s="617">
        <v>4757</v>
      </c>
      <c r="AX49" s="623">
        <v>4796</v>
      </c>
      <c r="AY49" s="624">
        <v>4483</v>
      </c>
      <c r="AZ49" s="617">
        <v>4531</v>
      </c>
      <c r="BA49" s="617">
        <v>4288</v>
      </c>
      <c r="BB49" s="617">
        <v>4049</v>
      </c>
      <c r="BC49" s="616">
        <v>4133</v>
      </c>
      <c r="BD49" s="617">
        <v>4165</v>
      </c>
      <c r="BE49" s="617">
        <v>4215</v>
      </c>
      <c r="BF49" s="617">
        <v>4236</v>
      </c>
      <c r="BG49" s="616">
        <v>4267</v>
      </c>
      <c r="BH49" s="617">
        <v>4292</v>
      </c>
      <c r="BI49" s="617">
        <v>4338</v>
      </c>
      <c r="BJ49" s="617">
        <v>4348</v>
      </c>
      <c r="BK49" s="616">
        <v>4361</v>
      </c>
      <c r="BL49" s="617">
        <v>4391</v>
      </c>
      <c r="BM49" s="617">
        <v>4440</v>
      </c>
      <c r="BN49" s="617">
        <v>4383</v>
      </c>
      <c r="BO49" s="616">
        <v>4423</v>
      </c>
      <c r="BP49" s="617">
        <v>4436</v>
      </c>
      <c r="BQ49" s="617">
        <v>4471</v>
      </c>
      <c r="BR49" s="617">
        <v>4453</v>
      </c>
      <c r="BS49" s="616">
        <v>4495</v>
      </c>
      <c r="BT49" s="617"/>
      <c r="BU49" s="208"/>
      <c r="BV49" s="208"/>
    </row>
    <row r="50" spans="1:74" s="705" customFormat="1" ht="10.8">
      <c r="A50" s="704" t="s">
        <v>936</v>
      </c>
      <c r="B50" s="704" t="s">
        <v>937</v>
      </c>
      <c r="C50" s="616"/>
      <c r="D50" s="617"/>
      <c r="E50" s="617"/>
      <c r="F50" s="618"/>
      <c r="G50" s="617"/>
      <c r="H50" s="617"/>
      <c r="I50" s="617"/>
      <c r="J50" s="618"/>
      <c r="K50" s="616"/>
      <c r="L50" s="617"/>
      <c r="M50" s="617"/>
      <c r="N50" s="618"/>
      <c r="O50" s="616"/>
      <c r="P50" s="617"/>
      <c r="Q50" s="617"/>
      <c r="R50" s="618"/>
      <c r="S50" s="616"/>
      <c r="T50" s="617"/>
      <c r="U50" s="617"/>
      <c r="V50" s="618"/>
      <c r="W50" s="616"/>
      <c r="X50" s="617"/>
      <c r="Y50" s="617"/>
      <c r="Z50" s="618"/>
      <c r="AA50" s="616"/>
      <c r="AB50" s="617"/>
      <c r="AC50" s="617"/>
      <c r="AD50" s="618">
        <v>3578</v>
      </c>
      <c r="AE50" s="616">
        <v>3582</v>
      </c>
      <c r="AF50" s="617">
        <v>3640</v>
      </c>
      <c r="AG50" s="617">
        <v>3706</v>
      </c>
      <c r="AH50" s="617">
        <v>3766</v>
      </c>
      <c r="AI50" s="616">
        <v>3847</v>
      </c>
      <c r="AJ50" s="617">
        <v>3925</v>
      </c>
      <c r="AK50" s="617">
        <v>4001</v>
      </c>
      <c r="AL50" s="618">
        <v>4061</v>
      </c>
      <c r="AM50" s="616">
        <v>4127</v>
      </c>
      <c r="AN50" s="617">
        <v>4197</v>
      </c>
      <c r="AO50" s="617">
        <v>4251</v>
      </c>
      <c r="AP50" s="618">
        <v>4323</v>
      </c>
      <c r="AQ50" s="616">
        <v>4382</v>
      </c>
      <c r="AR50" s="617">
        <v>4448</v>
      </c>
      <c r="AS50" s="617">
        <v>4524</v>
      </c>
      <c r="AT50" s="618">
        <v>4591</v>
      </c>
      <c r="AU50" s="616">
        <v>4670</v>
      </c>
      <c r="AV50" s="617">
        <v>4742</v>
      </c>
      <c r="AW50" s="617">
        <v>4820</v>
      </c>
      <c r="AX50" s="623">
        <v>4860</v>
      </c>
      <c r="AY50" s="624">
        <v>4934</v>
      </c>
      <c r="AZ50" s="617">
        <v>4982</v>
      </c>
      <c r="BA50" s="617">
        <v>4728</v>
      </c>
      <c r="BB50" s="617">
        <v>4504</v>
      </c>
      <c r="BC50" s="616">
        <v>4606</v>
      </c>
      <c r="BD50" s="617">
        <v>4649</v>
      </c>
      <c r="BE50" s="617">
        <v>4700</v>
      </c>
      <c r="BF50" s="617">
        <v>4722</v>
      </c>
      <c r="BG50" s="616">
        <v>4761</v>
      </c>
      <c r="BH50" s="617">
        <v>4796</v>
      </c>
      <c r="BI50" s="617">
        <v>4847</v>
      </c>
      <c r="BJ50" s="617">
        <v>4851</v>
      </c>
      <c r="BK50" s="616">
        <v>4874</v>
      </c>
      <c r="BL50" s="617">
        <v>4909</v>
      </c>
      <c r="BM50" s="617">
        <v>4966</v>
      </c>
      <c r="BN50" s="617">
        <v>4916</v>
      </c>
      <c r="BO50" s="616">
        <v>4966</v>
      </c>
      <c r="BP50" s="617">
        <v>4985</v>
      </c>
      <c r="BQ50" s="617">
        <v>5024</v>
      </c>
      <c r="BR50" s="617">
        <v>5012</v>
      </c>
      <c r="BS50" s="616">
        <v>5060</v>
      </c>
      <c r="BT50" s="617"/>
      <c r="BU50" s="208"/>
      <c r="BV50" s="208"/>
    </row>
    <row r="51" spans="1:74" s="503" customFormat="1" ht="10.8">
      <c r="A51" s="163" t="s">
        <v>270</v>
      </c>
      <c r="B51" s="163" t="s">
        <v>938</v>
      </c>
      <c r="C51" s="616">
        <v>350</v>
      </c>
      <c r="D51" s="617">
        <v>361</v>
      </c>
      <c r="E51" s="617">
        <v>375</v>
      </c>
      <c r="F51" s="618">
        <v>404</v>
      </c>
      <c r="G51" s="617">
        <v>415</v>
      </c>
      <c r="H51" s="617">
        <v>430</v>
      </c>
      <c r="I51" s="617">
        <v>432</v>
      </c>
      <c r="J51" s="618">
        <v>439</v>
      </c>
      <c r="K51" s="616">
        <v>439</v>
      </c>
      <c r="L51" s="617">
        <v>438</v>
      </c>
      <c r="M51" s="617">
        <v>438</v>
      </c>
      <c r="N51" s="618">
        <v>441</v>
      </c>
      <c r="O51" s="616">
        <v>441</v>
      </c>
      <c r="P51" s="617">
        <v>442</v>
      </c>
      <c r="Q51" s="617">
        <v>441</v>
      </c>
      <c r="R51" s="618">
        <v>443</v>
      </c>
      <c r="S51" s="616">
        <v>445</v>
      </c>
      <c r="T51" s="617">
        <v>443</v>
      </c>
      <c r="U51" s="617">
        <v>441</v>
      </c>
      <c r="V51" s="618">
        <v>439</v>
      </c>
      <c r="W51" s="616">
        <v>438</v>
      </c>
      <c r="X51" s="617">
        <v>437</v>
      </c>
      <c r="Y51" s="617">
        <v>432</v>
      </c>
      <c r="Z51" s="618">
        <v>426</v>
      </c>
      <c r="AA51" s="616">
        <v>423</v>
      </c>
      <c r="AB51" s="617">
        <v>421</v>
      </c>
      <c r="AC51" s="617">
        <v>421</v>
      </c>
      <c r="AD51" s="618">
        <v>417</v>
      </c>
      <c r="AE51" s="617">
        <v>412</v>
      </c>
      <c r="AF51" s="617">
        <v>409</v>
      </c>
      <c r="AG51" s="617">
        <v>407</v>
      </c>
      <c r="AH51" s="617">
        <v>401</v>
      </c>
      <c r="AI51" s="616">
        <v>401</v>
      </c>
      <c r="AJ51" s="617">
        <v>399</v>
      </c>
      <c r="AK51" s="617">
        <v>398</v>
      </c>
      <c r="AL51" s="618">
        <v>395</v>
      </c>
      <c r="AM51" s="616">
        <v>394</v>
      </c>
      <c r="AN51" s="617">
        <v>391</v>
      </c>
      <c r="AO51" s="617">
        <v>386</v>
      </c>
      <c r="AP51" s="618">
        <v>384</v>
      </c>
      <c r="AQ51" s="616">
        <v>381</v>
      </c>
      <c r="AR51" s="617">
        <v>374</v>
      </c>
      <c r="AS51" s="617">
        <v>367</v>
      </c>
      <c r="AT51" s="618">
        <v>357</v>
      </c>
      <c r="AU51" s="616">
        <v>355</v>
      </c>
      <c r="AV51" s="617">
        <v>352</v>
      </c>
      <c r="AW51" s="617">
        <v>351</v>
      </c>
      <c r="AX51" s="623">
        <v>337</v>
      </c>
      <c r="AY51" s="624">
        <v>334</v>
      </c>
      <c r="AZ51" s="617">
        <v>332</v>
      </c>
      <c r="BA51" s="617">
        <v>330</v>
      </c>
      <c r="BB51" s="617">
        <v>317</v>
      </c>
      <c r="BC51" s="616">
        <v>315</v>
      </c>
      <c r="BD51" s="617">
        <v>304</v>
      </c>
      <c r="BE51" s="617">
        <v>298</v>
      </c>
      <c r="BF51" s="617">
        <v>290</v>
      </c>
      <c r="BG51" s="616">
        <v>281</v>
      </c>
      <c r="BH51" s="617">
        <v>272</v>
      </c>
      <c r="BI51" s="617">
        <v>262</v>
      </c>
      <c r="BJ51" s="617">
        <v>257</v>
      </c>
      <c r="BK51" s="616">
        <v>253</v>
      </c>
      <c r="BL51" s="617">
        <v>244</v>
      </c>
      <c r="BM51" s="617">
        <v>237</v>
      </c>
      <c r="BN51" s="617">
        <v>228</v>
      </c>
      <c r="BO51" s="616">
        <v>227</v>
      </c>
      <c r="BP51" s="617">
        <v>218</v>
      </c>
      <c r="BQ51" s="617">
        <v>214</v>
      </c>
      <c r="BR51" s="617">
        <v>205</v>
      </c>
      <c r="BS51" s="616">
        <v>205</v>
      </c>
      <c r="BT51" s="617"/>
      <c r="BU51" s="20"/>
      <c r="BV51" s="20"/>
    </row>
    <row r="52" spans="1:74" s="503" customFormat="1" ht="10.8">
      <c r="A52" s="163" t="s">
        <v>939</v>
      </c>
      <c r="B52" s="163" t="s">
        <v>940</v>
      </c>
      <c r="C52" s="616">
        <v>7578</v>
      </c>
      <c r="D52" s="617">
        <v>7676</v>
      </c>
      <c r="E52" s="617">
        <v>7828</v>
      </c>
      <c r="F52" s="618">
        <v>8048</v>
      </c>
      <c r="G52" s="617">
        <v>8137</v>
      </c>
      <c r="H52" s="617">
        <v>8318</v>
      </c>
      <c r="I52" s="617">
        <v>8330</v>
      </c>
      <c r="J52" s="618">
        <v>8454</v>
      </c>
      <c r="K52" s="616">
        <v>8368</v>
      </c>
      <c r="L52" s="617">
        <v>8196</v>
      </c>
      <c r="M52" s="617">
        <v>8092</v>
      </c>
      <c r="N52" s="618">
        <v>8064</v>
      </c>
      <c r="O52" s="616">
        <v>8084</v>
      </c>
      <c r="P52" s="617">
        <v>8183</v>
      </c>
      <c r="Q52" s="617">
        <v>8366</v>
      </c>
      <c r="R52" s="618">
        <v>8314</v>
      </c>
      <c r="S52" s="616">
        <v>8358</v>
      </c>
      <c r="T52" s="617">
        <v>8357</v>
      </c>
      <c r="U52" s="617">
        <v>8212</v>
      </c>
      <c r="V52" s="618">
        <v>8344</v>
      </c>
      <c r="W52" s="616">
        <v>8608</v>
      </c>
      <c r="X52" s="617">
        <v>8639</v>
      </c>
      <c r="Y52" s="617">
        <v>8633</v>
      </c>
      <c r="Z52" s="618">
        <v>8603</v>
      </c>
      <c r="AA52" s="616">
        <v>8569</v>
      </c>
      <c r="AB52" s="617">
        <v>8511</v>
      </c>
      <c r="AC52" s="617">
        <v>8449</v>
      </c>
      <c r="AD52" s="618">
        <v>8396</v>
      </c>
      <c r="AE52" s="617">
        <v>8327</v>
      </c>
      <c r="AF52" s="617">
        <v>8302</v>
      </c>
      <c r="AG52" s="617">
        <v>8302</v>
      </c>
      <c r="AH52" s="617">
        <v>8287</v>
      </c>
      <c r="AI52" s="616">
        <v>8332</v>
      </c>
      <c r="AJ52" s="617">
        <v>8338</v>
      </c>
      <c r="AK52" s="617">
        <v>8314</v>
      </c>
      <c r="AL52" s="618">
        <v>8274</v>
      </c>
      <c r="AM52" s="616">
        <v>8271</v>
      </c>
      <c r="AN52" s="617">
        <v>8245</v>
      </c>
      <c r="AO52" s="617">
        <v>8179</v>
      </c>
      <c r="AP52" s="618">
        <v>8025</v>
      </c>
      <c r="AQ52" s="616">
        <v>7966</v>
      </c>
      <c r="AR52" s="617">
        <v>7980</v>
      </c>
      <c r="AS52" s="617">
        <v>8016</v>
      </c>
      <c r="AT52" s="618">
        <v>8032</v>
      </c>
      <c r="AU52" s="616">
        <v>8082</v>
      </c>
      <c r="AV52" s="617">
        <v>8075</v>
      </c>
      <c r="AW52" s="617">
        <v>8080</v>
      </c>
      <c r="AX52" s="623">
        <v>8086</v>
      </c>
      <c r="AY52" s="624">
        <v>8013</v>
      </c>
      <c r="AZ52" s="617">
        <v>8031</v>
      </c>
      <c r="BA52" s="617">
        <v>7953</v>
      </c>
      <c r="BB52" s="617">
        <v>7984</v>
      </c>
      <c r="BC52" s="616">
        <v>8032</v>
      </c>
      <c r="BD52" s="617">
        <v>8049</v>
      </c>
      <c r="BE52" s="617">
        <v>8141</v>
      </c>
      <c r="BF52" s="617">
        <v>8426</v>
      </c>
      <c r="BG52" s="616">
        <v>8593</v>
      </c>
      <c r="BH52" s="617">
        <v>8706</v>
      </c>
      <c r="BI52" s="617">
        <v>8680</v>
      </c>
      <c r="BJ52" s="617">
        <v>8625</v>
      </c>
      <c r="BK52" s="616">
        <v>8445</v>
      </c>
      <c r="BL52" s="617">
        <v>8446</v>
      </c>
      <c r="BM52" s="617">
        <v>8410</v>
      </c>
      <c r="BN52" s="617">
        <v>8363</v>
      </c>
      <c r="BO52" s="616">
        <v>8447</v>
      </c>
      <c r="BP52" s="617">
        <v>8503</v>
      </c>
      <c r="BQ52" s="617">
        <v>8448</v>
      </c>
      <c r="BR52" s="617">
        <v>8379</v>
      </c>
      <c r="BS52" s="616">
        <v>8305</v>
      </c>
      <c r="BT52" s="617"/>
      <c r="BU52" s="20"/>
      <c r="BV52" s="20"/>
    </row>
    <row r="53" spans="1:74" s="150" customFormat="1" ht="10.8">
      <c r="A53" s="488"/>
      <c r="B53" s="488"/>
      <c r="C53" s="504"/>
      <c r="D53" s="504"/>
      <c r="E53" s="504"/>
      <c r="F53" s="504"/>
      <c r="G53" s="504"/>
      <c r="H53" s="504"/>
      <c r="I53" s="504"/>
      <c r="J53" s="504"/>
      <c r="K53" s="504"/>
      <c r="L53" s="504"/>
      <c r="M53" s="504"/>
      <c r="N53" s="504"/>
      <c r="O53" s="504"/>
      <c r="P53" s="504"/>
      <c r="Q53" s="504"/>
      <c r="R53" s="504"/>
      <c r="S53" s="504"/>
      <c r="T53" s="504"/>
      <c r="U53" s="504"/>
      <c r="V53" s="504"/>
      <c r="W53" s="504"/>
      <c r="X53" s="504"/>
      <c r="Y53" s="504"/>
      <c r="Z53" s="504"/>
      <c r="AA53" s="504"/>
      <c r="AI53" s="504"/>
      <c r="AJ53" s="505"/>
      <c r="AM53" s="504"/>
      <c r="AN53" s="505"/>
      <c r="AO53" s="505"/>
      <c r="AP53" s="505"/>
      <c r="AQ53" s="505"/>
      <c r="AR53" s="505"/>
      <c r="AS53" s="505"/>
      <c r="AT53" s="505"/>
    </row>
    <row r="54" spans="1:74" s="150" customFormat="1" ht="12">
      <c r="A54" s="506" t="s">
        <v>941</v>
      </c>
      <c r="B54" s="506" t="s">
        <v>942</v>
      </c>
      <c r="C54" s="505"/>
      <c r="D54" s="505"/>
      <c r="E54" s="505"/>
      <c r="F54" s="505"/>
      <c r="G54" s="505"/>
      <c r="H54" s="505"/>
      <c r="I54" s="505"/>
      <c r="J54" s="505"/>
      <c r="K54" s="505"/>
      <c r="L54" s="505"/>
      <c r="M54" s="505"/>
      <c r="N54" s="505"/>
      <c r="O54" s="505"/>
      <c r="P54" s="505"/>
      <c r="Q54" s="505"/>
      <c r="R54" s="505"/>
      <c r="S54" s="505"/>
      <c r="T54" s="505"/>
      <c r="U54" s="505"/>
      <c r="V54" s="505"/>
      <c r="W54" s="505"/>
      <c r="X54" s="505"/>
      <c r="Y54" s="505"/>
      <c r="Z54" s="505"/>
      <c r="AA54" s="505"/>
      <c r="AI54" s="505"/>
      <c r="AJ54" s="505"/>
      <c r="AM54" s="505"/>
      <c r="AN54" s="505"/>
      <c r="AO54" s="505"/>
      <c r="AP54" s="505"/>
      <c r="AQ54" s="505"/>
      <c r="AR54" s="505"/>
      <c r="AS54" s="505"/>
      <c r="AT54" s="505"/>
    </row>
    <row r="55" spans="1:74" s="150" customFormat="1" ht="12">
      <c r="A55" s="507" t="s">
        <v>943</v>
      </c>
      <c r="B55" s="508" t="s">
        <v>944</v>
      </c>
      <c r="C55" s="505"/>
      <c r="D55" s="505"/>
      <c r="E55" s="505"/>
      <c r="F55" s="505"/>
      <c r="G55" s="505"/>
      <c r="H55" s="505"/>
      <c r="I55" s="505"/>
      <c r="J55" s="505"/>
      <c r="K55" s="505"/>
      <c r="L55" s="505"/>
      <c r="M55" s="505"/>
      <c r="N55" s="505"/>
      <c r="O55" s="505"/>
      <c r="P55" s="505"/>
      <c r="Q55" s="505"/>
      <c r="R55" s="505"/>
      <c r="S55" s="505"/>
      <c r="T55" s="505"/>
      <c r="U55" s="505"/>
      <c r="V55" s="505"/>
      <c r="W55" s="505"/>
      <c r="X55" s="505"/>
      <c r="Y55" s="505"/>
      <c r="Z55" s="505"/>
      <c r="AA55" s="505"/>
      <c r="AI55" s="505"/>
      <c r="AJ55" s="505"/>
      <c r="AM55" s="505"/>
      <c r="AN55" s="505"/>
      <c r="AO55" s="505"/>
      <c r="AP55" s="505"/>
      <c r="AQ55" s="505"/>
      <c r="AR55" s="505"/>
      <c r="AS55" s="505"/>
      <c r="AT55" s="505"/>
    </row>
    <row r="56" spans="1:74" s="150" customFormat="1" ht="12">
      <c r="A56" s="506" t="s">
        <v>945</v>
      </c>
      <c r="B56" s="506" t="s">
        <v>946</v>
      </c>
      <c r="C56" s="446"/>
      <c r="D56" s="446"/>
      <c r="E56" s="446"/>
      <c r="F56" s="446"/>
      <c r="G56" s="446"/>
      <c r="H56" s="446"/>
      <c r="I56" s="446"/>
      <c r="J56" s="446"/>
      <c r="K56" s="446"/>
      <c r="L56" s="446"/>
      <c r="M56" s="446"/>
      <c r="N56" s="446"/>
      <c r="O56" s="446"/>
      <c r="P56" s="446"/>
      <c r="Q56" s="446"/>
      <c r="R56" s="446"/>
      <c r="S56" s="446"/>
      <c r="T56" s="446"/>
      <c r="U56" s="446"/>
      <c r="V56" s="446"/>
      <c r="W56" s="446"/>
      <c r="X56" s="446"/>
      <c r="Y56" s="446"/>
      <c r="Z56" s="446"/>
      <c r="AA56" s="446"/>
      <c r="AI56" s="446"/>
      <c r="AJ56" s="446"/>
      <c r="AM56" s="446"/>
      <c r="AN56" s="446"/>
      <c r="AO56" s="446"/>
      <c r="AP56" s="446"/>
      <c r="AQ56" s="446"/>
      <c r="AR56" s="446"/>
      <c r="AS56" s="446"/>
      <c r="AT56" s="446"/>
    </row>
    <row r="57" spans="1:74" s="150" customFormat="1" ht="12">
      <c r="A57" s="506" t="s">
        <v>947</v>
      </c>
      <c r="B57" s="506" t="s">
        <v>948</v>
      </c>
      <c r="C57" s="446"/>
      <c r="D57" s="446"/>
      <c r="E57" s="446"/>
      <c r="F57" s="446"/>
      <c r="G57" s="446"/>
      <c r="H57" s="446"/>
      <c r="I57" s="446"/>
      <c r="J57" s="446"/>
      <c r="K57" s="446"/>
      <c r="L57" s="446"/>
      <c r="M57" s="446"/>
      <c r="N57" s="446"/>
      <c r="O57" s="446"/>
      <c r="P57" s="446"/>
      <c r="Q57" s="446"/>
      <c r="R57" s="446"/>
      <c r="S57" s="446"/>
      <c r="T57" s="446"/>
      <c r="U57" s="446"/>
      <c r="V57" s="446"/>
      <c r="W57" s="446"/>
      <c r="X57" s="446"/>
      <c r="Y57" s="446"/>
      <c r="Z57" s="446"/>
      <c r="AA57" s="446"/>
      <c r="AI57" s="446"/>
      <c r="AJ57" s="446"/>
      <c r="AM57" s="446"/>
      <c r="AN57" s="446"/>
      <c r="AO57" s="446"/>
      <c r="AP57" s="446"/>
      <c r="AQ57" s="446"/>
      <c r="AR57" s="446"/>
      <c r="AS57" s="446"/>
      <c r="AT57" s="446"/>
    </row>
    <row r="58" spans="1:74" s="150" customFormat="1" ht="12">
      <c r="A58" s="506" t="s">
        <v>949</v>
      </c>
      <c r="B58" s="506" t="s">
        <v>950</v>
      </c>
      <c r="C58" s="505"/>
      <c r="D58" s="505"/>
      <c r="E58" s="505"/>
      <c r="F58" s="505"/>
      <c r="G58" s="505"/>
      <c r="H58" s="505"/>
      <c r="I58" s="505"/>
      <c r="J58" s="505"/>
      <c r="K58" s="505"/>
      <c r="L58" s="505"/>
      <c r="M58" s="505"/>
      <c r="N58" s="505"/>
      <c r="O58" s="505"/>
      <c r="P58" s="505"/>
      <c r="Q58" s="505"/>
      <c r="R58" s="505"/>
      <c r="S58" s="505"/>
      <c r="T58" s="505"/>
      <c r="U58" s="505"/>
      <c r="V58" s="505"/>
      <c r="W58" s="505"/>
      <c r="X58" s="505"/>
      <c r="Y58" s="505"/>
      <c r="Z58" s="505"/>
      <c r="AA58" s="505"/>
      <c r="AI58" s="505"/>
      <c r="AJ58" s="505"/>
      <c r="AM58" s="505"/>
      <c r="AN58" s="505"/>
      <c r="AO58" s="505"/>
      <c r="AP58" s="505"/>
      <c r="AQ58" s="505"/>
      <c r="AR58" s="505"/>
      <c r="AS58" s="505"/>
      <c r="AT58" s="505"/>
    </row>
    <row r="59" spans="1:74" s="150" customFormat="1" ht="12">
      <c r="A59" s="506" t="s">
        <v>951</v>
      </c>
      <c r="B59" s="506" t="s">
        <v>952</v>
      </c>
      <c r="C59" s="505"/>
      <c r="D59" s="505"/>
      <c r="E59" s="505"/>
      <c r="F59" s="505"/>
      <c r="G59" s="505"/>
      <c r="H59" s="505"/>
      <c r="I59" s="505"/>
      <c r="J59" s="505"/>
      <c r="K59" s="505"/>
      <c r="L59" s="505"/>
      <c r="M59" s="505"/>
      <c r="N59" s="505"/>
      <c r="O59" s="505"/>
      <c r="P59" s="505"/>
      <c r="Q59" s="505"/>
      <c r="R59" s="505"/>
      <c r="S59" s="505"/>
      <c r="T59" s="505"/>
      <c r="U59" s="505"/>
      <c r="V59" s="505"/>
      <c r="W59" s="505"/>
      <c r="X59" s="505"/>
      <c r="Y59" s="505"/>
      <c r="Z59" s="505"/>
      <c r="AA59" s="505"/>
      <c r="AI59" s="505"/>
      <c r="AJ59" s="505"/>
      <c r="AM59" s="505"/>
      <c r="AN59" s="505"/>
      <c r="AO59" s="505"/>
      <c r="AP59" s="505"/>
      <c r="AQ59" s="505"/>
      <c r="AR59" s="505"/>
      <c r="AS59" s="505"/>
      <c r="AT59" s="505"/>
    </row>
    <row r="60" spans="1:74" ht="13.5" hidden="1" customHeight="1">
      <c r="AI60" s="150"/>
      <c r="AJ60" s="150"/>
      <c r="AM60" s="150"/>
      <c r="AN60" s="150"/>
      <c r="AO60" s="150"/>
      <c r="AP60" s="150"/>
      <c r="AQ60" s="150"/>
      <c r="AR60" s="150"/>
      <c r="AS60" s="150"/>
      <c r="AT60" s="150"/>
    </row>
    <row r="61" spans="1:74" ht="13.5" hidden="1" customHeight="1"/>
    <row r="62" spans="1:74" ht="13.5" hidden="1" customHeight="1"/>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19CD8587-0776-43D9-B65A-154562215E82}"/>
    <hyperlink ref="A1" location="'Spis tresci_Table of content'!Obszar_wydruku" display="Go back to Table of content" xr:uid="{00E60BF6-8657-4933-A5EC-9CF58A70681D}"/>
    <hyperlink ref="B1" location="'Spis tresci_Table of content'!A1" display="Powrót do spisu treści" xr:uid="{8164D2C8-B70B-443A-8596-AF9BF78BFC6E}"/>
  </hyperlinks>
  <printOptions horizontalCentered="1"/>
  <pageMargins left="0.25" right="0.25" top="0.75" bottom="0.75" header="0.3" footer="0.3"/>
  <pageSetup paperSize="9" scale="20" fitToHeight="0" orientation="landscape" r:id="rId1"/>
  <headerFooter alignWithMargins="0">
    <oddHeader xml:space="preserve">&amp;C&amp;"Times New Roman,Kursywa"&amp;12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0CDC8-04AD-495B-924E-03F52EBBB0E1}">
  <sheetPr>
    <pageSetUpPr fitToPage="1"/>
  </sheetPr>
  <dimension ref="A1:BV86"/>
  <sheetViews>
    <sheetView showGridLines="0" zoomScale="90" zoomScaleNormal="90" zoomScaleSheetLayoutView="100" zoomScalePageLayoutView="80" workbookViewId="0">
      <pane xSplit="2" ySplit="5" topLeftCell="BK6" activePane="bottomRight" state="frozen"/>
      <selection pane="topRight" activeCell="C1" sqref="C1"/>
      <selection pane="bottomLeft" activeCell="A5" sqref="A5"/>
      <selection pane="bottomRight" activeCell="BK2" sqref="BK2"/>
    </sheetView>
  </sheetViews>
  <sheetFormatPr defaultColWidth="0" defaultRowHeight="13.8" zeroHeight="1" outlineLevelCol="1"/>
  <cols>
    <col min="1" max="1" width="59.109375" style="4" customWidth="1" outlineLevel="1"/>
    <col min="2" max="2" width="59.109375" style="4" bestFit="1" customWidth="1"/>
    <col min="3" max="42" width="7.109375" style="151" customWidth="1"/>
    <col min="43" max="70" width="9" style="151" customWidth="1"/>
    <col min="71" max="71" width="9" style="449" customWidth="1"/>
    <col min="72" max="74" width="7.1093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row>
    <row r="2" spans="1:74">
      <c r="A2" s="152" t="s">
        <v>496</v>
      </c>
      <c r="B2" s="152" t="s">
        <v>497</v>
      </c>
      <c r="AH2" s="439"/>
      <c r="AI2" s="439"/>
      <c r="AM2" s="439"/>
      <c r="AU2" s="439"/>
      <c r="AY2" s="439"/>
      <c r="BC2" s="439"/>
      <c r="BG2" s="439"/>
      <c r="BK2" s="439"/>
      <c r="BO2" s="439"/>
      <c r="BS2" s="2"/>
    </row>
    <row r="3" spans="1:74">
      <c r="A3" s="536" t="s">
        <v>788</v>
      </c>
      <c r="B3" s="536" t="s">
        <v>789</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4"/>
      <c r="AA3" s="533">
        <v>2013</v>
      </c>
      <c r="AB3" s="534"/>
      <c r="AC3" s="534"/>
      <c r="AD3" s="534"/>
      <c r="AE3" s="533">
        <v>2014</v>
      </c>
      <c r="AF3" s="534"/>
      <c r="AG3" s="534"/>
      <c r="AH3" s="534"/>
      <c r="AI3" s="533">
        <v>2015</v>
      </c>
      <c r="AJ3" s="534"/>
      <c r="AK3" s="534"/>
      <c r="AL3" s="534"/>
      <c r="AM3" s="533">
        <v>2016</v>
      </c>
      <c r="AN3" s="534"/>
      <c r="AO3" s="534"/>
      <c r="AP3" s="534"/>
      <c r="AQ3" s="533">
        <v>2017</v>
      </c>
      <c r="AR3" s="538"/>
      <c r="AS3" s="538"/>
      <c r="AT3" s="546"/>
      <c r="AU3" s="533">
        <v>2018</v>
      </c>
      <c r="AV3" s="538"/>
      <c r="AW3" s="538"/>
      <c r="AX3" s="539"/>
      <c r="AY3" s="533">
        <v>2019</v>
      </c>
      <c r="AZ3" s="538"/>
      <c r="BA3" s="538"/>
      <c r="BB3" s="539"/>
      <c r="BC3" s="533">
        <v>2020</v>
      </c>
      <c r="BD3" s="538"/>
      <c r="BE3" s="538"/>
      <c r="BF3" s="539"/>
      <c r="BG3" s="533">
        <v>2021</v>
      </c>
      <c r="BH3" s="538"/>
      <c r="BI3" s="538"/>
      <c r="BJ3" s="539"/>
      <c r="BK3" s="533">
        <v>2022</v>
      </c>
      <c r="BL3" s="538"/>
      <c r="BM3" s="538"/>
      <c r="BN3" s="539"/>
      <c r="BO3" s="533">
        <v>2023</v>
      </c>
      <c r="BP3" s="538"/>
      <c r="BQ3" s="538"/>
      <c r="BR3" s="539"/>
      <c r="BS3" s="533">
        <v>2024</v>
      </c>
      <c r="BT3" s="538"/>
      <c r="BU3" s="538"/>
      <c r="BV3" s="539"/>
    </row>
    <row r="4" spans="1:74" ht="25.5" customHeight="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2" t="s">
        <v>11</v>
      </c>
      <c r="AA4" s="11" t="s">
        <v>8</v>
      </c>
      <c r="AB4" s="12" t="s">
        <v>9</v>
      </c>
      <c r="AC4" s="12" t="s">
        <v>10</v>
      </c>
      <c r="AD4" s="12" t="s">
        <v>11</v>
      </c>
      <c r="AE4" s="11" t="s">
        <v>8</v>
      </c>
      <c r="AF4" s="12" t="s">
        <v>9</v>
      </c>
      <c r="AG4" s="12" t="s">
        <v>10</v>
      </c>
      <c r="AH4" s="12" t="s">
        <v>11</v>
      </c>
      <c r="AI4" s="11" t="s">
        <v>8</v>
      </c>
      <c r="AJ4" s="12" t="s">
        <v>9</v>
      </c>
      <c r="AK4" s="12" t="s">
        <v>10</v>
      </c>
      <c r="AL4" s="12" t="s">
        <v>11</v>
      </c>
      <c r="AM4" s="11" t="s">
        <v>8</v>
      </c>
      <c r="AN4" s="12" t="s">
        <v>9</v>
      </c>
      <c r="AO4" s="12" t="s">
        <v>10</v>
      </c>
      <c r="AP4" s="12" t="s">
        <v>11</v>
      </c>
      <c r="AQ4" s="11" t="s">
        <v>8</v>
      </c>
      <c r="AR4" s="12" t="s">
        <v>9</v>
      </c>
      <c r="AS4" s="12" t="s">
        <v>10</v>
      </c>
      <c r="AT4" s="12" t="s">
        <v>11</v>
      </c>
      <c r="AU4" s="11" t="s">
        <v>8</v>
      </c>
      <c r="AV4" s="12" t="s">
        <v>9</v>
      </c>
      <c r="AW4" s="12" t="s">
        <v>10</v>
      </c>
      <c r="AX4" s="12" t="s">
        <v>11</v>
      </c>
      <c r="AY4" s="11"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ht="12.75" customHeight="1">
      <c r="A5" s="17" t="s">
        <v>12</v>
      </c>
      <c r="B5" s="17" t="s">
        <v>13</v>
      </c>
      <c r="C5" s="478"/>
      <c r="D5" s="479"/>
      <c r="E5" s="479"/>
      <c r="F5" s="479"/>
      <c r="G5" s="478"/>
      <c r="H5" s="479"/>
      <c r="I5" s="479"/>
      <c r="J5" s="480"/>
      <c r="K5" s="478"/>
      <c r="L5" s="479"/>
      <c r="M5" s="479"/>
      <c r="N5" s="480"/>
      <c r="O5" s="478"/>
      <c r="P5" s="479"/>
      <c r="Q5" s="479"/>
      <c r="R5" s="480"/>
      <c r="S5" s="478"/>
      <c r="T5" s="479"/>
      <c r="U5" s="479"/>
      <c r="V5" s="480"/>
      <c r="W5" s="478"/>
      <c r="X5" s="479"/>
      <c r="Y5" s="479"/>
      <c r="Z5" s="480"/>
      <c r="AA5" s="478"/>
      <c r="AB5" s="479"/>
      <c r="AC5" s="479"/>
      <c r="AD5" s="480"/>
      <c r="AE5" s="481"/>
      <c r="AI5" s="481"/>
      <c r="AM5" s="481"/>
      <c r="AQ5" s="481"/>
      <c r="AU5" s="481"/>
      <c r="AY5" s="481"/>
      <c r="BC5" s="481"/>
      <c r="BG5" s="481"/>
      <c r="BK5" s="481"/>
      <c r="BO5" s="481"/>
    </row>
    <row r="6" spans="1:74" s="466" customFormat="1">
      <c r="A6" s="163" t="s">
        <v>790</v>
      </c>
      <c r="B6" s="500" t="s">
        <v>791</v>
      </c>
      <c r="C6" s="48">
        <v>556</v>
      </c>
      <c r="D6" s="47">
        <v>586.00000000000011</v>
      </c>
      <c r="E6" s="47">
        <v>618.29999999999995</v>
      </c>
      <c r="F6" s="47">
        <v>673.3</v>
      </c>
      <c r="G6" s="48">
        <v>750.5</v>
      </c>
      <c r="H6" s="47">
        <v>855.3</v>
      </c>
      <c r="I6" s="47">
        <v>910.1</v>
      </c>
      <c r="J6" s="49">
        <v>982.8</v>
      </c>
      <c r="K6" s="709">
        <v>860.8</v>
      </c>
      <c r="L6" s="47">
        <v>773.3</v>
      </c>
      <c r="M6" s="47">
        <v>732.1</v>
      </c>
      <c r="N6" s="49">
        <v>711.5</v>
      </c>
      <c r="O6" s="48">
        <v>726.8</v>
      </c>
      <c r="P6" s="47">
        <v>723.1</v>
      </c>
      <c r="Q6" s="47">
        <v>747.3</v>
      </c>
      <c r="R6" s="49">
        <v>751.5</v>
      </c>
      <c r="S6" s="48">
        <v>772.6</v>
      </c>
      <c r="T6" s="47">
        <v>833.6</v>
      </c>
      <c r="U6" s="47">
        <v>882.3</v>
      </c>
      <c r="V6" s="49">
        <v>897</v>
      </c>
      <c r="W6" s="48">
        <v>945.2</v>
      </c>
      <c r="X6" s="47">
        <v>945.2</v>
      </c>
      <c r="Y6" s="47">
        <v>963.19999999999982</v>
      </c>
      <c r="Z6" s="49">
        <v>977.9</v>
      </c>
      <c r="AA6" s="48">
        <v>925.1</v>
      </c>
      <c r="AB6" s="47">
        <v>902.8</v>
      </c>
      <c r="AC6" s="47">
        <v>895.40000000000009</v>
      </c>
      <c r="AD6" s="49">
        <v>891.4</v>
      </c>
      <c r="AE6" s="48">
        <v>903.8</v>
      </c>
      <c r="AF6" s="47">
        <v>932.6</v>
      </c>
      <c r="AG6" s="47">
        <v>962.2</v>
      </c>
      <c r="AH6" s="49">
        <v>925.9</v>
      </c>
      <c r="AI6" s="48">
        <v>887</v>
      </c>
      <c r="AJ6" s="47">
        <v>878</v>
      </c>
      <c r="AK6" s="47">
        <v>928.5</v>
      </c>
      <c r="AL6" s="49">
        <v>935.1</v>
      </c>
      <c r="AM6" s="48">
        <v>935</v>
      </c>
      <c r="AN6" s="47">
        <v>961.2</v>
      </c>
      <c r="AO6" s="47">
        <v>1010.5</v>
      </c>
      <c r="AP6" s="49">
        <v>1016.1999999999998</v>
      </c>
      <c r="AQ6" s="48">
        <v>1004.3</v>
      </c>
      <c r="AR6" s="47">
        <v>1040.6000000000001</v>
      </c>
      <c r="AS6" s="47">
        <v>1081.5999999999999</v>
      </c>
      <c r="AT6" s="49">
        <v>1111</v>
      </c>
      <c r="AU6" s="48">
        <v>1098.0999999999999</v>
      </c>
      <c r="AV6" s="47">
        <v>1150.2</v>
      </c>
      <c r="AW6" s="47">
        <v>1194.7</v>
      </c>
      <c r="AX6" s="47">
        <v>1230.8000000000002</v>
      </c>
      <c r="AY6" s="48">
        <v>1263.1000000000001</v>
      </c>
      <c r="AZ6" s="47">
        <v>1314.1</v>
      </c>
      <c r="BA6" s="47">
        <v>1367.5</v>
      </c>
      <c r="BB6" s="47">
        <v>1366.5999999999997</v>
      </c>
      <c r="BC6" s="48">
        <v>1386.6</v>
      </c>
      <c r="BD6" s="47">
        <v>1304</v>
      </c>
      <c r="BE6" s="47">
        <v>1277.3000000000002</v>
      </c>
      <c r="BF6" s="47">
        <v>1279</v>
      </c>
      <c r="BG6" s="48">
        <v>1267.5999999999999</v>
      </c>
      <c r="BH6" s="47">
        <v>1297.0999999999999</v>
      </c>
      <c r="BI6" s="47">
        <v>1352.3</v>
      </c>
      <c r="BJ6" s="47">
        <v>1515.4</v>
      </c>
      <c r="BK6" s="48">
        <v>1851.7</v>
      </c>
      <c r="BL6" s="47">
        <v>2379.5</v>
      </c>
      <c r="BM6" s="47">
        <v>1018.2</v>
      </c>
      <c r="BN6" s="47">
        <v>2862.5</v>
      </c>
      <c r="BO6" s="48">
        <v>2982.1</v>
      </c>
      <c r="BP6" s="47">
        <v>3134</v>
      </c>
      <c r="BQ6" s="47">
        <v>3176.9</v>
      </c>
      <c r="BR6" s="47">
        <v>3116</v>
      </c>
      <c r="BS6" s="48">
        <v>3232.2</v>
      </c>
      <c r="BT6" s="710"/>
    </row>
    <row r="7" spans="1:74" s="466" customFormat="1">
      <c r="A7" s="163" t="s">
        <v>792</v>
      </c>
      <c r="B7" s="500" t="s">
        <v>793</v>
      </c>
      <c r="C7" s="48" t="s">
        <v>28</v>
      </c>
      <c r="D7" s="47" t="s">
        <v>28</v>
      </c>
      <c r="E7" s="47" t="s">
        <v>28</v>
      </c>
      <c r="F7" s="47" t="s">
        <v>28</v>
      </c>
      <c r="G7" s="48" t="s">
        <v>28</v>
      </c>
      <c r="H7" s="47" t="s">
        <v>28</v>
      </c>
      <c r="I7" s="47" t="s">
        <v>28</v>
      </c>
      <c r="J7" s="49" t="s">
        <v>28</v>
      </c>
      <c r="K7" s="709" t="s">
        <v>28</v>
      </c>
      <c r="L7" s="47" t="s">
        <v>28</v>
      </c>
      <c r="M7" s="47" t="s">
        <v>28</v>
      </c>
      <c r="N7" s="49" t="s">
        <v>28</v>
      </c>
      <c r="O7" s="48" t="s">
        <v>28</v>
      </c>
      <c r="P7" s="47" t="s">
        <v>28</v>
      </c>
      <c r="Q7" s="47" t="s">
        <v>28</v>
      </c>
      <c r="R7" s="49" t="s">
        <v>28</v>
      </c>
      <c r="S7" s="48" t="s">
        <v>28</v>
      </c>
      <c r="T7" s="47" t="s">
        <v>28</v>
      </c>
      <c r="U7" s="47" t="s">
        <v>28</v>
      </c>
      <c r="V7" s="49" t="s">
        <v>28</v>
      </c>
      <c r="W7" s="48" t="s">
        <v>28</v>
      </c>
      <c r="X7" s="47" t="s">
        <v>28</v>
      </c>
      <c r="Y7" s="47" t="s">
        <v>28</v>
      </c>
      <c r="Z7" s="49" t="s">
        <v>28</v>
      </c>
      <c r="AA7" s="48" t="s">
        <v>28</v>
      </c>
      <c r="AB7" s="47" t="s">
        <v>28</v>
      </c>
      <c r="AC7" s="47" t="s">
        <v>28</v>
      </c>
      <c r="AD7" s="49" t="s">
        <v>28</v>
      </c>
      <c r="AE7" s="48" t="s">
        <v>28</v>
      </c>
      <c r="AF7" s="47" t="s">
        <v>28</v>
      </c>
      <c r="AG7" s="47" t="s">
        <v>28</v>
      </c>
      <c r="AH7" s="49" t="s">
        <v>28</v>
      </c>
      <c r="AI7" s="48" t="s">
        <v>28</v>
      </c>
      <c r="AJ7" s="47" t="s">
        <v>28</v>
      </c>
      <c r="AK7" s="47" t="s">
        <v>28</v>
      </c>
      <c r="AL7" s="49" t="s">
        <v>28</v>
      </c>
      <c r="AM7" s="48" t="s">
        <v>28</v>
      </c>
      <c r="AN7" s="47" t="s">
        <v>28</v>
      </c>
      <c r="AO7" s="47" t="s">
        <v>28</v>
      </c>
      <c r="AP7" s="49" t="s">
        <v>28</v>
      </c>
      <c r="AQ7" s="48" t="s">
        <v>28</v>
      </c>
      <c r="AR7" s="47" t="s">
        <v>28</v>
      </c>
      <c r="AS7" s="47" t="s">
        <v>28</v>
      </c>
      <c r="AT7" s="106" t="s">
        <v>28</v>
      </c>
      <c r="AU7" s="48">
        <f>AU6-AU8</f>
        <v>1096.8</v>
      </c>
      <c r="AV7" s="47">
        <f>AV6-AV8</f>
        <v>1148.8</v>
      </c>
      <c r="AW7" s="47">
        <f>AW6-AW8</f>
        <v>1193.4000000000001</v>
      </c>
      <c r="AX7" s="47">
        <f>AX6-AX8</f>
        <v>1229.5000000000002</v>
      </c>
      <c r="AY7" s="48">
        <f t="shared" ref="AY7:BS7" si="0">AY6-AY8</f>
        <v>1262.0000000000002</v>
      </c>
      <c r="AZ7" s="47">
        <f t="shared" si="0"/>
        <v>1313</v>
      </c>
      <c r="BA7" s="47">
        <f t="shared" si="0"/>
        <v>1366.5</v>
      </c>
      <c r="BB7" s="47">
        <f t="shared" si="0"/>
        <v>1365.6999999999996</v>
      </c>
      <c r="BC7" s="48">
        <f t="shared" si="0"/>
        <v>1385.8</v>
      </c>
      <c r="BD7" s="47">
        <f t="shared" si="0"/>
        <v>1303.3</v>
      </c>
      <c r="BE7" s="47">
        <f t="shared" si="0"/>
        <v>1276.6000000000001</v>
      </c>
      <c r="BF7" s="47">
        <f t="shared" si="0"/>
        <v>1278.4000000000001</v>
      </c>
      <c r="BG7" s="48">
        <f t="shared" si="0"/>
        <v>1267.3</v>
      </c>
      <c r="BH7" s="47">
        <f t="shared" si="0"/>
        <v>1297</v>
      </c>
      <c r="BI7" s="47">
        <f t="shared" si="0"/>
        <v>1352.3</v>
      </c>
      <c r="BJ7" s="47">
        <f t="shared" si="0"/>
        <v>1515.1000000000001</v>
      </c>
      <c r="BK7" s="48">
        <f t="shared" si="0"/>
        <v>1851.2</v>
      </c>
      <c r="BL7" s="47">
        <f t="shared" si="0"/>
        <v>2378.9</v>
      </c>
      <c r="BM7" s="47">
        <f t="shared" si="0"/>
        <v>1017.3000000000001</v>
      </c>
      <c r="BN7" s="47">
        <f t="shared" si="0"/>
        <v>2861.6</v>
      </c>
      <c r="BO7" s="48">
        <f t="shared" si="0"/>
        <v>2981.2999999999997</v>
      </c>
      <c r="BP7" s="47">
        <f t="shared" si="0"/>
        <v>3133.4</v>
      </c>
      <c r="BQ7" s="47">
        <f t="shared" si="0"/>
        <v>3176.2000000000003</v>
      </c>
      <c r="BR7" s="47">
        <f t="shared" si="0"/>
        <v>3115.5</v>
      </c>
      <c r="BS7" s="48">
        <f t="shared" si="0"/>
        <v>3231.7999999999997</v>
      </c>
      <c r="BT7" s="710"/>
    </row>
    <row r="8" spans="1:74" s="466" customFormat="1">
      <c r="A8" s="163" t="s">
        <v>794</v>
      </c>
      <c r="B8" s="500" t="s">
        <v>795</v>
      </c>
      <c r="C8" s="48" t="s">
        <v>28</v>
      </c>
      <c r="D8" s="47" t="s">
        <v>28</v>
      </c>
      <c r="E8" s="47" t="s">
        <v>28</v>
      </c>
      <c r="F8" s="47" t="s">
        <v>28</v>
      </c>
      <c r="G8" s="48" t="s">
        <v>28</v>
      </c>
      <c r="H8" s="47" t="s">
        <v>28</v>
      </c>
      <c r="I8" s="47" t="s">
        <v>28</v>
      </c>
      <c r="J8" s="49" t="s">
        <v>28</v>
      </c>
      <c r="K8" s="709" t="s">
        <v>28</v>
      </c>
      <c r="L8" s="47" t="s">
        <v>28</v>
      </c>
      <c r="M8" s="47" t="s">
        <v>28</v>
      </c>
      <c r="N8" s="49" t="s">
        <v>28</v>
      </c>
      <c r="O8" s="48" t="s">
        <v>28</v>
      </c>
      <c r="P8" s="47" t="s">
        <v>28</v>
      </c>
      <c r="Q8" s="47" t="s">
        <v>28</v>
      </c>
      <c r="R8" s="49" t="s">
        <v>28</v>
      </c>
      <c r="S8" s="48" t="s">
        <v>28</v>
      </c>
      <c r="T8" s="47" t="s">
        <v>28</v>
      </c>
      <c r="U8" s="47" t="s">
        <v>28</v>
      </c>
      <c r="V8" s="49" t="s">
        <v>28</v>
      </c>
      <c r="W8" s="48" t="s">
        <v>28</v>
      </c>
      <c r="X8" s="47" t="s">
        <v>28</v>
      </c>
      <c r="Y8" s="47" t="s">
        <v>28</v>
      </c>
      <c r="Z8" s="49" t="s">
        <v>28</v>
      </c>
      <c r="AA8" s="48" t="s">
        <v>28</v>
      </c>
      <c r="AB8" s="47" t="s">
        <v>28</v>
      </c>
      <c r="AC8" s="47" t="s">
        <v>28</v>
      </c>
      <c r="AD8" s="49" t="s">
        <v>28</v>
      </c>
      <c r="AE8" s="48" t="s">
        <v>28</v>
      </c>
      <c r="AF8" s="47" t="s">
        <v>28</v>
      </c>
      <c r="AG8" s="47" t="s">
        <v>28</v>
      </c>
      <c r="AH8" s="49" t="s">
        <v>28</v>
      </c>
      <c r="AI8" s="48" t="s">
        <v>28</v>
      </c>
      <c r="AJ8" s="47" t="s">
        <v>28</v>
      </c>
      <c r="AK8" s="47" t="s">
        <v>28</v>
      </c>
      <c r="AL8" s="49" t="s">
        <v>28</v>
      </c>
      <c r="AM8" s="48" t="s">
        <v>28</v>
      </c>
      <c r="AN8" s="47" t="s">
        <v>28</v>
      </c>
      <c r="AO8" s="47" t="s">
        <v>28</v>
      </c>
      <c r="AP8" s="49" t="s">
        <v>28</v>
      </c>
      <c r="AQ8" s="48" t="s">
        <v>28</v>
      </c>
      <c r="AR8" s="47" t="s">
        <v>28</v>
      </c>
      <c r="AS8" s="47" t="s">
        <v>28</v>
      </c>
      <c r="AT8" s="49" t="s">
        <v>28</v>
      </c>
      <c r="AU8" s="48">
        <v>1.3</v>
      </c>
      <c r="AV8" s="47">
        <v>1.4</v>
      </c>
      <c r="AW8" s="47">
        <v>1.3</v>
      </c>
      <c r="AX8" s="47">
        <v>1.3</v>
      </c>
      <c r="AY8" s="48">
        <v>1.1000000000000001</v>
      </c>
      <c r="AZ8" s="47">
        <v>1.1000000000000001</v>
      </c>
      <c r="BA8" s="47">
        <v>1</v>
      </c>
      <c r="BB8" s="47">
        <v>0.9</v>
      </c>
      <c r="BC8" s="48">
        <v>0.8</v>
      </c>
      <c r="BD8" s="47">
        <v>0.7</v>
      </c>
      <c r="BE8" s="47">
        <v>0.7</v>
      </c>
      <c r="BF8" s="47">
        <v>0.6</v>
      </c>
      <c r="BG8" s="48">
        <v>0.3</v>
      </c>
      <c r="BH8" s="47">
        <v>0.1</v>
      </c>
      <c r="BI8" s="47">
        <v>0</v>
      </c>
      <c r="BJ8" s="47">
        <v>0.3</v>
      </c>
      <c r="BK8" s="48">
        <v>0.5</v>
      </c>
      <c r="BL8" s="47">
        <v>0.6</v>
      </c>
      <c r="BM8" s="47">
        <v>0.9</v>
      </c>
      <c r="BN8" s="47">
        <v>0.9</v>
      </c>
      <c r="BO8" s="48">
        <v>0.8</v>
      </c>
      <c r="BP8" s="47">
        <v>0.6</v>
      </c>
      <c r="BQ8" s="47">
        <v>0.7</v>
      </c>
      <c r="BR8" s="47">
        <v>0.5</v>
      </c>
      <c r="BS8" s="48">
        <v>0.4</v>
      </c>
      <c r="BT8" s="710"/>
    </row>
    <row r="9" spans="1:74" s="466" customFormat="1">
      <c r="A9" s="159" t="s">
        <v>796</v>
      </c>
      <c r="B9" s="711" t="s">
        <v>797</v>
      </c>
      <c r="C9" s="48">
        <f>(320.1-0.2)*-1</f>
        <v>-319.90000000000003</v>
      </c>
      <c r="D9" s="47">
        <v>-339.1</v>
      </c>
      <c r="E9" s="47">
        <v>-363.7</v>
      </c>
      <c r="F9" s="47">
        <v>-410.09999999999997</v>
      </c>
      <c r="G9" s="48">
        <v>-467.1</v>
      </c>
      <c r="H9" s="47">
        <v>-539.5</v>
      </c>
      <c r="I9" s="47">
        <v>-589.20000000000005</v>
      </c>
      <c r="J9" s="49">
        <v>-650.29999999999995</v>
      </c>
      <c r="K9" s="48">
        <v>-549.70000000000005</v>
      </c>
      <c r="L9" s="47">
        <v>-414.3</v>
      </c>
      <c r="M9" s="47">
        <v>-354.1</v>
      </c>
      <c r="N9" s="49">
        <v>-357.1</v>
      </c>
      <c r="O9" s="48">
        <v>-336.4</v>
      </c>
      <c r="P9" s="47">
        <v>-317.8</v>
      </c>
      <c r="Q9" s="47">
        <v>-337.1</v>
      </c>
      <c r="R9" s="49">
        <v>-329.8</v>
      </c>
      <c r="S9" s="48">
        <v>-337.7</v>
      </c>
      <c r="T9" s="47">
        <v>-374.1</v>
      </c>
      <c r="U9" s="47">
        <v>-404.9</v>
      </c>
      <c r="V9" s="49">
        <v>-417.3</v>
      </c>
      <c r="W9" s="48">
        <v>-431.7</v>
      </c>
      <c r="X9" s="47">
        <v>-431.1</v>
      </c>
      <c r="Y9" s="47">
        <v>-447.70000000000005</v>
      </c>
      <c r="Z9" s="49">
        <v>-472.1</v>
      </c>
      <c r="AA9" s="48">
        <v>-449.3</v>
      </c>
      <c r="AB9" s="47">
        <v>-407.5</v>
      </c>
      <c r="AC9" s="47">
        <v>-369.29999999999995</v>
      </c>
      <c r="AD9" s="49">
        <v>-346</v>
      </c>
      <c r="AE9" s="48">
        <v>-335.9</v>
      </c>
      <c r="AF9" s="47">
        <v>-350.4</v>
      </c>
      <c r="AG9" s="47">
        <v>-365.3</v>
      </c>
      <c r="AH9" s="49">
        <v>-342.7</v>
      </c>
      <c r="AI9" s="48">
        <v>-318</v>
      </c>
      <c r="AJ9" s="47">
        <v>-283.89999999999998</v>
      </c>
      <c r="AK9" s="47">
        <v>-283.89999999999998</v>
      </c>
      <c r="AL9" s="49">
        <v>-275.7</v>
      </c>
      <c r="AM9" s="48">
        <v>-266.89999999999998</v>
      </c>
      <c r="AN9" s="47">
        <v>-270.3</v>
      </c>
      <c r="AO9" s="47">
        <v>-225.6</v>
      </c>
      <c r="AP9" s="49">
        <v>-206.70000000000002</v>
      </c>
      <c r="AQ9" s="48">
        <v>-209.5</v>
      </c>
      <c r="AR9" s="47">
        <v>-210.1</v>
      </c>
      <c r="AS9" s="47">
        <v>-212.7</v>
      </c>
      <c r="AT9" s="49">
        <v>-215.8</v>
      </c>
      <c r="AU9" s="48">
        <v>-215.1</v>
      </c>
      <c r="AV9" s="47">
        <v>-230.2</v>
      </c>
      <c r="AW9" s="47">
        <v>-233.5</v>
      </c>
      <c r="AX9" s="47">
        <v>-235.7</v>
      </c>
      <c r="AY9" s="48">
        <v>-242.9</v>
      </c>
      <c r="AZ9" s="47">
        <v>-260.89999999999998</v>
      </c>
      <c r="BA9" s="47">
        <v>-239.7</v>
      </c>
      <c r="BB9" s="47">
        <v>-242.7</v>
      </c>
      <c r="BC9" s="48">
        <v>-234.5</v>
      </c>
      <c r="BD9" s="47">
        <v>-204.8</v>
      </c>
      <c r="BE9" s="47">
        <v>-141</v>
      </c>
      <c r="BF9" s="47">
        <v>-124.8</v>
      </c>
      <c r="BG9" s="48">
        <v>-126</v>
      </c>
      <c r="BH9" s="47">
        <v>-122.1</v>
      </c>
      <c r="BI9" s="47">
        <v>-115.6</v>
      </c>
      <c r="BJ9" s="47">
        <v>-99</v>
      </c>
      <c r="BK9" s="48">
        <v>-119.1</v>
      </c>
      <c r="BL9" s="47">
        <v>-481</v>
      </c>
      <c r="BM9" s="47">
        <v>-844.9</v>
      </c>
      <c r="BN9" s="47">
        <v>-1052.9000000000001</v>
      </c>
      <c r="BO9" s="48">
        <v>-1121.7</v>
      </c>
      <c r="BP9" s="47">
        <v>-1080</v>
      </c>
      <c r="BQ9" s="47">
        <v>-1087</v>
      </c>
      <c r="BR9" s="47">
        <v>-949.8</v>
      </c>
      <c r="BS9" s="48">
        <v>-1069.5999999999999</v>
      </c>
      <c r="BT9" s="710"/>
    </row>
    <row r="10" spans="1:74" s="469" customFormat="1">
      <c r="A10" s="155" t="s">
        <v>798</v>
      </c>
      <c r="B10" s="470" t="s">
        <v>799</v>
      </c>
      <c r="C10" s="39">
        <f t="shared" ref="C10:BN10" si="1">C6+C9</f>
        <v>236.09999999999997</v>
      </c>
      <c r="D10" s="38">
        <f t="shared" si="1"/>
        <v>246.90000000000009</v>
      </c>
      <c r="E10" s="38">
        <f t="shared" si="1"/>
        <v>254.59999999999997</v>
      </c>
      <c r="F10" s="38">
        <f t="shared" si="1"/>
        <v>263.2</v>
      </c>
      <c r="G10" s="39">
        <f t="shared" si="1"/>
        <v>283.39999999999998</v>
      </c>
      <c r="H10" s="38">
        <f t="shared" si="1"/>
        <v>315.79999999999995</v>
      </c>
      <c r="I10" s="38">
        <f t="shared" si="1"/>
        <v>320.89999999999998</v>
      </c>
      <c r="J10" s="40">
        <f t="shared" si="1"/>
        <v>332.5</v>
      </c>
      <c r="K10" s="39">
        <f t="shared" si="1"/>
        <v>311.09999999999991</v>
      </c>
      <c r="L10" s="38">
        <f t="shared" si="1"/>
        <v>358.99999999999994</v>
      </c>
      <c r="M10" s="38">
        <f t="shared" si="1"/>
        <v>378</v>
      </c>
      <c r="N10" s="40">
        <f t="shared" si="1"/>
        <v>354.4</v>
      </c>
      <c r="O10" s="39">
        <f t="shared" si="1"/>
        <v>390.4</v>
      </c>
      <c r="P10" s="38">
        <f t="shared" si="1"/>
        <v>405.3</v>
      </c>
      <c r="Q10" s="38">
        <f t="shared" si="1"/>
        <v>410.19999999999993</v>
      </c>
      <c r="R10" s="40">
        <f t="shared" si="1"/>
        <v>421.7</v>
      </c>
      <c r="S10" s="39">
        <f t="shared" si="1"/>
        <v>434.90000000000003</v>
      </c>
      <c r="T10" s="38">
        <f t="shared" si="1"/>
        <v>459.5</v>
      </c>
      <c r="U10" s="38">
        <f t="shared" si="1"/>
        <v>477.4</v>
      </c>
      <c r="V10" s="40">
        <f t="shared" si="1"/>
        <v>479.7</v>
      </c>
      <c r="W10" s="39">
        <f t="shared" si="1"/>
        <v>513.5</v>
      </c>
      <c r="X10" s="38">
        <f t="shared" si="1"/>
        <v>514.1</v>
      </c>
      <c r="Y10" s="38">
        <f t="shared" si="1"/>
        <v>515.49999999999977</v>
      </c>
      <c r="Z10" s="40">
        <f t="shared" si="1"/>
        <v>505.79999999999995</v>
      </c>
      <c r="AA10" s="39">
        <f t="shared" si="1"/>
        <v>475.8</v>
      </c>
      <c r="AB10" s="38">
        <f t="shared" si="1"/>
        <v>495.29999999999995</v>
      </c>
      <c r="AC10" s="38">
        <f t="shared" si="1"/>
        <v>526.10000000000014</v>
      </c>
      <c r="AD10" s="40">
        <f t="shared" si="1"/>
        <v>545.4</v>
      </c>
      <c r="AE10" s="39">
        <f t="shared" si="1"/>
        <v>567.9</v>
      </c>
      <c r="AF10" s="38">
        <f t="shared" si="1"/>
        <v>582.20000000000005</v>
      </c>
      <c r="AG10" s="38">
        <f t="shared" si="1"/>
        <v>596.90000000000009</v>
      </c>
      <c r="AH10" s="38">
        <f t="shared" si="1"/>
        <v>583.20000000000005</v>
      </c>
      <c r="AI10" s="39">
        <f t="shared" si="1"/>
        <v>569</v>
      </c>
      <c r="AJ10" s="38">
        <f t="shared" si="1"/>
        <v>594.1</v>
      </c>
      <c r="AK10" s="38">
        <f t="shared" si="1"/>
        <v>644.6</v>
      </c>
      <c r="AL10" s="38">
        <f t="shared" si="1"/>
        <v>659.40000000000009</v>
      </c>
      <c r="AM10" s="39">
        <f t="shared" si="1"/>
        <v>668.1</v>
      </c>
      <c r="AN10" s="38">
        <f t="shared" si="1"/>
        <v>690.90000000000009</v>
      </c>
      <c r="AO10" s="38">
        <f t="shared" si="1"/>
        <v>784.9</v>
      </c>
      <c r="AP10" s="38">
        <f t="shared" si="1"/>
        <v>809.49999999999977</v>
      </c>
      <c r="AQ10" s="39">
        <f t="shared" si="1"/>
        <v>794.8</v>
      </c>
      <c r="AR10" s="38">
        <f t="shared" si="1"/>
        <v>830.50000000000011</v>
      </c>
      <c r="AS10" s="38">
        <f t="shared" si="1"/>
        <v>868.89999999999986</v>
      </c>
      <c r="AT10" s="38">
        <f t="shared" si="1"/>
        <v>895.2</v>
      </c>
      <c r="AU10" s="39">
        <f t="shared" si="1"/>
        <v>882.99999999999989</v>
      </c>
      <c r="AV10" s="38">
        <f t="shared" si="1"/>
        <v>920</v>
      </c>
      <c r="AW10" s="38">
        <f t="shared" si="1"/>
        <v>961.2</v>
      </c>
      <c r="AX10" s="38">
        <f t="shared" si="1"/>
        <v>995.10000000000014</v>
      </c>
      <c r="AY10" s="39">
        <f t="shared" si="1"/>
        <v>1020.2000000000002</v>
      </c>
      <c r="AZ10" s="38">
        <f t="shared" si="1"/>
        <v>1053.1999999999998</v>
      </c>
      <c r="BA10" s="38">
        <f t="shared" si="1"/>
        <v>1127.8</v>
      </c>
      <c r="BB10" s="38">
        <f t="shared" si="1"/>
        <v>1123.8999999999996</v>
      </c>
      <c r="BC10" s="39">
        <f t="shared" si="1"/>
        <v>1152.0999999999999</v>
      </c>
      <c r="BD10" s="38">
        <f t="shared" si="1"/>
        <v>1099.2</v>
      </c>
      <c r="BE10" s="38">
        <f t="shared" si="1"/>
        <v>1136.3000000000002</v>
      </c>
      <c r="BF10" s="38">
        <f t="shared" si="1"/>
        <v>1154.2</v>
      </c>
      <c r="BG10" s="39">
        <f t="shared" si="1"/>
        <v>1141.5999999999999</v>
      </c>
      <c r="BH10" s="38">
        <f t="shared" si="1"/>
        <v>1175</v>
      </c>
      <c r="BI10" s="38">
        <f t="shared" si="1"/>
        <v>1236.7</v>
      </c>
      <c r="BJ10" s="38">
        <f t="shared" si="1"/>
        <v>1416.4</v>
      </c>
      <c r="BK10" s="39">
        <f t="shared" si="1"/>
        <v>1732.6000000000001</v>
      </c>
      <c r="BL10" s="38">
        <f t="shared" si="1"/>
        <v>1898.5</v>
      </c>
      <c r="BM10" s="38">
        <f t="shared" si="1"/>
        <v>173.30000000000007</v>
      </c>
      <c r="BN10" s="38">
        <f t="shared" si="1"/>
        <v>1809.6</v>
      </c>
      <c r="BO10" s="39">
        <f t="shared" ref="BO10:BP10" si="2">BO6+BO9</f>
        <v>1860.3999999999999</v>
      </c>
      <c r="BP10" s="38">
        <f t="shared" si="2"/>
        <v>2054</v>
      </c>
      <c r="BQ10" s="38">
        <f>BQ6+BQ9</f>
        <v>2089.9</v>
      </c>
      <c r="BR10" s="38">
        <f>BR6+BR9</f>
        <v>2166.1999999999998</v>
      </c>
      <c r="BS10" s="39">
        <f>BS6+BS9</f>
        <v>2162.6</v>
      </c>
      <c r="BT10" s="712"/>
    </row>
    <row r="11" spans="1:74" s="466" customFormat="1">
      <c r="A11" s="163" t="s">
        <v>800</v>
      </c>
      <c r="B11" s="500" t="s">
        <v>801</v>
      </c>
      <c r="C11" s="48">
        <v>239</v>
      </c>
      <c r="D11" s="47">
        <v>248.50000000000003</v>
      </c>
      <c r="E11" s="47">
        <f>251.9-0.1</f>
        <v>251.8</v>
      </c>
      <c r="F11" s="47">
        <v>241.49999999999997</v>
      </c>
      <c r="G11" s="48">
        <v>228.79999999999998</v>
      </c>
      <c r="H11" s="47">
        <v>235.70000000000002</v>
      </c>
      <c r="I11" s="47">
        <v>244.7</v>
      </c>
      <c r="J11" s="49">
        <v>268.5</v>
      </c>
      <c r="K11" s="48">
        <f>256.1-0.1</f>
        <v>256</v>
      </c>
      <c r="L11" s="47">
        <f>275.3-0.7</f>
        <v>274.60000000000002</v>
      </c>
      <c r="M11" s="47">
        <f>278</f>
        <v>278</v>
      </c>
      <c r="N11" s="49">
        <f>275.7-0.2</f>
        <v>275.5</v>
      </c>
      <c r="O11" s="48">
        <f>264.1-0.1</f>
        <v>264</v>
      </c>
      <c r="P11" s="47">
        <f>277.6-0.1</f>
        <v>277.5</v>
      </c>
      <c r="Q11" s="47">
        <f>287.2-0.4</f>
        <v>286.8</v>
      </c>
      <c r="R11" s="49">
        <f>288.2-0.4</f>
        <v>287.8</v>
      </c>
      <c r="S11" s="48">
        <f>285.9-0.3</f>
        <v>285.59999999999997</v>
      </c>
      <c r="T11" s="47">
        <f>295.7-0.7</f>
        <v>295</v>
      </c>
      <c r="U11" s="47">
        <f>297.7-0.5</f>
        <v>297.2</v>
      </c>
      <c r="V11" s="49">
        <f>290.8-0.9</f>
        <v>289.90000000000003</v>
      </c>
      <c r="W11" s="48">
        <f>280.7-0.7-0.3</f>
        <v>279.7</v>
      </c>
      <c r="X11" s="47">
        <f>285.4-0.8-0.3</f>
        <v>284.29999999999995</v>
      </c>
      <c r="Y11" s="47">
        <f>283.8-0.8-0.3</f>
        <v>282.7</v>
      </c>
      <c r="Z11" s="49">
        <f>292.6-1.6-0.3</f>
        <v>290.7</v>
      </c>
      <c r="AA11" s="48">
        <f>271.3-0.3-0.1-0.3</f>
        <v>270.59999999999997</v>
      </c>
      <c r="AB11" s="47">
        <f>294.2-0.5-10.3-0.2-0.1-0.3</f>
        <v>282.79999999999995</v>
      </c>
      <c r="AC11" s="47">
        <f>263.4-1.2+5.1-0.3-1-0.3</f>
        <v>265.7</v>
      </c>
      <c r="AD11" s="49">
        <f>292.2-0.5-1.8-0.3</f>
        <v>289.59999999999997</v>
      </c>
      <c r="AE11" s="48">
        <f>297.7-0.9-0.3</f>
        <v>296.5</v>
      </c>
      <c r="AF11" s="47">
        <f>305.8-0.2-0.3</f>
        <v>305.3</v>
      </c>
      <c r="AG11" s="47">
        <f>286.4-0.6-0.3</f>
        <v>285.49999999999994</v>
      </c>
      <c r="AH11" s="49">
        <f>280-0.3</f>
        <v>279.7</v>
      </c>
      <c r="AI11" s="48">
        <f>277-1.3</f>
        <v>275.7</v>
      </c>
      <c r="AJ11" s="47">
        <f>291.3-0.3</f>
        <v>291</v>
      </c>
      <c r="AK11" s="47">
        <f>279.8-0.3</f>
        <v>279.5</v>
      </c>
      <c r="AL11" s="49">
        <f>286.6-0.3</f>
        <v>286.3</v>
      </c>
      <c r="AM11" s="48">
        <f>285.6-1.7</f>
        <v>283.90000000000003</v>
      </c>
      <c r="AN11" s="47">
        <f>294.7-0.3</f>
        <v>294.39999999999998</v>
      </c>
      <c r="AO11" s="47">
        <f>303.1-0.3</f>
        <v>302.8</v>
      </c>
      <c r="AP11" s="49">
        <v>320.2</v>
      </c>
      <c r="AQ11" s="48">
        <v>350.90000000000003</v>
      </c>
      <c r="AR11" s="47">
        <v>358.9</v>
      </c>
      <c r="AS11" s="47">
        <v>375.9</v>
      </c>
      <c r="AT11" s="49">
        <v>384.40000000000009</v>
      </c>
      <c r="AU11" s="48">
        <v>385.00000000000006</v>
      </c>
      <c r="AV11" s="47">
        <v>418.2000000000001</v>
      </c>
      <c r="AW11" s="47">
        <v>395.3</v>
      </c>
      <c r="AX11" s="47">
        <v>417.00000000000006</v>
      </c>
      <c r="AY11" s="48">
        <v>399.60000000000008</v>
      </c>
      <c r="AZ11" s="47">
        <v>443.90000000000003</v>
      </c>
      <c r="BA11" s="47">
        <v>433.90000000000003</v>
      </c>
      <c r="BB11" s="47">
        <v>446.7</v>
      </c>
      <c r="BC11" s="48">
        <v>460.59999999999997</v>
      </c>
      <c r="BD11" s="47">
        <v>448.60000000000008</v>
      </c>
      <c r="BE11" s="47">
        <v>506.4</v>
      </c>
      <c r="BF11" s="47">
        <v>547.9</v>
      </c>
      <c r="BG11" s="48">
        <v>531.69999999999993</v>
      </c>
      <c r="BH11" s="47">
        <v>560.20000000000005</v>
      </c>
      <c r="BI11" s="47">
        <v>602.5</v>
      </c>
      <c r="BJ11" s="47">
        <v>630.6</v>
      </c>
      <c r="BK11" s="48">
        <v>656.2</v>
      </c>
      <c r="BL11" s="47">
        <v>650.1</v>
      </c>
      <c r="BM11" s="47">
        <v>670.19999999999982</v>
      </c>
      <c r="BN11" s="47">
        <v>660.19999999999993</v>
      </c>
      <c r="BO11" s="48">
        <v>651.59999999999991</v>
      </c>
      <c r="BP11" s="47">
        <v>676.29999999999984</v>
      </c>
      <c r="BQ11" s="47">
        <v>695.3</v>
      </c>
      <c r="BR11" s="47">
        <v>699.1</v>
      </c>
      <c r="BS11" s="48">
        <v>714.2</v>
      </c>
      <c r="BT11" s="710"/>
    </row>
    <row r="12" spans="1:74" s="466" customFormat="1">
      <c r="A12" s="163" t="s">
        <v>802</v>
      </c>
      <c r="B12" s="500" t="s">
        <v>803</v>
      </c>
      <c r="C12" s="48">
        <f>(16.7-1)*-1</f>
        <v>-15.7</v>
      </c>
      <c r="D12" s="47">
        <f>(15.2-1)*-1</f>
        <v>-14.2</v>
      </c>
      <c r="E12" s="47">
        <f>(21.1-1)*-1</f>
        <v>-20.100000000000001</v>
      </c>
      <c r="F12" s="47">
        <f>(29-1)*-1</f>
        <v>-28</v>
      </c>
      <c r="G12" s="48">
        <f>(22.1-1.2)*-1</f>
        <v>-20.900000000000002</v>
      </c>
      <c r="H12" s="47">
        <f>(19.9-1.2)*-1</f>
        <v>-18.7</v>
      </c>
      <c r="I12" s="47">
        <f>(16.4-1.2)*-1</f>
        <v>-15.2</v>
      </c>
      <c r="J12" s="49">
        <f>(29.6-1.2)*-1</f>
        <v>-28.400000000000002</v>
      </c>
      <c r="K12" s="48">
        <f>(22.1-4.1-0.1)*-1</f>
        <v>-17.899999999999999</v>
      </c>
      <c r="L12" s="47">
        <f>(25.4-4.1-0.7)*-1</f>
        <v>-20.599999999999998</v>
      </c>
      <c r="M12" s="47">
        <f>(25-4.1)*-1</f>
        <v>-20.9</v>
      </c>
      <c r="N12" s="49">
        <f>(48.2-4.1-0.2)*-1</f>
        <v>-43.9</v>
      </c>
      <c r="O12" s="48">
        <f>(35.6-3.9-0.1)*-1</f>
        <v>-31.6</v>
      </c>
      <c r="P12" s="47">
        <f>(30.7-3.9-0.1)*-1</f>
        <v>-26.7</v>
      </c>
      <c r="Q12" s="47">
        <f>(31.6-3.9-0.4)*-1</f>
        <v>-27.300000000000004</v>
      </c>
      <c r="R12" s="49">
        <f>(31.9-3.9-0.4)*-1</f>
        <v>-27.6</v>
      </c>
      <c r="S12" s="48">
        <f>(34.5-9.1-0.3)*-1</f>
        <v>-25.099999999999998</v>
      </c>
      <c r="T12" s="47">
        <f>(37.3-9.1-0.7)*-1</f>
        <v>-27.499999999999996</v>
      </c>
      <c r="U12" s="47">
        <f>(36.3-9.1-0.5)*-1</f>
        <v>-26.699999999999996</v>
      </c>
      <c r="V12" s="49">
        <f>(40.8-9.1-0.9)*-1</f>
        <v>-30.799999999999997</v>
      </c>
      <c r="W12" s="48">
        <f>(33.7-11-0.7-0.3)*-1</f>
        <v>-21.700000000000003</v>
      </c>
      <c r="X12" s="47">
        <f>(35-11-0.8-0.3)*-1</f>
        <v>-22.9</v>
      </c>
      <c r="Y12" s="47">
        <f>(32.6-11-0.8-0.3)*-1</f>
        <v>-20.5</v>
      </c>
      <c r="Z12" s="49">
        <f>(36.9-11-1.6-0.3)*-1</f>
        <v>-23.999999999999996</v>
      </c>
      <c r="AA12" s="48">
        <f>(31.5-11.3-0.3-0.1-0.3)*-1</f>
        <v>-19.499999999999996</v>
      </c>
      <c r="AB12" s="47">
        <f>(33.8-11.4-0.2-0.1-0.3)*-1</f>
        <v>-21.799999999999997</v>
      </c>
      <c r="AC12" s="47">
        <f>(33.6-11.3-0.3-1-0.3)*-1</f>
        <v>-20.7</v>
      </c>
      <c r="AD12" s="49">
        <f>(38.7-11.3-0.5-1.8-0.3)*-1</f>
        <v>-24.8</v>
      </c>
      <c r="AE12" s="48">
        <f>(21.6-0.9-0.3)*-1</f>
        <v>-20.400000000000002</v>
      </c>
      <c r="AF12" s="47">
        <f>(26.2-0.2-0.3)*-1</f>
        <v>-25.7</v>
      </c>
      <c r="AG12" s="47">
        <f>(28.1-0.6-0.3)*-1</f>
        <v>-27.2</v>
      </c>
      <c r="AH12" s="49">
        <f>(31.1-0.3)*-1</f>
        <v>-30.8</v>
      </c>
      <c r="AI12" s="48">
        <f>(27-1.3)*-1</f>
        <v>-25.7</v>
      </c>
      <c r="AJ12" s="47">
        <f>(27.8-0.3)*-1</f>
        <v>-27.5</v>
      </c>
      <c r="AK12" s="47">
        <f>(30.9-0.3)*-1</f>
        <v>-30.599999999999998</v>
      </c>
      <c r="AL12" s="49">
        <f>(31.8-0.3)*-1</f>
        <v>-31.5</v>
      </c>
      <c r="AM12" s="48">
        <f>(31.7-1.7)*-1</f>
        <v>-30</v>
      </c>
      <c r="AN12" s="47">
        <f>(36.6-0.3)*-1</f>
        <v>-36.300000000000004</v>
      </c>
      <c r="AO12" s="47">
        <f>(33.8-0.3)*-1</f>
        <v>-33.5</v>
      </c>
      <c r="AP12" s="49">
        <v>-36.700000000000003</v>
      </c>
      <c r="AQ12" s="48">
        <v>-60.099999999999994</v>
      </c>
      <c r="AR12" s="47">
        <v>-65.8</v>
      </c>
      <c r="AS12" s="47">
        <v>-66</v>
      </c>
      <c r="AT12" s="49">
        <v>-82.199999999999989</v>
      </c>
      <c r="AU12" s="48">
        <v>-66.900000000000006</v>
      </c>
      <c r="AV12" s="47">
        <v>-78.599999999999994</v>
      </c>
      <c r="AW12" s="47">
        <v>-78.800000000000011</v>
      </c>
      <c r="AX12" s="47">
        <v>-86.3</v>
      </c>
      <c r="AY12" s="48">
        <v>-81.800000000000011</v>
      </c>
      <c r="AZ12" s="47">
        <v>-90.2</v>
      </c>
      <c r="BA12" s="47">
        <v>-101.30000000000001</v>
      </c>
      <c r="BB12" s="47">
        <v>-110.3</v>
      </c>
      <c r="BC12" s="48">
        <v>-101.5</v>
      </c>
      <c r="BD12" s="47">
        <v>-104.6</v>
      </c>
      <c r="BE12" s="47">
        <v>-112.8</v>
      </c>
      <c r="BF12" s="47">
        <v>-116.2</v>
      </c>
      <c r="BG12" s="48">
        <v>-103.4</v>
      </c>
      <c r="BH12" s="47">
        <v>-103.9</v>
      </c>
      <c r="BI12" s="47">
        <v>-118.30000000000001</v>
      </c>
      <c r="BJ12" s="47">
        <v>-154.60000000000002</v>
      </c>
      <c r="BK12" s="48">
        <v>-122.2</v>
      </c>
      <c r="BL12" s="47">
        <v>-131.30000000000001</v>
      </c>
      <c r="BM12" s="47">
        <v>-139.6</v>
      </c>
      <c r="BN12" s="47">
        <v>-148.80000000000001</v>
      </c>
      <c r="BO12" s="48">
        <v>-130.19999999999999</v>
      </c>
      <c r="BP12" s="47">
        <v>-142</v>
      </c>
      <c r="BQ12" s="47">
        <v>-143.19999999999999</v>
      </c>
      <c r="BR12" s="47">
        <v>-142.39999999999998</v>
      </c>
      <c r="BS12" s="48">
        <v>-138.19999999999999</v>
      </c>
      <c r="BT12" s="710"/>
    </row>
    <row r="13" spans="1:74">
      <c r="A13" s="155" t="s">
        <v>732</v>
      </c>
      <c r="B13" s="470" t="s">
        <v>694</v>
      </c>
      <c r="C13" s="39">
        <f t="shared" ref="C13:BN13" si="3">C11+C12</f>
        <v>223.3</v>
      </c>
      <c r="D13" s="38">
        <f t="shared" si="3"/>
        <v>234.30000000000004</v>
      </c>
      <c r="E13" s="38">
        <f t="shared" si="3"/>
        <v>231.70000000000002</v>
      </c>
      <c r="F13" s="38">
        <f t="shared" si="3"/>
        <v>213.49999999999997</v>
      </c>
      <c r="G13" s="39">
        <f t="shared" si="3"/>
        <v>207.89999999999998</v>
      </c>
      <c r="H13" s="38">
        <f t="shared" si="3"/>
        <v>217.00000000000003</v>
      </c>
      <c r="I13" s="38">
        <f t="shared" si="3"/>
        <v>229.5</v>
      </c>
      <c r="J13" s="40">
        <f t="shared" si="3"/>
        <v>240.1</v>
      </c>
      <c r="K13" s="39">
        <f t="shared" si="3"/>
        <v>238.1</v>
      </c>
      <c r="L13" s="38">
        <f t="shared" si="3"/>
        <v>254.00000000000003</v>
      </c>
      <c r="M13" s="38">
        <f t="shared" si="3"/>
        <v>257.10000000000002</v>
      </c>
      <c r="N13" s="40">
        <f t="shared" si="3"/>
        <v>231.6</v>
      </c>
      <c r="O13" s="39">
        <f t="shared" si="3"/>
        <v>232.4</v>
      </c>
      <c r="P13" s="38">
        <f t="shared" si="3"/>
        <v>250.8</v>
      </c>
      <c r="Q13" s="38">
        <f t="shared" si="3"/>
        <v>259.5</v>
      </c>
      <c r="R13" s="40">
        <f t="shared" si="3"/>
        <v>260.2</v>
      </c>
      <c r="S13" s="39">
        <f t="shared" si="3"/>
        <v>260.49999999999994</v>
      </c>
      <c r="T13" s="38">
        <f t="shared" si="3"/>
        <v>267.5</v>
      </c>
      <c r="U13" s="38">
        <f t="shared" si="3"/>
        <v>270.5</v>
      </c>
      <c r="V13" s="40">
        <f t="shared" si="3"/>
        <v>259.10000000000002</v>
      </c>
      <c r="W13" s="39">
        <f t="shared" si="3"/>
        <v>258</v>
      </c>
      <c r="X13" s="38">
        <f t="shared" si="3"/>
        <v>261.39999999999998</v>
      </c>
      <c r="Y13" s="38">
        <f t="shared" si="3"/>
        <v>262.2</v>
      </c>
      <c r="Z13" s="40">
        <f t="shared" si="3"/>
        <v>266.7</v>
      </c>
      <c r="AA13" s="39">
        <f t="shared" si="3"/>
        <v>251.09999999999997</v>
      </c>
      <c r="AB13" s="38">
        <f t="shared" si="3"/>
        <v>260.99999999999994</v>
      </c>
      <c r="AC13" s="38">
        <f t="shared" si="3"/>
        <v>245</v>
      </c>
      <c r="AD13" s="40">
        <f t="shared" si="3"/>
        <v>264.79999999999995</v>
      </c>
      <c r="AE13" s="39">
        <f t="shared" si="3"/>
        <v>276.10000000000002</v>
      </c>
      <c r="AF13" s="38">
        <f t="shared" si="3"/>
        <v>279.60000000000002</v>
      </c>
      <c r="AG13" s="38">
        <f t="shared" si="3"/>
        <v>258.29999999999995</v>
      </c>
      <c r="AH13" s="38">
        <f t="shared" si="3"/>
        <v>248.89999999999998</v>
      </c>
      <c r="AI13" s="39">
        <f t="shared" si="3"/>
        <v>250</v>
      </c>
      <c r="AJ13" s="38">
        <f t="shared" si="3"/>
        <v>263.5</v>
      </c>
      <c r="AK13" s="38">
        <f t="shared" si="3"/>
        <v>248.9</v>
      </c>
      <c r="AL13" s="38">
        <f t="shared" si="3"/>
        <v>254.8</v>
      </c>
      <c r="AM13" s="39">
        <f t="shared" si="3"/>
        <v>253.90000000000003</v>
      </c>
      <c r="AN13" s="38">
        <f t="shared" si="3"/>
        <v>258.09999999999997</v>
      </c>
      <c r="AO13" s="38">
        <f t="shared" si="3"/>
        <v>269.3</v>
      </c>
      <c r="AP13" s="38">
        <f t="shared" si="3"/>
        <v>283.5</v>
      </c>
      <c r="AQ13" s="39">
        <f t="shared" si="3"/>
        <v>290.80000000000007</v>
      </c>
      <c r="AR13" s="38">
        <f t="shared" si="3"/>
        <v>293.09999999999997</v>
      </c>
      <c r="AS13" s="38">
        <f t="shared" si="3"/>
        <v>309.89999999999998</v>
      </c>
      <c r="AT13" s="38">
        <f t="shared" si="3"/>
        <v>302.2000000000001</v>
      </c>
      <c r="AU13" s="39">
        <f t="shared" si="3"/>
        <v>318.10000000000002</v>
      </c>
      <c r="AV13" s="38">
        <f t="shared" si="3"/>
        <v>339.60000000000014</v>
      </c>
      <c r="AW13" s="38">
        <f t="shared" si="3"/>
        <v>316.5</v>
      </c>
      <c r="AX13" s="38">
        <f t="shared" si="3"/>
        <v>330.70000000000005</v>
      </c>
      <c r="AY13" s="39">
        <f t="shared" si="3"/>
        <v>317.80000000000007</v>
      </c>
      <c r="AZ13" s="38">
        <f t="shared" si="3"/>
        <v>353.70000000000005</v>
      </c>
      <c r="BA13" s="38">
        <f t="shared" si="3"/>
        <v>332.6</v>
      </c>
      <c r="BB13" s="38">
        <f t="shared" si="3"/>
        <v>336.4</v>
      </c>
      <c r="BC13" s="39">
        <f t="shared" si="3"/>
        <v>359.09999999999997</v>
      </c>
      <c r="BD13" s="38">
        <f t="shared" si="3"/>
        <v>344.00000000000011</v>
      </c>
      <c r="BE13" s="38">
        <f t="shared" si="3"/>
        <v>393.59999999999997</v>
      </c>
      <c r="BF13" s="38">
        <f t="shared" si="3"/>
        <v>431.7</v>
      </c>
      <c r="BG13" s="39">
        <f t="shared" si="3"/>
        <v>428.29999999999995</v>
      </c>
      <c r="BH13" s="38">
        <f t="shared" si="3"/>
        <v>456.30000000000007</v>
      </c>
      <c r="BI13" s="38">
        <f t="shared" si="3"/>
        <v>484.2</v>
      </c>
      <c r="BJ13" s="38">
        <f t="shared" si="3"/>
        <v>476</v>
      </c>
      <c r="BK13" s="39">
        <f t="shared" si="3"/>
        <v>534</v>
      </c>
      <c r="BL13" s="38">
        <f t="shared" si="3"/>
        <v>518.79999999999995</v>
      </c>
      <c r="BM13" s="38">
        <f t="shared" si="3"/>
        <v>530.5999999999998</v>
      </c>
      <c r="BN13" s="38">
        <f t="shared" si="3"/>
        <v>511.39999999999992</v>
      </c>
      <c r="BO13" s="39">
        <f t="shared" ref="BO13:BP13" si="4">BO11+BO12</f>
        <v>521.39999999999986</v>
      </c>
      <c r="BP13" s="38">
        <f t="shared" si="4"/>
        <v>534.29999999999984</v>
      </c>
      <c r="BQ13" s="38">
        <f>BQ11+BQ12</f>
        <v>552.09999999999991</v>
      </c>
      <c r="BR13" s="38">
        <f>BR11+BR12</f>
        <v>556.70000000000005</v>
      </c>
      <c r="BS13" s="39">
        <f>BS11+BS12</f>
        <v>576</v>
      </c>
      <c r="BT13" s="713"/>
    </row>
    <row r="14" spans="1:74" s="469" customFormat="1" ht="21.6">
      <c r="A14" s="437" t="s">
        <v>804</v>
      </c>
      <c r="B14" s="714" t="s">
        <v>805</v>
      </c>
      <c r="C14" s="48">
        <v>37.799999999999997</v>
      </c>
      <c r="D14" s="47">
        <v>17.400000000000006</v>
      </c>
      <c r="E14" s="715">
        <v>36.299999999999997</v>
      </c>
      <c r="F14" s="47">
        <v>-8.4999999999999716</v>
      </c>
      <c r="G14" s="48">
        <v>72.5</v>
      </c>
      <c r="H14" s="47">
        <v>64.8</v>
      </c>
      <c r="I14" s="47">
        <v>53.4</v>
      </c>
      <c r="J14" s="49">
        <v>-307.89999999999998</v>
      </c>
      <c r="K14" s="48">
        <v>-24</v>
      </c>
      <c r="L14" s="47">
        <v>43.6</v>
      </c>
      <c r="M14" s="47">
        <v>58.8</v>
      </c>
      <c r="N14" s="49">
        <v>19.5</v>
      </c>
      <c r="O14" s="48">
        <v>28.5</v>
      </c>
      <c r="P14" s="47">
        <v>22.8</v>
      </c>
      <c r="Q14" s="47">
        <v>24.4</v>
      </c>
      <c r="R14" s="49">
        <v>1.8</v>
      </c>
      <c r="S14" s="48">
        <v>26.8</v>
      </c>
      <c r="T14" s="47">
        <f>11.5-0.1</f>
        <v>11.4</v>
      </c>
      <c r="U14" s="47">
        <v>-8.1</v>
      </c>
      <c r="V14" s="49">
        <v>-11.8</v>
      </c>
      <c r="W14" s="48">
        <v>53.7</v>
      </c>
      <c r="X14" s="47">
        <v>12.3</v>
      </c>
      <c r="Y14" s="47">
        <v>18.900000000000006</v>
      </c>
      <c r="Z14" s="49">
        <v>0.6</v>
      </c>
      <c r="AA14" s="48">
        <f>17.1-1</f>
        <v>16.100000000000001</v>
      </c>
      <c r="AB14" s="47">
        <f>24+10.3-5.2</f>
        <v>29.099999999999998</v>
      </c>
      <c r="AC14" s="47">
        <f>41.5-5.1-16.2</f>
        <v>20.2</v>
      </c>
      <c r="AD14" s="49">
        <v>10.1</v>
      </c>
      <c r="AE14" s="48">
        <f>25.3-0.4</f>
        <v>24.900000000000002</v>
      </c>
      <c r="AF14" s="47">
        <f>22.8</f>
        <v>22.8</v>
      </c>
      <c r="AG14" s="47">
        <v>23.6</v>
      </c>
      <c r="AH14" s="49">
        <v>23.1</v>
      </c>
      <c r="AI14" s="48">
        <v>15.2</v>
      </c>
      <c r="AJ14" s="47">
        <v>27.5</v>
      </c>
      <c r="AK14" s="47">
        <v>19.5</v>
      </c>
      <c r="AL14" s="49">
        <v>22.9</v>
      </c>
      <c r="AM14" s="48">
        <v>23</v>
      </c>
      <c r="AN14" s="47">
        <v>5.0999999999999996</v>
      </c>
      <c r="AO14" s="47">
        <v>16.399999999999999</v>
      </c>
      <c r="AP14" s="49">
        <v>12.7</v>
      </c>
      <c r="AQ14" s="48">
        <v>36.700000000000003</v>
      </c>
      <c r="AR14" s="47">
        <v>27.6</v>
      </c>
      <c r="AS14" s="47">
        <v>31.3</v>
      </c>
      <c r="AT14" s="49">
        <v>23.2</v>
      </c>
      <c r="AU14" s="48">
        <v>18</v>
      </c>
      <c r="AV14" s="47">
        <v>24.4</v>
      </c>
      <c r="AW14" s="47">
        <v>27.1</v>
      </c>
      <c r="AX14" s="47">
        <v>21.4</v>
      </c>
      <c r="AY14" s="48">
        <v>31.4</v>
      </c>
      <c r="AZ14" s="47">
        <v>25.1</v>
      </c>
      <c r="BA14" s="47">
        <v>26.6</v>
      </c>
      <c r="BB14" s="47">
        <v>25.2</v>
      </c>
      <c r="BC14" s="48">
        <v>13.9</v>
      </c>
      <c r="BD14" s="47">
        <v>44.3</v>
      </c>
      <c r="BE14" s="47">
        <v>24.4</v>
      </c>
      <c r="BF14" s="47">
        <v>20.9</v>
      </c>
      <c r="BG14" s="48">
        <v>34.299999999999997</v>
      </c>
      <c r="BH14" s="47">
        <v>15.4</v>
      </c>
      <c r="BI14" s="47">
        <v>22.400000000000002</v>
      </c>
      <c r="BJ14" s="47">
        <v>-7.8</v>
      </c>
      <c r="BK14" s="48">
        <v>47.1</v>
      </c>
      <c r="BL14" s="47">
        <v>-42.3</v>
      </c>
      <c r="BM14" s="47">
        <v>25.4</v>
      </c>
      <c r="BN14" s="47">
        <v>1.9</v>
      </c>
      <c r="BO14" s="48">
        <v>73.599999999999994</v>
      </c>
      <c r="BP14" s="47">
        <v>37.4</v>
      </c>
      <c r="BQ14" s="47">
        <v>108.8</v>
      </c>
      <c r="BR14" s="47">
        <v>112.3</v>
      </c>
      <c r="BS14" s="48">
        <v>18.899999999999999</v>
      </c>
      <c r="BT14" s="712"/>
    </row>
    <row r="15" spans="1:74" s="469" customFormat="1" ht="13.5" customHeight="1">
      <c r="A15" s="165" t="s">
        <v>806</v>
      </c>
      <c r="B15" s="711" t="s">
        <v>807</v>
      </c>
      <c r="C15" s="48" t="s">
        <v>28</v>
      </c>
      <c r="D15" s="47" t="s">
        <v>28</v>
      </c>
      <c r="E15" s="47" t="s">
        <v>28</v>
      </c>
      <c r="F15" s="47" t="s">
        <v>28</v>
      </c>
      <c r="G15" s="48" t="s">
        <v>28</v>
      </c>
      <c r="H15" s="47" t="s">
        <v>28</v>
      </c>
      <c r="I15" s="47" t="s">
        <v>28</v>
      </c>
      <c r="J15" s="49" t="s">
        <v>28</v>
      </c>
      <c r="K15" s="709" t="s">
        <v>28</v>
      </c>
      <c r="L15" s="47" t="s">
        <v>28</v>
      </c>
      <c r="M15" s="47" t="s">
        <v>28</v>
      </c>
      <c r="N15" s="49" t="s">
        <v>28</v>
      </c>
      <c r="O15" s="48" t="s">
        <v>28</v>
      </c>
      <c r="P15" s="47" t="s">
        <v>28</v>
      </c>
      <c r="Q15" s="47" t="s">
        <v>28</v>
      </c>
      <c r="R15" s="49" t="s">
        <v>28</v>
      </c>
      <c r="S15" s="48" t="s">
        <v>28</v>
      </c>
      <c r="T15" s="47" t="s">
        <v>28</v>
      </c>
      <c r="U15" s="47" t="s">
        <v>28</v>
      </c>
      <c r="V15" s="49" t="s">
        <v>28</v>
      </c>
      <c r="W15" s="48" t="s">
        <v>28</v>
      </c>
      <c r="X15" s="47" t="s">
        <v>28</v>
      </c>
      <c r="Y15" s="47" t="s">
        <v>28</v>
      </c>
      <c r="Z15" s="49" t="s">
        <v>28</v>
      </c>
      <c r="AA15" s="48" t="s">
        <v>28</v>
      </c>
      <c r="AB15" s="47" t="s">
        <v>28</v>
      </c>
      <c r="AC15" s="47" t="s">
        <v>28</v>
      </c>
      <c r="AD15" s="49" t="s">
        <v>28</v>
      </c>
      <c r="AE15" s="48" t="s">
        <v>28</v>
      </c>
      <c r="AF15" s="47" t="s">
        <v>28</v>
      </c>
      <c r="AG15" s="47" t="s">
        <v>28</v>
      </c>
      <c r="AH15" s="49" t="s">
        <v>28</v>
      </c>
      <c r="AI15" s="48" t="s">
        <v>28</v>
      </c>
      <c r="AJ15" s="47" t="s">
        <v>28</v>
      </c>
      <c r="AK15" s="47" t="s">
        <v>28</v>
      </c>
      <c r="AL15" s="49" t="s">
        <v>28</v>
      </c>
      <c r="AM15" s="48" t="s">
        <v>28</v>
      </c>
      <c r="AN15" s="47" t="s">
        <v>28</v>
      </c>
      <c r="AO15" s="47" t="s">
        <v>28</v>
      </c>
      <c r="AP15" s="49" t="s">
        <v>28</v>
      </c>
      <c r="AQ15" s="48" t="s">
        <v>28</v>
      </c>
      <c r="AR15" s="47" t="s">
        <v>28</v>
      </c>
      <c r="AS15" s="47" t="s">
        <v>28</v>
      </c>
      <c r="AT15" s="106" t="s">
        <v>28</v>
      </c>
      <c r="AU15" s="47">
        <v>33.300000000000004</v>
      </c>
      <c r="AV15" s="47">
        <v>18.2</v>
      </c>
      <c r="AW15" s="47">
        <v>0</v>
      </c>
      <c r="AX15" s="47">
        <v>3.8</v>
      </c>
      <c r="AY15" s="48">
        <v>15.8</v>
      </c>
      <c r="AZ15" s="47">
        <v>16.399999999999999</v>
      </c>
      <c r="BA15" s="47">
        <v>3.6</v>
      </c>
      <c r="BB15" s="47">
        <v>0.5</v>
      </c>
      <c r="BC15" s="48">
        <v>9.1</v>
      </c>
      <c r="BD15" s="47">
        <v>18.8</v>
      </c>
      <c r="BE15" s="47">
        <v>5.4</v>
      </c>
      <c r="BF15" s="47">
        <v>5.0999999999999996</v>
      </c>
      <c r="BG15" s="48">
        <v>0</v>
      </c>
      <c r="BH15" s="47">
        <v>7.7</v>
      </c>
      <c r="BI15" s="47">
        <v>3.9</v>
      </c>
      <c r="BJ15" s="47">
        <v>29.6</v>
      </c>
      <c r="BK15" s="48">
        <v>-1.7999999999999998</v>
      </c>
      <c r="BL15" s="47">
        <v>12.899999999999999</v>
      </c>
      <c r="BM15" s="47">
        <v>-9.2999999999999989</v>
      </c>
      <c r="BN15" s="47">
        <v>-0.1</v>
      </c>
      <c r="BO15" s="48">
        <v>1.2</v>
      </c>
      <c r="BP15" s="47">
        <v>8.6</v>
      </c>
      <c r="BQ15" s="47">
        <v>3.6</v>
      </c>
      <c r="BR15" s="47">
        <v>-12.3</v>
      </c>
      <c r="BS15" s="48">
        <v>-4.0999999999999996</v>
      </c>
      <c r="BT15" s="712"/>
    </row>
    <row r="16" spans="1:74" s="708" customFormat="1" ht="13.5" hidden="1" customHeight="1">
      <c r="A16" s="706"/>
      <c r="B16" s="716"/>
      <c r="C16" s="709"/>
      <c r="D16" s="715"/>
      <c r="E16" s="715"/>
      <c r="F16" s="715"/>
      <c r="G16" s="709"/>
      <c r="H16" s="715"/>
      <c r="I16" s="715"/>
      <c r="J16" s="717"/>
      <c r="K16" s="709"/>
      <c r="L16" s="715"/>
      <c r="M16" s="715"/>
      <c r="N16" s="717"/>
      <c r="O16" s="709"/>
      <c r="P16" s="715"/>
      <c r="Q16" s="715"/>
      <c r="R16" s="717"/>
      <c r="S16" s="709"/>
      <c r="T16" s="715"/>
      <c r="U16" s="715"/>
      <c r="V16" s="717"/>
      <c r="W16" s="709"/>
      <c r="X16" s="715"/>
      <c r="Y16" s="715"/>
      <c r="Z16" s="717"/>
      <c r="AA16" s="709"/>
      <c r="AB16" s="715"/>
      <c r="AC16" s="715"/>
      <c r="AD16" s="717"/>
      <c r="AE16" s="709"/>
      <c r="AF16" s="715"/>
      <c r="AG16" s="715"/>
      <c r="AH16" s="717"/>
      <c r="AI16" s="709"/>
      <c r="AJ16" s="715"/>
      <c r="AK16" s="715"/>
      <c r="AL16" s="717"/>
      <c r="AM16" s="709"/>
      <c r="AN16" s="715"/>
      <c r="AO16" s="715"/>
      <c r="AP16" s="717"/>
      <c r="AQ16" s="709"/>
      <c r="AR16" s="715"/>
      <c r="AS16" s="715"/>
      <c r="AT16" s="718"/>
      <c r="AU16" s="715"/>
      <c r="AV16" s="715"/>
      <c r="AW16" s="715"/>
      <c r="AX16" s="715"/>
      <c r="AY16" s="709"/>
      <c r="AZ16" s="715"/>
      <c r="BA16" s="715"/>
      <c r="BB16" s="715"/>
      <c r="BC16" s="709"/>
      <c r="BD16" s="715"/>
      <c r="BE16" s="715"/>
      <c r="BF16" s="715"/>
      <c r="BG16" s="709"/>
      <c r="BH16" s="715"/>
      <c r="BI16" s="715"/>
      <c r="BJ16" s="715"/>
      <c r="BK16" s="709"/>
      <c r="BL16" s="715"/>
      <c r="BM16" s="715"/>
      <c r="BN16" s="715"/>
      <c r="BO16" s="709"/>
      <c r="BP16" s="715"/>
      <c r="BQ16" s="715"/>
      <c r="BR16" s="715"/>
      <c r="BS16" s="709"/>
      <c r="BT16" s="719"/>
    </row>
    <row r="17" spans="1:72" s="708" customFormat="1" ht="13.5" hidden="1" customHeight="1">
      <c r="A17" s="706"/>
      <c r="B17" s="716"/>
      <c r="C17" s="709"/>
      <c r="D17" s="715"/>
      <c r="E17" s="715"/>
      <c r="F17" s="715"/>
      <c r="G17" s="709"/>
      <c r="H17" s="715"/>
      <c r="I17" s="715"/>
      <c r="J17" s="717"/>
      <c r="K17" s="709"/>
      <c r="L17" s="715"/>
      <c r="M17" s="715"/>
      <c r="N17" s="717"/>
      <c r="O17" s="709"/>
      <c r="P17" s="715"/>
      <c r="Q17" s="715"/>
      <c r="R17" s="717"/>
      <c r="S17" s="709"/>
      <c r="T17" s="715"/>
      <c r="U17" s="715"/>
      <c r="V17" s="717"/>
      <c r="W17" s="709"/>
      <c r="X17" s="715"/>
      <c r="Y17" s="715"/>
      <c r="Z17" s="717"/>
      <c r="AA17" s="709"/>
      <c r="AB17" s="715"/>
      <c r="AC17" s="715"/>
      <c r="AD17" s="717"/>
      <c r="AE17" s="709"/>
      <c r="AF17" s="715"/>
      <c r="AG17" s="715"/>
      <c r="AH17" s="717"/>
      <c r="AI17" s="709"/>
      <c r="AJ17" s="715"/>
      <c r="AK17" s="715"/>
      <c r="AL17" s="717"/>
      <c r="AM17" s="709"/>
      <c r="AN17" s="715"/>
      <c r="AO17" s="715"/>
      <c r="AP17" s="717"/>
      <c r="AQ17" s="709"/>
      <c r="AR17" s="715"/>
      <c r="AS17" s="715"/>
      <c r="AT17" s="718"/>
      <c r="AU17" s="715"/>
      <c r="AV17" s="715"/>
      <c r="AW17" s="715"/>
      <c r="AX17" s="715"/>
      <c r="AY17" s="709"/>
      <c r="AZ17" s="715"/>
      <c r="BA17" s="715"/>
      <c r="BB17" s="715"/>
      <c r="BC17" s="709"/>
      <c r="BD17" s="715"/>
      <c r="BE17" s="715"/>
      <c r="BF17" s="715"/>
      <c r="BG17" s="709"/>
      <c r="BH17" s="715"/>
      <c r="BI17" s="715"/>
      <c r="BJ17" s="715"/>
      <c r="BK17" s="709"/>
      <c r="BL17" s="715"/>
      <c r="BM17" s="715"/>
      <c r="BN17" s="715"/>
      <c r="BO17" s="709"/>
      <c r="BP17" s="715"/>
      <c r="BQ17" s="715"/>
      <c r="BR17" s="715"/>
      <c r="BS17" s="709"/>
      <c r="BT17" s="719"/>
    </row>
    <row r="18" spans="1:72" s="708" customFormat="1" ht="13.5" hidden="1" customHeight="1">
      <c r="A18" s="706"/>
      <c r="B18" s="716"/>
      <c r="C18" s="709"/>
      <c r="D18" s="715"/>
      <c r="E18" s="715"/>
      <c r="F18" s="715"/>
      <c r="G18" s="709"/>
      <c r="H18" s="715"/>
      <c r="I18" s="715"/>
      <c r="J18" s="717"/>
      <c r="K18" s="709"/>
      <c r="L18" s="715"/>
      <c r="M18" s="715"/>
      <c r="N18" s="717"/>
      <c r="O18" s="709"/>
      <c r="P18" s="715"/>
      <c r="Q18" s="715"/>
      <c r="R18" s="717"/>
      <c r="S18" s="709"/>
      <c r="T18" s="715"/>
      <c r="U18" s="715"/>
      <c r="V18" s="717"/>
      <c r="W18" s="709"/>
      <c r="X18" s="715"/>
      <c r="Y18" s="715"/>
      <c r="Z18" s="717"/>
      <c r="AA18" s="709"/>
      <c r="AB18" s="715"/>
      <c r="AC18" s="715"/>
      <c r="AD18" s="717"/>
      <c r="AE18" s="709"/>
      <c r="AF18" s="715"/>
      <c r="AG18" s="715"/>
      <c r="AH18" s="717"/>
      <c r="AI18" s="709"/>
      <c r="AJ18" s="715"/>
      <c r="AK18" s="715"/>
      <c r="AL18" s="717"/>
      <c r="AM18" s="709"/>
      <c r="AN18" s="715"/>
      <c r="AO18" s="715"/>
      <c r="AP18" s="717"/>
      <c r="AQ18" s="709"/>
      <c r="AR18" s="715"/>
      <c r="AS18" s="715"/>
      <c r="AT18" s="718"/>
      <c r="AU18" s="715"/>
      <c r="AV18" s="715"/>
      <c r="AW18" s="715"/>
      <c r="AX18" s="715"/>
      <c r="AY18" s="709"/>
      <c r="AZ18" s="715"/>
      <c r="BA18" s="715"/>
      <c r="BB18" s="715"/>
      <c r="BC18" s="709"/>
      <c r="BD18" s="715"/>
      <c r="BE18" s="715"/>
      <c r="BF18" s="715"/>
      <c r="BG18" s="709"/>
      <c r="BH18" s="715"/>
      <c r="BI18" s="715"/>
      <c r="BJ18" s="715"/>
      <c r="BK18" s="709"/>
      <c r="BL18" s="715"/>
      <c r="BM18" s="715"/>
      <c r="BN18" s="715"/>
      <c r="BO18" s="709"/>
      <c r="BP18" s="715"/>
      <c r="BQ18" s="715"/>
      <c r="BR18" s="715"/>
      <c r="BS18" s="709"/>
      <c r="BT18" s="719"/>
    </row>
    <row r="19" spans="1:72" s="469" customFormat="1">
      <c r="A19" s="159" t="s">
        <v>808</v>
      </c>
      <c r="B19" s="711" t="s">
        <v>809</v>
      </c>
      <c r="C19" s="48">
        <v>16.899999999999999</v>
      </c>
      <c r="D19" s="47">
        <v>6.1</v>
      </c>
      <c r="E19" s="47">
        <v>1.9</v>
      </c>
      <c r="F19" s="47">
        <v>0.1</v>
      </c>
      <c r="G19" s="48">
        <v>0.1</v>
      </c>
      <c r="H19" s="47">
        <v>24.1</v>
      </c>
      <c r="I19" s="47">
        <v>-0.3</v>
      </c>
      <c r="J19" s="49">
        <v>6.9</v>
      </c>
      <c r="K19" s="48">
        <v>0.3</v>
      </c>
      <c r="L19" s="47">
        <v>8.3000000000000007</v>
      </c>
      <c r="M19" s="47">
        <v>5.4</v>
      </c>
      <c r="N19" s="49">
        <v>-10.7</v>
      </c>
      <c r="O19" s="48">
        <v>4</v>
      </c>
      <c r="P19" s="47">
        <v>3</v>
      </c>
      <c r="Q19" s="47">
        <v>0.8</v>
      </c>
      <c r="R19" s="49">
        <v>-5.6</v>
      </c>
      <c r="S19" s="48">
        <v>18.2</v>
      </c>
      <c r="T19" s="47">
        <v>6.2</v>
      </c>
      <c r="U19" s="47">
        <v>7.7</v>
      </c>
      <c r="V19" s="49">
        <v>5.9</v>
      </c>
      <c r="W19" s="48">
        <v>19.100000000000001</v>
      </c>
      <c r="X19" s="47">
        <v>6.6</v>
      </c>
      <c r="Y19" s="47">
        <v>-0.89999999999999858</v>
      </c>
      <c r="Z19" s="49">
        <v>-0.2</v>
      </c>
      <c r="AA19" s="48">
        <f>120.4-20.9</f>
        <v>99.5</v>
      </c>
      <c r="AB19" s="47">
        <f>-0.3+6.8</f>
        <v>6.5</v>
      </c>
      <c r="AC19" s="47">
        <f>-11.7+3</f>
        <v>-8.6999999999999993</v>
      </c>
      <c r="AD19" s="49">
        <v>0.4</v>
      </c>
      <c r="AE19" s="48">
        <f>0.1+0.2</f>
        <v>0.30000000000000004</v>
      </c>
      <c r="AF19" s="47">
        <v>4.9000000000000004</v>
      </c>
      <c r="AG19" s="47">
        <v>5.2</v>
      </c>
      <c r="AH19" s="49">
        <v>5.4</v>
      </c>
      <c r="AI19" s="48">
        <f>51.5-0.6</f>
        <v>50.9</v>
      </c>
      <c r="AJ19" s="47">
        <v>90.6</v>
      </c>
      <c r="AK19" s="47">
        <v>23.2</v>
      </c>
      <c r="AL19" s="49">
        <v>0.3</v>
      </c>
      <c r="AM19" s="48">
        <v>28.7</v>
      </c>
      <c r="AN19" s="47">
        <v>196.6</v>
      </c>
      <c r="AO19" s="47">
        <v>4</v>
      </c>
      <c r="AP19" s="49">
        <v>3</v>
      </c>
      <c r="AQ19" s="48">
        <v>10.199999999999999</v>
      </c>
      <c r="AR19" s="47">
        <v>32.799999999999997</v>
      </c>
      <c r="AS19" s="47">
        <v>3.6</v>
      </c>
      <c r="AT19" s="49">
        <v>0</v>
      </c>
      <c r="AU19" s="48" t="s">
        <v>28</v>
      </c>
      <c r="AV19" s="47" t="s">
        <v>28</v>
      </c>
      <c r="AW19" s="47" t="s">
        <v>28</v>
      </c>
      <c r="AX19" s="106" t="s">
        <v>28</v>
      </c>
      <c r="AY19" s="48" t="s">
        <v>28</v>
      </c>
      <c r="AZ19" s="47" t="s">
        <v>28</v>
      </c>
      <c r="BA19" s="47" t="s">
        <v>28</v>
      </c>
      <c r="BB19" s="106" t="s">
        <v>28</v>
      </c>
      <c r="BC19" s="48" t="s">
        <v>28</v>
      </c>
      <c r="BD19" s="720" t="s">
        <v>28</v>
      </c>
      <c r="BE19" s="720" t="s">
        <v>28</v>
      </c>
      <c r="BF19" s="720" t="s">
        <v>28</v>
      </c>
      <c r="BG19" s="48" t="s">
        <v>28</v>
      </c>
      <c r="BH19" s="720" t="s">
        <v>28</v>
      </c>
      <c r="BI19" s="720" t="s">
        <v>28</v>
      </c>
      <c r="BJ19" s="720" t="s">
        <v>28</v>
      </c>
      <c r="BK19" s="48" t="s">
        <v>28</v>
      </c>
      <c r="BL19" s="720" t="s">
        <v>28</v>
      </c>
      <c r="BM19" s="720" t="s">
        <v>28</v>
      </c>
      <c r="BN19" s="720" t="s">
        <v>28</v>
      </c>
      <c r="BO19" s="48" t="s">
        <v>28</v>
      </c>
      <c r="BP19" s="47" t="s">
        <v>28</v>
      </c>
      <c r="BQ19" s="47" t="s">
        <v>28</v>
      </c>
      <c r="BR19" s="47" t="s">
        <v>28</v>
      </c>
      <c r="BS19" s="48" t="s">
        <v>28</v>
      </c>
      <c r="BT19" s="712"/>
    </row>
    <row r="20" spans="1:72" s="469" customFormat="1">
      <c r="A20" s="165" t="s">
        <v>810</v>
      </c>
      <c r="B20" s="714" t="s">
        <v>811</v>
      </c>
      <c r="C20" s="48">
        <v>0</v>
      </c>
      <c r="D20" s="47">
        <v>-0.19999999999999996</v>
      </c>
      <c r="E20" s="47">
        <v>1.6</v>
      </c>
      <c r="F20" s="47">
        <v>-0.59999999999999964</v>
      </c>
      <c r="G20" s="48">
        <v>0.7</v>
      </c>
      <c r="H20" s="47">
        <v>-0.7</v>
      </c>
      <c r="I20" s="47">
        <v>2.7</v>
      </c>
      <c r="J20" s="49">
        <v>1.9</v>
      </c>
      <c r="K20" s="48">
        <v>17.899999999999999</v>
      </c>
      <c r="L20" s="47">
        <v>6</v>
      </c>
      <c r="M20" s="47">
        <v>-6.7</v>
      </c>
      <c r="N20" s="49">
        <v>2.9</v>
      </c>
      <c r="O20" s="48">
        <v>-6.9</v>
      </c>
      <c r="P20" s="47">
        <v>-15.3</v>
      </c>
      <c r="Q20" s="47">
        <v>-7.9</v>
      </c>
      <c r="R20" s="49">
        <v>18</v>
      </c>
      <c r="S20" s="48">
        <v>-16.3</v>
      </c>
      <c r="T20" s="47">
        <v>-3.2</v>
      </c>
      <c r="U20" s="47">
        <f>-23.6</f>
        <v>-23.6</v>
      </c>
      <c r="V20" s="49">
        <f>9.7</f>
        <v>9.6999999999999993</v>
      </c>
      <c r="W20" s="48">
        <v>1.7</v>
      </c>
      <c r="X20" s="47">
        <v>-5.2</v>
      </c>
      <c r="Y20" s="47">
        <v>-5.5</v>
      </c>
      <c r="Z20" s="49">
        <v>-4.3</v>
      </c>
      <c r="AA20" s="48">
        <f>-19+20.9+1</f>
        <v>2.8999999999999986</v>
      </c>
      <c r="AB20" s="47">
        <f>11.5-6.8+5.2</f>
        <v>9.9</v>
      </c>
      <c r="AC20" s="47">
        <f>2.3+16.2-3</f>
        <v>15.5</v>
      </c>
      <c r="AD20" s="49">
        <v>3.7</v>
      </c>
      <c r="AE20" s="48">
        <f>0.6+0.4-0.2</f>
        <v>0.8</v>
      </c>
      <c r="AF20" s="47">
        <v>3</v>
      </c>
      <c r="AG20" s="47">
        <v>7.2</v>
      </c>
      <c r="AH20" s="49">
        <v>-2.1</v>
      </c>
      <c r="AI20" s="48">
        <f>10.8+0.6</f>
        <v>11.4</v>
      </c>
      <c r="AJ20" s="47">
        <v>3.3</v>
      </c>
      <c r="AK20" s="47">
        <v>2.6</v>
      </c>
      <c r="AL20" s="49">
        <v>5.6</v>
      </c>
      <c r="AM20" s="48">
        <v>-2.6</v>
      </c>
      <c r="AN20" s="47">
        <v>0.5</v>
      </c>
      <c r="AO20" s="47">
        <v>0.2</v>
      </c>
      <c r="AP20" s="49">
        <v>-0.7</v>
      </c>
      <c r="AQ20" s="48">
        <v>2</v>
      </c>
      <c r="AR20" s="47">
        <v>8.3000000000000007</v>
      </c>
      <c r="AS20" s="47">
        <v>1.3</v>
      </c>
      <c r="AT20" s="49">
        <v>3.7</v>
      </c>
      <c r="AU20" s="48">
        <v>2.2000000000000002</v>
      </c>
      <c r="AV20" s="47">
        <v>2</v>
      </c>
      <c r="AW20" s="47">
        <v>-0.7</v>
      </c>
      <c r="AX20" s="47">
        <v>4.4000000000000004</v>
      </c>
      <c r="AY20" s="48">
        <v>-1.2</v>
      </c>
      <c r="AZ20" s="47">
        <v>-0.9</v>
      </c>
      <c r="BA20" s="47">
        <v>-6.7</v>
      </c>
      <c r="BB20" s="47">
        <v>-5.5</v>
      </c>
      <c r="BC20" s="48">
        <v>23.7</v>
      </c>
      <c r="BD20" s="47">
        <v>4.9000000000000004</v>
      </c>
      <c r="BE20" s="47">
        <v>-14.1</v>
      </c>
      <c r="BF20" s="47">
        <v>-3</v>
      </c>
      <c r="BG20" s="48">
        <v>-10.9</v>
      </c>
      <c r="BH20" s="47">
        <v>-3.3</v>
      </c>
      <c r="BI20" s="47">
        <v>-4.8</v>
      </c>
      <c r="BJ20" s="47">
        <v>-33.5</v>
      </c>
      <c r="BK20" s="48">
        <v>-14.5</v>
      </c>
      <c r="BL20" s="47">
        <v>-18.2</v>
      </c>
      <c r="BM20" s="47">
        <v>-1.7</v>
      </c>
      <c r="BN20" s="47">
        <v>-5</v>
      </c>
      <c r="BO20" s="48">
        <v>-4.7</v>
      </c>
      <c r="BP20" s="47">
        <v>-3.5</v>
      </c>
      <c r="BQ20" s="47">
        <v>-93.6</v>
      </c>
      <c r="BR20" s="47">
        <v>97</v>
      </c>
      <c r="BS20" s="48">
        <v>-2.9</v>
      </c>
      <c r="BT20" s="712"/>
    </row>
    <row r="21" spans="1:72" s="466" customFormat="1">
      <c r="A21" s="159" t="s">
        <v>812</v>
      </c>
      <c r="B21" s="711" t="s">
        <v>813</v>
      </c>
      <c r="C21" s="48">
        <v>12.7</v>
      </c>
      <c r="D21" s="47">
        <v>6.8</v>
      </c>
      <c r="E21" s="47">
        <v>6.6</v>
      </c>
      <c r="F21" s="47">
        <v>-5.2</v>
      </c>
      <c r="G21" s="48">
        <v>6.5</v>
      </c>
      <c r="H21" s="47">
        <v>-9.5</v>
      </c>
      <c r="I21" s="47">
        <v>1</v>
      </c>
      <c r="J21" s="49">
        <v>21</v>
      </c>
      <c r="K21" s="709">
        <v>7.9</v>
      </c>
      <c r="L21" s="47">
        <v>2.7</v>
      </c>
      <c r="M21" s="47">
        <v>5.4</v>
      </c>
      <c r="N21" s="49">
        <v>-24.1</v>
      </c>
      <c r="O21" s="48">
        <v>6.3</v>
      </c>
      <c r="P21" s="47">
        <v>5</v>
      </c>
      <c r="Q21" s="47">
        <v>6.5</v>
      </c>
      <c r="R21" s="49">
        <v>-9.9</v>
      </c>
      <c r="S21" s="48">
        <v>7.8</v>
      </c>
      <c r="T21" s="47">
        <v>4.9000000000000004</v>
      </c>
      <c r="U21" s="47">
        <v>2.7</v>
      </c>
      <c r="V21" s="49">
        <v>1.4</v>
      </c>
      <c r="W21" s="48">
        <v>4</v>
      </c>
      <c r="X21" s="47">
        <v>3.1</v>
      </c>
      <c r="Y21" s="47">
        <v>3.7000000000000011</v>
      </c>
      <c r="Z21" s="49">
        <v>4.5999999999999996</v>
      </c>
      <c r="AA21" s="48">
        <v>9.8000000000000007</v>
      </c>
      <c r="AB21" s="47">
        <v>4.5</v>
      </c>
      <c r="AC21" s="47">
        <v>3.6999999999999993</v>
      </c>
      <c r="AD21" s="49">
        <v>2.7</v>
      </c>
      <c r="AE21" s="48">
        <v>2.6</v>
      </c>
      <c r="AF21" s="47">
        <v>4.0999999999999996</v>
      </c>
      <c r="AG21" s="47">
        <v>6.1</v>
      </c>
      <c r="AH21" s="49">
        <v>7.5</v>
      </c>
      <c r="AI21" s="48">
        <v>9.5</v>
      </c>
      <c r="AJ21" s="47">
        <v>2.4</v>
      </c>
      <c r="AK21" s="47">
        <v>-1.7</v>
      </c>
      <c r="AL21" s="49">
        <v>10.6</v>
      </c>
      <c r="AM21" s="48">
        <v>4.5</v>
      </c>
      <c r="AN21" s="47">
        <v>1.2</v>
      </c>
      <c r="AO21" s="47">
        <v>-0.3</v>
      </c>
      <c r="AP21" s="49">
        <v>14</v>
      </c>
      <c r="AQ21" s="48">
        <v>0.8</v>
      </c>
      <c r="AR21" s="47">
        <v>-0.7</v>
      </c>
      <c r="AS21" s="47">
        <v>-0.1</v>
      </c>
      <c r="AT21" s="49">
        <v>3</v>
      </c>
      <c r="AU21" s="48">
        <v>2.2999999999999998</v>
      </c>
      <c r="AV21" s="47">
        <v>6.0000000000000009</v>
      </c>
      <c r="AW21" s="47">
        <v>2</v>
      </c>
      <c r="AX21" s="47">
        <v>4.0999999999999996</v>
      </c>
      <c r="AY21" s="48">
        <v>2.4</v>
      </c>
      <c r="AZ21" s="47">
        <v>3.8</v>
      </c>
      <c r="BA21" s="47">
        <v>-14.6</v>
      </c>
      <c r="BB21" s="47">
        <v>2.2999999999999998</v>
      </c>
      <c r="BC21" s="48">
        <v>0.4</v>
      </c>
      <c r="BD21" s="47">
        <v>-3.1</v>
      </c>
      <c r="BE21" s="47">
        <v>2.8</v>
      </c>
      <c r="BF21" s="47">
        <v>-9.1</v>
      </c>
      <c r="BG21" s="48">
        <v>2.2999999999999998</v>
      </c>
      <c r="BH21" s="47">
        <v>1.3</v>
      </c>
      <c r="BI21" s="47">
        <v>1.7</v>
      </c>
      <c r="BJ21" s="47">
        <v>-5.2</v>
      </c>
      <c r="BK21" s="48">
        <v>-0.2</v>
      </c>
      <c r="BL21" s="47">
        <v>-0.9</v>
      </c>
      <c r="BM21" s="47">
        <v>-1.3</v>
      </c>
      <c r="BN21" s="47">
        <v>-4.2</v>
      </c>
      <c r="BO21" s="48">
        <v>0.4</v>
      </c>
      <c r="BP21" s="47">
        <v>0.2</v>
      </c>
      <c r="BQ21" s="47">
        <v>0.8</v>
      </c>
      <c r="BR21" s="47">
        <v>-16.7</v>
      </c>
      <c r="BS21" s="48">
        <v>2.8</v>
      </c>
      <c r="BT21" s="710"/>
    </row>
    <row r="22" spans="1:72" s="469" customFormat="1">
      <c r="A22" s="155" t="s">
        <v>814</v>
      </c>
      <c r="B22" s="470" t="s">
        <v>815</v>
      </c>
      <c r="C22" s="39">
        <f t="shared" ref="C22:AT22" si="5">C10+C13+C14+C19+C20+C21</f>
        <v>526.80000000000007</v>
      </c>
      <c r="D22" s="38">
        <f t="shared" si="5"/>
        <v>511.30000000000018</v>
      </c>
      <c r="E22" s="38">
        <f t="shared" si="5"/>
        <v>532.69999999999993</v>
      </c>
      <c r="F22" s="38">
        <f t="shared" si="5"/>
        <v>462.49999999999994</v>
      </c>
      <c r="G22" s="39">
        <f t="shared" si="5"/>
        <v>571.1</v>
      </c>
      <c r="H22" s="38">
        <f t="shared" si="5"/>
        <v>611.49999999999989</v>
      </c>
      <c r="I22" s="38">
        <f t="shared" si="5"/>
        <v>607.20000000000005</v>
      </c>
      <c r="J22" s="40">
        <f t="shared" si="5"/>
        <v>294.5</v>
      </c>
      <c r="K22" s="39">
        <f t="shared" si="5"/>
        <v>551.29999999999984</v>
      </c>
      <c r="L22" s="38">
        <f t="shared" si="5"/>
        <v>673.6</v>
      </c>
      <c r="M22" s="38">
        <f t="shared" si="5"/>
        <v>697.99999999999989</v>
      </c>
      <c r="N22" s="40">
        <f t="shared" si="5"/>
        <v>573.59999999999991</v>
      </c>
      <c r="O22" s="39">
        <f t="shared" si="5"/>
        <v>654.69999999999993</v>
      </c>
      <c r="P22" s="38">
        <f t="shared" si="5"/>
        <v>671.6</v>
      </c>
      <c r="Q22" s="38">
        <f t="shared" si="5"/>
        <v>693.49999999999989</v>
      </c>
      <c r="R22" s="40">
        <f t="shared" si="5"/>
        <v>686.19999999999993</v>
      </c>
      <c r="S22" s="39">
        <f t="shared" si="5"/>
        <v>731.9</v>
      </c>
      <c r="T22" s="38">
        <f t="shared" si="5"/>
        <v>746.3</v>
      </c>
      <c r="U22" s="38">
        <f t="shared" si="5"/>
        <v>726.6</v>
      </c>
      <c r="V22" s="40">
        <f t="shared" si="5"/>
        <v>744</v>
      </c>
      <c r="W22" s="39">
        <f t="shared" si="5"/>
        <v>850.00000000000011</v>
      </c>
      <c r="X22" s="38">
        <f t="shared" si="5"/>
        <v>792.3</v>
      </c>
      <c r="Y22" s="38">
        <f t="shared" si="5"/>
        <v>793.89999999999986</v>
      </c>
      <c r="Z22" s="40">
        <f t="shared" si="5"/>
        <v>773.2</v>
      </c>
      <c r="AA22" s="39">
        <f t="shared" si="5"/>
        <v>855.19999999999993</v>
      </c>
      <c r="AB22" s="38">
        <f t="shared" si="5"/>
        <v>806.3</v>
      </c>
      <c r="AC22" s="38">
        <f t="shared" si="5"/>
        <v>801.80000000000018</v>
      </c>
      <c r="AD22" s="40">
        <f t="shared" si="5"/>
        <v>827.1</v>
      </c>
      <c r="AE22" s="39">
        <f t="shared" si="5"/>
        <v>872.59999999999991</v>
      </c>
      <c r="AF22" s="38">
        <f t="shared" si="5"/>
        <v>896.6</v>
      </c>
      <c r="AG22" s="38">
        <f t="shared" si="5"/>
        <v>897.30000000000018</v>
      </c>
      <c r="AH22" s="38">
        <f t="shared" si="5"/>
        <v>866</v>
      </c>
      <c r="AI22" s="39">
        <f t="shared" si="5"/>
        <v>906</v>
      </c>
      <c r="AJ22" s="38">
        <f t="shared" si="5"/>
        <v>981.4</v>
      </c>
      <c r="AK22" s="38">
        <f t="shared" si="5"/>
        <v>937.1</v>
      </c>
      <c r="AL22" s="38">
        <f t="shared" si="5"/>
        <v>953.6</v>
      </c>
      <c r="AM22" s="39">
        <f t="shared" si="5"/>
        <v>975.6</v>
      </c>
      <c r="AN22" s="38">
        <f t="shared" si="5"/>
        <v>1152.4000000000001</v>
      </c>
      <c r="AO22" s="38">
        <f t="shared" si="5"/>
        <v>1074.5000000000002</v>
      </c>
      <c r="AP22" s="38">
        <f t="shared" si="5"/>
        <v>1121.9999999999998</v>
      </c>
      <c r="AQ22" s="39">
        <f t="shared" si="5"/>
        <v>1135.3</v>
      </c>
      <c r="AR22" s="38">
        <f t="shared" si="5"/>
        <v>1191.5999999999999</v>
      </c>
      <c r="AS22" s="38">
        <f t="shared" si="5"/>
        <v>1214.8999999999996</v>
      </c>
      <c r="AT22" s="38">
        <f t="shared" si="5"/>
        <v>1227.3000000000002</v>
      </c>
      <c r="AU22" s="39">
        <f t="shared" ref="AU22:BP22" si="6">AU10+AU13+AU14+AU20+AU21+AU15</f>
        <v>1256.8999999999999</v>
      </c>
      <c r="AV22" s="38">
        <f t="shared" si="6"/>
        <v>1310.2000000000003</v>
      </c>
      <c r="AW22" s="38">
        <f t="shared" si="6"/>
        <v>1306.0999999999999</v>
      </c>
      <c r="AX22" s="38">
        <f t="shared" si="6"/>
        <v>1359.5000000000002</v>
      </c>
      <c r="AY22" s="39">
        <f t="shared" si="6"/>
        <v>1386.4000000000003</v>
      </c>
      <c r="AZ22" s="38">
        <f t="shared" si="6"/>
        <v>1451.2999999999997</v>
      </c>
      <c r="BA22" s="38">
        <f t="shared" si="6"/>
        <v>1469.3</v>
      </c>
      <c r="BB22" s="38">
        <f t="shared" si="6"/>
        <v>1482.7999999999997</v>
      </c>
      <c r="BC22" s="39">
        <f t="shared" si="6"/>
        <v>1558.3</v>
      </c>
      <c r="BD22" s="38">
        <f t="shared" si="6"/>
        <v>1508.1000000000004</v>
      </c>
      <c r="BE22" s="38">
        <f t="shared" si="6"/>
        <v>1548.4000000000003</v>
      </c>
      <c r="BF22" s="38">
        <f t="shared" si="6"/>
        <v>1599.8000000000002</v>
      </c>
      <c r="BG22" s="39">
        <f t="shared" si="6"/>
        <v>1595.5999999999997</v>
      </c>
      <c r="BH22" s="38">
        <f t="shared" si="6"/>
        <v>1652.4000000000003</v>
      </c>
      <c r="BI22" s="38">
        <f t="shared" si="6"/>
        <v>1744.1000000000004</v>
      </c>
      <c r="BJ22" s="38">
        <f t="shared" si="6"/>
        <v>1875.5</v>
      </c>
      <c r="BK22" s="39">
        <f t="shared" si="6"/>
        <v>2297.2000000000003</v>
      </c>
      <c r="BL22" s="38">
        <f t="shared" si="6"/>
        <v>2368.8000000000002</v>
      </c>
      <c r="BM22" s="38">
        <f t="shared" si="6"/>
        <v>716.99999999999989</v>
      </c>
      <c r="BN22" s="38">
        <f t="shared" si="6"/>
        <v>2313.6000000000004</v>
      </c>
      <c r="BO22" s="39">
        <f t="shared" si="6"/>
        <v>2452.2999999999997</v>
      </c>
      <c r="BP22" s="38">
        <f t="shared" si="6"/>
        <v>2630.9999999999995</v>
      </c>
      <c r="BQ22" s="38">
        <f>BQ10+BQ13+BQ14+BQ20+BQ21+BQ15</f>
        <v>2661.6000000000004</v>
      </c>
      <c r="BR22" s="38">
        <f>BR10+BR13+BR14+BR20+BR21+BR15</f>
        <v>2903.2</v>
      </c>
      <c r="BS22" s="39">
        <f>BS10+BS13+BS14+BS20+BS21+BS15</f>
        <v>2753.3</v>
      </c>
      <c r="BT22" s="712"/>
    </row>
    <row r="23" spans="1:72" s="469" customFormat="1">
      <c r="A23" s="165" t="s">
        <v>816</v>
      </c>
      <c r="B23" s="714" t="s">
        <v>817</v>
      </c>
      <c r="C23" s="48">
        <v>-336.1</v>
      </c>
      <c r="D23" s="47">
        <v>-345</v>
      </c>
      <c r="E23" s="47">
        <v>-356.9</v>
      </c>
      <c r="F23" s="47">
        <v>-355.1</v>
      </c>
      <c r="G23" s="48">
        <v>-367.69999999999993</v>
      </c>
      <c r="H23" s="47">
        <v>-389.9</v>
      </c>
      <c r="I23" s="47">
        <v>-407.7</v>
      </c>
      <c r="J23" s="49">
        <v>-338.59999999999997</v>
      </c>
      <c r="K23" s="48">
        <v>-366.79999999999995</v>
      </c>
      <c r="L23" s="47">
        <v>-386.6</v>
      </c>
      <c r="M23" s="47">
        <v>-397.29999999999995</v>
      </c>
      <c r="N23" s="49">
        <v>-355.2</v>
      </c>
      <c r="O23" s="48">
        <v>-394.4</v>
      </c>
      <c r="P23" s="47">
        <v>-407.1</v>
      </c>
      <c r="Q23" s="47">
        <v>-411.6</v>
      </c>
      <c r="R23" s="49">
        <v>-396.4</v>
      </c>
      <c r="S23" s="48">
        <v>-417.4</v>
      </c>
      <c r="T23" s="47">
        <v>-431.8</v>
      </c>
      <c r="U23" s="47">
        <v>-431.1</v>
      </c>
      <c r="V23" s="49">
        <v>-419.7</v>
      </c>
      <c r="W23" s="48">
        <v>-474.90000000000003</v>
      </c>
      <c r="X23" s="47">
        <v>-465</v>
      </c>
      <c r="Y23" s="47">
        <v>-466.2</v>
      </c>
      <c r="Z23" s="49">
        <v>-460.1</v>
      </c>
      <c r="AA23" s="48">
        <v>-482.2</v>
      </c>
      <c r="AB23" s="47">
        <v>-477</v>
      </c>
      <c r="AC23" s="47">
        <v>-458.79999999999995</v>
      </c>
      <c r="AD23" s="49">
        <v>-450.40000000000003</v>
      </c>
      <c r="AE23" s="48">
        <v>-471.20000000000005</v>
      </c>
      <c r="AF23" s="47">
        <v>-480.5</v>
      </c>
      <c r="AG23" s="47">
        <v>-489.5</v>
      </c>
      <c r="AH23" s="47">
        <v>-488.5</v>
      </c>
      <c r="AI23" s="48">
        <v>-495.6</v>
      </c>
      <c r="AJ23" s="47">
        <v>-502.29999999999995</v>
      </c>
      <c r="AK23" s="47">
        <v>-509.8</v>
      </c>
      <c r="AL23" s="47">
        <v>-648</v>
      </c>
      <c r="AM23" s="48">
        <v>-508.8</v>
      </c>
      <c r="AN23" s="47">
        <v>-517.20000000000005</v>
      </c>
      <c r="AO23" s="47">
        <v>-515.5</v>
      </c>
      <c r="AP23" s="47">
        <v>-557.69999999999993</v>
      </c>
      <c r="AQ23" s="48">
        <v>-565.6</v>
      </c>
      <c r="AR23" s="47">
        <v>-512.1</v>
      </c>
      <c r="AS23" s="47">
        <v>-529.6</v>
      </c>
      <c r="AT23" s="47">
        <v>-528.5</v>
      </c>
      <c r="AU23" s="48">
        <v>-628.29999999999995</v>
      </c>
      <c r="AV23" s="47">
        <v>-555</v>
      </c>
      <c r="AW23" s="47">
        <v>-577.20000000000005</v>
      </c>
      <c r="AX23" s="47">
        <v>-566.29999999999995</v>
      </c>
      <c r="AY23" s="48">
        <v>-721.1</v>
      </c>
      <c r="AZ23" s="47">
        <v>-581.1</v>
      </c>
      <c r="BA23" s="47">
        <v>-604.4</v>
      </c>
      <c r="BB23" s="47">
        <v>-590.79999999999995</v>
      </c>
      <c r="BC23" s="48">
        <v>-775</v>
      </c>
      <c r="BD23" s="47">
        <v>-638.5</v>
      </c>
      <c r="BE23" s="47">
        <v>-666.7</v>
      </c>
      <c r="BF23" s="47">
        <v>-682.3</v>
      </c>
      <c r="BG23" s="48">
        <v>-820.8</v>
      </c>
      <c r="BH23" s="47">
        <v>-692</v>
      </c>
      <c r="BI23" s="47">
        <v>-694.2</v>
      </c>
      <c r="BJ23" s="47">
        <v>-757.5</v>
      </c>
      <c r="BK23" s="48">
        <v>-931.4</v>
      </c>
      <c r="BL23" s="47">
        <v>-1200.0999999999999</v>
      </c>
      <c r="BM23" s="47">
        <v>-821.6</v>
      </c>
      <c r="BN23" s="47">
        <v>-689</v>
      </c>
      <c r="BO23" s="48">
        <v>-1002.3</v>
      </c>
      <c r="BP23" s="47">
        <v>-850.6</v>
      </c>
      <c r="BQ23" s="47">
        <v>-860.4</v>
      </c>
      <c r="BR23" s="47">
        <v>-986.8</v>
      </c>
      <c r="BS23" s="48">
        <v>-1089.3</v>
      </c>
      <c r="BT23" s="712"/>
    </row>
    <row r="24" spans="1:72" s="469" customFormat="1" ht="12.75" customHeight="1">
      <c r="A24" s="159" t="s">
        <v>818</v>
      </c>
      <c r="B24" s="721" t="s">
        <v>819</v>
      </c>
      <c r="C24" s="48">
        <v>0</v>
      </c>
      <c r="D24" s="47">
        <v>0</v>
      </c>
      <c r="E24" s="47">
        <v>0</v>
      </c>
      <c r="F24" s="47">
        <v>0</v>
      </c>
      <c r="G24" s="48">
        <v>0</v>
      </c>
      <c r="H24" s="47">
        <v>0</v>
      </c>
      <c r="I24" s="47">
        <v>0</v>
      </c>
      <c r="J24" s="49">
        <v>0</v>
      </c>
      <c r="K24" s="48">
        <v>0</v>
      </c>
      <c r="L24" s="47">
        <v>0</v>
      </c>
      <c r="M24" s="47">
        <v>0</v>
      </c>
      <c r="N24" s="49">
        <v>0</v>
      </c>
      <c r="O24" s="48">
        <v>0</v>
      </c>
      <c r="P24" s="47">
        <v>0</v>
      </c>
      <c r="Q24" s="47">
        <v>0</v>
      </c>
      <c r="R24" s="49">
        <v>0</v>
      </c>
      <c r="S24" s="48">
        <v>0</v>
      </c>
      <c r="T24" s="47">
        <v>0</v>
      </c>
      <c r="U24" s="47">
        <v>0</v>
      </c>
      <c r="V24" s="49">
        <v>0</v>
      </c>
      <c r="W24" s="48">
        <v>0</v>
      </c>
      <c r="X24" s="47">
        <v>0</v>
      </c>
      <c r="Y24" s="47">
        <v>0</v>
      </c>
      <c r="Z24" s="49">
        <v>0</v>
      </c>
      <c r="AA24" s="48">
        <v>0</v>
      </c>
      <c r="AB24" s="47">
        <v>0</v>
      </c>
      <c r="AC24" s="47">
        <v>0</v>
      </c>
      <c r="AD24" s="49">
        <v>0</v>
      </c>
      <c r="AE24" s="48">
        <v>0</v>
      </c>
      <c r="AF24" s="47">
        <v>0</v>
      </c>
      <c r="AG24" s="47">
        <v>0</v>
      </c>
      <c r="AH24" s="49">
        <v>0</v>
      </c>
      <c r="AI24" s="48">
        <v>0</v>
      </c>
      <c r="AJ24" s="47">
        <v>0</v>
      </c>
      <c r="AK24" s="47">
        <v>0</v>
      </c>
      <c r="AL24" s="49">
        <v>0</v>
      </c>
      <c r="AM24" s="48">
        <v>-50.5</v>
      </c>
      <c r="AN24" s="47">
        <v>-76.8</v>
      </c>
      <c r="AO24" s="47">
        <v>-75.7</v>
      </c>
      <c r="AP24" s="49">
        <v>-77.2</v>
      </c>
      <c r="AQ24" s="48">
        <v>-79.400000000000006</v>
      </c>
      <c r="AR24" s="47">
        <v>-80.400000000000006</v>
      </c>
      <c r="AS24" s="47">
        <v>-84.1</v>
      </c>
      <c r="AT24" s="49">
        <v>-86.2</v>
      </c>
      <c r="AU24" s="48">
        <v>-87.5</v>
      </c>
      <c r="AV24" s="47">
        <v>-92.1</v>
      </c>
      <c r="AW24" s="47">
        <v>-94.7</v>
      </c>
      <c r="AX24" s="47">
        <v>-99.5</v>
      </c>
      <c r="AY24" s="48">
        <v>-102.2</v>
      </c>
      <c r="AZ24" s="47">
        <v>-108.4</v>
      </c>
      <c r="BA24" s="47">
        <v>-111.5</v>
      </c>
      <c r="BB24" s="47">
        <v>-113.6</v>
      </c>
      <c r="BC24" s="48">
        <v>-116</v>
      </c>
      <c r="BD24" s="47">
        <v>-121.1</v>
      </c>
      <c r="BE24" s="47">
        <v>-122</v>
      </c>
      <c r="BF24" s="47">
        <v>-122.5</v>
      </c>
      <c r="BG24" s="48">
        <v>-125.9</v>
      </c>
      <c r="BH24" s="47">
        <v>-130.9</v>
      </c>
      <c r="BI24" s="47">
        <v>-138.19999999999999</v>
      </c>
      <c r="BJ24" s="47">
        <v>-149.69999999999999</v>
      </c>
      <c r="BK24" s="48">
        <v>-151.69999999999999</v>
      </c>
      <c r="BL24" s="47">
        <v>-161.30000000000001</v>
      </c>
      <c r="BM24" s="47">
        <v>-164.8</v>
      </c>
      <c r="BN24" s="47">
        <v>-169.1</v>
      </c>
      <c r="BO24" s="48">
        <v>-158.6</v>
      </c>
      <c r="BP24" s="47">
        <v>-165.6</v>
      </c>
      <c r="BQ24" s="47">
        <v>-164.1</v>
      </c>
      <c r="BR24" s="47">
        <v>-156</v>
      </c>
      <c r="BS24" s="48">
        <v>-186.6</v>
      </c>
      <c r="BT24" s="712"/>
    </row>
    <row r="25" spans="1:72" s="469" customFormat="1" ht="21.6">
      <c r="A25" s="159" t="s">
        <v>820</v>
      </c>
      <c r="B25" s="711" t="s">
        <v>821</v>
      </c>
      <c r="C25" s="48">
        <v>6.3</v>
      </c>
      <c r="D25" s="47">
        <v>26.7</v>
      </c>
      <c r="E25" s="47">
        <v>64.400000000000006</v>
      </c>
      <c r="F25" s="47">
        <v>5.8</v>
      </c>
      <c r="G25" s="48">
        <v>-0.7</v>
      </c>
      <c r="H25" s="47">
        <v>58.8</v>
      </c>
      <c r="I25" s="47">
        <v>-7.2</v>
      </c>
      <c r="J25" s="49">
        <v>-116.5</v>
      </c>
      <c r="K25" s="48">
        <v>-91.7</v>
      </c>
      <c r="L25" s="47">
        <v>-73.8</v>
      </c>
      <c r="M25" s="715">
        <v>-54.1</v>
      </c>
      <c r="N25" s="717">
        <v>-84.8</v>
      </c>
      <c r="O25" s="48">
        <v>-48.1</v>
      </c>
      <c r="P25" s="715">
        <v>-39.200000000000003</v>
      </c>
      <c r="Q25" s="47">
        <v>-55.1</v>
      </c>
      <c r="R25" s="717">
        <v>-61.2</v>
      </c>
      <c r="S25" s="48">
        <v>-57.1</v>
      </c>
      <c r="T25" s="47">
        <v>-37.700000000000003</v>
      </c>
      <c r="U25" s="47">
        <v>-27.1</v>
      </c>
      <c r="V25" s="49">
        <v>-50.5</v>
      </c>
      <c r="W25" s="48">
        <v>-64.3</v>
      </c>
      <c r="X25" s="47">
        <v>-131.19999999999999</v>
      </c>
      <c r="Y25" s="47">
        <v>-82.600000000000023</v>
      </c>
      <c r="Z25" s="49">
        <v>-84.7</v>
      </c>
      <c r="AA25" s="48">
        <v>-58</v>
      </c>
      <c r="AB25" s="47">
        <f>(64+5.1)*-1</f>
        <v>-69.099999999999994</v>
      </c>
      <c r="AC25" s="47">
        <v>-63.7</v>
      </c>
      <c r="AD25" s="49">
        <f>(68+7.3+1.1)*-1</f>
        <v>-76.399999999999991</v>
      </c>
      <c r="AE25" s="48">
        <v>-84.1</v>
      </c>
      <c r="AF25" s="47">
        <v>-33.299999999999997</v>
      </c>
      <c r="AG25" s="47">
        <v>-65.2</v>
      </c>
      <c r="AH25" s="49">
        <v>-85.1</v>
      </c>
      <c r="AI25" s="48">
        <v>-84.3</v>
      </c>
      <c r="AJ25" s="47">
        <v>-64.3</v>
      </c>
      <c r="AK25" s="47">
        <v>-32</v>
      </c>
      <c r="AL25" s="49">
        <v>-51.5</v>
      </c>
      <c r="AM25" s="48">
        <v>-78.900000000000006</v>
      </c>
      <c r="AN25" s="47">
        <v>-33.5</v>
      </c>
      <c r="AO25" s="47">
        <v>-49.7</v>
      </c>
      <c r="AP25" s="49">
        <v>-138.5</v>
      </c>
      <c r="AQ25" s="48">
        <v>-76.400000000000006</v>
      </c>
      <c r="AR25" s="47">
        <v>-123.1</v>
      </c>
      <c r="AS25" s="47">
        <v>-109.1</v>
      </c>
      <c r="AT25" s="49">
        <v>-112.6</v>
      </c>
      <c r="AU25" s="48" t="s">
        <v>28</v>
      </c>
      <c r="AV25" s="47" t="s">
        <v>28</v>
      </c>
      <c r="AW25" s="47" t="s">
        <v>28</v>
      </c>
      <c r="AX25" s="47" t="s">
        <v>28</v>
      </c>
      <c r="AY25" s="48" t="s">
        <v>28</v>
      </c>
      <c r="AZ25" s="47" t="s">
        <v>28</v>
      </c>
      <c r="BA25" s="47" t="s">
        <v>28</v>
      </c>
      <c r="BB25" s="47" t="s">
        <v>28</v>
      </c>
      <c r="BC25" s="48" t="s">
        <v>28</v>
      </c>
      <c r="BD25" s="47" t="s">
        <v>28</v>
      </c>
      <c r="BE25" s="47" t="s">
        <v>28</v>
      </c>
      <c r="BF25" s="720" t="s">
        <v>28</v>
      </c>
      <c r="BG25" s="48" t="s">
        <v>28</v>
      </c>
      <c r="BH25" s="47" t="s">
        <v>28</v>
      </c>
      <c r="BI25" s="47" t="s">
        <v>28</v>
      </c>
      <c r="BJ25" s="47" t="s">
        <v>28</v>
      </c>
      <c r="BK25" s="48" t="s">
        <v>28</v>
      </c>
      <c r="BL25" s="47" t="s">
        <v>28</v>
      </c>
      <c r="BM25" s="47" t="s">
        <v>28</v>
      </c>
      <c r="BN25" s="47" t="s">
        <v>28</v>
      </c>
      <c r="BO25" s="48" t="s">
        <v>28</v>
      </c>
      <c r="BP25" s="47" t="s">
        <v>28</v>
      </c>
      <c r="BQ25" s="47" t="s">
        <v>28</v>
      </c>
      <c r="BR25" s="47" t="s">
        <v>28</v>
      </c>
      <c r="BS25" s="48" t="s">
        <v>28</v>
      </c>
      <c r="BT25" s="712"/>
    </row>
    <row r="26" spans="1:72" s="469" customFormat="1">
      <c r="A26" s="159" t="s">
        <v>822</v>
      </c>
      <c r="B26" s="711" t="s">
        <v>823</v>
      </c>
      <c r="C26" s="48" t="s">
        <v>28</v>
      </c>
      <c r="D26" s="47" t="s">
        <v>28</v>
      </c>
      <c r="E26" s="47" t="s">
        <v>28</v>
      </c>
      <c r="F26" s="47" t="s">
        <v>28</v>
      </c>
      <c r="G26" s="48" t="s">
        <v>28</v>
      </c>
      <c r="H26" s="47" t="s">
        <v>28</v>
      </c>
      <c r="I26" s="47" t="s">
        <v>28</v>
      </c>
      <c r="J26" s="49" t="s">
        <v>28</v>
      </c>
      <c r="K26" s="709" t="s">
        <v>28</v>
      </c>
      <c r="L26" s="47" t="s">
        <v>28</v>
      </c>
      <c r="M26" s="47" t="s">
        <v>28</v>
      </c>
      <c r="N26" s="49" t="s">
        <v>28</v>
      </c>
      <c r="O26" s="48" t="s">
        <v>28</v>
      </c>
      <c r="P26" s="47" t="s">
        <v>28</v>
      </c>
      <c r="Q26" s="47" t="s">
        <v>28</v>
      </c>
      <c r="R26" s="49" t="s">
        <v>28</v>
      </c>
      <c r="S26" s="48" t="s">
        <v>28</v>
      </c>
      <c r="T26" s="47" t="s">
        <v>28</v>
      </c>
      <c r="U26" s="47" t="s">
        <v>28</v>
      </c>
      <c r="V26" s="49" t="s">
        <v>28</v>
      </c>
      <c r="W26" s="48" t="s">
        <v>28</v>
      </c>
      <c r="X26" s="47" t="s">
        <v>28</v>
      </c>
      <c r="Y26" s="47" t="s">
        <v>28</v>
      </c>
      <c r="Z26" s="49" t="s">
        <v>28</v>
      </c>
      <c r="AA26" s="48" t="s">
        <v>28</v>
      </c>
      <c r="AB26" s="47" t="s">
        <v>28</v>
      </c>
      <c r="AC26" s="47" t="s">
        <v>28</v>
      </c>
      <c r="AD26" s="49" t="s">
        <v>28</v>
      </c>
      <c r="AE26" s="48" t="s">
        <v>28</v>
      </c>
      <c r="AF26" s="47" t="s">
        <v>28</v>
      </c>
      <c r="AG26" s="47" t="s">
        <v>28</v>
      </c>
      <c r="AH26" s="49" t="s">
        <v>28</v>
      </c>
      <c r="AI26" s="48" t="s">
        <v>28</v>
      </c>
      <c r="AJ26" s="47" t="s">
        <v>28</v>
      </c>
      <c r="AK26" s="47" t="s">
        <v>28</v>
      </c>
      <c r="AL26" s="49" t="s">
        <v>28</v>
      </c>
      <c r="AM26" s="48" t="s">
        <v>28</v>
      </c>
      <c r="AN26" s="47" t="s">
        <v>28</v>
      </c>
      <c r="AO26" s="47" t="s">
        <v>28</v>
      </c>
      <c r="AP26" s="49" t="s">
        <v>28</v>
      </c>
      <c r="AQ26" s="48" t="s">
        <v>28</v>
      </c>
      <c r="AR26" s="47" t="s">
        <v>28</v>
      </c>
      <c r="AS26" s="47" t="s">
        <v>28</v>
      </c>
      <c r="AT26" s="106" t="s">
        <v>28</v>
      </c>
      <c r="AU26" s="48">
        <v>-94.8</v>
      </c>
      <c r="AV26" s="47">
        <v>-173.7</v>
      </c>
      <c r="AW26" s="47">
        <v>-133.9</v>
      </c>
      <c r="AX26" s="47">
        <v>-98.5</v>
      </c>
      <c r="AY26" s="48">
        <v>-125</v>
      </c>
      <c r="AZ26" s="47">
        <v>-135.9</v>
      </c>
      <c r="BA26" s="47">
        <v>-180.2</v>
      </c>
      <c r="BB26" s="47">
        <v>-133.19999999999999</v>
      </c>
      <c r="BC26" s="48">
        <v>-294.7</v>
      </c>
      <c r="BD26" s="47">
        <v>-302.2</v>
      </c>
      <c r="BE26" s="47">
        <v>-125.1</v>
      </c>
      <c r="BF26" s="47">
        <v>-82.600000000000009</v>
      </c>
      <c r="BG26" s="48">
        <v>-128.80000000000001</v>
      </c>
      <c r="BH26" s="47">
        <v>-19.099999999999998</v>
      </c>
      <c r="BI26" s="47">
        <v>-80</v>
      </c>
      <c r="BJ26" s="47">
        <v>-88.1</v>
      </c>
      <c r="BK26" s="48">
        <v>-150.5</v>
      </c>
      <c r="BL26" s="47">
        <v>-183</v>
      </c>
      <c r="BM26" s="47">
        <v>-206</v>
      </c>
      <c r="BN26" s="47">
        <v>-196.3</v>
      </c>
      <c r="BO26" s="48">
        <v>-88.199999999999989</v>
      </c>
      <c r="BP26" s="47">
        <v>-196.8</v>
      </c>
      <c r="BQ26" s="47">
        <v>-151.19999999999999</v>
      </c>
      <c r="BR26" s="47">
        <v>-71.5</v>
      </c>
      <c r="BS26" s="48">
        <v>-196.2</v>
      </c>
      <c r="BT26" s="712"/>
    </row>
    <row r="27" spans="1:72" s="469" customFormat="1">
      <c r="A27" s="159" t="s">
        <v>824</v>
      </c>
      <c r="B27" s="711" t="s">
        <v>825</v>
      </c>
      <c r="C27" s="48" t="s">
        <v>28</v>
      </c>
      <c r="D27" s="47" t="s">
        <v>28</v>
      </c>
      <c r="E27" s="47" t="s">
        <v>28</v>
      </c>
      <c r="F27" s="47" t="s">
        <v>28</v>
      </c>
      <c r="G27" s="48" t="s">
        <v>28</v>
      </c>
      <c r="H27" s="47" t="s">
        <v>28</v>
      </c>
      <c r="I27" s="47" t="s">
        <v>28</v>
      </c>
      <c r="J27" s="49" t="s">
        <v>28</v>
      </c>
      <c r="K27" s="709" t="s">
        <v>28</v>
      </c>
      <c r="L27" s="47" t="s">
        <v>28</v>
      </c>
      <c r="M27" s="47" t="s">
        <v>28</v>
      </c>
      <c r="N27" s="49" t="s">
        <v>28</v>
      </c>
      <c r="O27" s="48" t="s">
        <v>28</v>
      </c>
      <c r="P27" s="47" t="s">
        <v>28</v>
      </c>
      <c r="Q27" s="47" t="s">
        <v>28</v>
      </c>
      <c r="R27" s="49" t="s">
        <v>28</v>
      </c>
      <c r="S27" s="48" t="s">
        <v>28</v>
      </c>
      <c r="T27" s="47" t="s">
        <v>28</v>
      </c>
      <c r="U27" s="47" t="s">
        <v>28</v>
      </c>
      <c r="V27" s="49" t="s">
        <v>28</v>
      </c>
      <c r="W27" s="48" t="s">
        <v>28</v>
      </c>
      <c r="X27" s="47" t="s">
        <v>28</v>
      </c>
      <c r="Y27" s="47" t="s">
        <v>28</v>
      </c>
      <c r="Z27" s="49" t="s">
        <v>28</v>
      </c>
      <c r="AA27" s="48" t="s">
        <v>28</v>
      </c>
      <c r="AB27" s="47" t="s">
        <v>28</v>
      </c>
      <c r="AC27" s="47" t="s">
        <v>28</v>
      </c>
      <c r="AD27" s="49" t="s">
        <v>28</v>
      </c>
      <c r="AE27" s="48" t="s">
        <v>28</v>
      </c>
      <c r="AF27" s="47" t="s">
        <v>28</v>
      </c>
      <c r="AG27" s="47" t="s">
        <v>28</v>
      </c>
      <c r="AH27" s="49" t="s">
        <v>28</v>
      </c>
      <c r="AI27" s="48" t="s">
        <v>28</v>
      </c>
      <c r="AJ27" s="47" t="s">
        <v>28</v>
      </c>
      <c r="AK27" s="47" t="s">
        <v>28</v>
      </c>
      <c r="AL27" s="49" t="s">
        <v>28</v>
      </c>
      <c r="AM27" s="48" t="s">
        <v>28</v>
      </c>
      <c r="AN27" s="47" t="s">
        <v>28</v>
      </c>
      <c r="AO27" s="47" t="s">
        <v>28</v>
      </c>
      <c r="AP27" s="49" t="s">
        <v>28</v>
      </c>
      <c r="AQ27" s="48" t="s">
        <v>28</v>
      </c>
      <c r="AR27" s="47" t="s">
        <v>28</v>
      </c>
      <c r="AS27" s="47" t="s">
        <v>28</v>
      </c>
      <c r="AT27" s="106" t="s">
        <v>28</v>
      </c>
      <c r="AU27" s="48" t="s">
        <v>28</v>
      </c>
      <c r="AV27" s="47" t="s">
        <v>28</v>
      </c>
      <c r="AW27" s="47" t="s">
        <v>28</v>
      </c>
      <c r="AX27" s="47" t="s">
        <v>28</v>
      </c>
      <c r="AY27" s="48" t="s">
        <v>28</v>
      </c>
      <c r="AZ27" s="47" t="s">
        <v>28</v>
      </c>
      <c r="BA27" s="47" t="s">
        <v>28</v>
      </c>
      <c r="BB27" s="47">
        <v>-31.2</v>
      </c>
      <c r="BC27" s="48">
        <v>0</v>
      </c>
      <c r="BD27" s="47">
        <v>-10.199999999999999</v>
      </c>
      <c r="BE27" s="47">
        <v>-20.2</v>
      </c>
      <c r="BF27" s="47">
        <v>-239.9</v>
      </c>
      <c r="BG27" s="48">
        <v>0</v>
      </c>
      <c r="BH27" s="47">
        <v>0</v>
      </c>
      <c r="BI27" s="47">
        <v>-0.4</v>
      </c>
      <c r="BJ27" s="47">
        <v>-56.000000000000007</v>
      </c>
      <c r="BK27" s="48">
        <v>-1.1000000000000001</v>
      </c>
      <c r="BL27" s="47">
        <v>-0.2</v>
      </c>
      <c r="BM27" s="47">
        <v>0</v>
      </c>
      <c r="BN27" s="47">
        <v>-293</v>
      </c>
      <c r="BO27" s="48">
        <v>0</v>
      </c>
      <c r="BP27" s="47">
        <v>0</v>
      </c>
      <c r="BQ27" s="47">
        <v>0</v>
      </c>
      <c r="BR27" s="47">
        <v>-105.5</v>
      </c>
      <c r="BS27" s="48">
        <v>-0.8</v>
      </c>
      <c r="BT27" s="712"/>
    </row>
    <row r="28" spans="1:72" s="469" customFormat="1" ht="21.6">
      <c r="A28" s="159" t="s">
        <v>826</v>
      </c>
      <c r="B28" s="711" t="s">
        <v>827</v>
      </c>
      <c r="C28" s="48">
        <v>12.4</v>
      </c>
      <c r="D28" s="47">
        <v>10.9</v>
      </c>
      <c r="E28" s="47">
        <v>9.6</v>
      </c>
      <c r="F28" s="47">
        <v>10.7</v>
      </c>
      <c r="G28" s="48">
        <v>11.6</v>
      </c>
      <c r="H28" s="47">
        <v>14.2</v>
      </c>
      <c r="I28" s="47">
        <v>13</v>
      </c>
      <c r="J28" s="49">
        <f>9.3+0.1</f>
        <v>9.4</v>
      </c>
      <c r="K28" s="48">
        <v>10.1</v>
      </c>
      <c r="L28" s="47">
        <v>15.5</v>
      </c>
      <c r="M28" s="47">
        <v>10.4</v>
      </c>
      <c r="N28" s="49">
        <v>16.100000000000001</v>
      </c>
      <c r="O28" s="48">
        <v>7.3</v>
      </c>
      <c r="P28" s="47">
        <v>10.9</v>
      </c>
      <c r="Q28" s="47">
        <v>10.6</v>
      </c>
      <c r="R28" s="49">
        <v>12.4</v>
      </c>
      <c r="S28" s="48">
        <v>9.6999999999999993</v>
      </c>
      <c r="T28" s="47">
        <v>13.2</v>
      </c>
      <c r="U28" s="47">
        <v>8.1999999999999993</v>
      </c>
      <c r="V28" s="49">
        <v>10.1</v>
      </c>
      <c r="W28" s="48">
        <v>6.8</v>
      </c>
      <c r="X28" s="47">
        <v>11.2</v>
      </c>
      <c r="Y28" s="47">
        <v>7.6000000000000014</v>
      </c>
      <c r="Z28" s="49">
        <v>10.1</v>
      </c>
      <c r="AA28" s="48">
        <v>9</v>
      </c>
      <c r="AB28" s="47">
        <v>7.8</v>
      </c>
      <c r="AC28" s="47">
        <v>9.3000000000000007</v>
      </c>
      <c r="AD28" s="49">
        <v>12</v>
      </c>
      <c r="AE28" s="48">
        <v>11.2</v>
      </c>
      <c r="AF28" s="47">
        <v>1.1000000000000001</v>
      </c>
      <c r="AG28" s="47">
        <v>0</v>
      </c>
      <c r="AH28" s="49">
        <v>0</v>
      </c>
      <c r="AI28" s="48">
        <v>0</v>
      </c>
      <c r="AJ28" s="47">
        <v>0</v>
      </c>
      <c r="AK28" s="47">
        <v>0</v>
      </c>
      <c r="AL28" s="49">
        <v>0</v>
      </c>
      <c r="AM28" s="48">
        <v>0</v>
      </c>
      <c r="AN28" s="47">
        <v>0</v>
      </c>
      <c r="AO28" s="47">
        <v>0</v>
      </c>
      <c r="AP28" s="49">
        <v>0</v>
      </c>
      <c r="AQ28" s="48">
        <v>0</v>
      </c>
      <c r="AR28" s="47">
        <v>0</v>
      </c>
      <c r="AS28" s="47">
        <v>0</v>
      </c>
      <c r="AT28" s="49">
        <v>0</v>
      </c>
      <c r="AU28" s="48">
        <v>0</v>
      </c>
      <c r="AV28" s="47">
        <v>0</v>
      </c>
      <c r="AW28" s="47">
        <v>-0.2</v>
      </c>
      <c r="AX28" s="47">
        <v>-0.1</v>
      </c>
      <c r="AY28" s="48">
        <v>-0.1</v>
      </c>
      <c r="AZ28" s="47">
        <v>-0.1</v>
      </c>
      <c r="BA28" s="47">
        <v>2.8</v>
      </c>
      <c r="BB28" s="47">
        <v>4</v>
      </c>
      <c r="BC28" s="48">
        <v>4.4000000000000004</v>
      </c>
      <c r="BD28" s="47">
        <v>4</v>
      </c>
      <c r="BE28" s="47">
        <v>3.7</v>
      </c>
      <c r="BF28" s="47">
        <v>4</v>
      </c>
      <c r="BG28" s="48">
        <v>6.1</v>
      </c>
      <c r="BH28" s="47">
        <v>7.1</v>
      </c>
      <c r="BI28" s="47">
        <v>7.8</v>
      </c>
      <c r="BJ28" s="47">
        <v>8.3000000000000007</v>
      </c>
      <c r="BK28" s="48">
        <v>6.8</v>
      </c>
      <c r="BL28" s="47">
        <v>5.8</v>
      </c>
      <c r="BM28" s="47">
        <v>5.4</v>
      </c>
      <c r="BN28" s="47">
        <v>7.6</v>
      </c>
      <c r="BO28" s="48">
        <v>5.6</v>
      </c>
      <c r="BP28" s="47">
        <v>6.3</v>
      </c>
      <c r="BQ28" s="47">
        <v>6.3</v>
      </c>
      <c r="BR28" s="47">
        <v>11.3</v>
      </c>
      <c r="BS28" s="48">
        <v>7.2</v>
      </c>
      <c r="BT28" s="712"/>
    </row>
    <row r="29" spans="1:72" s="469" customFormat="1">
      <c r="A29" s="155" t="s">
        <v>828</v>
      </c>
      <c r="B29" s="470" t="s">
        <v>829</v>
      </c>
      <c r="C29" s="39">
        <f t="shared" ref="C29:AO29" si="7">C22+C23+C25+C28+C24</f>
        <v>209.40000000000006</v>
      </c>
      <c r="D29" s="38">
        <f t="shared" si="7"/>
        <v>203.90000000000018</v>
      </c>
      <c r="E29" s="38">
        <f t="shared" si="7"/>
        <v>249.79999999999995</v>
      </c>
      <c r="F29" s="38">
        <f t="shared" si="7"/>
        <v>123.89999999999992</v>
      </c>
      <c r="G29" s="39">
        <f t="shared" si="7"/>
        <v>214.3000000000001</v>
      </c>
      <c r="H29" s="38">
        <f t="shared" si="7"/>
        <v>294.59999999999991</v>
      </c>
      <c r="I29" s="38">
        <f t="shared" si="7"/>
        <v>205.30000000000007</v>
      </c>
      <c r="J29" s="40">
        <f t="shared" si="7"/>
        <v>-151.19999999999996</v>
      </c>
      <c r="K29" s="39">
        <f t="shared" si="7"/>
        <v>102.89999999999988</v>
      </c>
      <c r="L29" s="38">
        <f t="shared" si="7"/>
        <v>228.7</v>
      </c>
      <c r="M29" s="38">
        <f t="shared" si="7"/>
        <v>256.99999999999994</v>
      </c>
      <c r="N29" s="40">
        <f t="shared" si="7"/>
        <v>149.6999999999999</v>
      </c>
      <c r="O29" s="39">
        <f t="shared" si="7"/>
        <v>219.49999999999997</v>
      </c>
      <c r="P29" s="38">
        <f t="shared" si="7"/>
        <v>236.20000000000002</v>
      </c>
      <c r="Q29" s="38">
        <f t="shared" si="7"/>
        <v>237.39999999999986</v>
      </c>
      <c r="R29" s="40">
        <f t="shared" si="7"/>
        <v>240.99999999999997</v>
      </c>
      <c r="S29" s="39">
        <f t="shared" si="7"/>
        <v>267.09999999999997</v>
      </c>
      <c r="T29" s="38">
        <f t="shared" si="7"/>
        <v>289.99999999999994</v>
      </c>
      <c r="U29" s="38">
        <f t="shared" si="7"/>
        <v>276.59999999999997</v>
      </c>
      <c r="V29" s="40">
        <f t="shared" si="7"/>
        <v>283.90000000000003</v>
      </c>
      <c r="W29" s="39">
        <f t="shared" si="7"/>
        <v>317.60000000000008</v>
      </c>
      <c r="X29" s="38">
        <f t="shared" si="7"/>
        <v>207.29999999999995</v>
      </c>
      <c r="Y29" s="38">
        <f t="shared" si="7"/>
        <v>252.69999999999985</v>
      </c>
      <c r="Z29" s="40">
        <f t="shared" si="7"/>
        <v>238.50000000000003</v>
      </c>
      <c r="AA29" s="39">
        <f t="shared" si="7"/>
        <v>323.99999999999994</v>
      </c>
      <c r="AB29" s="38">
        <f t="shared" si="7"/>
        <v>267.99999999999994</v>
      </c>
      <c r="AC29" s="38">
        <f t="shared" si="7"/>
        <v>288.60000000000025</v>
      </c>
      <c r="AD29" s="40">
        <f t="shared" si="7"/>
        <v>312.3</v>
      </c>
      <c r="AE29" s="39">
        <f t="shared" si="7"/>
        <v>328.49999999999983</v>
      </c>
      <c r="AF29" s="38">
        <f t="shared" si="7"/>
        <v>383.90000000000003</v>
      </c>
      <c r="AG29" s="38">
        <f t="shared" si="7"/>
        <v>342.60000000000019</v>
      </c>
      <c r="AH29" s="38">
        <f t="shared" si="7"/>
        <v>292.39999999999998</v>
      </c>
      <c r="AI29" s="39">
        <f t="shared" si="7"/>
        <v>326.09999999999997</v>
      </c>
      <c r="AJ29" s="38">
        <f t="shared" si="7"/>
        <v>414.8</v>
      </c>
      <c r="AK29" s="38">
        <f t="shared" si="7"/>
        <v>395.3</v>
      </c>
      <c r="AL29" s="38">
        <f t="shared" si="7"/>
        <v>254.10000000000002</v>
      </c>
      <c r="AM29" s="39">
        <f t="shared" si="7"/>
        <v>337.4</v>
      </c>
      <c r="AN29" s="38">
        <f t="shared" si="7"/>
        <v>524.90000000000009</v>
      </c>
      <c r="AO29" s="38">
        <f t="shared" si="7"/>
        <v>433.60000000000025</v>
      </c>
      <c r="AP29" s="38">
        <f>AP22+AP23+AP25+AP28+AP24</f>
        <v>348.59999999999985</v>
      </c>
      <c r="AQ29" s="39">
        <f>AQ22+AQ23+AQ28+AQ24+AQ25</f>
        <v>413.9</v>
      </c>
      <c r="AR29" s="38">
        <f>AR22+AR23+AR28+AR24+AR25</f>
        <v>475.99999999999989</v>
      </c>
      <c r="AS29" s="38">
        <f>AS22+AS23+AS28+AS24+AS25</f>
        <v>492.09999999999957</v>
      </c>
      <c r="AT29" s="38">
        <f>AT22+AT23+AT28+AT24+AT25</f>
        <v>500.00000000000011</v>
      </c>
      <c r="AU29" s="39">
        <f t="shared" ref="AU29:BA29" si="8">AU22+AU23+AU28+AU24+AU26</f>
        <v>446.2999999999999</v>
      </c>
      <c r="AV29" s="38">
        <f t="shared" si="8"/>
        <v>489.40000000000026</v>
      </c>
      <c r="AW29" s="38">
        <f t="shared" si="8"/>
        <v>500.0999999999998</v>
      </c>
      <c r="AX29" s="38">
        <f t="shared" si="8"/>
        <v>595.10000000000025</v>
      </c>
      <c r="AY29" s="39">
        <f t="shared" si="8"/>
        <v>438.00000000000023</v>
      </c>
      <c r="AZ29" s="38">
        <f t="shared" si="8"/>
        <v>625.79999999999973</v>
      </c>
      <c r="BA29" s="38">
        <f t="shared" si="8"/>
        <v>576</v>
      </c>
      <c r="BB29" s="38">
        <f t="shared" ref="BB29:BP29" si="9">BB22+BB23+BB28+BB24+BB26+BB27</f>
        <v>617.99999999999977</v>
      </c>
      <c r="BC29" s="39">
        <f t="shared" si="9"/>
        <v>376.99999999999994</v>
      </c>
      <c r="BD29" s="38">
        <f t="shared" si="9"/>
        <v>440.10000000000036</v>
      </c>
      <c r="BE29" s="38">
        <f t="shared" si="9"/>
        <v>618.10000000000025</v>
      </c>
      <c r="BF29" s="38">
        <f t="shared" si="9"/>
        <v>476.50000000000023</v>
      </c>
      <c r="BG29" s="39">
        <f t="shared" si="9"/>
        <v>526.19999999999982</v>
      </c>
      <c r="BH29" s="38">
        <f t="shared" si="9"/>
        <v>817.50000000000034</v>
      </c>
      <c r="BI29" s="38">
        <f t="shared" si="9"/>
        <v>839.10000000000025</v>
      </c>
      <c r="BJ29" s="38">
        <f t="shared" si="9"/>
        <v>832.49999999999989</v>
      </c>
      <c r="BK29" s="39">
        <f t="shared" si="9"/>
        <v>1069.3000000000002</v>
      </c>
      <c r="BL29" s="38">
        <f t="shared" si="9"/>
        <v>830.00000000000023</v>
      </c>
      <c r="BM29" s="38">
        <f t="shared" si="9"/>
        <v>-470.00000000000011</v>
      </c>
      <c r="BN29" s="38">
        <f t="shared" si="9"/>
        <v>973.80000000000041</v>
      </c>
      <c r="BO29" s="39">
        <f t="shared" si="9"/>
        <v>1208.7999999999997</v>
      </c>
      <c r="BP29" s="38">
        <f t="shared" si="9"/>
        <v>1424.2999999999997</v>
      </c>
      <c r="BQ29" s="38">
        <f>BQ22+BQ23+BQ28+BQ24+BQ26+BQ27</f>
        <v>1492.2000000000003</v>
      </c>
      <c r="BR29" s="38">
        <f>BR22+BR23+BR28+BR24+BR26+BR27</f>
        <v>1594.6999999999998</v>
      </c>
      <c r="BS29" s="39">
        <f>BS22+BS23+BS28+BS24+BS26+BS27</f>
        <v>1287.6000000000004</v>
      </c>
      <c r="BT29" s="712"/>
    </row>
    <row r="30" spans="1:72" s="469" customFormat="1">
      <c r="A30" s="202" t="s">
        <v>830</v>
      </c>
      <c r="B30" s="722" t="s">
        <v>831</v>
      </c>
      <c r="C30" s="48">
        <v>-38.6</v>
      </c>
      <c r="D30" s="47">
        <v>-34.4</v>
      </c>
      <c r="E30" s="47">
        <v>-50.8</v>
      </c>
      <c r="F30" s="47">
        <v>-26.4</v>
      </c>
      <c r="G30" s="48">
        <v>-40.5</v>
      </c>
      <c r="H30" s="47">
        <v>-60.9</v>
      </c>
      <c r="I30" s="47">
        <v>-38.4</v>
      </c>
      <c r="J30" s="49">
        <v>22.2</v>
      </c>
      <c r="K30" s="48">
        <v>-22.1</v>
      </c>
      <c r="L30" s="47">
        <v>-46</v>
      </c>
      <c r="M30" s="47">
        <v>-46.2</v>
      </c>
      <c r="N30" s="49">
        <v>-28.9</v>
      </c>
      <c r="O30" s="48">
        <v>-42</v>
      </c>
      <c r="P30" s="47">
        <v>-44.7</v>
      </c>
      <c r="Q30" s="47">
        <v>-45</v>
      </c>
      <c r="R30" s="49">
        <v>-49.3</v>
      </c>
      <c r="S30" s="48">
        <v>-54.6</v>
      </c>
      <c r="T30" s="47">
        <v>-56.1</v>
      </c>
      <c r="U30" s="47">
        <f>(56.5)*-1</f>
        <v>-56.5</v>
      </c>
      <c r="V30" s="49">
        <v>-70.3</v>
      </c>
      <c r="W30" s="48">
        <v>-46.1</v>
      </c>
      <c r="X30" s="47">
        <v>-39.700000000000003</v>
      </c>
      <c r="Y30" s="47">
        <v>-49.5</v>
      </c>
      <c r="Z30" s="49">
        <v>-48.5</v>
      </c>
      <c r="AA30" s="48">
        <f>(63.8+0.3+0.3-0.1)*-1</f>
        <v>-64.3</v>
      </c>
      <c r="AB30" s="47">
        <f>(52.2-0.1-1)*-1</f>
        <v>-51.1</v>
      </c>
      <c r="AC30" s="47">
        <f>(53.5+0.7)*-1</f>
        <v>-54.2</v>
      </c>
      <c r="AD30" s="49">
        <f>(63.4-1.4-0.2)*-1</f>
        <v>-61.8</v>
      </c>
      <c r="AE30" s="48">
        <v>-73.900000000000006</v>
      </c>
      <c r="AF30" s="47">
        <v>-101.5</v>
      </c>
      <c r="AG30" s="47">
        <v>-69.5</v>
      </c>
      <c r="AH30" s="49">
        <v>-61.7</v>
      </c>
      <c r="AI30" s="48">
        <v>-65.099999999999994</v>
      </c>
      <c r="AJ30" s="47">
        <v>-70.099999999999994</v>
      </c>
      <c r="AK30" s="47">
        <v>-79.599999999999994</v>
      </c>
      <c r="AL30" s="49">
        <v>-48.4</v>
      </c>
      <c r="AM30" s="48">
        <v>-78.2</v>
      </c>
      <c r="AN30" s="47">
        <v>-118</v>
      </c>
      <c r="AO30" s="47">
        <v>-101.6</v>
      </c>
      <c r="AP30" s="49">
        <v>-93.6</v>
      </c>
      <c r="AQ30" s="48">
        <v>-113.6</v>
      </c>
      <c r="AR30" s="47">
        <v>-115.7</v>
      </c>
      <c r="AS30" s="47">
        <v>-116.4</v>
      </c>
      <c r="AT30" s="49">
        <v>-133.19999999999999</v>
      </c>
      <c r="AU30" s="48">
        <v>-124.1</v>
      </c>
      <c r="AV30" s="47">
        <v>-117.7</v>
      </c>
      <c r="AW30" s="47">
        <v>-121.8</v>
      </c>
      <c r="AX30" s="47">
        <v>-143.5</v>
      </c>
      <c r="AY30" s="48">
        <v>-113.5</v>
      </c>
      <c r="AZ30" s="47">
        <v>-156.69999999999999</v>
      </c>
      <c r="BA30" s="47">
        <v>-161.19999999999999</v>
      </c>
      <c r="BB30" s="47">
        <v>-167.7</v>
      </c>
      <c r="BC30" s="48">
        <v>-109.7</v>
      </c>
      <c r="BD30" s="47">
        <v>-123.89999999999999</v>
      </c>
      <c r="BE30" s="47">
        <v>-177.9</v>
      </c>
      <c r="BF30" s="47">
        <v>-162.6</v>
      </c>
      <c r="BG30" s="48">
        <v>-140.6</v>
      </c>
      <c r="BH30" s="47">
        <v>-202.2</v>
      </c>
      <c r="BI30" s="47">
        <v>-200.7</v>
      </c>
      <c r="BJ30" s="47">
        <v>-163.5</v>
      </c>
      <c r="BK30" s="48">
        <v>-276.5</v>
      </c>
      <c r="BL30" s="47">
        <v>-257</v>
      </c>
      <c r="BM30" s="47">
        <v>152.69999999999999</v>
      </c>
      <c r="BN30" s="47">
        <v>-307.89999999999998</v>
      </c>
      <c r="BO30" s="48">
        <v>-300.10000000000002</v>
      </c>
      <c r="BP30" s="47">
        <v>-324.89999999999998</v>
      </c>
      <c r="BQ30" s="47">
        <v>-330.2</v>
      </c>
      <c r="BR30" s="47">
        <v>-323.89999999999998</v>
      </c>
      <c r="BS30" s="48">
        <v>-294.3</v>
      </c>
      <c r="BT30" s="712"/>
    </row>
    <row r="31" spans="1:72" s="469" customFormat="1">
      <c r="A31" s="482" t="s">
        <v>832</v>
      </c>
      <c r="B31" s="723" t="s">
        <v>833</v>
      </c>
      <c r="C31" s="39">
        <f t="shared" ref="C31:BN31" si="10">C29+C30</f>
        <v>170.80000000000007</v>
      </c>
      <c r="D31" s="38">
        <f t="shared" si="10"/>
        <v>169.50000000000017</v>
      </c>
      <c r="E31" s="38">
        <f t="shared" si="10"/>
        <v>198.99999999999994</v>
      </c>
      <c r="F31" s="38">
        <f t="shared" si="10"/>
        <v>97.499999999999915</v>
      </c>
      <c r="G31" s="39">
        <f t="shared" si="10"/>
        <v>173.8000000000001</v>
      </c>
      <c r="H31" s="38">
        <f t="shared" si="10"/>
        <v>233.6999999999999</v>
      </c>
      <c r="I31" s="38">
        <f t="shared" si="10"/>
        <v>166.90000000000006</v>
      </c>
      <c r="J31" s="40">
        <f t="shared" si="10"/>
        <v>-128.99999999999997</v>
      </c>
      <c r="K31" s="39">
        <f t="shared" si="10"/>
        <v>80.799999999999869</v>
      </c>
      <c r="L31" s="38">
        <f t="shared" si="10"/>
        <v>182.7</v>
      </c>
      <c r="M31" s="38">
        <f t="shared" si="10"/>
        <v>210.79999999999995</v>
      </c>
      <c r="N31" s="40">
        <f t="shared" si="10"/>
        <v>120.7999999999999</v>
      </c>
      <c r="O31" s="39">
        <f t="shared" si="10"/>
        <v>177.49999999999997</v>
      </c>
      <c r="P31" s="38">
        <f t="shared" si="10"/>
        <v>191.5</v>
      </c>
      <c r="Q31" s="38">
        <f t="shared" si="10"/>
        <v>192.39999999999986</v>
      </c>
      <c r="R31" s="40">
        <f t="shared" si="10"/>
        <v>191.7</v>
      </c>
      <c r="S31" s="39">
        <f t="shared" si="10"/>
        <v>212.49999999999997</v>
      </c>
      <c r="T31" s="38">
        <f t="shared" si="10"/>
        <v>233.89999999999995</v>
      </c>
      <c r="U31" s="38">
        <f t="shared" si="10"/>
        <v>220.09999999999997</v>
      </c>
      <c r="V31" s="40">
        <f t="shared" si="10"/>
        <v>213.60000000000002</v>
      </c>
      <c r="W31" s="39">
        <f t="shared" si="10"/>
        <v>271.50000000000006</v>
      </c>
      <c r="X31" s="38">
        <f t="shared" si="10"/>
        <v>167.59999999999997</v>
      </c>
      <c r="Y31" s="38">
        <f t="shared" si="10"/>
        <v>203.19999999999985</v>
      </c>
      <c r="Z31" s="40">
        <f t="shared" si="10"/>
        <v>190.00000000000003</v>
      </c>
      <c r="AA31" s="39">
        <f t="shared" si="10"/>
        <v>259.69999999999993</v>
      </c>
      <c r="AB31" s="38">
        <f t="shared" si="10"/>
        <v>216.89999999999995</v>
      </c>
      <c r="AC31" s="38">
        <f t="shared" si="10"/>
        <v>234.40000000000026</v>
      </c>
      <c r="AD31" s="40">
        <f t="shared" si="10"/>
        <v>250.5</v>
      </c>
      <c r="AE31" s="39">
        <f t="shared" si="10"/>
        <v>254.59999999999982</v>
      </c>
      <c r="AF31" s="38">
        <f t="shared" si="10"/>
        <v>282.40000000000003</v>
      </c>
      <c r="AG31" s="38">
        <f t="shared" si="10"/>
        <v>273.10000000000019</v>
      </c>
      <c r="AH31" s="38">
        <f t="shared" si="10"/>
        <v>230.7</v>
      </c>
      <c r="AI31" s="39">
        <f t="shared" si="10"/>
        <v>261</v>
      </c>
      <c r="AJ31" s="38">
        <f t="shared" si="10"/>
        <v>344.70000000000005</v>
      </c>
      <c r="AK31" s="38">
        <f t="shared" si="10"/>
        <v>315.70000000000005</v>
      </c>
      <c r="AL31" s="38">
        <f t="shared" si="10"/>
        <v>205.70000000000002</v>
      </c>
      <c r="AM31" s="39">
        <f t="shared" si="10"/>
        <v>259.2</v>
      </c>
      <c r="AN31" s="38">
        <f t="shared" si="10"/>
        <v>406.90000000000009</v>
      </c>
      <c r="AO31" s="38">
        <f t="shared" si="10"/>
        <v>332.00000000000023</v>
      </c>
      <c r="AP31" s="38">
        <f t="shared" si="10"/>
        <v>254.99999999999986</v>
      </c>
      <c r="AQ31" s="39">
        <f t="shared" si="10"/>
        <v>300.29999999999995</v>
      </c>
      <c r="AR31" s="38">
        <f t="shared" si="10"/>
        <v>360.2999999999999</v>
      </c>
      <c r="AS31" s="38">
        <f t="shared" si="10"/>
        <v>375.69999999999959</v>
      </c>
      <c r="AT31" s="38">
        <f t="shared" si="10"/>
        <v>366.80000000000013</v>
      </c>
      <c r="AU31" s="39">
        <f t="shared" si="10"/>
        <v>322.19999999999993</v>
      </c>
      <c r="AV31" s="38">
        <f t="shared" si="10"/>
        <v>371.70000000000027</v>
      </c>
      <c r="AW31" s="38">
        <f t="shared" si="10"/>
        <v>378.29999999999978</v>
      </c>
      <c r="AX31" s="38">
        <f t="shared" si="10"/>
        <v>451.60000000000025</v>
      </c>
      <c r="AY31" s="39">
        <f t="shared" si="10"/>
        <v>324.50000000000023</v>
      </c>
      <c r="AZ31" s="38">
        <f t="shared" si="10"/>
        <v>469.09999999999974</v>
      </c>
      <c r="BA31" s="38">
        <f t="shared" si="10"/>
        <v>414.8</v>
      </c>
      <c r="BB31" s="38">
        <f t="shared" si="10"/>
        <v>450.29999999999978</v>
      </c>
      <c r="BC31" s="39">
        <f t="shared" si="10"/>
        <v>267.29999999999995</v>
      </c>
      <c r="BD31" s="38">
        <f t="shared" si="10"/>
        <v>316.20000000000039</v>
      </c>
      <c r="BE31" s="38">
        <f t="shared" si="10"/>
        <v>440.20000000000027</v>
      </c>
      <c r="BF31" s="38">
        <f t="shared" si="10"/>
        <v>313.9000000000002</v>
      </c>
      <c r="BG31" s="39">
        <f t="shared" si="10"/>
        <v>385.5999999999998</v>
      </c>
      <c r="BH31" s="38">
        <f t="shared" si="10"/>
        <v>615.30000000000041</v>
      </c>
      <c r="BI31" s="38">
        <f t="shared" si="10"/>
        <v>638.40000000000032</v>
      </c>
      <c r="BJ31" s="38">
        <f t="shared" si="10"/>
        <v>668.99999999999989</v>
      </c>
      <c r="BK31" s="39">
        <f t="shared" si="10"/>
        <v>792.80000000000018</v>
      </c>
      <c r="BL31" s="38">
        <f t="shared" si="10"/>
        <v>573.00000000000023</v>
      </c>
      <c r="BM31" s="38">
        <f t="shared" si="10"/>
        <v>-317.30000000000013</v>
      </c>
      <c r="BN31" s="38">
        <f t="shared" si="10"/>
        <v>665.90000000000043</v>
      </c>
      <c r="BO31" s="39">
        <f t="shared" ref="BO31:BP31" si="11">BO29+BO30</f>
        <v>908.6999999999997</v>
      </c>
      <c r="BP31" s="38">
        <f t="shared" si="11"/>
        <v>1099.3999999999996</v>
      </c>
      <c r="BQ31" s="38">
        <f>BQ29+BQ30</f>
        <v>1162.0000000000002</v>
      </c>
      <c r="BR31" s="38">
        <f>BR29+BR30</f>
        <v>1270.7999999999997</v>
      </c>
      <c r="BS31" s="39">
        <f>BS29+BS30</f>
        <v>993.30000000000041</v>
      </c>
      <c r="BT31" s="712"/>
    </row>
    <row r="32" spans="1:72" s="469" customFormat="1">
      <c r="A32" s="483" t="s">
        <v>834</v>
      </c>
      <c r="B32" s="483" t="s">
        <v>835</v>
      </c>
      <c r="C32" s="193">
        <f>C31-C33</f>
        <v>167.40000000000006</v>
      </c>
      <c r="D32" s="194">
        <f t="shared" ref="D32:AS32" si="12">D31-D33</f>
        <v>167.80000000000018</v>
      </c>
      <c r="E32" s="194">
        <f t="shared" si="12"/>
        <v>197.99999999999994</v>
      </c>
      <c r="F32" s="194">
        <f t="shared" si="12"/>
        <v>97.499999999999915</v>
      </c>
      <c r="G32" s="193">
        <f t="shared" si="12"/>
        <v>173.8000000000001</v>
      </c>
      <c r="H32" s="194">
        <f t="shared" si="12"/>
        <v>233.6999999999999</v>
      </c>
      <c r="I32" s="194">
        <f t="shared" si="12"/>
        <v>166.90000000000006</v>
      </c>
      <c r="J32" s="195">
        <f t="shared" si="12"/>
        <v>-128.99999999999997</v>
      </c>
      <c r="K32" s="194">
        <f t="shared" si="12"/>
        <v>80.799999999999869</v>
      </c>
      <c r="L32" s="194">
        <f t="shared" si="12"/>
        <v>182.7</v>
      </c>
      <c r="M32" s="194">
        <f t="shared" si="12"/>
        <v>210.79999999999995</v>
      </c>
      <c r="N32" s="194">
        <f t="shared" si="12"/>
        <v>120.7999999999999</v>
      </c>
      <c r="O32" s="193">
        <f t="shared" si="12"/>
        <v>177.49999999999997</v>
      </c>
      <c r="P32" s="194">
        <f t="shared" si="12"/>
        <v>191.5</v>
      </c>
      <c r="Q32" s="194">
        <f t="shared" si="12"/>
        <v>192.39999999999986</v>
      </c>
      <c r="R32" s="195">
        <f t="shared" si="12"/>
        <v>191.7</v>
      </c>
      <c r="S32" s="193">
        <f t="shared" si="12"/>
        <v>212.49999999999997</v>
      </c>
      <c r="T32" s="194">
        <f t="shared" si="12"/>
        <v>233.89999999999995</v>
      </c>
      <c r="U32" s="194">
        <f t="shared" si="12"/>
        <v>220.09999999999997</v>
      </c>
      <c r="V32" s="195">
        <f t="shared" si="12"/>
        <v>213.60000000000002</v>
      </c>
      <c r="W32" s="193">
        <f t="shared" si="12"/>
        <v>271.50000000000006</v>
      </c>
      <c r="X32" s="194">
        <f t="shared" si="12"/>
        <v>167.59999999999997</v>
      </c>
      <c r="Y32" s="194">
        <f t="shared" si="12"/>
        <v>203.19999999999985</v>
      </c>
      <c r="Z32" s="195">
        <f t="shared" si="12"/>
        <v>190.00000000000003</v>
      </c>
      <c r="AA32" s="193">
        <f t="shared" si="12"/>
        <v>259.69999999999993</v>
      </c>
      <c r="AB32" s="194">
        <f t="shared" si="12"/>
        <v>216.89999999999995</v>
      </c>
      <c r="AC32" s="194">
        <f t="shared" si="12"/>
        <v>234.40000000000026</v>
      </c>
      <c r="AD32" s="195">
        <f t="shared" si="12"/>
        <v>250.5</v>
      </c>
      <c r="AE32" s="193">
        <f t="shared" si="12"/>
        <v>254.59999999999982</v>
      </c>
      <c r="AF32" s="194">
        <f t="shared" si="12"/>
        <v>282.3</v>
      </c>
      <c r="AG32" s="194">
        <f t="shared" si="12"/>
        <v>273.00000000000017</v>
      </c>
      <c r="AH32" s="194">
        <f>AH31-AH33</f>
        <v>230.79999999999998</v>
      </c>
      <c r="AI32" s="193">
        <f t="shared" si="12"/>
        <v>261</v>
      </c>
      <c r="AJ32" s="194">
        <f t="shared" si="12"/>
        <v>344.6</v>
      </c>
      <c r="AK32" s="194">
        <f t="shared" si="12"/>
        <v>315.70000000000005</v>
      </c>
      <c r="AL32" s="194">
        <f t="shared" si="12"/>
        <v>205.70000000000002</v>
      </c>
      <c r="AM32" s="193">
        <f t="shared" si="12"/>
        <v>259.2</v>
      </c>
      <c r="AN32" s="194">
        <f t="shared" si="12"/>
        <v>406.90000000000009</v>
      </c>
      <c r="AO32" s="194">
        <f t="shared" si="12"/>
        <v>332.00000000000023</v>
      </c>
      <c r="AP32" s="194">
        <f t="shared" si="12"/>
        <v>254.89999999999986</v>
      </c>
      <c r="AQ32" s="193">
        <f t="shared" si="12"/>
        <v>300.29999999999995</v>
      </c>
      <c r="AR32" s="194">
        <f t="shared" si="12"/>
        <v>360.2999999999999</v>
      </c>
      <c r="AS32" s="194">
        <f t="shared" si="12"/>
        <v>375.69999999999959</v>
      </c>
      <c r="AT32" s="194">
        <f>AT31-AT33</f>
        <v>366.80000000000013</v>
      </c>
      <c r="AU32" s="193">
        <f>AU31-AU33</f>
        <v>322.19999999999993</v>
      </c>
      <c r="AV32" s="194">
        <f>AV31-AV33</f>
        <v>371.70000000000027</v>
      </c>
      <c r="AW32" s="194">
        <f>AW31-AW33</f>
        <v>378.29999999999978</v>
      </c>
      <c r="AX32" s="194">
        <f>AX31-AX33</f>
        <v>451.60000000000025</v>
      </c>
      <c r="AY32" s="193">
        <f t="shared" ref="AY32:BS32" si="13">AY31-AY33</f>
        <v>324.50000000000023</v>
      </c>
      <c r="AZ32" s="194">
        <f t="shared" si="13"/>
        <v>469.09999999999974</v>
      </c>
      <c r="BA32" s="194">
        <f t="shared" si="13"/>
        <v>414.8</v>
      </c>
      <c r="BB32" s="194">
        <f t="shared" si="13"/>
        <v>450.29999999999978</v>
      </c>
      <c r="BC32" s="193">
        <f t="shared" si="13"/>
        <v>267.29999999999995</v>
      </c>
      <c r="BD32" s="194">
        <f t="shared" si="13"/>
        <v>316.20000000000039</v>
      </c>
      <c r="BE32" s="194">
        <f t="shared" si="13"/>
        <v>440.20000000000027</v>
      </c>
      <c r="BF32" s="194">
        <f t="shared" si="13"/>
        <v>313.9000000000002</v>
      </c>
      <c r="BG32" s="193">
        <f t="shared" si="13"/>
        <v>385.5999999999998</v>
      </c>
      <c r="BH32" s="194">
        <f t="shared" si="13"/>
        <v>615.30000000000041</v>
      </c>
      <c r="BI32" s="194">
        <f t="shared" si="13"/>
        <v>638.40000000000032</v>
      </c>
      <c r="BJ32" s="194">
        <f t="shared" si="13"/>
        <v>668.99999999999989</v>
      </c>
      <c r="BK32" s="193">
        <f t="shared" si="13"/>
        <v>792.80000000000018</v>
      </c>
      <c r="BL32" s="194">
        <f t="shared" si="13"/>
        <v>573.00000000000023</v>
      </c>
      <c r="BM32" s="194">
        <f t="shared" si="13"/>
        <v>-317.30000000000013</v>
      </c>
      <c r="BN32" s="194">
        <f t="shared" si="13"/>
        <v>665.90000000000043</v>
      </c>
      <c r="BO32" s="193">
        <f t="shared" si="13"/>
        <v>908.6999999999997</v>
      </c>
      <c r="BP32" s="194">
        <f t="shared" si="13"/>
        <v>1099.3999999999996</v>
      </c>
      <c r="BQ32" s="194">
        <f t="shared" si="13"/>
        <v>1162.0000000000002</v>
      </c>
      <c r="BR32" s="194">
        <f t="shared" si="13"/>
        <v>1270.7999999999997</v>
      </c>
      <c r="BS32" s="193">
        <f t="shared" si="13"/>
        <v>993.30000000000041</v>
      </c>
    </row>
    <row r="33" spans="1:72">
      <c r="A33" s="165" t="s">
        <v>836</v>
      </c>
      <c r="B33" s="165" t="s">
        <v>837</v>
      </c>
      <c r="C33" s="183">
        <v>3.4</v>
      </c>
      <c r="D33" s="184">
        <v>1.7</v>
      </c>
      <c r="E33" s="184">
        <v>1</v>
      </c>
      <c r="F33" s="184">
        <v>0</v>
      </c>
      <c r="G33" s="183">
        <v>0</v>
      </c>
      <c r="H33" s="184">
        <v>0</v>
      </c>
      <c r="I33" s="184">
        <v>0</v>
      </c>
      <c r="J33" s="185">
        <v>0</v>
      </c>
      <c r="K33" s="183">
        <v>0</v>
      </c>
      <c r="L33" s="184">
        <v>0</v>
      </c>
      <c r="M33" s="184">
        <v>0</v>
      </c>
      <c r="N33" s="185">
        <v>0</v>
      </c>
      <c r="O33" s="183">
        <v>0</v>
      </c>
      <c r="P33" s="184">
        <v>0</v>
      </c>
      <c r="Q33" s="47">
        <v>0</v>
      </c>
      <c r="R33" s="49">
        <v>0</v>
      </c>
      <c r="S33" s="48">
        <v>0</v>
      </c>
      <c r="T33" s="47">
        <v>0</v>
      </c>
      <c r="U33" s="47">
        <v>0</v>
      </c>
      <c r="V33" s="49">
        <v>0</v>
      </c>
      <c r="W33" s="48">
        <v>0</v>
      </c>
      <c r="X33" s="47">
        <v>0</v>
      </c>
      <c r="Y33" s="47">
        <v>0</v>
      </c>
      <c r="Z33" s="49">
        <v>0</v>
      </c>
      <c r="AA33" s="48">
        <v>0</v>
      </c>
      <c r="AB33" s="47">
        <v>0</v>
      </c>
      <c r="AC33" s="47">
        <v>0</v>
      </c>
      <c r="AD33" s="49">
        <v>0</v>
      </c>
      <c r="AE33" s="48">
        <v>0</v>
      </c>
      <c r="AF33" s="47">
        <v>0.1</v>
      </c>
      <c r="AG33" s="47">
        <v>0.1</v>
      </c>
      <c r="AH33" s="49">
        <v>-0.1</v>
      </c>
      <c r="AI33" s="48">
        <v>0</v>
      </c>
      <c r="AJ33" s="47">
        <v>0.1</v>
      </c>
      <c r="AK33" s="47">
        <v>0</v>
      </c>
      <c r="AL33" s="49">
        <v>0</v>
      </c>
      <c r="AM33" s="48">
        <v>0</v>
      </c>
      <c r="AN33" s="47">
        <v>0</v>
      </c>
      <c r="AO33" s="47">
        <v>0</v>
      </c>
      <c r="AP33" s="49">
        <v>0.1</v>
      </c>
      <c r="AQ33" s="48">
        <v>0</v>
      </c>
      <c r="AR33" s="47">
        <v>0</v>
      </c>
      <c r="AS33" s="47">
        <v>0</v>
      </c>
      <c r="AT33" s="49">
        <v>0</v>
      </c>
      <c r="AU33" s="48">
        <v>0</v>
      </c>
      <c r="AV33" s="47">
        <v>0</v>
      </c>
      <c r="AW33" s="47">
        <v>0</v>
      </c>
      <c r="AX33" s="47">
        <v>0</v>
      </c>
      <c r="AY33" s="48">
        <v>0</v>
      </c>
      <c r="AZ33" s="47">
        <v>0</v>
      </c>
      <c r="BA33" s="47">
        <v>0</v>
      </c>
      <c r="BB33" s="47">
        <v>0</v>
      </c>
      <c r="BC33" s="48">
        <v>0</v>
      </c>
      <c r="BD33" s="47">
        <v>0</v>
      </c>
      <c r="BE33" s="47">
        <v>0</v>
      </c>
      <c r="BF33" s="47">
        <v>0</v>
      </c>
      <c r="BG33" s="48">
        <v>0</v>
      </c>
      <c r="BH33" s="47">
        <v>0</v>
      </c>
      <c r="BI33" s="47">
        <v>0</v>
      </c>
      <c r="BJ33" s="47">
        <v>0</v>
      </c>
      <c r="BK33" s="48">
        <v>0</v>
      </c>
      <c r="BL33" s="47">
        <v>0</v>
      </c>
      <c r="BM33" s="47">
        <v>0</v>
      </c>
      <c r="BN33" s="47">
        <v>0</v>
      </c>
      <c r="BO33" s="48">
        <v>0</v>
      </c>
      <c r="BP33" s="47">
        <v>0</v>
      </c>
      <c r="BQ33" s="47">
        <v>0</v>
      </c>
      <c r="BR33" s="47">
        <v>0</v>
      </c>
      <c r="BS33" s="48">
        <v>0</v>
      </c>
      <c r="BT33" s="713"/>
    </row>
    <row r="34" spans="1:72">
      <c r="C34" s="439"/>
      <c r="D34" s="439"/>
      <c r="E34" s="439"/>
      <c r="F34" s="439"/>
      <c r="G34" s="439"/>
      <c r="H34" s="439"/>
      <c r="I34" s="439"/>
      <c r="J34" s="439"/>
      <c r="K34" s="439"/>
      <c r="L34" s="439"/>
      <c r="M34" s="439"/>
      <c r="N34" s="439"/>
      <c r="O34" s="439"/>
      <c r="P34" s="439"/>
      <c r="Q34" s="724"/>
      <c r="R34" s="724"/>
      <c r="S34" s="724"/>
      <c r="T34" s="724"/>
      <c r="U34" s="724"/>
      <c r="V34" s="724"/>
      <c r="W34" s="724"/>
      <c r="X34" s="724"/>
      <c r="Y34" s="724"/>
      <c r="Z34" s="724"/>
      <c r="AA34" s="724"/>
      <c r="AB34" s="724"/>
      <c r="AC34" s="724"/>
      <c r="AD34" s="724"/>
      <c r="AE34" s="724"/>
      <c r="AF34" s="724"/>
      <c r="AG34" s="724"/>
      <c r="AH34" s="724"/>
      <c r="AI34" s="724"/>
      <c r="AJ34" s="724"/>
      <c r="AK34" s="724"/>
      <c r="AL34" s="724"/>
      <c r="AM34" s="724"/>
      <c r="AN34" s="724"/>
      <c r="AO34" s="724"/>
      <c r="AP34" s="724"/>
      <c r="AQ34" s="724"/>
      <c r="AR34" s="724"/>
      <c r="AS34" s="724"/>
      <c r="AT34" s="724"/>
      <c r="AU34" s="724"/>
      <c r="AV34" s="724"/>
      <c r="AW34" s="724"/>
      <c r="AX34" s="724"/>
      <c r="AY34" s="724"/>
      <c r="AZ34" s="724"/>
      <c r="BA34" s="724"/>
      <c r="BB34" s="724"/>
      <c r="BC34" s="724"/>
      <c r="BD34" s="724"/>
      <c r="BE34" s="724"/>
      <c r="BF34" s="724"/>
      <c r="BG34" s="724"/>
      <c r="BH34" s="724"/>
      <c r="BI34" s="724"/>
      <c r="BJ34" s="724"/>
      <c r="BK34" s="724"/>
      <c r="BL34" s="724"/>
      <c r="BM34" s="724"/>
      <c r="BN34" s="724"/>
      <c r="BO34" s="724"/>
      <c r="BP34" s="724"/>
      <c r="BQ34" s="724"/>
      <c r="BR34" s="724"/>
      <c r="BS34" s="725"/>
      <c r="BT34" s="713"/>
    </row>
    <row r="35" spans="1:72" s="469" customFormat="1">
      <c r="A35" s="155" t="s">
        <v>838</v>
      </c>
      <c r="B35" s="155" t="s">
        <v>839</v>
      </c>
      <c r="C35" s="180"/>
      <c r="D35" s="181"/>
      <c r="E35" s="181"/>
      <c r="F35" s="181"/>
      <c r="G35" s="180"/>
      <c r="H35" s="181"/>
      <c r="I35" s="181"/>
      <c r="J35" s="182"/>
      <c r="K35" s="180"/>
      <c r="L35" s="181"/>
      <c r="M35" s="181"/>
      <c r="N35" s="182"/>
      <c r="O35" s="180"/>
      <c r="P35" s="181"/>
      <c r="Q35" s="38"/>
      <c r="R35" s="40"/>
      <c r="S35" s="39"/>
      <c r="T35" s="38"/>
      <c r="U35" s="38"/>
      <c r="V35" s="40"/>
      <c r="W35" s="39"/>
      <c r="X35" s="38"/>
      <c r="Y35" s="38"/>
      <c r="Z35" s="40"/>
      <c r="AA35" s="39"/>
      <c r="AB35" s="38"/>
      <c r="AC35" s="38"/>
      <c r="AD35" s="40"/>
      <c r="AE35" s="39"/>
      <c r="AF35" s="38"/>
      <c r="AG35" s="38"/>
      <c r="AH35" s="38"/>
      <c r="AI35" s="39"/>
      <c r="AJ35" s="38"/>
      <c r="AK35" s="38"/>
      <c r="AL35" s="38"/>
      <c r="AM35" s="39"/>
      <c r="AN35" s="38"/>
      <c r="AO35" s="38"/>
      <c r="AP35" s="38"/>
      <c r="AQ35" s="39"/>
      <c r="AR35" s="38"/>
      <c r="AS35" s="38"/>
      <c r="AT35" s="38"/>
      <c r="AU35" s="39">
        <f t="shared" ref="AU35:BS35" si="14">AU32</f>
        <v>322.19999999999993</v>
      </c>
      <c r="AV35" s="38">
        <f t="shared" si="14"/>
        <v>371.70000000000027</v>
      </c>
      <c r="AW35" s="38">
        <f t="shared" si="14"/>
        <v>378.29999999999978</v>
      </c>
      <c r="AX35" s="38">
        <f t="shared" si="14"/>
        <v>451.60000000000025</v>
      </c>
      <c r="AY35" s="39">
        <f t="shared" si="14"/>
        <v>324.50000000000023</v>
      </c>
      <c r="AZ35" s="38">
        <f t="shared" si="14"/>
        <v>469.09999999999974</v>
      </c>
      <c r="BA35" s="38">
        <f t="shared" si="14"/>
        <v>414.8</v>
      </c>
      <c r="BB35" s="38">
        <f t="shared" si="14"/>
        <v>450.29999999999978</v>
      </c>
      <c r="BC35" s="39">
        <f t="shared" si="14"/>
        <v>267.29999999999995</v>
      </c>
      <c r="BD35" s="38">
        <f t="shared" si="14"/>
        <v>316.20000000000039</v>
      </c>
      <c r="BE35" s="38">
        <f t="shared" si="14"/>
        <v>440.20000000000027</v>
      </c>
      <c r="BF35" s="38">
        <f t="shared" si="14"/>
        <v>313.9000000000002</v>
      </c>
      <c r="BG35" s="39">
        <f t="shared" si="14"/>
        <v>385.5999999999998</v>
      </c>
      <c r="BH35" s="38">
        <f t="shared" si="14"/>
        <v>615.30000000000041</v>
      </c>
      <c r="BI35" s="38">
        <f t="shared" si="14"/>
        <v>638.40000000000032</v>
      </c>
      <c r="BJ35" s="38">
        <f t="shared" si="14"/>
        <v>668.99999999999989</v>
      </c>
      <c r="BK35" s="39">
        <f t="shared" si="14"/>
        <v>792.80000000000018</v>
      </c>
      <c r="BL35" s="38">
        <f t="shared" si="14"/>
        <v>573.00000000000023</v>
      </c>
      <c r="BM35" s="38">
        <f t="shared" si="14"/>
        <v>-317.30000000000013</v>
      </c>
      <c r="BN35" s="38">
        <f t="shared" si="14"/>
        <v>665.90000000000043</v>
      </c>
      <c r="BO35" s="39">
        <f t="shared" si="14"/>
        <v>908.6999999999997</v>
      </c>
      <c r="BP35" s="38">
        <f t="shared" si="14"/>
        <v>1099.3999999999996</v>
      </c>
      <c r="BQ35" s="38">
        <f t="shared" si="14"/>
        <v>1162.0000000000002</v>
      </c>
      <c r="BR35" s="38">
        <f t="shared" si="14"/>
        <v>1270.7999999999997</v>
      </c>
      <c r="BS35" s="39">
        <f t="shared" si="14"/>
        <v>993.30000000000041</v>
      </c>
      <c r="BT35" s="712"/>
    </row>
    <row r="36" spans="1:72" s="469" customFormat="1">
      <c r="A36" s="155" t="s">
        <v>840</v>
      </c>
      <c r="B36" s="155" t="s">
        <v>841</v>
      </c>
      <c r="C36" s="180"/>
      <c r="D36" s="181"/>
      <c r="E36" s="181"/>
      <c r="F36" s="181"/>
      <c r="G36" s="180"/>
      <c r="H36" s="181"/>
      <c r="I36" s="181"/>
      <c r="J36" s="182"/>
      <c r="K36" s="180"/>
      <c r="L36" s="181"/>
      <c r="M36" s="181"/>
      <c r="N36" s="182"/>
      <c r="O36" s="180"/>
      <c r="P36" s="181"/>
      <c r="Q36" s="38"/>
      <c r="R36" s="40"/>
      <c r="S36" s="39"/>
      <c r="T36" s="38"/>
      <c r="U36" s="38"/>
      <c r="V36" s="40"/>
      <c r="W36" s="39"/>
      <c r="X36" s="38"/>
      <c r="Y36" s="38"/>
      <c r="Z36" s="40"/>
      <c r="AA36" s="39"/>
      <c r="AB36" s="38"/>
      <c r="AC36" s="38"/>
      <c r="AD36" s="40"/>
      <c r="AE36" s="39"/>
      <c r="AF36" s="38"/>
      <c r="AG36" s="38"/>
      <c r="AH36" s="38"/>
      <c r="AI36" s="39"/>
      <c r="AJ36" s="38"/>
      <c r="AK36" s="38"/>
      <c r="AL36" s="38"/>
      <c r="AM36" s="39"/>
      <c r="AN36" s="38"/>
      <c r="AO36" s="38"/>
      <c r="AP36" s="38"/>
      <c r="AQ36" s="39"/>
      <c r="AR36" s="38"/>
      <c r="AS36" s="38"/>
      <c r="AT36" s="38"/>
      <c r="AU36" s="39">
        <f t="shared" ref="AU36:BP36" si="15">AU37+AU42</f>
        <v>189.7</v>
      </c>
      <c r="AV36" s="38">
        <f t="shared" si="15"/>
        <v>-126</v>
      </c>
      <c r="AW36" s="38">
        <f t="shared" si="15"/>
        <v>-106.39999999999999</v>
      </c>
      <c r="AX36" s="38">
        <f t="shared" si="15"/>
        <v>722.1</v>
      </c>
      <c r="AY36" s="39">
        <f t="shared" si="15"/>
        <v>222.5</v>
      </c>
      <c r="AZ36" s="38">
        <f t="shared" si="15"/>
        <v>337.3</v>
      </c>
      <c r="BA36" s="38">
        <f t="shared" si="15"/>
        <v>628.09999999999991</v>
      </c>
      <c r="BB36" s="38">
        <f t="shared" si="15"/>
        <v>-489.70000000000005</v>
      </c>
      <c r="BC36" s="39">
        <f t="shared" si="15"/>
        <v>1850.4</v>
      </c>
      <c r="BD36" s="38">
        <f t="shared" si="15"/>
        <v>578.29999999999973</v>
      </c>
      <c r="BE36" s="38">
        <f t="shared" si="15"/>
        <v>-79.900000000000105</v>
      </c>
      <c r="BF36" s="38">
        <f t="shared" si="15"/>
        <v>-291.39999999999986</v>
      </c>
      <c r="BG36" s="39">
        <f t="shared" si="15"/>
        <v>-1443.6</v>
      </c>
      <c r="BH36" s="38">
        <f t="shared" si="15"/>
        <v>-318.39999999999998</v>
      </c>
      <c r="BI36" s="38">
        <f t="shared" si="15"/>
        <v>-1055.2</v>
      </c>
      <c r="BJ36" s="38">
        <f t="shared" si="15"/>
        <v>-3914.9999999999995</v>
      </c>
      <c r="BK36" s="39">
        <f t="shared" si="15"/>
        <v>-3168.5</v>
      </c>
      <c r="BL36" s="38">
        <f t="shared" si="15"/>
        <v>-3322.3999999999996</v>
      </c>
      <c r="BM36" s="38">
        <f t="shared" si="15"/>
        <v>19.999999999999979</v>
      </c>
      <c r="BN36" s="38">
        <f t="shared" si="15"/>
        <v>1252.5999999999995</v>
      </c>
      <c r="BO36" s="39">
        <f t="shared" si="15"/>
        <v>984.2</v>
      </c>
      <c r="BP36" s="38">
        <f t="shared" si="15"/>
        <v>624.00000000000011</v>
      </c>
      <c r="BQ36" s="38">
        <f>BQ37+BQ42</f>
        <v>1055.0999999999999</v>
      </c>
      <c r="BR36" s="38">
        <f>BR37+BR42</f>
        <v>281.29999999999995</v>
      </c>
      <c r="BS36" s="39">
        <f>BS37+BS42</f>
        <v>-284.59999999999991</v>
      </c>
      <c r="BT36" s="712"/>
    </row>
    <row r="37" spans="1:72" s="469" customFormat="1">
      <c r="A37" s="155" t="s">
        <v>842</v>
      </c>
      <c r="B37" s="155" t="s">
        <v>843</v>
      </c>
      <c r="C37" s="180"/>
      <c r="D37" s="181"/>
      <c r="E37" s="181"/>
      <c r="F37" s="181"/>
      <c r="G37" s="180"/>
      <c r="H37" s="181"/>
      <c r="I37" s="181"/>
      <c r="J37" s="182"/>
      <c r="K37" s="180"/>
      <c r="L37" s="181"/>
      <c r="M37" s="181"/>
      <c r="N37" s="182"/>
      <c r="O37" s="180"/>
      <c r="P37" s="181"/>
      <c r="Q37" s="38"/>
      <c r="R37" s="40"/>
      <c r="S37" s="39"/>
      <c r="T37" s="38"/>
      <c r="U37" s="38"/>
      <c r="V37" s="40"/>
      <c r="W37" s="39"/>
      <c r="X37" s="38"/>
      <c r="Y37" s="38"/>
      <c r="Z37" s="40"/>
      <c r="AA37" s="39"/>
      <c r="AB37" s="38"/>
      <c r="AC37" s="38"/>
      <c r="AD37" s="40"/>
      <c r="AE37" s="39"/>
      <c r="AF37" s="38"/>
      <c r="AG37" s="38"/>
      <c r="AH37" s="38"/>
      <c r="AI37" s="39"/>
      <c r="AJ37" s="38"/>
      <c r="AK37" s="38"/>
      <c r="AL37" s="38"/>
      <c r="AM37" s="39"/>
      <c r="AN37" s="38"/>
      <c r="AO37" s="38"/>
      <c r="AP37" s="38"/>
      <c r="AQ37" s="39"/>
      <c r="AR37" s="38"/>
      <c r="AS37" s="38"/>
      <c r="AT37" s="38"/>
      <c r="AU37" s="39">
        <f t="shared" ref="AU37:BP37" si="16">+AU38+AU39+AU40+AU41</f>
        <v>189.7</v>
      </c>
      <c r="AV37" s="38">
        <f t="shared" si="16"/>
        <v>-126.8</v>
      </c>
      <c r="AW37" s="38">
        <f t="shared" si="16"/>
        <v>-106.3</v>
      </c>
      <c r="AX37" s="38">
        <f t="shared" si="16"/>
        <v>717.4</v>
      </c>
      <c r="AY37" s="39">
        <f t="shared" si="16"/>
        <v>198.6</v>
      </c>
      <c r="AZ37" s="38">
        <f t="shared" si="16"/>
        <v>325.90000000000003</v>
      </c>
      <c r="BA37" s="38">
        <f t="shared" si="16"/>
        <v>628.09999999999991</v>
      </c>
      <c r="BB37" s="38">
        <f t="shared" si="16"/>
        <v>-466.70000000000005</v>
      </c>
      <c r="BC37" s="39">
        <f t="shared" si="16"/>
        <v>1850.3000000000002</v>
      </c>
      <c r="BD37" s="38">
        <f t="shared" si="16"/>
        <v>572.39999999999975</v>
      </c>
      <c r="BE37" s="38">
        <f t="shared" si="16"/>
        <v>-79.900000000000105</v>
      </c>
      <c r="BF37" s="38">
        <f t="shared" si="16"/>
        <v>-312.89999999999986</v>
      </c>
      <c r="BG37" s="39">
        <f t="shared" si="16"/>
        <v>-1443.3</v>
      </c>
      <c r="BH37" s="38">
        <f t="shared" si="16"/>
        <v>-336.4</v>
      </c>
      <c r="BI37" s="38">
        <f t="shared" si="16"/>
        <v>-1054.8</v>
      </c>
      <c r="BJ37" s="38">
        <f t="shared" si="16"/>
        <v>-3913.7999999999997</v>
      </c>
      <c r="BK37" s="39">
        <f t="shared" si="16"/>
        <v>-3168.5</v>
      </c>
      <c r="BL37" s="38">
        <f t="shared" si="16"/>
        <v>-3290.4999999999995</v>
      </c>
      <c r="BM37" s="38">
        <f t="shared" si="16"/>
        <v>19.899999999999977</v>
      </c>
      <c r="BN37" s="38">
        <f t="shared" si="16"/>
        <v>1254.4999999999995</v>
      </c>
      <c r="BO37" s="39">
        <f t="shared" si="16"/>
        <v>984.2</v>
      </c>
      <c r="BP37" s="38">
        <f t="shared" si="16"/>
        <v>619.30000000000007</v>
      </c>
      <c r="BQ37" s="38">
        <f>+BQ38+BQ39+BQ40+BQ41</f>
        <v>1055.0999999999999</v>
      </c>
      <c r="BR37" s="38">
        <f>+BR38+BR39+BR40+BR41</f>
        <v>202.59999999999997</v>
      </c>
      <c r="BS37" s="39">
        <f>+BS38+BS39+BS40+BS41</f>
        <v>-284.69999999999993</v>
      </c>
      <c r="BT37" s="712"/>
    </row>
    <row r="38" spans="1:72" s="466" customFormat="1" ht="21.6">
      <c r="A38" s="163" t="s">
        <v>844</v>
      </c>
      <c r="B38" s="163" t="s">
        <v>845</v>
      </c>
      <c r="C38" s="183"/>
      <c r="D38" s="184"/>
      <c r="E38" s="184"/>
      <c r="F38" s="184"/>
      <c r="G38" s="183"/>
      <c r="H38" s="184"/>
      <c r="I38" s="184"/>
      <c r="J38" s="185"/>
      <c r="K38" s="183"/>
      <c r="L38" s="184"/>
      <c r="M38" s="184"/>
      <c r="N38" s="185"/>
      <c r="O38" s="183"/>
      <c r="P38" s="184"/>
      <c r="Q38" s="47"/>
      <c r="R38" s="49"/>
      <c r="S38" s="48"/>
      <c r="T38" s="47"/>
      <c r="U38" s="47"/>
      <c r="V38" s="49"/>
      <c r="W38" s="48"/>
      <c r="X38" s="47"/>
      <c r="Y38" s="47"/>
      <c r="Z38" s="49"/>
      <c r="AA38" s="48"/>
      <c r="AB38" s="47"/>
      <c r="AC38" s="47"/>
      <c r="AD38" s="49"/>
      <c r="AE38" s="48"/>
      <c r="AF38" s="47"/>
      <c r="AG38" s="47"/>
      <c r="AH38" s="49"/>
      <c r="AI38" s="48"/>
      <c r="AJ38" s="47"/>
      <c r="AK38" s="47"/>
      <c r="AL38" s="49"/>
      <c r="AM38" s="48"/>
      <c r="AN38" s="47"/>
      <c r="AO38" s="47"/>
      <c r="AP38" s="49"/>
      <c r="AQ38" s="48"/>
      <c r="AR38" s="47"/>
      <c r="AS38" s="47"/>
      <c r="AT38" s="49"/>
      <c r="AU38" s="48">
        <v>57.6</v>
      </c>
      <c r="AV38" s="47">
        <v>-41.900000000000006</v>
      </c>
      <c r="AW38" s="47">
        <v>-0.19999999999999929</v>
      </c>
      <c r="AX38" s="47">
        <v>-3.4000000000000004</v>
      </c>
      <c r="AY38" s="48">
        <v>-96.1</v>
      </c>
      <c r="AZ38" s="47">
        <v>101.39999999999999</v>
      </c>
      <c r="BA38" s="47">
        <v>-6.8</v>
      </c>
      <c r="BB38" s="47">
        <v>18.8</v>
      </c>
      <c r="BC38" s="48">
        <v>-232.8</v>
      </c>
      <c r="BD38" s="47">
        <v>154.20000000000002</v>
      </c>
      <c r="BE38" s="47">
        <v>55.199999999999996</v>
      </c>
      <c r="BF38" s="47">
        <v>126.19999999999999</v>
      </c>
      <c r="BG38" s="48">
        <v>123.4</v>
      </c>
      <c r="BH38" s="47">
        <v>-145.1</v>
      </c>
      <c r="BI38" s="47">
        <v>55</v>
      </c>
      <c r="BJ38" s="47">
        <v>-281.39999999999998</v>
      </c>
      <c r="BK38" s="48">
        <v>-259</v>
      </c>
      <c r="BL38" s="47">
        <v>-167.1</v>
      </c>
      <c r="BM38" s="47">
        <v>-37.1</v>
      </c>
      <c r="BN38" s="47">
        <v>51.899999999999984</v>
      </c>
      <c r="BO38" s="48">
        <v>144.80000000000001</v>
      </c>
      <c r="BP38" s="47">
        <v>-2.2999999999999998</v>
      </c>
      <c r="BQ38" s="47">
        <v>-48.7</v>
      </c>
      <c r="BR38" s="47">
        <v>179.2</v>
      </c>
      <c r="BS38" s="48">
        <v>149.4</v>
      </c>
      <c r="BT38" s="710"/>
    </row>
    <row r="39" spans="1:72" s="466" customFormat="1" ht="21.6">
      <c r="A39" s="163" t="s">
        <v>846</v>
      </c>
      <c r="B39" s="163" t="s">
        <v>847</v>
      </c>
      <c r="C39" s="183"/>
      <c r="D39" s="184"/>
      <c r="E39" s="184"/>
      <c r="F39" s="184"/>
      <c r="G39" s="183"/>
      <c r="H39" s="184"/>
      <c r="I39" s="184"/>
      <c r="J39" s="185"/>
      <c r="K39" s="183"/>
      <c r="L39" s="184"/>
      <c r="M39" s="184"/>
      <c r="N39" s="185"/>
      <c r="O39" s="183"/>
      <c r="P39" s="184"/>
      <c r="Q39" s="47"/>
      <c r="R39" s="49"/>
      <c r="S39" s="48"/>
      <c r="T39" s="47"/>
      <c r="U39" s="47"/>
      <c r="V39" s="49"/>
      <c r="W39" s="48"/>
      <c r="X39" s="47"/>
      <c r="Y39" s="47"/>
      <c r="Z39" s="49"/>
      <c r="AA39" s="48"/>
      <c r="AB39" s="47"/>
      <c r="AC39" s="47"/>
      <c r="AD39" s="49"/>
      <c r="AE39" s="48"/>
      <c r="AF39" s="47"/>
      <c r="AG39" s="47"/>
      <c r="AH39" s="49"/>
      <c r="AI39" s="48"/>
      <c r="AJ39" s="47"/>
      <c r="AK39" s="47"/>
      <c r="AL39" s="49"/>
      <c r="AM39" s="48"/>
      <c r="AN39" s="47"/>
      <c r="AO39" s="47"/>
      <c r="AP39" s="49"/>
      <c r="AQ39" s="48"/>
      <c r="AR39" s="47"/>
      <c r="AS39" s="47"/>
      <c r="AT39" s="49"/>
      <c r="AU39" s="48">
        <v>-19.100000000000001</v>
      </c>
      <c r="AV39" s="47">
        <v>-9.5999999999999979</v>
      </c>
      <c r="AW39" s="47">
        <v>0</v>
      </c>
      <c r="AX39" s="47">
        <v>-3.1000000000000014</v>
      </c>
      <c r="AY39" s="48">
        <v>2.4</v>
      </c>
      <c r="AZ39" s="47">
        <v>-22.799999999999997</v>
      </c>
      <c r="BA39" s="47">
        <v>-2.9000000000000021</v>
      </c>
      <c r="BB39" s="47">
        <v>-0.39999999999999858</v>
      </c>
      <c r="BC39" s="48">
        <v>-1.5</v>
      </c>
      <c r="BD39" s="47">
        <v>-8.3000000000000007</v>
      </c>
      <c r="BE39" s="47">
        <v>-4.3999999999999986</v>
      </c>
      <c r="BF39" s="47">
        <v>-4.1000000000000014</v>
      </c>
      <c r="BG39" s="48">
        <v>0</v>
      </c>
      <c r="BH39" s="47">
        <v>-0.8</v>
      </c>
      <c r="BI39" s="47">
        <v>-3.2</v>
      </c>
      <c r="BJ39" s="47">
        <v>-21.7</v>
      </c>
      <c r="BK39" s="48">
        <v>-1.7</v>
      </c>
      <c r="BL39" s="47">
        <v>-14.6</v>
      </c>
      <c r="BM39" s="47">
        <v>0.3</v>
      </c>
      <c r="BN39" s="47">
        <v>9.999999999999859E-2</v>
      </c>
      <c r="BO39" s="48">
        <v>-1</v>
      </c>
      <c r="BP39" s="47">
        <v>-1</v>
      </c>
      <c r="BQ39" s="47">
        <v>-2.9</v>
      </c>
      <c r="BR39" s="47">
        <v>10</v>
      </c>
      <c r="BS39" s="48">
        <v>-1.8</v>
      </c>
      <c r="BT39" s="710"/>
    </row>
    <row r="40" spans="1:72" s="466" customFormat="1" ht="21.6">
      <c r="A40" s="163" t="s">
        <v>848</v>
      </c>
      <c r="B40" s="163" t="s">
        <v>849</v>
      </c>
      <c r="C40" s="183"/>
      <c r="D40" s="184"/>
      <c r="E40" s="184"/>
      <c r="F40" s="184"/>
      <c r="G40" s="183"/>
      <c r="H40" s="184"/>
      <c r="I40" s="184"/>
      <c r="J40" s="185"/>
      <c r="K40" s="183"/>
      <c r="L40" s="184"/>
      <c r="M40" s="184"/>
      <c r="N40" s="185"/>
      <c r="O40" s="183"/>
      <c r="P40" s="184"/>
      <c r="Q40" s="47"/>
      <c r="R40" s="49"/>
      <c r="S40" s="48"/>
      <c r="T40" s="47"/>
      <c r="U40" s="47"/>
      <c r="V40" s="49"/>
      <c r="W40" s="48"/>
      <c r="X40" s="47"/>
      <c r="Y40" s="47"/>
      <c r="Z40" s="49"/>
      <c r="AA40" s="48"/>
      <c r="AB40" s="47"/>
      <c r="AC40" s="47"/>
      <c r="AD40" s="49"/>
      <c r="AE40" s="48"/>
      <c r="AF40" s="47"/>
      <c r="AG40" s="47"/>
      <c r="AH40" s="49"/>
      <c r="AI40" s="48"/>
      <c r="AJ40" s="47"/>
      <c r="AK40" s="47"/>
      <c r="AL40" s="49"/>
      <c r="AM40" s="48"/>
      <c r="AN40" s="47"/>
      <c r="AO40" s="47"/>
      <c r="AP40" s="49"/>
      <c r="AQ40" s="48"/>
      <c r="AR40" s="47"/>
      <c r="AS40" s="47"/>
      <c r="AT40" s="49"/>
      <c r="AU40" s="48">
        <v>246.4</v>
      </c>
      <c r="AV40" s="47">
        <v>-13</v>
      </c>
      <c r="AW40" s="47">
        <v>-18</v>
      </c>
      <c r="AX40" s="47">
        <v>817.69999999999993</v>
      </c>
      <c r="AY40" s="48">
        <v>389.2</v>
      </c>
      <c r="AZ40" s="47">
        <v>348.00000000000006</v>
      </c>
      <c r="BA40" s="47">
        <v>737.09999999999991</v>
      </c>
      <c r="BB40" s="47">
        <v>-391</v>
      </c>
      <c r="BC40" s="48">
        <v>2174.4</v>
      </c>
      <c r="BD40" s="47">
        <v>547.69999999999982</v>
      </c>
      <c r="BE40" s="47">
        <v>52.599999999999909</v>
      </c>
      <c r="BF40" s="47">
        <v>-212.19999999999982</v>
      </c>
      <c r="BG40" s="48">
        <v>-1348.4</v>
      </c>
      <c r="BH40" s="47">
        <v>27</v>
      </c>
      <c r="BI40" s="47">
        <v>-868.59999999999991</v>
      </c>
      <c r="BJ40" s="47">
        <v>-3376.7</v>
      </c>
      <c r="BK40" s="48">
        <v>-2807.4</v>
      </c>
      <c r="BL40" s="47">
        <v>-3334.2</v>
      </c>
      <c r="BM40" s="47">
        <v>-478.1</v>
      </c>
      <c r="BN40" s="47">
        <v>555.09999999999957</v>
      </c>
      <c r="BO40" s="48">
        <v>244.5</v>
      </c>
      <c r="BP40" s="47">
        <v>69.900000000000006</v>
      </c>
      <c r="BQ40" s="47">
        <v>546.6</v>
      </c>
      <c r="BR40" s="47">
        <v>-436</v>
      </c>
      <c r="BS40" s="48">
        <v>-831.3</v>
      </c>
      <c r="BT40" s="710"/>
    </row>
    <row r="41" spans="1:72" s="466" customFormat="1">
      <c r="A41" s="163" t="s">
        <v>850</v>
      </c>
      <c r="B41" s="484" t="s">
        <v>851</v>
      </c>
      <c r="C41" s="183"/>
      <c r="D41" s="184"/>
      <c r="E41" s="184"/>
      <c r="F41" s="184"/>
      <c r="G41" s="183"/>
      <c r="H41" s="184"/>
      <c r="I41" s="184"/>
      <c r="J41" s="185"/>
      <c r="K41" s="183"/>
      <c r="L41" s="184"/>
      <c r="M41" s="184"/>
      <c r="N41" s="185"/>
      <c r="O41" s="183"/>
      <c r="P41" s="184"/>
      <c r="Q41" s="47"/>
      <c r="R41" s="49"/>
      <c r="S41" s="48"/>
      <c r="T41" s="47"/>
      <c r="U41" s="47"/>
      <c r="V41" s="49"/>
      <c r="W41" s="48"/>
      <c r="X41" s="47"/>
      <c r="Y41" s="47"/>
      <c r="Z41" s="49"/>
      <c r="AA41" s="48"/>
      <c r="AB41" s="47"/>
      <c r="AC41" s="47"/>
      <c r="AD41" s="49"/>
      <c r="AE41" s="48"/>
      <c r="AF41" s="47"/>
      <c r="AG41" s="47"/>
      <c r="AH41" s="49"/>
      <c r="AI41" s="48"/>
      <c r="AJ41" s="47"/>
      <c r="AK41" s="47"/>
      <c r="AL41" s="49"/>
      <c r="AM41" s="48"/>
      <c r="AN41" s="47"/>
      <c r="AO41" s="47"/>
      <c r="AP41" s="49"/>
      <c r="AQ41" s="48"/>
      <c r="AR41" s="47"/>
      <c r="AS41" s="47"/>
      <c r="AT41" s="49"/>
      <c r="AU41" s="48">
        <v>-95.2</v>
      </c>
      <c r="AV41" s="47">
        <v>-62.3</v>
      </c>
      <c r="AW41" s="47">
        <v>-88.1</v>
      </c>
      <c r="AX41" s="47">
        <v>-93.799999999999983</v>
      </c>
      <c r="AY41" s="48">
        <v>-96.9</v>
      </c>
      <c r="AZ41" s="47">
        <v>-100.69999999999999</v>
      </c>
      <c r="BA41" s="47">
        <v>-99.299999999999983</v>
      </c>
      <c r="BB41" s="47">
        <v>-94.100000000000023</v>
      </c>
      <c r="BC41" s="48">
        <v>-89.8</v>
      </c>
      <c r="BD41" s="47">
        <v>-121.2</v>
      </c>
      <c r="BE41" s="47">
        <v>-183.3</v>
      </c>
      <c r="BF41" s="47">
        <v>-222.8</v>
      </c>
      <c r="BG41" s="48">
        <v>-218.3</v>
      </c>
      <c r="BH41" s="47">
        <v>-217.5</v>
      </c>
      <c r="BI41" s="47">
        <v>-237.99999999999994</v>
      </c>
      <c r="BJ41" s="47">
        <v>-234</v>
      </c>
      <c r="BK41" s="48">
        <v>-100.4</v>
      </c>
      <c r="BL41" s="47">
        <v>225.4</v>
      </c>
      <c r="BM41" s="47">
        <v>534.79999999999995</v>
      </c>
      <c r="BN41" s="47">
        <v>647.40000000000009</v>
      </c>
      <c r="BO41" s="48">
        <v>595.9</v>
      </c>
      <c r="BP41" s="47">
        <v>552.70000000000005</v>
      </c>
      <c r="BQ41" s="47">
        <v>560.1</v>
      </c>
      <c r="BR41" s="47">
        <v>449.4</v>
      </c>
      <c r="BS41" s="48">
        <v>399</v>
      </c>
      <c r="BT41" s="710"/>
    </row>
    <row r="42" spans="1:72" s="469" customFormat="1">
      <c r="A42" s="155" t="s">
        <v>852</v>
      </c>
      <c r="B42" s="155" t="s">
        <v>853</v>
      </c>
      <c r="C42" s="180"/>
      <c r="D42" s="181"/>
      <c r="E42" s="181"/>
      <c r="F42" s="181"/>
      <c r="G42" s="180"/>
      <c r="H42" s="181"/>
      <c r="I42" s="181"/>
      <c r="J42" s="182"/>
      <c r="K42" s="180"/>
      <c r="L42" s="181"/>
      <c r="M42" s="181"/>
      <c r="N42" s="182"/>
      <c r="O42" s="180"/>
      <c r="P42" s="181"/>
      <c r="Q42" s="38"/>
      <c r="R42" s="40"/>
      <c r="S42" s="39"/>
      <c r="T42" s="38"/>
      <c r="U42" s="38"/>
      <c r="V42" s="40"/>
      <c r="W42" s="39"/>
      <c r="X42" s="38"/>
      <c r="Y42" s="38"/>
      <c r="Z42" s="40"/>
      <c r="AA42" s="39"/>
      <c r="AB42" s="38"/>
      <c r="AC42" s="38"/>
      <c r="AD42" s="40"/>
      <c r="AE42" s="39"/>
      <c r="AF42" s="38"/>
      <c r="AG42" s="38"/>
      <c r="AH42" s="38"/>
      <c r="AI42" s="39"/>
      <c r="AJ42" s="38"/>
      <c r="AK42" s="38"/>
      <c r="AL42" s="38"/>
      <c r="AM42" s="39"/>
      <c r="AN42" s="38"/>
      <c r="AO42" s="38"/>
      <c r="AP42" s="38"/>
      <c r="AQ42" s="39"/>
      <c r="AR42" s="38"/>
      <c r="AS42" s="38"/>
      <c r="AT42" s="38"/>
      <c r="AU42" s="39">
        <f t="shared" ref="AU42:BP42" si="17">+AU43+AU44+AU46+AU45</f>
        <v>0</v>
      </c>
      <c r="AV42" s="38">
        <f t="shared" si="17"/>
        <v>0.8</v>
      </c>
      <c r="AW42" s="38">
        <f t="shared" si="17"/>
        <v>-0.10000000000000009</v>
      </c>
      <c r="AX42" s="38">
        <f t="shared" si="17"/>
        <v>4.6999999999999993</v>
      </c>
      <c r="AY42" s="39">
        <f t="shared" si="17"/>
        <v>23.9</v>
      </c>
      <c r="AZ42" s="38">
        <f t="shared" si="17"/>
        <v>11.399999999999999</v>
      </c>
      <c r="BA42" s="38">
        <f t="shared" si="17"/>
        <v>0</v>
      </c>
      <c r="BB42" s="38">
        <f t="shared" si="17"/>
        <v>-22.999999999999996</v>
      </c>
      <c r="BC42" s="39">
        <f t="shared" si="17"/>
        <v>0.1</v>
      </c>
      <c r="BD42" s="38">
        <f t="shared" si="17"/>
        <v>5.9</v>
      </c>
      <c r="BE42" s="38">
        <f t="shared" si="17"/>
        <v>0</v>
      </c>
      <c r="BF42" s="38">
        <f t="shared" si="17"/>
        <v>21.5</v>
      </c>
      <c r="BG42" s="39">
        <f t="shared" si="17"/>
        <v>-0.3</v>
      </c>
      <c r="BH42" s="38">
        <f t="shared" si="17"/>
        <v>18</v>
      </c>
      <c r="BI42" s="38">
        <f t="shared" si="17"/>
        <v>-0.4</v>
      </c>
      <c r="BJ42" s="38">
        <f t="shared" si="17"/>
        <v>-1.1999999999999993</v>
      </c>
      <c r="BK42" s="39">
        <f t="shared" si="17"/>
        <v>0</v>
      </c>
      <c r="BL42" s="38">
        <f t="shared" si="17"/>
        <v>-31.9</v>
      </c>
      <c r="BM42" s="38">
        <f t="shared" si="17"/>
        <v>0.1</v>
      </c>
      <c r="BN42" s="38">
        <f t="shared" si="17"/>
        <v>-1.9000000000000044</v>
      </c>
      <c r="BO42" s="39">
        <f t="shared" si="17"/>
        <v>0</v>
      </c>
      <c r="BP42" s="38">
        <f t="shared" si="17"/>
        <v>4.7</v>
      </c>
      <c r="BQ42" s="38">
        <f>+BQ43+BQ44+BQ46+BQ45</f>
        <v>0</v>
      </c>
      <c r="BR42" s="38">
        <f>+BR43+BR44+BR46+BR45</f>
        <v>78.699999999999989</v>
      </c>
      <c r="BS42" s="39">
        <f>+BS43+BS44+BS46+BS45</f>
        <v>0.1</v>
      </c>
      <c r="BT42" s="712"/>
    </row>
    <row r="43" spans="1:72" s="466" customFormat="1" ht="21.6">
      <c r="A43" s="163" t="s">
        <v>854</v>
      </c>
      <c r="B43" s="163" t="s">
        <v>855</v>
      </c>
      <c r="C43" s="183"/>
      <c r="D43" s="184"/>
      <c r="E43" s="184"/>
      <c r="F43" s="184"/>
      <c r="G43" s="183"/>
      <c r="H43" s="184"/>
      <c r="I43" s="184"/>
      <c r="J43" s="185"/>
      <c r="K43" s="183"/>
      <c r="L43" s="184"/>
      <c r="M43" s="184"/>
      <c r="N43" s="185"/>
      <c r="O43" s="183"/>
      <c r="P43" s="184"/>
      <c r="Q43" s="47"/>
      <c r="R43" s="49"/>
      <c r="S43" s="48"/>
      <c r="T43" s="47"/>
      <c r="U43" s="47"/>
      <c r="V43" s="49"/>
      <c r="W43" s="48"/>
      <c r="X43" s="47"/>
      <c r="Y43" s="47"/>
      <c r="Z43" s="49"/>
      <c r="AA43" s="48"/>
      <c r="AB43" s="47"/>
      <c r="AC43" s="47"/>
      <c r="AD43" s="49"/>
      <c r="AE43" s="48"/>
      <c r="AF43" s="47"/>
      <c r="AG43" s="47"/>
      <c r="AH43" s="49"/>
      <c r="AI43" s="48"/>
      <c r="AJ43" s="47"/>
      <c r="AK43" s="47"/>
      <c r="AL43" s="49"/>
      <c r="AM43" s="48"/>
      <c r="AN43" s="47"/>
      <c r="AO43" s="47"/>
      <c r="AP43" s="49"/>
      <c r="AQ43" s="48"/>
      <c r="AR43" s="47"/>
      <c r="AS43" s="47"/>
      <c r="AT43" s="49"/>
      <c r="AU43" s="48">
        <v>0</v>
      </c>
      <c r="AV43" s="47">
        <v>0.8</v>
      </c>
      <c r="AW43" s="47">
        <v>-0.10000000000000009</v>
      </c>
      <c r="AX43" s="47">
        <v>5.6</v>
      </c>
      <c r="AY43" s="48">
        <v>23.9</v>
      </c>
      <c r="AZ43" s="47">
        <v>11.399999999999999</v>
      </c>
      <c r="BA43" s="47">
        <v>0</v>
      </c>
      <c r="BB43" s="47">
        <v>-13.099999999999998</v>
      </c>
      <c r="BC43" s="48">
        <v>0</v>
      </c>
      <c r="BD43" s="47">
        <v>6</v>
      </c>
      <c r="BE43" s="47">
        <v>0</v>
      </c>
      <c r="BF43" s="47">
        <v>24.9</v>
      </c>
      <c r="BG43" s="48">
        <v>0</v>
      </c>
      <c r="BH43" s="47">
        <v>18</v>
      </c>
      <c r="BI43" s="47">
        <v>0</v>
      </c>
      <c r="BJ43" s="47">
        <v>4.2</v>
      </c>
      <c r="BK43" s="48">
        <v>0</v>
      </c>
      <c r="BL43" s="47">
        <v>-32.4</v>
      </c>
      <c r="BM43" s="47">
        <v>0</v>
      </c>
      <c r="BN43" s="47">
        <v>-5.3000000000000043</v>
      </c>
      <c r="BO43" s="48">
        <v>0</v>
      </c>
      <c r="BP43" s="47">
        <v>4.7</v>
      </c>
      <c r="BQ43" s="47">
        <v>0</v>
      </c>
      <c r="BR43" s="47">
        <v>88.5</v>
      </c>
      <c r="BS43" s="48">
        <v>0</v>
      </c>
      <c r="BT43" s="710"/>
    </row>
    <row r="44" spans="1:72" s="466" customFormat="1">
      <c r="A44" s="163" t="s">
        <v>856</v>
      </c>
      <c r="B44" s="163" t="s">
        <v>857</v>
      </c>
      <c r="C44" s="183"/>
      <c r="D44" s="184"/>
      <c r="E44" s="184"/>
      <c r="F44" s="184"/>
      <c r="G44" s="183"/>
      <c r="H44" s="184"/>
      <c r="I44" s="184"/>
      <c r="J44" s="185"/>
      <c r="K44" s="183"/>
      <c r="L44" s="184"/>
      <c r="M44" s="184"/>
      <c r="N44" s="185"/>
      <c r="O44" s="183"/>
      <c r="P44" s="184"/>
      <c r="Q44" s="47"/>
      <c r="R44" s="49"/>
      <c r="S44" s="48"/>
      <c r="T44" s="47"/>
      <c r="U44" s="47"/>
      <c r="V44" s="49"/>
      <c r="W44" s="48"/>
      <c r="X44" s="47"/>
      <c r="Y44" s="47"/>
      <c r="Z44" s="49"/>
      <c r="AA44" s="48"/>
      <c r="AB44" s="47"/>
      <c r="AC44" s="47"/>
      <c r="AD44" s="49"/>
      <c r="AE44" s="48"/>
      <c r="AF44" s="47"/>
      <c r="AG44" s="47"/>
      <c r="AH44" s="49"/>
      <c r="AI44" s="48"/>
      <c r="AJ44" s="47"/>
      <c r="AK44" s="47"/>
      <c r="AL44" s="49"/>
      <c r="AM44" s="48"/>
      <c r="AN44" s="47"/>
      <c r="AO44" s="47"/>
      <c r="AP44" s="49"/>
      <c r="AQ44" s="48"/>
      <c r="AR44" s="47"/>
      <c r="AS44" s="47"/>
      <c r="AT44" s="49"/>
      <c r="AU44" s="48">
        <v>0</v>
      </c>
      <c r="AV44" s="47">
        <v>0</v>
      </c>
      <c r="AW44" s="47">
        <v>0</v>
      </c>
      <c r="AX44" s="47">
        <v>0</v>
      </c>
      <c r="AY44" s="48">
        <v>0</v>
      </c>
      <c r="AZ44" s="47">
        <v>0</v>
      </c>
      <c r="BA44" s="47">
        <v>0</v>
      </c>
      <c r="BB44" s="47">
        <v>0.3</v>
      </c>
      <c r="BC44" s="48">
        <v>0.1</v>
      </c>
      <c r="BD44" s="47">
        <v>-0.1</v>
      </c>
      <c r="BE44" s="47">
        <v>0</v>
      </c>
      <c r="BF44" s="47">
        <v>0</v>
      </c>
      <c r="BG44" s="48">
        <v>-0.3</v>
      </c>
      <c r="BH44" s="47">
        <v>9.9999999999999978E-2</v>
      </c>
      <c r="BI44" s="47">
        <v>-0.3</v>
      </c>
      <c r="BJ44" s="47">
        <v>0.2</v>
      </c>
      <c r="BK44" s="48">
        <v>0</v>
      </c>
      <c r="BL44" s="47">
        <v>0.5</v>
      </c>
      <c r="BM44" s="47">
        <v>0.1</v>
      </c>
      <c r="BN44" s="47">
        <v>-0.5</v>
      </c>
      <c r="BO44" s="48">
        <v>0</v>
      </c>
      <c r="BP44" s="47">
        <v>0</v>
      </c>
      <c r="BQ44" s="47">
        <v>0</v>
      </c>
      <c r="BR44" s="47">
        <v>0.1</v>
      </c>
      <c r="BS44" s="48">
        <v>0.1</v>
      </c>
      <c r="BT44" s="710"/>
    </row>
    <row r="45" spans="1:72" s="466" customFormat="1">
      <c r="A45" s="485" t="s">
        <v>858</v>
      </c>
      <c r="B45" s="485" t="s">
        <v>859</v>
      </c>
      <c r="C45" s="183"/>
      <c r="D45" s="184"/>
      <c r="E45" s="184"/>
      <c r="F45" s="184"/>
      <c r="G45" s="183"/>
      <c r="H45" s="184"/>
      <c r="I45" s="184"/>
      <c r="J45" s="185"/>
      <c r="K45" s="183"/>
      <c r="L45" s="184"/>
      <c r="M45" s="184"/>
      <c r="N45" s="185"/>
      <c r="O45" s="183"/>
      <c r="P45" s="184"/>
      <c r="Q45" s="47"/>
      <c r="R45" s="49"/>
      <c r="S45" s="48"/>
      <c r="T45" s="47"/>
      <c r="U45" s="47"/>
      <c r="V45" s="49"/>
      <c r="W45" s="48"/>
      <c r="X45" s="47"/>
      <c r="Y45" s="47"/>
      <c r="Z45" s="49"/>
      <c r="AA45" s="48"/>
      <c r="AB45" s="47"/>
      <c r="AC45" s="47"/>
      <c r="AD45" s="49"/>
      <c r="AE45" s="48"/>
      <c r="AF45" s="47"/>
      <c r="AG45" s="47"/>
      <c r="AH45" s="49"/>
      <c r="AI45" s="48"/>
      <c r="AJ45" s="47"/>
      <c r="AK45" s="47"/>
      <c r="AL45" s="49"/>
      <c r="AM45" s="48"/>
      <c r="AN45" s="47"/>
      <c r="AO45" s="47"/>
      <c r="AP45" s="49"/>
      <c r="AQ45" s="48"/>
      <c r="AR45" s="47"/>
      <c r="AS45" s="47"/>
      <c r="AT45" s="49"/>
      <c r="AU45" s="48">
        <v>0</v>
      </c>
      <c r="AV45" s="47">
        <v>0</v>
      </c>
      <c r="AW45" s="47">
        <v>0</v>
      </c>
      <c r="AX45" s="47">
        <v>0</v>
      </c>
      <c r="AY45" s="48">
        <v>0</v>
      </c>
      <c r="AZ45" s="47">
        <v>0</v>
      </c>
      <c r="BA45" s="47">
        <v>0</v>
      </c>
      <c r="BB45" s="47">
        <v>0</v>
      </c>
      <c r="BC45" s="48">
        <v>0</v>
      </c>
      <c r="BD45" s="47">
        <v>0</v>
      </c>
      <c r="BE45" s="47">
        <v>0</v>
      </c>
      <c r="BF45" s="47">
        <v>0</v>
      </c>
      <c r="BG45" s="48">
        <v>0</v>
      </c>
      <c r="BH45" s="47">
        <v>-0.1</v>
      </c>
      <c r="BI45" s="47">
        <v>0.1</v>
      </c>
      <c r="BJ45" s="47">
        <v>0</v>
      </c>
      <c r="BK45" s="48">
        <v>0</v>
      </c>
      <c r="BL45" s="47">
        <v>0</v>
      </c>
      <c r="BM45" s="47">
        <v>0</v>
      </c>
      <c r="BN45" s="47">
        <v>0</v>
      </c>
      <c r="BO45" s="48">
        <v>0</v>
      </c>
      <c r="BP45" s="47">
        <v>0</v>
      </c>
      <c r="BQ45" s="47">
        <v>0</v>
      </c>
      <c r="BR45" s="47">
        <v>0</v>
      </c>
      <c r="BS45" s="48">
        <v>0</v>
      </c>
      <c r="BT45" s="710"/>
    </row>
    <row r="46" spans="1:72" s="466" customFormat="1">
      <c r="A46" s="163" t="s">
        <v>860</v>
      </c>
      <c r="B46" s="163" t="s">
        <v>861</v>
      </c>
      <c r="C46" s="183"/>
      <c r="D46" s="184"/>
      <c r="E46" s="184"/>
      <c r="F46" s="184"/>
      <c r="G46" s="183"/>
      <c r="H46" s="184"/>
      <c r="I46" s="184"/>
      <c r="J46" s="185"/>
      <c r="K46" s="183"/>
      <c r="L46" s="184"/>
      <c r="M46" s="184"/>
      <c r="N46" s="185"/>
      <c r="O46" s="183"/>
      <c r="P46" s="184"/>
      <c r="Q46" s="47"/>
      <c r="R46" s="49"/>
      <c r="S46" s="48"/>
      <c r="T46" s="47"/>
      <c r="U46" s="47"/>
      <c r="V46" s="49"/>
      <c r="W46" s="48"/>
      <c r="X46" s="47"/>
      <c r="Y46" s="47"/>
      <c r="Z46" s="49"/>
      <c r="AA46" s="48"/>
      <c r="AB46" s="47"/>
      <c r="AC46" s="47"/>
      <c r="AD46" s="49"/>
      <c r="AE46" s="48"/>
      <c r="AF46" s="47"/>
      <c r="AG46" s="47"/>
      <c r="AH46" s="49"/>
      <c r="AI46" s="48"/>
      <c r="AJ46" s="47"/>
      <c r="AK46" s="47"/>
      <c r="AL46" s="49"/>
      <c r="AM46" s="48"/>
      <c r="AN46" s="47"/>
      <c r="AO46" s="47"/>
      <c r="AP46" s="49"/>
      <c r="AQ46" s="48"/>
      <c r="AR46" s="47"/>
      <c r="AS46" s="47"/>
      <c r="AT46" s="49"/>
      <c r="AU46" s="48">
        <v>0</v>
      </c>
      <c r="AV46" s="47">
        <v>0</v>
      </c>
      <c r="AW46" s="47">
        <v>0</v>
      </c>
      <c r="AX46" s="47">
        <v>-0.9</v>
      </c>
      <c r="AY46" s="48">
        <v>0</v>
      </c>
      <c r="AZ46" s="47">
        <v>0</v>
      </c>
      <c r="BA46" s="47">
        <v>0</v>
      </c>
      <c r="BB46" s="47">
        <v>-10.199999999999999</v>
      </c>
      <c r="BC46" s="48">
        <v>0</v>
      </c>
      <c r="BD46" s="47">
        <v>0</v>
      </c>
      <c r="BE46" s="47">
        <v>0</v>
      </c>
      <c r="BF46" s="47">
        <v>-3.4</v>
      </c>
      <c r="BG46" s="48">
        <v>0</v>
      </c>
      <c r="BH46" s="47">
        <v>0</v>
      </c>
      <c r="BI46" s="47">
        <v>-0.2</v>
      </c>
      <c r="BJ46" s="47">
        <v>-5.6</v>
      </c>
      <c r="BK46" s="48">
        <v>0</v>
      </c>
      <c r="BL46" s="47">
        <v>0</v>
      </c>
      <c r="BM46" s="47">
        <v>0</v>
      </c>
      <c r="BN46" s="47">
        <v>3.9</v>
      </c>
      <c r="BO46" s="48">
        <v>0</v>
      </c>
      <c r="BP46" s="47">
        <v>0</v>
      </c>
      <c r="BQ46" s="47">
        <v>0</v>
      </c>
      <c r="BR46" s="47">
        <v>-9.9</v>
      </c>
      <c r="BS46" s="48">
        <v>0</v>
      </c>
      <c r="BT46" s="710"/>
    </row>
    <row r="47" spans="1:72" s="469" customFormat="1">
      <c r="A47" s="155" t="s">
        <v>862</v>
      </c>
      <c r="B47" s="155" t="s">
        <v>863</v>
      </c>
      <c r="C47" s="180"/>
      <c r="D47" s="181"/>
      <c r="E47" s="181"/>
      <c r="F47" s="181"/>
      <c r="G47" s="180"/>
      <c r="H47" s="181"/>
      <c r="I47" s="181"/>
      <c r="J47" s="182"/>
      <c r="K47" s="180"/>
      <c r="L47" s="181"/>
      <c r="M47" s="181"/>
      <c r="N47" s="182"/>
      <c r="O47" s="180"/>
      <c r="P47" s="181"/>
      <c r="Q47" s="38"/>
      <c r="R47" s="40"/>
      <c r="S47" s="39"/>
      <c r="T47" s="38"/>
      <c r="U47" s="38"/>
      <c r="V47" s="40"/>
      <c r="W47" s="39"/>
      <c r="X47" s="38"/>
      <c r="Y47" s="38"/>
      <c r="Z47" s="40"/>
      <c r="AA47" s="39"/>
      <c r="AB47" s="38"/>
      <c r="AC47" s="38"/>
      <c r="AD47" s="40"/>
      <c r="AE47" s="39"/>
      <c r="AF47" s="38"/>
      <c r="AG47" s="38"/>
      <c r="AH47" s="38"/>
      <c r="AI47" s="39"/>
      <c r="AJ47" s="38"/>
      <c r="AK47" s="38"/>
      <c r="AL47" s="38"/>
      <c r="AM47" s="39"/>
      <c r="AN47" s="38"/>
      <c r="AO47" s="38"/>
      <c r="AP47" s="38"/>
      <c r="AQ47" s="39"/>
      <c r="AR47" s="38"/>
      <c r="AS47" s="38"/>
      <c r="AT47" s="38"/>
      <c r="AU47" s="39">
        <f t="shared" ref="AU47:BP47" si="18">+AU35+AU36</f>
        <v>511.89999999999992</v>
      </c>
      <c r="AV47" s="38">
        <f t="shared" si="18"/>
        <v>245.70000000000027</v>
      </c>
      <c r="AW47" s="38">
        <f t="shared" si="18"/>
        <v>271.89999999999981</v>
      </c>
      <c r="AX47" s="38">
        <f t="shared" si="18"/>
        <v>1173.7000000000003</v>
      </c>
      <c r="AY47" s="39">
        <f t="shared" si="18"/>
        <v>547.00000000000023</v>
      </c>
      <c r="AZ47" s="38">
        <f t="shared" si="18"/>
        <v>806.39999999999975</v>
      </c>
      <c r="BA47" s="38">
        <f t="shared" si="18"/>
        <v>1042.8999999999999</v>
      </c>
      <c r="BB47" s="38">
        <f t="shared" si="18"/>
        <v>-39.400000000000261</v>
      </c>
      <c r="BC47" s="39">
        <f t="shared" si="18"/>
        <v>2117.6999999999998</v>
      </c>
      <c r="BD47" s="38">
        <f t="shared" si="18"/>
        <v>894.50000000000011</v>
      </c>
      <c r="BE47" s="38">
        <f t="shared" si="18"/>
        <v>360.30000000000018</v>
      </c>
      <c r="BF47" s="38">
        <f t="shared" si="18"/>
        <v>22.500000000000341</v>
      </c>
      <c r="BG47" s="39">
        <f t="shared" si="18"/>
        <v>-1058</v>
      </c>
      <c r="BH47" s="38">
        <f t="shared" si="18"/>
        <v>296.90000000000043</v>
      </c>
      <c r="BI47" s="38">
        <f t="shared" si="18"/>
        <v>-416.79999999999973</v>
      </c>
      <c r="BJ47" s="38">
        <f t="shared" si="18"/>
        <v>-3245.9999999999995</v>
      </c>
      <c r="BK47" s="39">
        <f t="shared" si="18"/>
        <v>-2375.6999999999998</v>
      </c>
      <c r="BL47" s="38">
        <f t="shared" si="18"/>
        <v>-2749.3999999999996</v>
      </c>
      <c r="BM47" s="38">
        <f t="shared" si="18"/>
        <v>-297.30000000000013</v>
      </c>
      <c r="BN47" s="38">
        <f t="shared" si="18"/>
        <v>1918.5</v>
      </c>
      <c r="BO47" s="39">
        <f t="shared" si="18"/>
        <v>1892.8999999999996</v>
      </c>
      <c r="BP47" s="38">
        <f t="shared" si="18"/>
        <v>1723.3999999999996</v>
      </c>
      <c r="BQ47" s="38">
        <f>+BQ35+BQ36</f>
        <v>2217.1000000000004</v>
      </c>
      <c r="BR47" s="38">
        <f>+BR35+BR36</f>
        <v>1552.0999999999997</v>
      </c>
      <c r="BS47" s="39">
        <f>ROUND(+BS35+BS36,1)</f>
        <v>708.7</v>
      </c>
      <c r="BT47" s="712"/>
    </row>
    <row r="48" spans="1:72" s="466" customFormat="1">
      <c r="A48" s="163" t="s">
        <v>864</v>
      </c>
      <c r="B48" s="163" t="s">
        <v>865</v>
      </c>
      <c r="C48" s="183"/>
      <c r="D48" s="184"/>
      <c r="E48" s="184"/>
      <c r="F48" s="184"/>
      <c r="G48" s="183"/>
      <c r="H48" s="184"/>
      <c r="I48" s="184"/>
      <c r="J48" s="185"/>
      <c r="K48" s="183"/>
      <c r="L48" s="184"/>
      <c r="M48" s="184"/>
      <c r="N48" s="185"/>
      <c r="O48" s="183"/>
      <c r="P48" s="184"/>
      <c r="Q48" s="47"/>
      <c r="R48" s="49"/>
      <c r="S48" s="48"/>
      <c r="T48" s="47"/>
      <c r="U48" s="47"/>
      <c r="V48" s="49"/>
      <c r="W48" s="48"/>
      <c r="X48" s="47"/>
      <c r="Y48" s="47"/>
      <c r="Z48" s="49"/>
      <c r="AA48" s="48"/>
      <c r="AB48" s="47"/>
      <c r="AC48" s="47"/>
      <c r="AD48" s="49"/>
      <c r="AE48" s="48"/>
      <c r="AF48" s="47"/>
      <c r="AG48" s="47"/>
      <c r="AH48" s="49"/>
      <c r="AI48" s="48"/>
      <c r="AJ48" s="47"/>
      <c r="AK48" s="47"/>
      <c r="AL48" s="49"/>
      <c r="AM48" s="48"/>
      <c r="AN48" s="47"/>
      <c r="AO48" s="47"/>
      <c r="AP48" s="49"/>
      <c r="AQ48" s="48"/>
      <c r="AR48" s="47"/>
      <c r="AS48" s="47"/>
      <c r="AT48" s="49"/>
      <c r="AU48" s="48">
        <v>511.89999999999992</v>
      </c>
      <c r="AV48" s="47">
        <v>245.69999999999976</v>
      </c>
      <c r="AW48" s="47">
        <v>271.90000000000009</v>
      </c>
      <c r="AX48" s="47">
        <v>1173.7</v>
      </c>
      <c r="AY48" s="48">
        <v>547.00000000000023</v>
      </c>
      <c r="AZ48" s="47">
        <v>806.39999999999975</v>
      </c>
      <c r="BA48" s="47">
        <v>1042.8999999999999</v>
      </c>
      <c r="BB48" s="47">
        <v>-39.400000000000375</v>
      </c>
      <c r="BC48" s="48">
        <v>2117.6999999999998</v>
      </c>
      <c r="BD48" s="47">
        <v>894.49999999999977</v>
      </c>
      <c r="BE48" s="47">
        <v>360.29999999999995</v>
      </c>
      <c r="BF48" s="47">
        <v>22.500000000000341</v>
      </c>
      <c r="BG48" s="48">
        <v>-1058</v>
      </c>
      <c r="BH48" s="47">
        <v>296.89999999999998</v>
      </c>
      <c r="BI48" s="47">
        <v>-416.79999999999995</v>
      </c>
      <c r="BJ48" s="47">
        <v>-3245.9999999999995</v>
      </c>
      <c r="BK48" s="48">
        <v>-2375.6999999999994</v>
      </c>
      <c r="BL48" s="47">
        <v>-2749.3999999999996</v>
      </c>
      <c r="BM48" s="47">
        <v>-297.29999999999995</v>
      </c>
      <c r="BN48" s="47">
        <v>1918.5</v>
      </c>
      <c r="BO48" s="48">
        <v>1892.9</v>
      </c>
      <c r="BP48" s="47">
        <v>1723.4</v>
      </c>
      <c r="BQ48" s="47">
        <v>2217.1000000000004</v>
      </c>
      <c r="BR48" s="47">
        <v>1552.0999999999997</v>
      </c>
      <c r="BS48" s="48">
        <v>708.7</v>
      </c>
      <c r="BT48" s="710"/>
    </row>
    <row r="49" spans="1:71">
      <c r="A49" s="2"/>
      <c r="B49" s="2"/>
      <c r="C49" s="439"/>
      <c r="D49" s="439"/>
      <c r="E49" s="439"/>
      <c r="F49" s="439"/>
      <c r="G49" s="439"/>
      <c r="H49" s="439"/>
      <c r="I49" s="439"/>
      <c r="J49" s="439"/>
      <c r="K49" s="439"/>
      <c r="L49" s="439"/>
      <c r="M49" s="439"/>
      <c r="N49" s="439"/>
      <c r="O49" s="439"/>
      <c r="P49" s="439"/>
      <c r="Q49" s="439"/>
      <c r="R49" s="439"/>
      <c r="S49" s="439"/>
      <c r="T49" s="439"/>
      <c r="U49" s="439"/>
      <c r="V49" s="439"/>
      <c r="W49" s="439"/>
      <c r="X49" s="439"/>
      <c r="Y49" s="439"/>
      <c r="Z49" s="439"/>
      <c r="AA49" s="439"/>
      <c r="AB49" s="439"/>
      <c r="AC49" s="439"/>
      <c r="AD49" s="439"/>
      <c r="AG49" s="486"/>
      <c r="AH49" s="486"/>
      <c r="AI49" s="486"/>
      <c r="AM49" s="486"/>
      <c r="AU49" s="486"/>
      <c r="AV49" s="486"/>
      <c r="AW49" s="486"/>
      <c r="AX49" s="486"/>
      <c r="AY49" s="486"/>
      <c r="AZ49" s="486"/>
      <c r="BA49" s="486"/>
      <c r="BB49" s="486"/>
      <c r="BC49" s="486"/>
      <c r="BD49" s="486"/>
      <c r="BE49" s="486"/>
      <c r="BF49" s="486"/>
      <c r="BG49" s="486"/>
      <c r="BH49" s="486"/>
      <c r="BI49" s="486"/>
      <c r="BJ49" s="486"/>
      <c r="BK49" s="486"/>
      <c r="BO49" s="486"/>
      <c r="BP49" s="486"/>
      <c r="BQ49" s="486"/>
      <c r="BR49" s="486"/>
      <c r="BS49" s="487"/>
    </row>
    <row r="50" spans="1:71" ht="13.5" hidden="1" customHeight="1">
      <c r="A50" s="2"/>
      <c r="B50" s="2"/>
      <c r="AG50" s="486"/>
      <c r="AH50" s="486"/>
      <c r="AI50" s="486"/>
      <c r="AM50" s="486"/>
      <c r="AU50" s="486"/>
      <c r="AY50" s="486"/>
      <c r="BC50" s="486"/>
      <c r="BG50" s="486"/>
      <c r="BK50" s="486"/>
      <c r="BO50" s="486"/>
    </row>
    <row r="51" spans="1:71" ht="13.5" hidden="1" customHeight="1">
      <c r="A51" s="2"/>
      <c r="B51" s="2"/>
      <c r="C51" s="311"/>
      <c r="D51" s="311"/>
      <c r="E51" s="311"/>
      <c r="F51" s="311"/>
      <c r="G51" s="311"/>
      <c r="H51" s="311"/>
      <c r="I51" s="311"/>
      <c r="J51" s="311"/>
      <c r="K51" s="311"/>
      <c r="L51" s="311"/>
      <c r="M51" s="311"/>
      <c r="N51" s="311"/>
      <c r="O51" s="311"/>
      <c r="P51" s="311"/>
      <c r="Q51" s="311"/>
      <c r="R51" s="311"/>
      <c r="S51" s="311"/>
      <c r="T51" s="311"/>
      <c r="U51" s="311"/>
      <c r="V51" s="311"/>
      <c r="W51" s="311"/>
      <c r="X51" s="311"/>
      <c r="Y51" s="311"/>
      <c r="Z51" s="311"/>
      <c r="AA51" s="311"/>
      <c r="AB51" s="311"/>
      <c r="AC51" s="311"/>
      <c r="AD51" s="311"/>
      <c r="AG51" s="486"/>
      <c r="AH51" s="486"/>
      <c r="AI51" s="486"/>
      <c r="AM51" s="486"/>
      <c r="AU51" s="486"/>
      <c r="AY51" s="486"/>
      <c r="BC51" s="486"/>
      <c r="BG51" s="486"/>
      <c r="BK51" s="486"/>
      <c r="BO51" s="486"/>
    </row>
    <row r="52" spans="1:71" ht="13.5" hidden="1" customHeight="1">
      <c r="A52" s="2"/>
      <c r="B52" s="2"/>
      <c r="C52" s="439"/>
      <c r="D52" s="439"/>
      <c r="E52" s="439"/>
      <c r="F52" s="439"/>
      <c r="G52" s="439"/>
      <c r="H52" s="439"/>
      <c r="I52" s="439"/>
      <c r="J52" s="439"/>
      <c r="K52" s="439"/>
      <c r="L52" s="439"/>
      <c r="M52" s="439"/>
      <c r="N52" s="439"/>
      <c r="O52" s="439"/>
      <c r="P52" s="439"/>
      <c r="Q52" s="439"/>
      <c r="R52" s="439"/>
      <c r="S52" s="439"/>
      <c r="T52" s="439"/>
      <c r="U52" s="439"/>
      <c r="V52" s="439"/>
      <c r="W52" s="439"/>
      <c r="X52" s="439"/>
      <c r="Y52" s="439"/>
      <c r="Z52" s="439"/>
      <c r="AA52" s="439"/>
      <c r="AB52" s="439"/>
      <c r="AC52" s="439"/>
      <c r="AD52" s="439"/>
      <c r="AG52" s="486"/>
      <c r="AH52" s="486"/>
      <c r="AI52" s="486"/>
      <c r="AM52" s="486"/>
      <c r="AU52" s="486"/>
      <c r="AY52" s="486"/>
      <c r="BC52" s="486"/>
      <c r="BG52" s="486"/>
      <c r="BK52" s="486"/>
      <c r="BO52" s="486"/>
    </row>
    <row r="53" spans="1:71" ht="13.5" hidden="1" customHeight="1">
      <c r="A53" s="2"/>
      <c r="B53" s="2"/>
      <c r="AG53" s="486"/>
      <c r="AH53" s="486"/>
      <c r="AI53" s="486"/>
      <c r="AM53" s="486"/>
      <c r="AU53" s="486"/>
      <c r="AY53" s="486"/>
      <c r="BC53" s="486"/>
      <c r="BG53" s="486"/>
      <c r="BK53" s="486"/>
      <c r="BO53" s="486"/>
    </row>
    <row r="54" spans="1:71" ht="13.5" hidden="1" customHeight="1">
      <c r="A54" s="2"/>
      <c r="B54" s="2"/>
      <c r="C54" s="439"/>
      <c r="D54" s="439"/>
      <c r="E54" s="439"/>
      <c r="F54" s="439"/>
      <c r="G54" s="439"/>
      <c r="H54" s="439"/>
      <c r="I54" s="439"/>
      <c r="J54" s="439"/>
      <c r="K54" s="439"/>
      <c r="L54" s="439"/>
      <c r="M54" s="439"/>
      <c r="N54" s="439"/>
      <c r="O54" s="439"/>
      <c r="P54" s="439"/>
      <c r="Q54" s="439"/>
      <c r="R54" s="439"/>
      <c r="S54" s="439"/>
      <c r="T54" s="439"/>
      <c r="U54" s="439"/>
      <c r="V54" s="439"/>
      <c r="W54" s="439"/>
      <c r="X54" s="439"/>
      <c r="Y54" s="439"/>
      <c r="Z54" s="439"/>
      <c r="AA54" s="439"/>
      <c r="AB54" s="439"/>
      <c r="AC54" s="439"/>
      <c r="AD54" s="439"/>
      <c r="AG54" s="486"/>
      <c r="AH54" s="486"/>
      <c r="AI54" s="486"/>
      <c r="AM54" s="486"/>
      <c r="AU54" s="486"/>
      <c r="AY54" s="486"/>
      <c r="BC54" s="486"/>
      <c r="BG54" s="486"/>
      <c r="BK54" s="486"/>
      <c r="BO54" s="486"/>
    </row>
    <row r="55" spans="1:71" ht="13.5" hidden="1" customHeight="1">
      <c r="A55" s="2"/>
      <c r="B55" s="2"/>
      <c r="AG55" s="486"/>
      <c r="AH55" s="486"/>
      <c r="AI55" s="486"/>
      <c r="AM55" s="486"/>
      <c r="AU55" s="486"/>
      <c r="AY55" s="486"/>
      <c r="BC55" s="486"/>
      <c r="BG55" s="486"/>
      <c r="BK55" s="486"/>
      <c r="BO55" s="486"/>
    </row>
    <row r="56" spans="1:71" ht="13.5" hidden="1" customHeight="1">
      <c r="A56" s="2"/>
      <c r="B56" s="2"/>
      <c r="AG56" s="486"/>
      <c r="AH56" s="486"/>
      <c r="AI56" s="486"/>
      <c r="AM56" s="486"/>
      <c r="AU56" s="486"/>
      <c r="AY56" s="486"/>
      <c r="BC56" s="486"/>
      <c r="BG56" s="486"/>
      <c r="BK56" s="486"/>
      <c r="BO56" s="486"/>
    </row>
    <row r="57" spans="1:71" ht="13.5" hidden="1" customHeight="1">
      <c r="A57" s="2"/>
      <c r="B57" s="150"/>
      <c r="C57" s="272"/>
      <c r="D57" s="272"/>
      <c r="E57" s="272"/>
      <c r="F57" s="272"/>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2"/>
      <c r="AG57" s="486"/>
      <c r="AH57" s="486"/>
      <c r="AI57" s="486"/>
      <c r="AM57" s="486"/>
      <c r="AU57" s="486"/>
      <c r="AY57" s="486"/>
      <c r="BC57" s="486"/>
      <c r="BG57" s="486"/>
      <c r="BK57" s="486"/>
      <c r="BO57" s="486"/>
    </row>
    <row r="58" spans="1:71" ht="13.5" hidden="1" customHeight="1">
      <c r="A58" s="2"/>
      <c r="B58" s="150"/>
      <c r="C58" s="311"/>
      <c r="D58" s="311"/>
      <c r="E58" s="311"/>
      <c r="F58" s="311"/>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1"/>
      <c r="AG58" s="486"/>
      <c r="AH58" s="486"/>
      <c r="AI58" s="486"/>
      <c r="AM58" s="486"/>
      <c r="AU58" s="486"/>
      <c r="AY58" s="486"/>
      <c r="BC58" s="486"/>
      <c r="BG58" s="486"/>
      <c r="BK58" s="486"/>
      <c r="BO58" s="486"/>
    </row>
    <row r="59" spans="1:71" ht="13.5" hidden="1" customHeight="1">
      <c r="A59" s="2"/>
      <c r="B59" s="150"/>
      <c r="C59" s="272"/>
      <c r="D59" s="272"/>
      <c r="E59" s="272"/>
      <c r="F59" s="272"/>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2"/>
      <c r="AG59" s="486"/>
      <c r="AH59" s="486"/>
      <c r="AI59" s="486"/>
      <c r="AM59" s="486"/>
      <c r="AU59" s="486"/>
      <c r="AY59" s="486"/>
      <c r="BC59" s="486"/>
      <c r="BG59" s="486"/>
      <c r="BK59" s="486"/>
      <c r="BO59" s="486"/>
    </row>
    <row r="60" spans="1:71" ht="13.5" hidden="1" customHeight="1">
      <c r="A60" s="2"/>
      <c r="B60" s="150"/>
      <c r="C60" s="311"/>
      <c r="D60" s="311"/>
      <c r="E60" s="311"/>
      <c r="F60" s="311"/>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1"/>
      <c r="AG60" s="486"/>
      <c r="AH60" s="486"/>
      <c r="AI60" s="486"/>
      <c r="AM60" s="486"/>
      <c r="AU60" s="486"/>
      <c r="AY60" s="486"/>
      <c r="BC60" s="486"/>
      <c r="BG60" s="486"/>
      <c r="BK60" s="486"/>
      <c r="BO60" s="486"/>
    </row>
    <row r="61" spans="1:71" ht="13.5" hidden="1" customHeight="1">
      <c r="A61" s="2"/>
      <c r="B61" s="150"/>
      <c r="C61" s="272"/>
      <c r="D61" s="272"/>
      <c r="E61" s="272"/>
      <c r="F61" s="272"/>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2"/>
      <c r="AG61" s="486"/>
      <c r="AH61" s="486"/>
      <c r="AI61" s="486"/>
      <c r="AM61" s="486"/>
      <c r="AU61" s="486"/>
      <c r="AY61" s="486"/>
      <c r="BC61" s="486"/>
      <c r="BG61" s="486"/>
      <c r="BK61" s="486"/>
      <c r="BO61" s="486"/>
    </row>
    <row r="62" spans="1:71" ht="13.5" hidden="1" customHeight="1">
      <c r="A62" s="2"/>
      <c r="B62" s="150"/>
      <c r="C62" s="311"/>
      <c r="D62" s="311"/>
      <c r="E62" s="311"/>
      <c r="F62" s="311"/>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1"/>
      <c r="AG62" s="486"/>
      <c r="AH62" s="486"/>
      <c r="AI62" s="486"/>
      <c r="AM62" s="486"/>
      <c r="AU62" s="486"/>
      <c r="AY62" s="486"/>
      <c r="BC62" s="486"/>
      <c r="BG62" s="486"/>
      <c r="BK62" s="486"/>
      <c r="BO62" s="486"/>
    </row>
    <row r="63" spans="1:71" ht="13.5" hidden="1" customHeight="1">
      <c r="A63" s="2"/>
      <c r="B63" s="150"/>
      <c r="C63" s="272"/>
      <c r="D63" s="272"/>
      <c r="E63" s="272"/>
      <c r="F63" s="272"/>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2"/>
      <c r="AG63" s="486"/>
      <c r="AH63" s="486"/>
      <c r="AI63" s="486"/>
      <c r="AM63" s="486"/>
      <c r="AU63" s="486"/>
      <c r="AY63" s="486"/>
      <c r="BC63" s="486"/>
      <c r="BG63" s="486"/>
      <c r="BK63" s="486"/>
      <c r="BO63" s="486"/>
    </row>
    <row r="64" spans="1:71" ht="13.5" hidden="1" customHeight="1">
      <c r="A64" s="2"/>
      <c r="B64" s="150"/>
      <c r="C64" s="311"/>
      <c r="D64" s="311"/>
      <c r="E64" s="311"/>
      <c r="F64" s="311"/>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1"/>
      <c r="AG64" s="486"/>
      <c r="AH64" s="486"/>
      <c r="AI64" s="486"/>
      <c r="AM64" s="486"/>
      <c r="AU64" s="486"/>
      <c r="AY64" s="486"/>
      <c r="BC64" s="486"/>
      <c r="BG64" s="486"/>
      <c r="BK64" s="486"/>
      <c r="BO64" s="486"/>
    </row>
    <row r="65" spans="1:71" ht="13.5" hidden="1" customHeight="1">
      <c r="A65" s="2"/>
      <c r="B65" s="150"/>
      <c r="C65" s="272"/>
      <c r="D65" s="272"/>
      <c r="E65" s="272"/>
      <c r="F65" s="272"/>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2"/>
      <c r="AG65" s="486"/>
      <c r="AH65" s="486"/>
      <c r="AI65" s="486"/>
      <c r="AM65" s="486"/>
      <c r="AU65" s="486"/>
      <c r="AY65" s="486"/>
      <c r="BC65" s="486"/>
      <c r="BG65" s="486"/>
      <c r="BK65" s="486"/>
      <c r="BO65" s="486"/>
    </row>
    <row r="66" spans="1:71" ht="13.5" hidden="1" customHeight="1">
      <c r="A66" s="2"/>
      <c r="B66" s="150"/>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G66" s="486"/>
      <c r="AH66" s="486"/>
      <c r="AI66" s="486"/>
      <c r="AM66" s="486"/>
      <c r="AU66" s="486"/>
      <c r="AY66" s="486"/>
      <c r="BC66" s="486"/>
      <c r="BG66" s="486"/>
      <c r="BK66" s="486"/>
      <c r="BO66" s="486"/>
    </row>
    <row r="67" spans="1:71" ht="13.5" hidden="1" customHeight="1">
      <c r="A67" s="2"/>
      <c r="B67" s="150"/>
      <c r="C67" s="272"/>
      <c r="D67" s="272"/>
      <c r="E67" s="272"/>
      <c r="F67" s="272"/>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2"/>
      <c r="AG67" s="486"/>
      <c r="AH67" s="486"/>
      <c r="AI67" s="486"/>
      <c r="AM67" s="486"/>
      <c r="AU67" s="486"/>
      <c r="AY67" s="486"/>
      <c r="BC67" s="486"/>
      <c r="BG67" s="486"/>
      <c r="BK67" s="486"/>
      <c r="BO67" s="486"/>
    </row>
    <row r="68" spans="1:71" ht="13.5" hidden="1" customHeight="1">
      <c r="A68" s="2"/>
      <c r="B68" s="150"/>
      <c r="C68" s="311"/>
      <c r="D68" s="311"/>
      <c r="E68" s="311"/>
      <c r="F68" s="311"/>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1"/>
      <c r="AG68" s="486"/>
      <c r="AH68" s="486"/>
      <c r="AI68" s="486"/>
      <c r="AM68" s="486"/>
      <c r="AU68" s="486"/>
      <c r="AY68" s="486"/>
      <c r="BC68" s="486"/>
      <c r="BG68" s="486"/>
      <c r="BK68" s="486"/>
      <c r="BO68" s="486"/>
    </row>
    <row r="69" spans="1:71" ht="13.5" hidden="1" customHeight="1">
      <c r="A69" s="2"/>
      <c r="B69" s="150"/>
      <c r="C69" s="272"/>
      <c r="D69" s="272"/>
      <c r="E69" s="272"/>
      <c r="F69" s="272"/>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2"/>
      <c r="AG69" s="486"/>
      <c r="AH69" s="486"/>
      <c r="AI69" s="486"/>
      <c r="AM69" s="486"/>
      <c r="AU69" s="486"/>
      <c r="AY69" s="486"/>
      <c r="BC69" s="486"/>
      <c r="BG69" s="486"/>
      <c r="BK69" s="486"/>
      <c r="BO69" s="486"/>
    </row>
    <row r="70" spans="1:71" ht="13.5" hidden="1" customHeight="1">
      <c r="C70" s="439"/>
      <c r="D70" s="439"/>
      <c r="E70" s="439"/>
      <c r="F70" s="439"/>
      <c r="G70" s="439"/>
      <c r="H70" s="439"/>
      <c r="I70" s="439"/>
      <c r="J70" s="439"/>
      <c r="K70" s="439"/>
      <c r="L70" s="439"/>
      <c r="M70" s="439"/>
      <c r="N70" s="439"/>
      <c r="O70" s="439"/>
      <c r="P70" s="439"/>
      <c r="Q70" s="439"/>
      <c r="R70" s="439"/>
      <c r="S70" s="439"/>
      <c r="T70" s="439"/>
      <c r="U70" s="439"/>
      <c r="V70" s="439"/>
      <c r="W70" s="439"/>
      <c r="X70" s="439"/>
      <c r="Y70" s="439"/>
      <c r="Z70" s="439"/>
      <c r="AA70" s="439"/>
      <c r="AB70" s="439"/>
      <c r="AC70" s="439"/>
      <c r="AD70" s="439"/>
      <c r="AG70" s="486"/>
      <c r="AH70" s="486"/>
      <c r="AI70" s="486"/>
      <c r="AM70" s="486"/>
      <c r="AU70" s="486"/>
      <c r="AY70" s="486"/>
      <c r="BC70" s="486"/>
      <c r="BG70" s="486"/>
      <c r="BK70" s="486"/>
      <c r="BO70" s="486"/>
    </row>
    <row r="71" spans="1:71" ht="13.5" hidden="1" customHeight="1">
      <c r="AG71" s="486"/>
      <c r="AH71" s="486"/>
      <c r="AI71" s="486"/>
      <c r="AM71" s="486"/>
      <c r="AU71" s="486"/>
      <c r="AY71" s="486"/>
      <c r="BC71" s="486"/>
      <c r="BG71" s="486"/>
      <c r="BK71" s="486"/>
      <c r="BO71" s="486"/>
    </row>
    <row r="72" spans="1:71" ht="13.5" hidden="1" customHeight="1">
      <c r="AG72" s="486"/>
      <c r="AH72" s="486"/>
      <c r="AI72" s="486"/>
      <c r="AM72" s="486"/>
      <c r="AU72" s="486"/>
      <c r="AY72" s="486"/>
      <c r="BC72" s="486"/>
      <c r="BG72" s="486"/>
      <c r="BK72" s="486"/>
      <c r="BO72" s="486"/>
    </row>
    <row r="73" spans="1:71" ht="13.5" hidden="1" customHeight="1">
      <c r="A73" s="2"/>
      <c r="B73" s="150"/>
      <c r="C73" s="311"/>
      <c r="D73" s="311"/>
      <c r="E73" s="311"/>
      <c r="F73" s="311"/>
      <c r="G73" s="311"/>
      <c r="H73" s="311"/>
      <c r="I73" s="311"/>
      <c r="J73" s="311"/>
      <c r="K73" s="311"/>
      <c r="L73" s="311"/>
      <c r="M73" s="311"/>
      <c r="N73" s="311"/>
      <c r="O73" s="311"/>
      <c r="P73" s="311"/>
      <c r="Q73" s="311"/>
      <c r="R73" s="311"/>
      <c r="S73" s="311"/>
      <c r="T73" s="311"/>
      <c r="U73" s="311"/>
      <c r="V73" s="311"/>
      <c r="W73" s="311"/>
      <c r="X73" s="311"/>
      <c r="Y73" s="311"/>
      <c r="Z73" s="311"/>
      <c r="AA73" s="311"/>
      <c r="AB73" s="311"/>
      <c r="AC73" s="311"/>
      <c r="AD73" s="311"/>
      <c r="AG73" s="486"/>
      <c r="AH73" s="486"/>
      <c r="AI73" s="486"/>
      <c r="AM73" s="486"/>
      <c r="AU73" s="486"/>
      <c r="AY73" s="486"/>
      <c r="BC73" s="486"/>
      <c r="BG73" s="486"/>
      <c r="BK73" s="486"/>
      <c r="BO73" s="486"/>
    </row>
    <row r="74" spans="1:71" ht="13.5" hidden="1" customHeight="1">
      <c r="A74" s="2"/>
      <c r="B74" s="150"/>
      <c r="C74" s="272"/>
      <c r="D74" s="272"/>
      <c r="E74" s="272"/>
      <c r="F74" s="272"/>
      <c r="G74" s="272"/>
      <c r="H74" s="272"/>
      <c r="I74" s="272"/>
      <c r="J74" s="272"/>
      <c r="K74" s="272"/>
      <c r="L74" s="272"/>
      <c r="M74" s="272"/>
      <c r="N74" s="272"/>
      <c r="O74" s="272"/>
      <c r="P74" s="272"/>
      <c r="Q74" s="272"/>
      <c r="R74" s="272"/>
      <c r="S74" s="272"/>
      <c r="T74" s="272"/>
      <c r="U74" s="272"/>
      <c r="V74" s="272"/>
      <c r="W74" s="272"/>
      <c r="X74" s="272"/>
      <c r="Y74" s="272"/>
      <c r="Z74" s="272"/>
      <c r="AA74" s="272"/>
      <c r="AB74" s="272"/>
      <c r="AC74" s="272"/>
      <c r="AD74" s="272"/>
      <c r="AG74" s="486"/>
      <c r="AH74" s="486"/>
      <c r="AI74" s="486"/>
      <c r="AM74" s="486"/>
      <c r="AU74" s="486"/>
      <c r="AY74" s="486"/>
      <c r="BC74" s="486"/>
      <c r="BG74" s="486"/>
      <c r="BK74" s="486"/>
      <c r="BO74" s="486"/>
    </row>
    <row r="75" spans="1:71" ht="13.5" hidden="1" customHeight="1">
      <c r="AG75" s="486"/>
      <c r="AH75" s="486"/>
      <c r="AI75" s="486"/>
      <c r="AM75" s="486"/>
      <c r="AU75" s="486"/>
      <c r="AY75" s="486"/>
      <c r="BC75" s="486"/>
      <c r="BG75" s="486"/>
      <c r="BK75" s="486"/>
      <c r="BO75" s="486"/>
    </row>
    <row r="76" spans="1:71" ht="13.5" hidden="1" customHeight="1">
      <c r="A76" s="2"/>
      <c r="B76" s="150"/>
      <c r="C76" s="311"/>
      <c r="D76" s="311"/>
      <c r="E76" s="311"/>
      <c r="F76" s="311"/>
      <c r="G76" s="311"/>
      <c r="H76" s="311"/>
      <c r="I76" s="311"/>
      <c r="J76" s="311"/>
      <c r="K76" s="311"/>
      <c r="L76" s="311"/>
      <c r="M76" s="311"/>
      <c r="N76" s="311"/>
      <c r="O76" s="311"/>
      <c r="P76" s="311"/>
      <c r="Q76" s="311"/>
      <c r="R76" s="311"/>
      <c r="S76" s="311"/>
      <c r="T76" s="311"/>
      <c r="U76" s="311"/>
      <c r="V76" s="311"/>
      <c r="W76" s="311"/>
      <c r="X76" s="311"/>
      <c r="Y76" s="311"/>
      <c r="Z76" s="311"/>
      <c r="AA76" s="311"/>
      <c r="AB76" s="311"/>
      <c r="AC76" s="311"/>
      <c r="AD76" s="311"/>
      <c r="AG76" s="486"/>
      <c r="AH76" s="486"/>
      <c r="AI76" s="486"/>
      <c r="AM76" s="486"/>
      <c r="AU76" s="486"/>
      <c r="AY76" s="486"/>
      <c r="BC76" s="486"/>
      <c r="BG76" s="486"/>
      <c r="BK76" s="486"/>
      <c r="BO76" s="486"/>
    </row>
    <row r="77" spans="1:71" ht="13.5" hidden="1" customHeight="1">
      <c r="C77" s="439"/>
      <c r="D77" s="439"/>
      <c r="E77" s="439"/>
      <c r="F77" s="439"/>
      <c r="G77" s="439"/>
      <c r="H77" s="439"/>
      <c r="I77" s="439"/>
      <c r="J77" s="439"/>
      <c r="K77" s="439"/>
      <c r="L77" s="439"/>
      <c r="M77" s="439"/>
      <c r="N77" s="439"/>
      <c r="O77" s="439"/>
      <c r="P77" s="439"/>
      <c r="Q77" s="439"/>
      <c r="R77" s="439"/>
      <c r="S77" s="439"/>
      <c r="T77" s="439"/>
      <c r="U77" s="439"/>
      <c r="V77" s="439"/>
      <c r="W77" s="439"/>
      <c r="X77" s="439"/>
      <c r="Y77" s="439"/>
      <c r="Z77" s="439"/>
      <c r="AA77" s="439"/>
      <c r="AB77" s="439"/>
      <c r="AC77" s="439"/>
      <c r="AD77" s="439"/>
      <c r="AG77" s="486"/>
      <c r="AH77" s="486"/>
      <c r="AI77" s="486"/>
      <c r="AM77" s="486"/>
      <c r="AU77" s="486"/>
      <c r="AY77" s="486"/>
      <c r="BC77" s="486"/>
      <c r="BG77" s="486"/>
      <c r="BK77" s="486"/>
      <c r="BO77" s="486"/>
    </row>
    <row r="78" spans="1:71" ht="13.5" hidden="1" customHeight="1">
      <c r="AA78" s="439"/>
      <c r="AB78" s="439"/>
      <c r="AC78" s="439"/>
      <c r="AD78" s="439"/>
      <c r="AE78" s="439"/>
      <c r="AF78" s="439"/>
      <c r="AG78" s="439"/>
      <c r="AJ78" s="439"/>
      <c r="AK78" s="439"/>
      <c r="AL78" s="439"/>
      <c r="AN78" s="439"/>
      <c r="AO78" s="439"/>
      <c r="AP78" s="439"/>
      <c r="AQ78" s="439"/>
      <c r="AS78" s="439"/>
      <c r="AT78" s="439"/>
    </row>
    <row r="79" spans="1:71" ht="13.5" hidden="1" customHeight="1">
      <c r="AA79" s="311"/>
      <c r="AB79" s="311"/>
      <c r="AC79" s="311"/>
      <c r="AD79" s="311"/>
      <c r="AE79" s="311"/>
    </row>
    <row r="80" spans="1:71" s="150" customFormat="1" ht="11.25" hidden="1" customHeight="1">
      <c r="A80" s="202"/>
      <c r="B80" s="202"/>
      <c r="C80" s="272"/>
      <c r="D80" s="272"/>
      <c r="E80" s="272"/>
      <c r="F80" s="272"/>
      <c r="G80" s="272"/>
      <c r="H80" s="272"/>
      <c r="I80" s="272"/>
      <c r="J80" s="272"/>
      <c r="K80" s="272"/>
      <c r="L80" s="272"/>
      <c r="M80" s="272"/>
      <c r="N80" s="272"/>
      <c r="O80" s="272"/>
      <c r="P80" s="272"/>
      <c r="Q80" s="272"/>
      <c r="R80" s="272"/>
      <c r="S80" s="272"/>
      <c r="T80" s="272"/>
      <c r="U80" s="272"/>
      <c r="V80" s="272"/>
      <c r="W80" s="272"/>
      <c r="X80" s="272"/>
      <c r="Y80" s="272"/>
      <c r="Z80" s="272"/>
      <c r="AA80" s="311"/>
      <c r="AB80" s="311"/>
      <c r="AC80" s="311"/>
      <c r="AD80" s="311"/>
      <c r="AE80" s="311"/>
      <c r="AF80" s="272"/>
      <c r="AG80" s="272"/>
      <c r="AH80" s="272"/>
      <c r="AI80" s="272"/>
      <c r="AJ80" s="272"/>
      <c r="AK80" s="272"/>
      <c r="AL80" s="272"/>
      <c r="AM80" s="272"/>
      <c r="AN80" s="272"/>
      <c r="AO80" s="272"/>
      <c r="AP80" s="272"/>
      <c r="AQ80" s="272"/>
      <c r="AR80" s="272"/>
      <c r="AS80" s="272"/>
      <c r="AT80" s="272"/>
      <c r="AU80" s="272"/>
      <c r="AV80" s="272"/>
      <c r="AW80" s="272"/>
      <c r="AX80" s="272"/>
      <c r="AY80" s="272"/>
      <c r="AZ80" s="272"/>
      <c r="BA80" s="272"/>
      <c r="BB80" s="272"/>
      <c r="BC80" s="272"/>
      <c r="BD80" s="272"/>
      <c r="BE80" s="272"/>
      <c r="BF80" s="272"/>
      <c r="BG80" s="272"/>
      <c r="BH80" s="272"/>
      <c r="BI80" s="272"/>
      <c r="BJ80" s="272"/>
      <c r="BK80" s="272"/>
      <c r="BL80" s="272"/>
      <c r="BM80" s="272"/>
      <c r="BN80" s="272"/>
      <c r="BO80" s="272"/>
      <c r="BP80" s="272"/>
      <c r="BQ80" s="272"/>
      <c r="BR80" s="272"/>
      <c r="BS80" s="270"/>
    </row>
    <row r="81" spans="1:71" s="150" customFormat="1" ht="11.25" hidden="1" customHeight="1">
      <c r="A81" s="202"/>
      <c r="B81" s="202"/>
      <c r="C81" s="272"/>
      <c r="D81" s="272"/>
      <c r="E81" s="272"/>
      <c r="F81" s="272"/>
      <c r="G81" s="272"/>
      <c r="H81" s="272"/>
      <c r="I81" s="272"/>
      <c r="J81" s="272"/>
      <c r="K81" s="272"/>
      <c r="L81" s="272"/>
      <c r="M81" s="272"/>
      <c r="N81" s="272"/>
      <c r="O81" s="272"/>
      <c r="P81" s="272"/>
      <c r="Q81" s="272"/>
      <c r="R81" s="272"/>
      <c r="S81" s="272"/>
      <c r="T81" s="272"/>
      <c r="U81" s="272"/>
      <c r="V81" s="272"/>
      <c r="W81" s="272"/>
      <c r="X81" s="272"/>
      <c r="Y81" s="272"/>
      <c r="Z81" s="272"/>
      <c r="AA81" s="311"/>
      <c r="AB81" s="311"/>
      <c r="AC81" s="311"/>
      <c r="AD81" s="311"/>
      <c r="AE81" s="311"/>
      <c r="AF81" s="311"/>
      <c r="AG81" s="311"/>
      <c r="AH81" s="272"/>
      <c r="AI81" s="272"/>
      <c r="AJ81" s="311"/>
      <c r="AK81" s="311"/>
      <c r="AL81" s="311"/>
      <c r="AM81" s="272"/>
      <c r="AN81" s="311"/>
      <c r="AO81" s="311"/>
      <c r="AP81" s="311"/>
      <c r="AQ81" s="311"/>
      <c r="AR81" s="272"/>
      <c r="AS81" s="311"/>
      <c r="AT81" s="311"/>
      <c r="AU81" s="272"/>
      <c r="AV81" s="272"/>
      <c r="AW81" s="272"/>
      <c r="AX81" s="272"/>
      <c r="AY81" s="272"/>
      <c r="AZ81" s="272"/>
      <c r="BA81" s="272"/>
      <c r="BB81" s="272"/>
      <c r="BC81" s="272"/>
      <c r="BD81" s="272"/>
      <c r="BE81" s="272"/>
      <c r="BF81" s="272"/>
      <c r="BG81" s="272"/>
      <c r="BH81" s="272"/>
      <c r="BI81" s="272"/>
      <c r="BJ81" s="272"/>
      <c r="BK81" s="272"/>
      <c r="BL81" s="272"/>
      <c r="BM81" s="272"/>
      <c r="BN81" s="272"/>
      <c r="BO81" s="272"/>
      <c r="BP81" s="272"/>
      <c r="BQ81" s="272"/>
      <c r="BR81" s="272"/>
      <c r="BS81" s="270"/>
    </row>
    <row r="82" spans="1:71" s="150" customFormat="1" ht="11.25" hidden="1" customHeight="1">
      <c r="A82" s="202"/>
      <c r="B82" s="202"/>
      <c r="C82" s="272"/>
      <c r="D82" s="272"/>
      <c r="E82" s="272"/>
      <c r="F82" s="272"/>
      <c r="G82" s="272"/>
      <c r="H82" s="272"/>
      <c r="I82" s="272"/>
      <c r="J82" s="272"/>
      <c r="K82" s="272"/>
      <c r="L82" s="272"/>
      <c r="M82" s="272"/>
      <c r="N82" s="272"/>
      <c r="O82" s="272"/>
      <c r="P82" s="272"/>
      <c r="Q82" s="272"/>
      <c r="R82" s="272"/>
      <c r="S82" s="272"/>
      <c r="T82" s="272"/>
      <c r="U82" s="272"/>
      <c r="V82" s="272"/>
      <c r="W82" s="272"/>
      <c r="X82" s="272"/>
      <c r="Y82" s="272"/>
      <c r="Z82" s="272"/>
      <c r="AA82" s="311"/>
      <c r="AB82" s="311"/>
      <c r="AC82" s="311"/>
      <c r="AD82" s="311"/>
      <c r="AE82" s="311"/>
      <c r="AF82" s="272"/>
      <c r="AG82" s="272"/>
      <c r="AH82" s="272"/>
      <c r="AI82" s="272"/>
      <c r="AJ82" s="272"/>
      <c r="AK82" s="272"/>
      <c r="AL82" s="272"/>
      <c r="AM82" s="272"/>
      <c r="AN82" s="272"/>
      <c r="AO82" s="272"/>
      <c r="AP82" s="272"/>
      <c r="AQ82" s="272"/>
      <c r="AR82" s="272"/>
      <c r="AS82" s="272"/>
      <c r="AT82" s="272"/>
      <c r="AU82" s="272"/>
      <c r="AV82" s="272"/>
      <c r="AW82" s="272"/>
      <c r="AX82" s="272"/>
      <c r="AY82" s="272"/>
      <c r="AZ82" s="272"/>
      <c r="BA82" s="272"/>
      <c r="BB82" s="272"/>
      <c r="BC82" s="272"/>
      <c r="BD82" s="272"/>
      <c r="BE82" s="272"/>
      <c r="BF82" s="272"/>
      <c r="BG82" s="272"/>
      <c r="BH82" s="272"/>
      <c r="BI82" s="272"/>
      <c r="BJ82" s="272"/>
      <c r="BK82" s="272"/>
      <c r="BL82" s="272"/>
      <c r="BM82" s="272"/>
      <c r="BN82" s="272"/>
      <c r="BO82" s="272"/>
      <c r="BP82" s="272"/>
      <c r="BQ82" s="272"/>
      <c r="BR82" s="272"/>
      <c r="BS82" s="270"/>
    </row>
    <row r="83" spans="1:71" s="150" customFormat="1" ht="11.25" hidden="1" customHeight="1">
      <c r="A83" s="202"/>
      <c r="B83" s="202"/>
      <c r="C83" s="272"/>
      <c r="D83" s="272"/>
      <c r="E83" s="272"/>
      <c r="F83" s="272"/>
      <c r="G83" s="272"/>
      <c r="H83" s="272"/>
      <c r="I83" s="272"/>
      <c r="J83" s="272"/>
      <c r="K83" s="272"/>
      <c r="L83" s="272"/>
      <c r="M83" s="272"/>
      <c r="N83" s="272"/>
      <c r="O83" s="272"/>
      <c r="P83" s="272"/>
      <c r="Q83" s="272"/>
      <c r="R83" s="272"/>
      <c r="S83" s="272"/>
      <c r="T83" s="272"/>
      <c r="U83" s="272"/>
      <c r="V83" s="272"/>
      <c r="W83" s="272"/>
      <c r="X83" s="272"/>
      <c r="Y83" s="272"/>
      <c r="Z83" s="272"/>
      <c r="AA83" s="311"/>
      <c r="AB83" s="311"/>
      <c r="AC83" s="311"/>
      <c r="AD83" s="311"/>
      <c r="AE83" s="311"/>
      <c r="AF83" s="272"/>
      <c r="AG83" s="272"/>
      <c r="AH83" s="272"/>
      <c r="AI83" s="272"/>
      <c r="AJ83" s="272"/>
      <c r="AK83" s="272"/>
      <c r="AL83" s="272"/>
      <c r="AM83" s="272"/>
      <c r="AN83" s="272"/>
      <c r="AO83" s="272"/>
      <c r="AP83" s="272"/>
      <c r="AQ83" s="272"/>
      <c r="AR83" s="272"/>
      <c r="AS83" s="272"/>
      <c r="AT83" s="272"/>
      <c r="AU83" s="272"/>
      <c r="AV83" s="272"/>
      <c r="AW83" s="272"/>
      <c r="AX83" s="272"/>
      <c r="AY83" s="272"/>
      <c r="AZ83" s="272"/>
      <c r="BA83" s="272"/>
      <c r="BB83" s="272"/>
      <c r="BC83" s="272"/>
      <c r="BD83" s="272"/>
      <c r="BE83" s="272"/>
      <c r="BF83" s="272"/>
      <c r="BG83" s="272"/>
      <c r="BH83" s="272"/>
      <c r="BI83" s="272"/>
      <c r="BJ83" s="272"/>
      <c r="BK83" s="272"/>
      <c r="BL83" s="272"/>
      <c r="BM83" s="272"/>
      <c r="BN83" s="272"/>
      <c r="BO83" s="272"/>
      <c r="BP83" s="272"/>
      <c r="BQ83" s="272"/>
      <c r="BR83" s="272"/>
      <c r="BS83" s="270"/>
    </row>
    <row r="84" spans="1:71" ht="13.5" hidden="1" customHeight="1">
      <c r="AA84" s="439"/>
      <c r="AB84" s="439"/>
      <c r="AC84" s="439"/>
      <c r="AD84" s="439"/>
      <c r="AE84" s="439"/>
      <c r="AF84" s="439"/>
      <c r="AG84" s="439"/>
      <c r="AH84" s="439"/>
      <c r="AI84" s="439"/>
      <c r="AJ84" s="439"/>
      <c r="AK84" s="439"/>
      <c r="AL84" s="439"/>
      <c r="AM84" s="439"/>
      <c r="AN84" s="439"/>
      <c r="AO84" s="439"/>
      <c r="AP84" s="439"/>
      <c r="AQ84" s="439"/>
      <c r="AS84" s="439"/>
      <c r="AT84" s="439"/>
      <c r="AU84" s="439"/>
      <c r="AY84" s="439"/>
      <c r="BC84" s="439"/>
      <c r="BG84" s="439"/>
      <c r="BK84" s="439"/>
      <c r="BO84" s="439"/>
    </row>
    <row r="85" spans="1:71" ht="13.5" hidden="1" customHeight="1">
      <c r="AA85" s="439"/>
      <c r="AB85" s="439"/>
      <c r="AC85" s="439"/>
      <c r="AD85" s="439"/>
      <c r="AE85" s="439"/>
      <c r="AF85" s="439"/>
      <c r="AG85" s="439"/>
      <c r="AH85" s="439"/>
      <c r="AI85" s="439"/>
      <c r="AJ85" s="439"/>
      <c r="AK85" s="439"/>
      <c r="AL85" s="439"/>
      <c r="AM85" s="439"/>
      <c r="AN85" s="439"/>
      <c r="AO85" s="439"/>
      <c r="AP85" s="439"/>
      <c r="AQ85" s="439"/>
      <c r="AS85" s="439"/>
      <c r="AT85" s="439"/>
      <c r="AU85" s="439"/>
      <c r="AY85" s="439"/>
      <c r="BC85" s="439"/>
      <c r="BG85" s="439"/>
      <c r="BK85" s="439"/>
      <c r="BO85" s="439"/>
    </row>
    <row r="86" spans="1:71" ht="13.5" hidden="1" customHeight="1">
      <c r="AA86" s="439"/>
      <c r="AB86" s="439"/>
      <c r="AC86" s="439"/>
      <c r="AD86" s="439"/>
      <c r="AE86" s="439"/>
      <c r="AF86" s="439"/>
      <c r="AG86" s="439"/>
      <c r="AH86" s="439"/>
      <c r="AI86" s="439"/>
      <c r="AJ86" s="439"/>
      <c r="AK86" s="439"/>
      <c r="AL86" s="439"/>
      <c r="AM86" s="439"/>
      <c r="AN86" s="439"/>
      <c r="AO86" s="439"/>
      <c r="AP86" s="439"/>
      <c r="AQ86" s="439"/>
      <c r="AS86" s="439"/>
      <c r="AT86" s="439"/>
      <c r="AU86" s="439"/>
      <c r="AY86" s="439"/>
      <c r="BC86" s="439"/>
      <c r="BG86" s="439"/>
      <c r="BK86" s="439"/>
      <c r="BO86" s="439"/>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7DE86B48-F6E2-4DC1-928F-5041A613BEC9}"/>
    <hyperlink ref="A1" location="'Spis tresci_Table of content'!A1" display="Go back to Table of content" xr:uid="{D3BCC7E7-5E6C-4707-A8F3-1A8885B081EE}"/>
    <hyperlink ref="B1" location="'Spis tresci_Table of content'!A1" display="Powrót do spisu treści" xr:uid="{D24039C5-77EC-4C3D-98F4-966EAA052447}"/>
  </hyperlinks>
  <printOptions horizontalCentered="1"/>
  <pageMargins left="0.23622047244094491" right="0.23622047244094491" top="0.74803149606299213" bottom="0.74803149606299213" header="0.31496062992125984" footer="0.31496062992125984"/>
  <pageSetup paperSize="9" scale="2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9A925-2FA6-4948-80CF-D5A06661CFB9}">
  <sheetPr>
    <pageSetUpPr fitToPage="1"/>
  </sheetPr>
  <dimension ref="A1:BV22"/>
  <sheetViews>
    <sheetView showGridLines="0" zoomScaleNormal="100" zoomScaleSheetLayoutView="100" zoomScalePageLayoutView="80" workbookViewId="0">
      <pane xSplit="2" ySplit="5" topLeftCell="BK6" activePane="bottomRight" state="frozen"/>
      <selection activeCell="B1" sqref="B1"/>
      <selection pane="topRight" activeCell="C1" sqref="C1"/>
      <selection pane="bottomLeft" activeCell="B5" sqref="B5"/>
      <selection pane="bottomRight" activeCell="BK1" sqref="BK1"/>
    </sheetView>
  </sheetViews>
  <sheetFormatPr defaultColWidth="0" defaultRowHeight="13.8" customHeight="1" zeroHeight="1" outlineLevelCol="1"/>
  <cols>
    <col min="1" max="1" width="50.44140625" style="4" customWidth="1" outlineLevel="1"/>
    <col min="2" max="2" width="53.109375" style="4" customWidth="1"/>
    <col min="3" max="63" width="6.109375" style="2" customWidth="1"/>
    <col min="64" max="64" width="7.88671875" style="2" customWidth="1"/>
    <col min="65" max="65" width="8.88671875" style="2" customWidth="1"/>
    <col min="66" max="66" width="8.33203125" style="2" customWidth="1"/>
    <col min="67" max="67" width="10.44140625" style="2" customWidth="1"/>
    <col min="68" max="70" width="8.109375" style="2" customWidth="1"/>
    <col min="71" max="71" width="10.44140625" style="2" customWidth="1"/>
    <col min="72" max="72" width="10.6640625" style="2" customWidth="1"/>
    <col min="73" max="73" width="12" style="2" customWidth="1"/>
    <col min="74" max="74" width="11.5546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219"/>
    </row>
    <row r="2" spans="1:74">
      <c r="A2" s="152" t="s">
        <v>783</v>
      </c>
      <c r="B2" s="152" t="s">
        <v>5</v>
      </c>
      <c r="AY2" s="219" t="s">
        <v>295</v>
      </c>
      <c r="AZ2" s="150"/>
      <c r="BA2" s="150"/>
      <c r="BB2" s="150"/>
    </row>
    <row r="3" spans="1:74">
      <c r="A3" s="536" t="s">
        <v>784</v>
      </c>
      <c r="B3" s="536" t="s">
        <v>785</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4"/>
      <c r="AI3" s="533">
        <v>2015</v>
      </c>
      <c r="AJ3" s="534"/>
      <c r="AK3" s="534"/>
      <c r="AL3" s="534"/>
      <c r="AM3" s="533">
        <v>2016</v>
      </c>
      <c r="AN3" s="534"/>
      <c r="AO3" s="534"/>
      <c r="AP3" s="534"/>
      <c r="AQ3" s="533">
        <v>2017</v>
      </c>
      <c r="AR3" s="534"/>
      <c r="AS3" s="534"/>
      <c r="AT3" s="534">
        <v>2017</v>
      </c>
      <c r="AU3" s="542">
        <v>2018</v>
      </c>
      <c r="AV3" s="543"/>
      <c r="AW3" s="543"/>
      <c r="AX3" s="550"/>
      <c r="AY3" s="543">
        <v>2019</v>
      </c>
      <c r="AZ3" s="543"/>
      <c r="BA3" s="543"/>
      <c r="BB3" s="551"/>
      <c r="BC3" s="533">
        <v>2020</v>
      </c>
      <c r="BD3" s="538"/>
      <c r="BE3" s="538"/>
      <c r="BF3" s="547"/>
      <c r="BG3" s="533">
        <v>2021</v>
      </c>
      <c r="BH3" s="538"/>
      <c r="BI3" s="538"/>
      <c r="BJ3" s="547"/>
      <c r="BK3" s="533">
        <v>2022</v>
      </c>
      <c r="BL3" s="538"/>
      <c r="BM3" s="538"/>
      <c r="BN3" s="547"/>
      <c r="BO3" s="533">
        <v>2023</v>
      </c>
      <c r="BP3" s="538"/>
      <c r="BQ3" s="538"/>
      <c r="BR3" s="547"/>
      <c r="BS3" s="533">
        <v>2024</v>
      </c>
      <c r="BT3" s="538"/>
      <c r="BU3" s="538"/>
      <c r="BV3" s="547"/>
    </row>
    <row r="4" spans="1:74" ht="26.25" customHeight="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1" t="s">
        <v>8</v>
      </c>
      <c r="AB4" s="12" t="s">
        <v>9</v>
      </c>
      <c r="AC4" s="12" t="s">
        <v>10</v>
      </c>
      <c r="AD4" s="13" t="s">
        <v>11</v>
      </c>
      <c r="AE4" s="12" t="s">
        <v>8</v>
      </c>
      <c r="AF4" s="12" t="s">
        <v>9</v>
      </c>
      <c r="AG4" s="12" t="s">
        <v>10</v>
      </c>
      <c r="AH4" s="12" t="s">
        <v>11</v>
      </c>
      <c r="AI4" s="11" t="s">
        <v>8</v>
      </c>
      <c r="AJ4" s="12" t="s">
        <v>9</v>
      </c>
      <c r="AK4" s="12" t="s">
        <v>10</v>
      </c>
      <c r="AL4" s="12" t="s">
        <v>11</v>
      </c>
      <c r="AM4" s="11" t="s">
        <v>8</v>
      </c>
      <c r="AN4" s="12" t="s">
        <v>9</v>
      </c>
      <c r="AO4" s="12" t="s">
        <v>10</v>
      </c>
      <c r="AP4" s="12" t="s">
        <v>11</v>
      </c>
      <c r="AQ4" s="11" t="s">
        <v>8</v>
      </c>
      <c r="AR4" s="12" t="s">
        <v>9</v>
      </c>
      <c r="AS4" s="12" t="s">
        <v>10</v>
      </c>
      <c r="AT4" s="12" t="s">
        <v>11</v>
      </c>
      <c r="AU4" s="11" t="s">
        <v>8</v>
      </c>
      <c r="AV4" s="12" t="s">
        <v>9</v>
      </c>
      <c r="AW4" s="12" t="s">
        <v>10</v>
      </c>
      <c r="AX4" s="463" t="s">
        <v>11</v>
      </c>
      <c r="AY4" s="464"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ht="12.75" customHeight="1">
      <c r="A5" s="17" t="s">
        <v>12</v>
      </c>
      <c r="B5" s="17" t="s">
        <v>13</v>
      </c>
      <c r="C5" s="465"/>
      <c r="D5" s="728"/>
      <c r="E5" s="728"/>
      <c r="F5" s="728"/>
      <c r="G5" s="729"/>
      <c r="H5" s="728"/>
      <c r="I5" s="728"/>
      <c r="J5" s="730"/>
      <c r="K5" s="729"/>
      <c r="L5" s="728"/>
      <c r="M5" s="728"/>
      <c r="N5" s="730"/>
      <c r="O5" s="729"/>
      <c r="P5" s="728"/>
      <c r="Q5" s="728"/>
      <c r="R5" s="730"/>
      <c r="S5" s="729"/>
      <c r="T5" s="728"/>
      <c r="U5" s="728"/>
      <c r="V5" s="730"/>
      <c r="W5" s="729"/>
      <c r="X5" s="728"/>
      <c r="Y5" s="728"/>
      <c r="Z5" s="730"/>
      <c r="AA5" s="729"/>
      <c r="AB5" s="728"/>
      <c r="AC5" s="728"/>
      <c r="AD5" s="730"/>
      <c r="AE5" s="728"/>
      <c r="AF5" s="728"/>
      <c r="AG5" s="728"/>
      <c r="AH5" s="728"/>
      <c r="AI5" s="729"/>
      <c r="AJ5" s="728"/>
      <c r="AK5" s="728"/>
      <c r="AL5" s="728"/>
      <c r="AM5" s="729"/>
      <c r="AN5" s="728"/>
      <c r="AO5" s="728"/>
      <c r="AP5" s="728"/>
      <c r="AQ5" s="729"/>
      <c r="AR5" s="728"/>
      <c r="AS5" s="728"/>
      <c r="AT5" s="728"/>
      <c r="AU5" s="729"/>
      <c r="AV5" s="728"/>
      <c r="AW5" s="728"/>
      <c r="AX5" s="731"/>
      <c r="AY5" s="622"/>
      <c r="AZ5" s="620"/>
      <c r="BA5" s="620"/>
      <c r="BB5" s="620"/>
      <c r="BC5" s="729"/>
      <c r="BD5" s="728"/>
      <c r="BE5" s="728"/>
      <c r="BF5" s="728"/>
      <c r="BG5" s="729"/>
      <c r="BH5" s="728"/>
      <c r="BI5" s="728"/>
      <c r="BJ5" s="728"/>
      <c r="BK5" s="729"/>
      <c r="BL5" s="728"/>
      <c r="BM5" s="728"/>
      <c r="BN5" s="728"/>
      <c r="BO5" s="729"/>
      <c r="BP5" s="728"/>
      <c r="BQ5" s="728"/>
      <c r="BR5" s="728"/>
      <c r="BS5" s="729"/>
      <c r="BT5" s="732"/>
    </row>
    <row r="6" spans="1:74" s="466" customFormat="1">
      <c r="A6" s="177" t="s">
        <v>754</v>
      </c>
      <c r="B6" s="177" t="s">
        <v>755</v>
      </c>
      <c r="C6" s="156">
        <f t="shared" ref="C6:X6" si="0">SUM(C7:C10)</f>
        <v>219.23446177487298</v>
      </c>
      <c r="D6" s="636">
        <f t="shared" si="0"/>
        <v>212.83446177487298</v>
      </c>
      <c r="E6" s="636">
        <f t="shared" si="0"/>
        <v>221.73446177487301</v>
      </c>
      <c r="F6" s="636">
        <f t="shared" si="0"/>
        <v>192.53446177487299</v>
      </c>
      <c r="G6" s="635">
        <f t="shared" si="0"/>
        <v>285.24199121427245</v>
      </c>
      <c r="H6" s="636">
        <f t="shared" si="0"/>
        <v>273.34199121427247</v>
      </c>
      <c r="I6" s="636">
        <f t="shared" si="0"/>
        <v>277.34199121427247</v>
      </c>
      <c r="J6" s="637">
        <f t="shared" si="0"/>
        <v>34.441991214272434</v>
      </c>
      <c r="K6" s="635">
        <f t="shared" si="0"/>
        <v>263.01495819501633</v>
      </c>
      <c r="L6" s="636">
        <f t="shared" si="0"/>
        <v>335.11495819501636</v>
      </c>
      <c r="M6" s="636">
        <f t="shared" si="0"/>
        <v>367.21495819501638</v>
      </c>
      <c r="N6" s="637">
        <f t="shared" si="0"/>
        <v>282.81495819501635</v>
      </c>
      <c r="O6" s="635">
        <f t="shared" si="0"/>
        <v>353.23382920852202</v>
      </c>
      <c r="P6" s="636">
        <f t="shared" si="0"/>
        <v>321.43382920852201</v>
      </c>
      <c r="Q6" s="636">
        <f t="shared" si="0"/>
        <v>333.53382920852204</v>
      </c>
      <c r="R6" s="637">
        <f t="shared" si="0"/>
        <v>311.93382920852207</v>
      </c>
      <c r="S6" s="635">
        <f t="shared" si="0"/>
        <v>352.35273582985053</v>
      </c>
      <c r="T6" s="636">
        <f t="shared" si="0"/>
        <v>357.9527358298505</v>
      </c>
      <c r="U6" s="636">
        <f t="shared" si="0"/>
        <v>358.4527358298505</v>
      </c>
      <c r="V6" s="637">
        <f t="shared" si="0"/>
        <v>376.4527358298505</v>
      </c>
      <c r="W6" s="635">
        <f t="shared" si="0"/>
        <v>429.07316013128394</v>
      </c>
      <c r="X6" s="636">
        <f t="shared" si="0"/>
        <v>381.47316013128398</v>
      </c>
      <c r="Y6" s="636">
        <f t="shared" ref="Y6:BS6" si="1">SUM(Y7:Y10)</f>
        <v>376.87316013128395</v>
      </c>
      <c r="Z6" s="637">
        <f t="shared" si="1"/>
        <v>376.97316013128392</v>
      </c>
      <c r="AA6" s="635">
        <f t="shared" si="1"/>
        <v>415.33072898459631</v>
      </c>
      <c r="AB6" s="636">
        <f t="shared" si="1"/>
        <v>393.14739771935047</v>
      </c>
      <c r="AC6" s="636">
        <f t="shared" si="1"/>
        <v>382.87190215539556</v>
      </c>
      <c r="AD6" s="637">
        <f>SUM(AD7:AD10)</f>
        <v>383.94748555135504</v>
      </c>
      <c r="AE6" s="636">
        <f>SUM(AE7:AE10)</f>
        <v>398.59999999999997</v>
      </c>
      <c r="AF6" s="636">
        <f>SUM(AF7:AF10)</f>
        <v>400.9</v>
      </c>
      <c r="AG6" s="636">
        <f t="shared" si="1"/>
        <v>404.2</v>
      </c>
      <c r="AH6" s="636">
        <f t="shared" si="1"/>
        <v>397.70000000000005</v>
      </c>
      <c r="AI6" s="635">
        <f t="shared" si="1"/>
        <v>426.40000000000003</v>
      </c>
      <c r="AJ6" s="636">
        <f t="shared" si="1"/>
        <v>411.8</v>
      </c>
      <c r="AK6" s="636">
        <f t="shared" si="1"/>
        <v>406.5</v>
      </c>
      <c r="AL6" s="636">
        <f t="shared" si="1"/>
        <v>445.10000000000008</v>
      </c>
      <c r="AM6" s="635">
        <f t="shared" si="1"/>
        <v>448.20000000000005</v>
      </c>
      <c r="AN6" s="636">
        <f t="shared" si="1"/>
        <v>436.9</v>
      </c>
      <c r="AO6" s="636">
        <f t="shared" si="1"/>
        <v>466.50000000000006</v>
      </c>
      <c r="AP6" s="636">
        <f t="shared" si="1"/>
        <v>500.8</v>
      </c>
      <c r="AQ6" s="635">
        <f t="shared" si="1"/>
        <v>499.80000000000007</v>
      </c>
      <c r="AR6" s="636">
        <f t="shared" si="1"/>
        <v>514.6</v>
      </c>
      <c r="AS6" s="636">
        <f t="shared" si="1"/>
        <v>536.1</v>
      </c>
      <c r="AT6" s="636">
        <f t="shared" si="1"/>
        <v>540</v>
      </c>
      <c r="AU6" s="635">
        <f t="shared" si="1"/>
        <v>531.29999999999995</v>
      </c>
      <c r="AV6" s="636">
        <f t="shared" si="1"/>
        <v>522.79999999999995</v>
      </c>
      <c r="AW6" s="636">
        <f t="shared" si="1"/>
        <v>565.8900000000001</v>
      </c>
      <c r="AX6" s="638">
        <f t="shared" si="1"/>
        <v>571</v>
      </c>
      <c r="AY6" s="639">
        <f t="shared" si="1"/>
        <v>730.1</v>
      </c>
      <c r="AZ6" s="636">
        <f t="shared" si="1"/>
        <v>741.4</v>
      </c>
      <c r="BA6" s="636">
        <f t="shared" si="1"/>
        <v>752.6</v>
      </c>
      <c r="BB6" s="636">
        <f t="shared" si="1"/>
        <v>772.6</v>
      </c>
      <c r="BC6" s="635">
        <f t="shared" si="1"/>
        <v>820.40000000000009</v>
      </c>
      <c r="BD6" s="636">
        <f t="shared" si="1"/>
        <v>802.4</v>
      </c>
      <c r="BE6" s="636">
        <f t="shared" si="1"/>
        <v>805.60000000000014</v>
      </c>
      <c r="BF6" s="636">
        <f t="shared" si="1"/>
        <v>840.94118616873698</v>
      </c>
      <c r="BG6" s="635">
        <f t="shared" si="1"/>
        <v>818.7</v>
      </c>
      <c r="BH6" s="636">
        <f t="shared" si="1"/>
        <v>855</v>
      </c>
      <c r="BI6" s="636">
        <f t="shared" si="1"/>
        <v>910.69999999999993</v>
      </c>
      <c r="BJ6" s="636">
        <f t="shared" si="1"/>
        <v>1007.5</v>
      </c>
      <c r="BK6" s="635">
        <f t="shared" si="1"/>
        <v>1209.3000000000002</v>
      </c>
      <c r="BL6" s="636">
        <f t="shared" si="1"/>
        <v>1273.2</v>
      </c>
      <c r="BM6" s="636">
        <f t="shared" si="1"/>
        <v>1325.6000000000001</v>
      </c>
      <c r="BN6" s="636">
        <f t="shared" si="1"/>
        <v>1333.6</v>
      </c>
      <c r="BO6" s="635">
        <f t="shared" si="1"/>
        <v>1461.1</v>
      </c>
      <c r="BP6" s="636">
        <f t="shared" si="1"/>
        <v>1528.3</v>
      </c>
      <c r="BQ6" s="636">
        <f t="shared" si="1"/>
        <v>1553</v>
      </c>
      <c r="BR6" s="636">
        <f t="shared" si="1"/>
        <v>1669</v>
      </c>
      <c r="BS6" s="635">
        <f t="shared" si="1"/>
        <v>1582.8</v>
      </c>
      <c r="BT6" s="733"/>
    </row>
    <row r="7" spans="1:74">
      <c r="A7" s="159" t="s">
        <v>756</v>
      </c>
      <c r="B7" s="159" t="s">
        <v>757</v>
      </c>
      <c r="C7" s="160">
        <v>98.1</v>
      </c>
      <c r="D7" s="626">
        <v>102.6</v>
      </c>
      <c r="E7" s="626">
        <v>105.8</v>
      </c>
      <c r="F7" s="626">
        <v>109.4</v>
      </c>
      <c r="G7" s="625">
        <v>129.1</v>
      </c>
      <c r="H7" s="626">
        <v>169.8</v>
      </c>
      <c r="I7" s="626">
        <v>150.30000000000001</v>
      </c>
      <c r="J7" s="627">
        <v>220.5</v>
      </c>
      <c r="K7" s="625">
        <v>188.1</v>
      </c>
      <c r="L7" s="626">
        <v>146</v>
      </c>
      <c r="M7" s="626">
        <v>224.9</v>
      </c>
      <c r="N7" s="627">
        <v>201.4</v>
      </c>
      <c r="O7" s="625">
        <v>212.4</v>
      </c>
      <c r="P7" s="626">
        <v>203.1</v>
      </c>
      <c r="Q7" s="626">
        <v>211.1</v>
      </c>
      <c r="R7" s="627">
        <v>185.2</v>
      </c>
      <c r="S7" s="625">
        <v>196.6</v>
      </c>
      <c r="T7" s="626">
        <v>213.7</v>
      </c>
      <c r="U7" s="626">
        <v>243.5</v>
      </c>
      <c r="V7" s="627">
        <v>242.8</v>
      </c>
      <c r="W7" s="625">
        <v>258.72617616226887</v>
      </c>
      <c r="X7" s="626">
        <v>248.32617616226889</v>
      </c>
      <c r="Y7" s="626">
        <v>239.32617616226889</v>
      </c>
      <c r="Z7" s="627">
        <v>256.32617616226889</v>
      </c>
      <c r="AA7" s="625">
        <v>233.6196325650003</v>
      </c>
      <c r="AB7" s="626">
        <v>235.29098005006938</v>
      </c>
      <c r="AC7" s="626">
        <v>244.47208093057918</v>
      </c>
      <c r="AD7" s="627">
        <v>248.55785797052508</v>
      </c>
      <c r="AE7" s="626">
        <v>250.5</v>
      </c>
      <c r="AF7" s="626">
        <v>235.5</v>
      </c>
      <c r="AG7" s="626">
        <v>234.6</v>
      </c>
      <c r="AH7" s="626">
        <v>241.7</v>
      </c>
      <c r="AI7" s="625">
        <v>224.6</v>
      </c>
      <c r="AJ7" s="626">
        <v>220.9</v>
      </c>
      <c r="AK7" s="626">
        <v>239.8</v>
      </c>
      <c r="AL7" s="626">
        <f>265.3-0.4</f>
        <v>264.90000000000003</v>
      </c>
      <c r="AM7" s="625">
        <v>265.3</v>
      </c>
      <c r="AN7" s="626">
        <f>261.3-0.1</f>
        <v>261.2</v>
      </c>
      <c r="AO7" s="626">
        <f>278+0.1</f>
        <v>278.10000000000002</v>
      </c>
      <c r="AP7" s="626">
        <v>286.2</v>
      </c>
      <c r="AQ7" s="625">
        <v>286.60000000000002</v>
      </c>
      <c r="AR7" s="626">
        <v>313.8</v>
      </c>
      <c r="AS7" s="626">
        <v>325.2</v>
      </c>
      <c r="AT7" s="626">
        <v>330.5</v>
      </c>
      <c r="AU7" s="625">
        <v>320.2</v>
      </c>
      <c r="AV7" s="626">
        <v>332.7</v>
      </c>
      <c r="AW7" s="626">
        <v>348.3</v>
      </c>
      <c r="AX7" s="628">
        <v>371.7</v>
      </c>
      <c r="AY7" s="629">
        <v>478.5</v>
      </c>
      <c r="AZ7" s="626">
        <v>488.1</v>
      </c>
      <c r="BA7" s="626">
        <v>531.70000000000005</v>
      </c>
      <c r="BB7" s="626">
        <v>516.9</v>
      </c>
      <c r="BC7" s="625">
        <v>535.20000000000005</v>
      </c>
      <c r="BD7" s="626">
        <v>522.29999999999995</v>
      </c>
      <c r="BE7" s="626">
        <v>523</v>
      </c>
      <c r="BF7" s="626">
        <v>521.43096251039879</v>
      </c>
      <c r="BG7" s="625">
        <v>510.8</v>
      </c>
      <c r="BH7" s="626">
        <v>525.6</v>
      </c>
      <c r="BI7" s="626">
        <v>555.29999999999995</v>
      </c>
      <c r="BJ7" s="626">
        <v>662.6</v>
      </c>
      <c r="BK7" s="625">
        <v>810.4</v>
      </c>
      <c r="BL7" s="626">
        <v>942.1</v>
      </c>
      <c r="BM7" s="626">
        <v>977.2</v>
      </c>
      <c r="BN7" s="626">
        <v>972.3</v>
      </c>
      <c r="BO7" s="625">
        <v>1012.8</v>
      </c>
      <c r="BP7" s="626">
        <v>1088</v>
      </c>
      <c r="BQ7" s="626">
        <v>1120.8</v>
      </c>
      <c r="BR7" s="626">
        <v>1170.3</v>
      </c>
      <c r="BS7" s="625">
        <v>1151.3</v>
      </c>
      <c r="BT7" s="732"/>
    </row>
    <row r="8" spans="1:74" s="466" customFormat="1">
      <c r="A8" s="159" t="s">
        <v>758</v>
      </c>
      <c r="B8" s="159" t="s">
        <v>759</v>
      </c>
      <c r="C8" s="160">
        <v>93.134461774872989</v>
      </c>
      <c r="D8" s="626">
        <v>97.734461774872983</v>
      </c>
      <c r="E8" s="626">
        <v>96.634461774872989</v>
      </c>
      <c r="F8" s="626">
        <v>89.03446177487298</v>
      </c>
      <c r="G8" s="625">
        <v>83.641991214272437</v>
      </c>
      <c r="H8" s="626">
        <v>70.84199121427244</v>
      </c>
      <c r="I8" s="626">
        <v>88.741991214272446</v>
      </c>
      <c r="J8" s="627">
        <v>50.741991214272446</v>
      </c>
      <c r="K8" s="625">
        <v>91.314958195016345</v>
      </c>
      <c r="L8" s="626">
        <v>104.41495819501634</v>
      </c>
      <c r="M8" s="626">
        <v>97.314958195016345</v>
      </c>
      <c r="N8" s="627">
        <v>143.21495819501635</v>
      </c>
      <c r="O8" s="625">
        <v>115.13382920852204</v>
      </c>
      <c r="P8" s="626">
        <v>91.633829208522044</v>
      </c>
      <c r="Q8" s="626">
        <v>98.633829208522044</v>
      </c>
      <c r="R8" s="627">
        <v>163.73382920852205</v>
      </c>
      <c r="S8" s="625">
        <v>129.65273582985051</v>
      </c>
      <c r="T8" s="626">
        <v>140.05273582985052</v>
      </c>
      <c r="U8" s="626">
        <v>148.15273582985051</v>
      </c>
      <c r="V8" s="627">
        <v>135.75273582985051</v>
      </c>
      <c r="W8" s="625">
        <v>140.82925246575303</v>
      </c>
      <c r="X8" s="626">
        <v>145.92925246575302</v>
      </c>
      <c r="Y8" s="626">
        <v>144.62925246575304</v>
      </c>
      <c r="Z8" s="627">
        <v>146.52925246575302</v>
      </c>
      <c r="AA8" s="625">
        <v>144.23266832407612</v>
      </c>
      <c r="AB8" s="626">
        <v>147.46675124953669</v>
      </c>
      <c r="AC8" s="626">
        <v>147.56570154594971</v>
      </c>
      <c r="AD8" s="627">
        <v>145.40456913211457</v>
      </c>
      <c r="AE8" s="626">
        <v>154.19999999999999</v>
      </c>
      <c r="AF8" s="626">
        <v>156.5</v>
      </c>
      <c r="AG8" s="626">
        <v>160.4</v>
      </c>
      <c r="AH8" s="626">
        <v>155.4</v>
      </c>
      <c r="AI8" s="625">
        <v>160.5</v>
      </c>
      <c r="AJ8" s="626">
        <v>168.7</v>
      </c>
      <c r="AK8" s="626">
        <v>157.1</v>
      </c>
      <c r="AL8" s="626">
        <f>167.8+0.1</f>
        <v>167.9</v>
      </c>
      <c r="AM8" s="625">
        <v>163.80000000000001</v>
      </c>
      <c r="AN8" s="626">
        <f>165.9+0.1</f>
        <v>166</v>
      </c>
      <c r="AO8" s="626">
        <f>170.9-0.1</f>
        <v>170.8</v>
      </c>
      <c r="AP8" s="626">
        <v>183.5</v>
      </c>
      <c r="AQ8" s="625">
        <v>186.1</v>
      </c>
      <c r="AR8" s="626">
        <v>182.1</v>
      </c>
      <c r="AS8" s="626">
        <v>201.9</v>
      </c>
      <c r="AT8" s="626">
        <v>199</v>
      </c>
      <c r="AU8" s="625">
        <v>197.2</v>
      </c>
      <c r="AV8" s="626">
        <v>176.7</v>
      </c>
      <c r="AW8" s="626">
        <v>209.79000000000008</v>
      </c>
      <c r="AX8" s="628">
        <v>206.9</v>
      </c>
      <c r="AY8" s="629">
        <v>226.7</v>
      </c>
      <c r="AZ8" s="626">
        <v>228.7</v>
      </c>
      <c r="BA8" s="626">
        <v>233.9</v>
      </c>
      <c r="BB8" s="626">
        <v>233.3</v>
      </c>
      <c r="BC8" s="625">
        <v>256.10000000000002</v>
      </c>
      <c r="BD8" s="626">
        <v>236</v>
      </c>
      <c r="BE8" s="626">
        <v>270.40000000000003</v>
      </c>
      <c r="BF8" s="626">
        <v>305.89999999999998</v>
      </c>
      <c r="BG8" s="625">
        <v>294.40000000000003</v>
      </c>
      <c r="BH8" s="626">
        <v>316.90000000000003</v>
      </c>
      <c r="BI8" s="626">
        <v>334.9</v>
      </c>
      <c r="BJ8" s="626">
        <v>340.6</v>
      </c>
      <c r="BK8" s="625">
        <v>372.5</v>
      </c>
      <c r="BL8" s="626">
        <v>375.1</v>
      </c>
      <c r="BM8" s="626">
        <v>388</v>
      </c>
      <c r="BN8" s="626">
        <v>379</v>
      </c>
      <c r="BO8" s="625">
        <v>391.2</v>
      </c>
      <c r="BP8" s="626">
        <v>391.1</v>
      </c>
      <c r="BQ8" s="626">
        <v>399.6</v>
      </c>
      <c r="BR8" s="626">
        <v>394</v>
      </c>
      <c r="BS8" s="625">
        <v>415.8</v>
      </c>
      <c r="BT8" s="733"/>
    </row>
    <row r="9" spans="1:74" s="466" customFormat="1">
      <c r="A9" s="163" t="s">
        <v>760</v>
      </c>
      <c r="B9" s="163" t="s">
        <v>761</v>
      </c>
      <c r="C9" s="160">
        <v>28</v>
      </c>
      <c r="D9" s="626">
        <v>12.5</v>
      </c>
      <c r="E9" s="626">
        <v>19.3</v>
      </c>
      <c r="F9" s="626">
        <v>-5.9</v>
      </c>
      <c r="G9" s="625">
        <v>72.5</v>
      </c>
      <c r="H9" s="626">
        <v>32.700000000000003</v>
      </c>
      <c r="I9" s="626">
        <v>38.299999999999997</v>
      </c>
      <c r="J9" s="627">
        <v>-236.8</v>
      </c>
      <c r="K9" s="625">
        <v>-16.399999999999999</v>
      </c>
      <c r="L9" s="626">
        <v>84.7</v>
      </c>
      <c r="M9" s="626">
        <v>45</v>
      </c>
      <c r="N9" s="627">
        <v>-61.8</v>
      </c>
      <c r="O9" s="625">
        <v>25.7</v>
      </c>
      <c r="P9" s="626">
        <v>26.7</v>
      </c>
      <c r="Q9" s="626">
        <v>23.8</v>
      </c>
      <c r="R9" s="627">
        <v>-37</v>
      </c>
      <c r="S9" s="625">
        <v>26.1</v>
      </c>
      <c r="T9" s="626">
        <f>4.2</f>
        <v>4.2</v>
      </c>
      <c r="U9" s="626">
        <v>-33.200000000000003</v>
      </c>
      <c r="V9" s="627">
        <v>-2.1</v>
      </c>
      <c r="W9" s="625">
        <v>29.51773150326202</v>
      </c>
      <c r="X9" s="626">
        <v>-12.782268496737979</v>
      </c>
      <c r="Y9" s="626">
        <v>-7.0822684967379779</v>
      </c>
      <c r="Z9" s="627">
        <v>-25.882268496737979</v>
      </c>
      <c r="AA9" s="625">
        <v>37.478428095519881</v>
      </c>
      <c r="AB9" s="626">
        <v>10.389666419744405</v>
      </c>
      <c r="AC9" s="626">
        <v>-9.165880321133324</v>
      </c>
      <c r="AD9" s="627">
        <v>-10.01494155128459</v>
      </c>
      <c r="AE9" s="626">
        <v>-6.1</v>
      </c>
      <c r="AF9" s="626">
        <v>8.9</v>
      </c>
      <c r="AG9" s="626">
        <v>9.1999999999999993</v>
      </c>
      <c r="AH9" s="626">
        <v>0.6</v>
      </c>
      <c r="AI9" s="625">
        <v>41.3</v>
      </c>
      <c r="AJ9" s="626">
        <v>22.2</v>
      </c>
      <c r="AK9" s="626">
        <v>9.6</v>
      </c>
      <c r="AL9" s="626">
        <f>12.4-0.1</f>
        <v>12.3</v>
      </c>
      <c r="AM9" s="625">
        <v>19.100000000000001</v>
      </c>
      <c r="AN9" s="626">
        <v>9.6999999999999993</v>
      </c>
      <c r="AO9" s="626">
        <f>17.7-0.1</f>
        <v>17.599999999999998</v>
      </c>
      <c r="AP9" s="626">
        <v>31.1</v>
      </c>
      <c r="AQ9" s="625">
        <v>27.1</v>
      </c>
      <c r="AR9" s="626">
        <v>18.7</v>
      </c>
      <c r="AS9" s="626">
        <v>9</v>
      </c>
      <c r="AT9" s="626">
        <v>10.5</v>
      </c>
      <c r="AU9" s="625">
        <v>13.9</v>
      </c>
      <c r="AV9" s="626">
        <v>13.4</v>
      </c>
      <c r="AW9" s="626">
        <v>8</v>
      </c>
      <c r="AX9" s="628">
        <v>-7.5</v>
      </c>
      <c r="AY9" s="629">
        <v>25</v>
      </c>
      <c r="AZ9" s="626">
        <v>24.7</v>
      </c>
      <c r="BA9" s="626">
        <v>-12.7</v>
      </c>
      <c r="BB9" s="626">
        <v>22.8</v>
      </c>
      <c r="BC9" s="625">
        <v>29.1</v>
      </c>
      <c r="BD9" s="626">
        <v>44.1</v>
      </c>
      <c r="BE9" s="626">
        <v>12.2</v>
      </c>
      <c r="BF9" s="626">
        <v>13.610223658338228</v>
      </c>
      <c r="BG9" s="625">
        <v>13.5</v>
      </c>
      <c r="BH9" s="626">
        <v>12.5</v>
      </c>
      <c r="BI9" s="626">
        <v>20.5</v>
      </c>
      <c r="BJ9" s="626">
        <v>4.3</v>
      </c>
      <c r="BK9" s="625">
        <v>26.4</v>
      </c>
      <c r="BL9" s="626">
        <v>-44</v>
      </c>
      <c r="BM9" s="626">
        <v>-39.6</v>
      </c>
      <c r="BN9" s="626">
        <v>-17.7</v>
      </c>
      <c r="BO9" s="625">
        <v>57.1</v>
      </c>
      <c r="BP9" s="626">
        <v>49.2</v>
      </c>
      <c r="BQ9" s="626">
        <v>32.6</v>
      </c>
      <c r="BR9" s="626">
        <v>104.7</v>
      </c>
      <c r="BS9" s="625">
        <v>15.7</v>
      </c>
      <c r="BT9" s="733"/>
    </row>
    <row r="10" spans="1:74" ht="22.5" customHeight="1">
      <c r="A10" s="159" t="s">
        <v>786</v>
      </c>
      <c r="B10" s="159" t="s">
        <v>787</v>
      </c>
      <c r="C10" s="160">
        <v>0</v>
      </c>
      <c r="D10" s="626">
        <v>0</v>
      </c>
      <c r="E10" s="626">
        <v>0</v>
      </c>
      <c r="F10" s="626">
        <v>0</v>
      </c>
      <c r="G10" s="625">
        <v>0</v>
      </c>
      <c r="H10" s="626">
        <v>0</v>
      </c>
      <c r="I10" s="626">
        <v>0</v>
      </c>
      <c r="J10" s="627">
        <v>0</v>
      </c>
      <c r="K10" s="625">
        <v>0</v>
      </c>
      <c r="L10" s="626">
        <v>0</v>
      </c>
      <c r="M10" s="626">
        <v>0</v>
      </c>
      <c r="N10" s="627">
        <v>0</v>
      </c>
      <c r="O10" s="625">
        <v>0</v>
      </c>
      <c r="P10" s="626">
        <v>0</v>
      </c>
      <c r="Q10" s="626">
        <v>0</v>
      </c>
      <c r="R10" s="627">
        <v>0</v>
      </c>
      <c r="S10" s="625">
        <v>0</v>
      </c>
      <c r="T10" s="626">
        <v>0</v>
      </c>
      <c r="U10" s="626">
        <v>0</v>
      </c>
      <c r="V10" s="627">
        <v>0</v>
      </c>
      <c r="W10" s="625">
        <v>0</v>
      </c>
      <c r="X10" s="626">
        <v>0</v>
      </c>
      <c r="Y10" s="626">
        <v>0</v>
      </c>
      <c r="Z10" s="627">
        <v>0</v>
      </c>
      <c r="AA10" s="625">
        <v>0</v>
      </c>
      <c r="AB10" s="626">
        <v>0</v>
      </c>
      <c r="AC10" s="626">
        <v>0</v>
      </c>
      <c r="AD10" s="627">
        <v>0</v>
      </c>
      <c r="AE10" s="626">
        <v>0</v>
      </c>
      <c r="AF10" s="626">
        <v>0</v>
      </c>
      <c r="AG10" s="626">
        <v>0</v>
      </c>
      <c r="AH10" s="626">
        <v>0</v>
      </c>
      <c r="AI10" s="625">
        <v>0</v>
      </c>
      <c r="AJ10" s="626">
        <v>0</v>
      </c>
      <c r="AK10" s="626">
        <v>0</v>
      </c>
      <c r="AL10" s="626">
        <v>0</v>
      </c>
      <c r="AM10" s="625">
        <v>0</v>
      </c>
      <c r="AN10" s="626">
        <v>0</v>
      </c>
      <c r="AO10" s="626">
        <v>0</v>
      </c>
      <c r="AP10" s="626">
        <v>0</v>
      </c>
      <c r="AQ10" s="625">
        <v>0</v>
      </c>
      <c r="AR10" s="626">
        <v>0</v>
      </c>
      <c r="AS10" s="626">
        <v>0</v>
      </c>
      <c r="AT10" s="626">
        <v>0</v>
      </c>
      <c r="AU10" s="625">
        <v>0</v>
      </c>
      <c r="AV10" s="626">
        <v>0</v>
      </c>
      <c r="AW10" s="626">
        <v>-0.2</v>
      </c>
      <c r="AX10" s="628">
        <v>-9.9999999999999978E-2</v>
      </c>
      <c r="AY10" s="629">
        <v>-0.1</v>
      </c>
      <c r="AZ10" s="626">
        <v>-0.1</v>
      </c>
      <c r="BA10" s="626">
        <v>-0.3</v>
      </c>
      <c r="BB10" s="626">
        <v>-0.4</v>
      </c>
      <c r="BC10" s="625">
        <v>0</v>
      </c>
      <c r="BD10" s="626">
        <v>0</v>
      </c>
      <c r="BE10" s="626">
        <v>0</v>
      </c>
      <c r="BF10" s="626">
        <v>0</v>
      </c>
      <c r="BG10" s="625">
        <v>0</v>
      </c>
      <c r="BH10" s="626">
        <v>0</v>
      </c>
      <c r="BI10" s="626">
        <v>0</v>
      </c>
      <c r="BJ10" s="626">
        <v>0</v>
      </c>
      <c r="BK10" s="625">
        <v>0</v>
      </c>
      <c r="BL10" s="626">
        <v>0</v>
      </c>
      <c r="BM10" s="626">
        <v>0</v>
      </c>
      <c r="BN10" s="626">
        <v>0</v>
      </c>
      <c r="BO10" s="625">
        <v>0</v>
      </c>
      <c r="BP10" s="626">
        <v>0</v>
      </c>
      <c r="BQ10" s="626">
        <v>0</v>
      </c>
      <c r="BR10" s="626">
        <v>0</v>
      </c>
      <c r="BS10" s="625">
        <v>0</v>
      </c>
      <c r="BT10" s="732"/>
    </row>
    <row r="11" spans="1:74" s="469" customFormat="1">
      <c r="A11" s="203" t="s">
        <v>764</v>
      </c>
      <c r="B11" s="203" t="s">
        <v>765</v>
      </c>
      <c r="C11" s="156">
        <f t="shared" ref="C11:AO11" si="2">SUM(C12:C14)</f>
        <v>-122.83446177487298</v>
      </c>
      <c r="D11" s="636">
        <f t="shared" si="2"/>
        <v>-126.33446177487298</v>
      </c>
      <c r="E11" s="636">
        <f t="shared" si="2"/>
        <v>-130.53446177487297</v>
      </c>
      <c r="F11" s="636">
        <f t="shared" si="2"/>
        <v>-130.33446177487298</v>
      </c>
      <c r="G11" s="635">
        <f t="shared" si="2"/>
        <v>-133.34199121427244</v>
      </c>
      <c r="H11" s="636">
        <f t="shared" si="2"/>
        <v>-138.34199121427244</v>
      </c>
      <c r="I11" s="636">
        <f t="shared" si="2"/>
        <v>-157.24199121427245</v>
      </c>
      <c r="J11" s="637">
        <f t="shared" si="2"/>
        <v>-110.04199121427244</v>
      </c>
      <c r="K11" s="635">
        <f t="shared" si="2"/>
        <v>-136.51495819501636</v>
      </c>
      <c r="L11" s="636">
        <f t="shared" si="2"/>
        <v>-137.41495819501634</v>
      </c>
      <c r="M11" s="636">
        <f t="shared" si="2"/>
        <v>-143.91495819501637</v>
      </c>
      <c r="N11" s="637">
        <f t="shared" si="2"/>
        <v>-121.01495819501636</v>
      </c>
      <c r="O11" s="635">
        <f t="shared" si="2"/>
        <v>-144.93382920852207</v>
      </c>
      <c r="P11" s="636">
        <f t="shared" si="2"/>
        <v>-149.33382920852205</v>
      </c>
      <c r="Q11" s="636">
        <f t="shared" si="2"/>
        <v>-146.73382920852205</v>
      </c>
      <c r="R11" s="637">
        <f t="shared" si="2"/>
        <v>-143.43382920852204</v>
      </c>
      <c r="S11" s="635">
        <f t="shared" si="2"/>
        <v>-162.85273582985053</v>
      </c>
      <c r="T11" s="636">
        <f t="shared" si="2"/>
        <v>-176.55273582985052</v>
      </c>
      <c r="U11" s="636">
        <f t="shared" si="2"/>
        <v>-167.85273582985053</v>
      </c>
      <c r="V11" s="637">
        <f t="shared" si="2"/>
        <v>-170.65273582985054</v>
      </c>
      <c r="W11" s="635">
        <f t="shared" si="2"/>
        <v>-187.69942504974131</v>
      </c>
      <c r="X11" s="636">
        <f t="shared" si="2"/>
        <v>-180.49566684775795</v>
      </c>
      <c r="Y11" s="636">
        <f t="shared" si="2"/>
        <v>-185.80008070761249</v>
      </c>
      <c r="Z11" s="637">
        <f t="shared" si="2"/>
        <v>-187.38694549964663</v>
      </c>
      <c r="AA11" s="635">
        <f>SUM(AA12:AA14)</f>
        <v>-180.39009594402339</v>
      </c>
      <c r="AB11" s="636">
        <f t="shared" si="2"/>
        <v>-180.1690196030097</v>
      </c>
      <c r="AC11" s="636">
        <f t="shared" si="2"/>
        <v>-177.1955593384593</v>
      </c>
      <c r="AD11" s="637">
        <f>SUM(AD12:AD14)</f>
        <v>-176.39177659892943</v>
      </c>
      <c r="AE11" s="636">
        <f>SUM(AE12:AE14)</f>
        <v>-187</v>
      </c>
      <c r="AF11" s="636">
        <f>SUM(AF12:AF14)</f>
        <v>-191.3</v>
      </c>
      <c r="AG11" s="636">
        <f t="shared" si="2"/>
        <v>-203</v>
      </c>
      <c r="AH11" s="636">
        <f t="shared" si="2"/>
        <v>-196.2</v>
      </c>
      <c r="AI11" s="635">
        <f t="shared" si="2"/>
        <v>-184</v>
      </c>
      <c r="AJ11" s="636">
        <f t="shared" si="2"/>
        <v>-199.10000000000002</v>
      </c>
      <c r="AK11" s="636">
        <f t="shared" si="2"/>
        <v>-197.2</v>
      </c>
      <c r="AL11" s="636">
        <f t="shared" si="2"/>
        <v>-258</v>
      </c>
      <c r="AM11" s="635">
        <f t="shared" si="2"/>
        <v>-204.3</v>
      </c>
      <c r="AN11" s="636">
        <f t="shared" si="2"/>
        <v>-215.2</v>
      </c>
      <c r="AO11" s="636">
        <f t="shared" si="2"/>
        <v>-198.10000000000002</v>
      </c>
      <c r="AP11" s="636">
        <f t="shared" ref="AP11:BS11" si="3">SUM(AP12:AP14)</f>
        <v>-246</v>
      </c>
      <c r="AQ11" s="635">
        <f t="shared" si="3"/>
        <v>-220</v>
      </c>
      <c r="AR11" s="636">
        <f t="shared" si="3"/>
        <v>-204.9</v>
      </c>
      <c r="AS11" s="636">
        <f t="shared" si="3"/>
        <v>-212.10000000000002</v>
      </c>
      <c r="AT11" s="636">
        <f t="shared" si="3"/>
        <v>-226.1</v>
      </c>
      <c r="AU11" s="635">
        <f t="shared" si="3"/>
        <v>-255.7</v>
      </c>
      <c r="AV11" s="636">
        <f t="shared" si="3"/>
        <v>-223.8</v>
      </c>
      <c r="AW11" s="636">
        <f t="shared" si="3"/>
        <v>-233.29999999999998</v>
      </c>
      <c r="AX11" s="638">
        <f t="shared" si="3"/>
        <v>-228.8</v>
      </c>
      <c r="AY11" s="639">
        <f t="shared" si="3"/>
        <v>-342.41174436889094</v>
      </c>
      <c r="AZ11" s="636">
        <f t="shared" si="3"/>
        <v>-274.81332718916786</v>
      </c>
      <c r="BA11" s="636">
        <f t="shared" si="3"/>
        <v>-264.45468078227896</v>
      </c>
      <c r="BB11" s="636">
        <f t="shared" si="3"/>
        <v>-291.77434337840248</v>
      </c>
      <c r="BC11" s="635">
        <f t="shared" si="3"/>
        <v>-390.79999999999995</v>
      </c>
      <c r="BD11" s="636">
        <f t="shared" si="3"/>
        <v>-286.55509877492801</v>
      </c>
      <c r="BE11" s="636">
        <f t="shared" si="3"/>
        <v>-310.10000000000002</v>
      </c>
      <c r="BF11" s="636">
        <f t="shared" si="3"/>
        <v>-335.42327723791487</v>
      </c>
      <c r="BG11" s="635">
        <f t="shared" si="3"/>
        <v>-416.1</v>
      </c>
      <c r="BH11" s="636">
        <f t="shared" si="3"/>
        <v>-319.5</v>
      </c>
      <c r="BI11" s="636">
        <f t="shared" si="3"/>
        <v>-321.60000000000002</v>
      </c>
      <c r="BJ11" s="636">
        <f t="shared" si="3"/>
        <v>-363.7</v>
      </c>
      <c r="BK11" s="635">
        <f t="shared" si="3"/>
        <v>-477.4</v>
      </c>
      <c r="BL11" s="636">
        <f t="shared" si="3"/>
        <v>-396.2</v>
      </c>
      <c r="BM11" s="636">
        <f t="shared" si="3"/>
        <v>-349</v>
      </c>
      <c r="BN11" s="636">
        <f t="shared" si="3"/>
        <v>-325.79999999999995</v>
      </c>
      <c r="BO11" s="635">
        <f t="shared" si="3"/>
        <v>-517.6</v>
      </c>
      <c r="BP11" s="636">
        <f t="shared" si="3"/>
        <v>-382</v>
      </c>
      <c r="BQ11" s="636">
        <f t="shared" si="3"/>
        <v>-405.8</v>
      </c>
      <c r="BR11" s="636">
        <f t="shared" si="3"/>
        <v>-441.1</v>
      </c>
      <c r="BS11" s="635">
        <f t="shared" si="3"/>
        <v>-543.9</v>
      </c>
      <c r="BT11" s="719"/>
    </row>
    <row r="12" spans="1:74" s="469" customFormat="1">
      <c r="A12" s="165" t="s">
        <v>766</v>
      </c>
      <c r="B12" s="165" t="s">
        <v>767</v>
      </c>
      <c r="C12" s="160">
        <v>-56.3</v>
      </c>
      <c r="D12" s="626">
        <v>-61.3</v>
      </c>
      <c r="E12" s="626">
        <v>-63.6</v>
      </c>
      <c r="F12" s="626">
        <v>-70.8</v>
      </c>
      <c r="G12" s="625">
        <v>-68.900000000000006</v>
      </c>
      <c r="H12" s="626">
        <v>-69.7</v>
      </c>
      <c r="I12" s="626">
        <v>-79.5</v>
      </c>
      <c r="J12" s="627">
        <v>-78.5</v>
      </c>
      <c r="K12" s="625">
        <v>-54.6</v>
      </c>
      <c r="L12" s="626">
        <v>-72.099999999999994</v>
      </c>
      <c r="M12" s="626">
        <v>-68.2</v>
      </c>
      <c r="N12" s="627">
        <v>-83.4</v>
      </c>
      <c r="O12" s="625">
        <v>-68.900000000000006</v>
      </c>
      <c r="P12" s="626">
        <v>-71.599999999999994</v>
      </c>
      <c r="Q12" s="626">
        <v>-75.3</v>
      </c>
      <c r="R12" s="627">
        <v>-97.2</v>
      </c>
      <c r="S12" s="625">
        <v>-78.3</v>
      </c>
      <c r="T12" s="626">
        <v>-91.7</v>
      </c>
      <c r="U12" s="626">
        <v>-88.8</v>
      </c>
      <c r="V12" s="627">
        <v>-89.6</v>
      </c>
      <c r="W12" s="625">
        <v>-98.371881631303836</v>
      </c>
      <c r="X12" s="626">
        <v>-85.770249158076766</v>
      </c>
      <c r="Y12" s="626">
        <v>-93.128728820597274</v>
      </c>
      <c r="Z12" s="627">
        <v>-108.2230231998161</v>
      </c>
      <c r="AA12" s="625">
        <v>-97.831768072691887</v>
      </c>
      <c r="AB12" s="626">
        <v>-96.99018514326211</v>
      </c>
      <c r="AC12" s="626">
        <v>-99.186030789632824</v>
      </c>
      <c r="AD12" s="627">
        <v>-88.889015199013357</v>
      </c>
      <c r="AE12" s="626">
        <v>-98.9</v>
      </c>
      <c r="AF12" s="626">
        <v>-103</v>
      </c>
      <c r="AG12" s="626">
        <v>-104.6</v>
      </c>
      <c r="AH12" s="626">
        <v>-98.5</v>
      </c>
      <c r="AI12" s="625">
        <v>-103.5</v>
      </c>
      <c r="AJ12" s="626">
        <v>-101.9</v>
      </c>
      <c r="AK12" s="626">
        <v>-105.7</v>
      </c>
      <c r="AL12" s="626">
        <v>-106.1</v>
      </c>
      <c r="AM12" s="625">
        <v>-107.5</v>
      </c>
      <c r="AN12" s="626">
        <v>-106.4</v>
      </c>
      <c r="AO12" s="626">
        <v>-108.4</v>
      </c>
      <c r="AP12" s="626">
        <v>-117.9</v>
      </c>
      <c r="AQ12" s="625">
        <v>-106.4</v>
      </c>
      <c r="AR12" s="626">
        <v>-107.4</v>
      </c>
      <c r="AS12" s="626">
        <v>-107.5</v>
      </c>
      <c r="AT12" s="626">
        <v>-107.3</v>
      </c>
      <c r="AU12" s="625">
        <v>-113</v>
      </c>
      <c r="AV12" s="626">
        <v>-117.7</v>
      </c>
      <c r="AW12" s="626">
        <v>-116.6</v>
      </c>
      <c r="AX12" s="628">
        <v>-98.4</v>
      </c>
      <c r="AY12" s="629">
        <v>-139.95609536350469</v>
      </c>
      <c r="AZ12" s="626">
        <v>-144.22788084766614</v>
      </c>
      <c r="BA12" s="626">
        <v>-152.0987234961637</v>
      </c>
      <c r="BB12" s="626">
        <v>-149.904331403105</v>
      </c>
      <c r="BC12" s="625">
        <v>-153.69999999999999</v>
      </c>
      <c r="BD12" s="626">
        <v>-155.55088873375459</v>
      </c>
      <c r="BE12" s="626">
        <v>-166.5</v>
      </c>
      <c r="BF12" s="626">
        <v>-187.49051232749076</v>
      </c>
      <c r="BG12" s="625">
        <v>-176.8</v>
      </c>
      <c r="BH12" s="626">
        <v>-180.7</v>
      </c>
      <c r="BI12" s="626">
        <v>-179.5</v>
      </c>
      <c r="BJ12" s="626">
        <v>-213.6</v>
      </c>
      <c r="BK12" s="625">
        <v>-184.7</v>
      </c>
      <c r="BL12" s="626">
        <v>-204.4</v>
      </c>
      <c r="BM12" s="626">
        <v>-208.9</v>
      </c>
      <c r="BN12" s="626">
        <v>-194.7</v>
      </c>
      <c r="BO12" s="625">
        <v>-215.3</v>
      </c>
      <c r="BP12" s="626">
        <v>-235.6</v>
      </c>
      <c r="BQ12" s="626">
        <v>-237.5</v>
      </c>
      <c r="BR12" s="626">
        <v>-275.39999999999998</v>
      </c>
      <c r="BS12" s="625">
        <v>-222</v>
      </c>
      <c r="BT12" s="719"/>
    </row>
    <row r="13" spans="1:74" s="466" customFormat="1">
      <c r="A13" s="159" t="s">
        <v>768</v>
      </c>
      <c r="B13" s="159" t="s">
        <v>769</v>
      </c>
      <c r="C13" s="160">
        <v>-12.6</v>
      </c>
      <c r="D13" s="626">
        <v>-13.2</v>
      </c>
      <c r="E13" s="626">
        <v>-12.7</v>
      </c>
      <c r="F13" s="626">
        <v>-17.8</v>
      </c>
      <c r="G13" s="625">
        <v>-8.3000000000000007</v>
      </c>
      <c r="H13" s="626">
        <v>-8</v>
      </c>
      <c r="I13" s="626">
        <v>-9.4</v>
      </c>
      <c r="J13" s="627">
        <v>-8.6</v>
      </c>
      <c r="K13" s="625">
        <v>-7.7</v>
      </c>
      <c r="L13" s="626">
        <v>-7.7</v>
      </c>
      <c r="M13" s="626">
        <v>-6.1</v>
      </c>
      <c r="N13" s="627">
        <v>-7.9</v>
      </c>
      <c r="O13" s="625">
        <v>-7.5</v>
      </c>
      <c r="P13" s="626">
        <v>-7.5</v>
      </c>
      <c r="Q13" s="626">
        <v>-7.9</v>
      </c>
      <c r="R13" s="627">
        <v>-8.5</v>
      </c>
      <c r="S13" s="625">
        <v>-8.6999999999999993</v>
      </c>
      <c r="T13" s="626">
        <v>-9.8000000000000007</v>
      </c>
      <c r="U13" s="626">
        <v>-9.5</v>
      </c>
      <c r="V13" s="627">
        <v>-11.2</v>
      </c>
      <c r="W13" s="625">
        <v>-9.3981721755394911</v>
      </c>
      <c r="X13" s="626">
        <v>-9.6978171793116132</v>
      </c>
      <c r="Y13" s="626">
        <v>-9.5887882023330384</v>
      </c>
      <c r="Z13" s="627">
        <v>-14.187547462931358</v>
      </c>
      <c r="AA13" s="625">
        <v>-11.06296645295906</v>
      </c>
      <c r="AB13" s="626">
        <v>-11.910295494393718</v>
      </c>
      <c r="AC13" s="626">
        <v>-11.679973207596605</v>
      </c>
      <c r="AD13" s="627">
        <v>-12.561587206955135</v>
      </c>
      <c r="AE13" s="626">
        <v>-11.6</v>
      </c>
      <c r="AF13" s="626">
        <v>-11.8</v>
      </c>
      <c r="AG13" s="626">
        <v>-12.5</v>
      </c>
      <c r="AH13" s="626">
        <v>-16.899999999999999</v>
      </c>
      <c r="AI13" s="625">
        <v>-12.3</v>
      </c>
      <c r="AJ13" s="626">
        <v>-10.8</v>
      </c>
      <c r="AK13" s="626">
        <v>-14.6</v>
      </c>
      <c r="AL13" s="626">
        <v>-10.7</v>
      </c>
      <c r="AM13" s="625">
        <v>-9.6999999999999993</v>
      </c>
      <c r="AN13" s="626">
        <v>-10.8</v>
      </c>
      <c r="AO13" s="626">
        <v>-10.1</v>
      </c>
      <c r="AP13" s="626">
        <v>-24.1</v>
      </c>
      <c r="AQ13" s="625">
        <v>-10.7</v>
      </c>
      <c r="AR13" s="626">
        <v>-9.3000000000000007</v>
      </c>
      <c r="AS13" s="626">
        <v>-9.6999999999999993</v>
      </c>
      <c r="AT13" s="626">
        <v>-10.3</v>
      </c>
      <c r="AU13" s="625">
        <v>-11</v>
      </c>
      <c r="AV13" s="626">
        <v>-9.3000000000000007</v>
      </c>
      <c r="AW13" s="626">
        <v>-11.1</v>
      </c>
      <c r="AX13" s="628">
        <v>-20.8</v>
      </c>
      <c r="AY13" s="629">
        <v>-22.467634742206094</v>
      </c>
      <c r="AZ13" s="626">
        <v>-23.089396521534397</v>
      </c>
      <c r="BA13" s="626">
        <v>-21.853975377439021</v>
      </c>
      <c r="BB13" s="626">
        <v>-24.960635686488189</v>
      </c>
      <c r="BC13" s="625">
        <v>-23.2</v>
      </c>
      <c r="BD13" s="626">
        <v>-23.968211840397792</v>
      </c>
      <c r="BE13" s="626">
        <v>-27.3</v>
      </c>
      <c r="BF13" s="626">
        <v>-28.822887799938158</v>
      </c>
      <c r="BG13" s="625">
        <v>-26.1</v>
      </c>
      <c r="BH13" s="626">
        <v>-27.9</v>
      </c>
      <c r="BI13" s="626">
        <v>-28.7</v>
      </c>
      <c r="BJ13" s="626">
        <v>-29.9</v>
      </c>
      <c r="BK13" s="625">
        <v>-27</v>
      </c>
      <c r="BL13" s="626">
        <v>-27.2</v>
      </c>
      <c r="BM13" s="626">
        <v>-28.5</v>
      </c>
      <c r="BN13" s="626">
        <v>-29.6</v>
      </c>
      <c r="BO13" s="625">
        <v>-31.2</v>
      </c>
      <c r="BP13" s="626">
        <v>-32.5</v>
      </c>
      <c r="BQ13" s="626">
        <v>-33.6</v>
      </c>
      <c r="BR13" s="626">
        <v>-45.6</v>
      </c>
      <c r="BS13" s="625">
        <v>-36</v>
      </c>
      <c r="BT13" s="733"/>
    </row>
    <row r="14" spans="1:74" s="469" customFormat="1">
      <c r="A14" s="159" t="s">
        <v>770</v>
      </c>
      <c r="B14" s="159" t="s">
        <v>771</v>
      </c>
      <c r="C14" s="160">
        <v>-53.934461774872986</v>
      </c>
      <c r="D14" s="626">
        <v>-51.834461774872985</v>
      </c>
      <c r="E14" s="626">
        <v>-54.234461774872983</v>
      </c>
      <c r="F14" s="626">
        <v>-41.734461774872983</v>
      </c>
      <c r="G14" s="625">
        <v>-56.141991214272444</v>
      </c>
      <c r="H14" s="626">
        <v>-60.641991214272444</v>
      </c>
      <c r="I14" s="626">
        <v>-68.34199121427244</v>
      </c>
      <c r="J14" s="627">
        <v>-22.941991214272445</v>
      </c>
      <c r="K14" s="625">
        <v>-74.214958195016351</v>
      </c>
      <c r="L14" s="626">
        <v>-57.614958195016349</v>
      </c>
      <c r="M14" s="626">
        <v>-69.614958195016357</v>
      </c>
      <c r="N14" s="627">
        <v>-29.714958195016351</v>
      </c>
      <c r="O14" s="625">
        <v>-68.53382920852205</v>
      </c>
      <c r="P14" s="626">
        <v>-70.233829208522053</v>
      </c>
      <c r="Q14" s="626">
        <v>-63.53382920852205</v>
      </c>
      <c r="R14" s="627">
        <v>-37.733829208522046</v>
      </c>
      <c r="S14" s="625">
        <v>-75.852735829850516</v>
      </c>
      <c r="T14" s="626">
        <v>-75.052735829850533</v>
      </c>
      <c r="U14" s="626">
        <v>-69.552735829850519</v>
      </c>
      <c r="V14" s="627">
        <v>-69.852735829850531</v>
      </c>
      <c r="W14" s="625">
        <v>-79.929371242897986</v>
      </c>
      <c r="X14" s="626">
        <v>-85.027600510369552</v>
      </c>
      <c r="Y14" s="626">
        <v>-83.082563684682185</v>
      </c>
      <c r="Z14" s="627">
        <v>-64.976374836899154</v>
      </c>
      <c r="AA14" s="625">
        <v>-71.49536141837244</v>
      </c>
      <c r="AB14" s="626">
        <v>-71.268538965353855</v>
      </c>
      <c r="AC14" s="626">
        <v>-66.329555341229863</v>
      </c>
      <c r="AD14" s="627">
        <v>-74.941174192960943</v>
      </c>
      <c r="AE14" s="626">
        <v>-76.5</v>
      </c>
      <c r="AF14" s="626">
        <v>-76.5</v>
      </c>
      <c r="AG14" s="626">
        <v>-85.9</v>
      </c>
      <c r="AH14" s="626">
        <v>-80.8</v>
      </c>
      <c r="AI14" s="625">
        <v>-68.2</v>
      </c>
      <c r="AJ14" s="626">
        <v>-86.4</v>
      </c>
      <c r="AK14" s="626">
        <v>-76.900000000000006</v>
      </c>
      <c r="AL14" s="626">
        <v>-141.19999999999999</v>
      </c>
      <c r="AM14" s="625">
        <v>-87.1</v>
      </c>
      <c r="AN14" s="626">
        <v>-98</v>
      </c>
      <c r="AO14" s="626">
        <f>(79.7-0.1)*-1</f>
        <v>-79.600000000000009</v>
      </c>
      <c r="AP14" s="626">
        <v>-104</v>
      </c>
      <c r="AQ14" s="625">
        <v>-102.9</v>
      </c>
      <c r="AR14" s="626">
        <v>-88.2</v>
      </c>
      <c r="AS14" s="626">
        <v>-94.9</v>
      </c>
      <c r="AT14" s="626">
        <v>-108.5</v>
      </c>
      <c r="AU14" s="625">
        <v>-131.69999999999999</v>
      </c>
      <c r="AV14" s="626">
        <v>-96.8</v>
      </c>
      <c r="AW14" s="626">
        <v>-105.6</v>
      </c>
      <c r="AX14" s="628">
        <v>-109.6</v>
      </c>
      <c r="AY14" s="629">
        <v>-179.98801426318016</v>
      </c>
      <c r="AZ14" s="626">
        <v>-107.49604981996731</v>
      </c>
      <c r="BA14" s="626">
        <v>-90.501981908676214</v>
      </c>
      <c r="BB14" s="626">
        <v>-116.90937628880926</v>
      </c>
      <c r="BC14" s="625">
        <v>-213.9</v>
      </c>
      <c r="BD14" s="626">
        <v>-107.03599820077562</v>
      </c>
      <c r="BE14" s="626">
        <v>-116.3</v>
      </c>
      <c r="BF14" s="626">
        <v>-119.10987711048597</v>
      </c>
      <c r="BG14" s="625">
        <v>-213.2</v>
      </c>
      <c r="BH14" s="626">
        <v>-110.9</v>
      </c>
      <c r="BI14" s="626">
        <v>-113.4</v>
      </c>
      <c r="BJ14" s="626">
        <v>-120.2</v>
      </c>
      <c r="BK14" s="625">
        <v>-265.7</v>
      </c>
      <c r="BL14" s="626">
        <v>-164.6</v>
      </c>
      <c r="BM14" s="626">
        <v>-111.6</v>
      </c>
      <c r="BN14" s="626">
        <v>-101.5</v>
      </c>
      <c r="BO14" s="625">
        <v>-271.10000000000002</v>
      </c>
      <c r="BP14" s="626">
        <v>-113.9</v>
      </c>
      <c r="BQ14" s="626">
        <v>-134.69999999999999</v>
      </c>
      <c r="BR14" s="626">
        <v>-120.1</v>
      </c>
      <c r="BS14" s="625">
        <v>-285.89999999999998</v>
      </c>
      <c r="BT14" s="719"/>
    </row>
    <row r="15" spans="1:74" s="469" customFormat="1">
      <c r="A15" s="470" t="s">
        <v>772</v>
      </c>
      <c r="B15" s="470" t="s">
        <v>773</v>
      </c>
      <c r="C15" s="156">
        <f t="shared" ref="C15:AO15" si="4">C6+C11</f>
        <v>96.4</v>
      </c>
      <c r="D15" s="636">
        <f t="shared" si="4"/>
        <v>86.5</v>
      </c>
      <c r="E15" s="636">
        <f t="shared" si="4"/>
        <v>91.200000000000045</v>
      </c>
      <c r="F15" s="636">
        <f t="shared" si="4"/>
        <v>62.200000000000017</v>
      </c>
      <c r="G15" s="635">
        <f t="shared" si="4"/>
        <v>151.9</v>
      </c>
      <c r="H15" s="636">
        <f t="shared" si="4"/>
        <v>135.00000000000003</v>
      </c>
      <c r="I15" s="636">
        <f t="shared" si="4"/>
        <v>120.10000000000002</v>
      </c>
      <c r="J15" s="637">
        <f t="shared" si="4"/>
        <v>-75.600000000000009</v>
      </c>
      <c r="K15" s="635">
        <f t="shared" si="4"/>
        <v>126.49999999999997</v>
      </c>
      <c r="L15" s="636">
        <f t="shared" si="4"/>
        <v>197.70000000000002</v>
      </c>
      <c r="M15" s="636">
        <f t="shared" si="4"/>
        <v>223.3</v>
      </c>
      <c r="N15" s="637">
        <f t="shared" si="4"/>
        <v>161.79999999999998</v>
      </c>
      <c r="O15" s="635">
        <f t="shared" si="4"/>
        <v>208.29999999999995</v>
      </c>
      <c r="P15" s="636">
        <f t="shared" si="4"/>
        <v>172.09999999999997</v>
      </c>
      <c r="Q15" s="636">
        <f t="shared" si="4"/>
        <v>186.79999999999998</v>
      </c>
      <c r="R15" s="637">
        <f t="shared" si="4"/>
        <v>168.50000000000003</v>
      </c>
      <c r="S15" s="635">
        <f t="shared" si="4"/>
        <v>189.5</v>
      </c>
      <c r="T15" s="636">
        <f t="shared" si="4"/>
        <v>181.39999999999998</v>
      </c>
      <c r="U15" s="636">
        <f t="shared" si="4"/>
        <v>190.59999999999997</v>
      </c>
      <c r="V15" s="637">
        <f t="shared" si="4"/>
        <v>205.79999999999995</v>
      </c>
      <c r="W15" s="635">
        <f t="shared" si="4"/>
        <v>241.37373508154263</v>
      </c>
      <c r="X15" s="636">
        <f t="shared" si="4"/>
        <v>200.97749328352603</v>
      </c>
      <c r="Y15" s="636">
        <f t="shared" si="4"/>
        <v>191.07307942367146</v>
      </c>
      <c r="Z15" s="637">
        <f t="shared" si="4"/>
        <v>189.58621463163729</v>
      </c>
      <c r="AA15" s="635">
        <f t="shared" si="4"/>
        <v>234.94063304057292</v>
      </c>
      <c r="AB15" s="636">
        <f t="shared" si="4"/>
        <v>212.97837811634076</v>
      </c>
      <c r="AC15" s="636">
        <f t="shared" si="4"/>
        <v>205.67634281693626</v>
      </c>
      <c r="AD15" s="637">
        <f t="shared" si="4"/>
        <v>207.55570895242562</v>
      </c>
      <c r="AE15" s="636">
        <f t="shared" si="4"/>
        <v>211.59999999999997</v>
      </c>
      <c r="AF15" s="636">
        <f t="shared" si="4"/>
        <v>209.59999999999997</v>
      </c>
      <c r="AG15" s="636">
        <f t="shared" si="4"/>
        <v>201.2</v>
      </c>
      <c r="AH15" s="636">
        <f t="shared" si="4"/>
        <v>201.50000000000006</v>
      </c>
      <c r="AI15" s="635">
        <f t="shared" si="4"/>
        <v>242.40000000000003</v>
      </c>
      <c r="AJ15" s="636">
        <f t="shared" si="4"/>
        <v>212.7</v>
      </c>
      <c r="AK15" s="636">
        <f t="shared" si="4"/>
        <v>209.3</v>
      </c>
      <c r="AL15" s="636">
        <f t="shared" si="4"/>
        <v>187.10000000000008</v>
      </c>
      <c r="AM15" s="635">
        <f t="shared" si="4"/>
        <v>243.90000000000003</v>
      </c>
      <c r="AN15" s="636">
        <f t="shared" si="4"/>
        <v>221.7</v>
      </c>
      <c r="AO15" s="636">
        <f t="shared" si="4"/>
        <v>268.40000000000003</v>
      </c>
      <c r="AP15" s="636">
        <f>AP6+AP11</f>
        <v>254.8</v>
      </c>
      <c r="AQ15" s="635">
        <f t="shared" ref="AQ15:BP15" si="5">AQ6+AQ11</f>
        <v>279.80000000000007</v>
      </c>
      <c r="AR15" s="636">
        <f t="shared" si="5"/>
        <v>309.70000000000005</v>
      </c>
      <c r="AS15" s="636">
        <f t="shared" si="5"/>
        <v>324</v>
      </c>
      <c r="AT15" s="636">
        <f t="shared" si="5"/>
        <v>313.89999999999998</v>
      </c>
      <c r="AU15" s="635">
        <f t="shared" si="5"/>
        <v>275.59999999999997</v>
      </c>
      <c r="AV15" s="636">
        <f t="shared" si="5"/>
        <v>298.99999999999994</v>
      </c>
      <c r="AW15" s="636">
        <f t="shared" si="5"/>
        <v>332.59000000000015</v>
      </c>
      <c r="AX15" s="638">
        <f t="shared" si="5"/>
        <v>342.2</v>
      </c>
      <c r="AY15" s="639">
        <f t="shared" si="5"/>
        <v>387.68825563110909</v>
      </c>
      <c r="AZ15" s="636">
        <f t="shared" si="5"/>
        <v>466.58667281083211</v>
      </c>
      <c r="BA15" s="636">
        <f t="shared" si="5"/>
        <v>488.14531921772107</v>
      </c>
      <c r="BB15" s="636">
        <f t="shared" si="5"/>
        <v>480.82565662159755</v>
      </c>
      <c r="BC15" s="635">
        <f t="shared" si="5"/>
        <v>429.60000000000014</v>
      </c>
      <c r="BD15" s="636">
        <f t="shared" si="5"/>
        <v>515.84490122507191</v>
      </c>
      <c r="BE15" s="636">
        <f t="shared" si="5"/>
        <v>495.50000000000011</v>
      </c>
      <c r="BF15" s="636">
        <f t="shared" si="5"/>
        <v>505.5179089308221</v>
      </c>
      <c r="BG15" s="635">
        <f t="shared" si="5"/>
        <v>402.6</v>
      </c>
      <c r="BH15" s="636">
        <f t="shared" si="5"/>
        <v>535.5</v>
      </c>
      <c r="BI15" s="636">
        <f t="shared" si="5"/>
        <v>589.09999999999991</v>
      </c>
      <c r="BJ15" s="636">
        <f t="shared" si="5"/>
        <v>643.79999999999995</v>
      </c>
      <c r="BK15" s="635">
        <f t="shared" si="5"/>
        <v>731.9000000000002</v>
      </c>
      <c r="BL15" s="636">
        <f t="shared" si="5"/>
        <v>877</v>
      </c>
      <c r="BM15" s="636">
        <f t="shared" si="5"/>
        <v>976.60000000000014</v>
      </c>
      <c r="BN15" s="636">
        <f t="shared" si="5"/>
        <v>1007.8</v>
      </c>
      <c r="BO15" s="635">
        <f t="shared" si="5"/>
        <v>943.49999999999989</v>
      </c>
      <c r="BP15" s="636">
        <f t="shared" si="5"/>
        <v>1146.3</v>
      </c>
      <c r="BQ15" s="636">
        <f>BQ6+BQ11</f>
        <v>1147.2</v>
      </c>
      <c r="BR15" s="636">
        <f>BR6+BR11</f>
        <v>1227.9000000000001</v>
      </c>
      <c r="BS15" s="635">
        <f>BS6+BS11</f>
        <v>1038.9000000000001</v>
      </c>
      <c r="BT15" s="719"/>
    </row>
    <row r="16" spans="1:74" s="469" customFormat="1">
      <c r="A16" s="165" t="s">
        <v>385</v>
      </c>
      <c r="B16" s="165" t="s">
        <v>774</v>
      </c>
      <c r="C16" s="160">
        <v>3.9</v>
      </c>
      <c r="D16" s="626">
        <v>16.3</v>
      </c>
      <c r="E16" s="626">
        <v>39.4</v>
      </c>
      <c r="F16" s="626">
        <v>3.6</v>
      </c>
      <c r="G16" s="625">
        <v>-3.3</v>
      </c>
      <c r="H16" s="626">
        <v>64.8</v>
      </c>
      <c r="I16" s="626">
        <v>-2.2999999999999998</v>
      </c>
      <c r="J16" s="627">
        <v>-96.4</v>
      </c>
      <c r="K16" s="625">
        <v>-78.900000000000006</v>
      </c>
      <c r="L16" s="626">
        <v>-67</v>
      </c>
      <c r="M16" s="626">
        <v>-32.700000000000003</v>
      </c>
      <c r="N16" s="627">
        <v>-62</v>
      </c>
      <c r="O16" s="625">
        <v>-26.9</v>
      </c>
      <c r="P16" s="626">
        <v>-26.2</v>
      </c>
      <c r="Q16" s="626">
        <v>-33.799999999999997</v>
      </c>
      <c r="R16" s="627">
        <v>-35.6</v>
      </c>
      <c r="S16" s="625">
        <v>-23.2</v>
      </c>
      <c r="T16" s="626">
        <v>-16.5</v>
      </c>
      <c r="U16" s="626">
        <v>-6.1</v>
      </c>
      <c r="V16" s="627">
        <v>-36.4</v>
      </c>
      <c r="W16" s="625">
        <v>-45.1</v>
      </c>
      <c r="X16" s="626">
        <v>-106</v>
      </c>
      <c r="Y16" s="626">
        <v>-61.1</v>
      </c>
      <c r="Z16" s="627">
        <v>-60.5</v>
      </c>
      <c r="AA16" s="625">
        <v>-20.01907912384285</v>
      </c>
      <c r="AB16" s="626">
        <v>-28.671281901578119</v>
      </c>
      <c r="AC16" s="626">
        <v>-30.68972161345657</v>
      </c>
      <c r="AD16" s="627">
        <v>-59.384944169852147</v>
      </c>
      <c r="AE16" s="626">
        <v>-47.4</v>
      </c>
      <c r="AF16" s="626">
        <v>-22.7</v>
      </c>
      <c r="AG16" s="626">
        <v>-52</v>
      </c>
      <c r="AH16" s="626">
        <v>-66.900000000000006</v>
      </c>
      <c r="AI16" s="625">
        <v>-50.5</v>
      </c>
      <c r="AJ16" s="626">
        <v>-40.700000000000003</v>
      </c>
      <c r="AK16" s="626">
        <v>-24.2</v>
      </c>
      <c r="AL16" s="626">
        <f>(46.9+0.1-0.1)*-1</f>
        <v>-46.9</v>
      </c>
      <c r="AM16" s="625">
        <v>-62.5</v>
      </c>
      <c r="AN16" s="626">
        <v>-12.9</v>
      </c>
      <c r="AO16" s="626">
        <f>(28.2-3.9)*-1</f>
        <v>-24.3</v>
      </c>
      <c r="AP16" s="626">
        <v>-63.4</v>
      </c>
      <c r="AQ16" s="625">
        <v>-33.6</v>
      </c>
      <c r="AR16" s="626">
        <v>-79.3</v>
      </c>
      <c r="AS16" s="626">
        <v>-69.3</v>
      </c>
      <c r="AT16" s="626">
        <v>-78.7</v>
      </c>
      <c r="AU16" s="625">
        <v>-57.3</v>
      </c>
      <c r="AV16" s="626">
        <v>-70.400000000000006</v>
      </c>
      <c r="AW16" s="626">
        <v>-92.2</v>
      </c>
      <c r="AX16" s="628">
        <v>-10</v>
      </c>
      <c r="AY16" s="629">
        <v>-95.7</v>
      </c>
      <c r="AZ16" s="626">
        <v>-103.5</v>
      </c>
      <c r="BA16" s="626">
        <v>-119.4</v>
      </c>
      <c r="BB16" s="626">
        <v>-93.3</v>
      </c>
      <c r="BC16" s="625">
        <v>-185.2</v>
      </c>
      <c r="BD16" s="626">
        <v>-241.6</v>
      </c>
      <c r="BE16" s="626">
        <v>-62.9</v>
      </c>
      <c r="BF16" s="626">
        <v>1.1000000000000001</v>
      </c>
      <c r="BG16" s="625">
        <v>-60.9</v>
      </c>
      <c r="BH16" s="626">
        <v>-46.3</v>
      </c>
      <c r="BI16" s="626">
        <v>-48.5</v>
      </c>
      <c r="BJ16" s="626">
        <v>-82.3</v>
      </c>
      <c r="BK16" s="625">
        <v>-90</v>
      </c>
      <c r="BL16" s="626">
        <v>-71.7</v>
      </c>
      <c r="BM16" s="626">
        <v>-187.3</v>
      </c>
      <c r="BN16" s="626">
        <v>-94.6</v>
      </c>
      <c r="BO16" s="625">
        <v>-68.599999999999994</v>
      </c>
      <c r="BP16" s="626">
        <v>-136.1</v>
      </c>
      <c r="BQ16" s="626">
        <v>-105.4</v>
      </c>
      <c r="BR16" s="626">
        <v>-192.5</v>
      </c>
      <c r="BS16" s="625">
        <v>-162.9</v>
      </c>
      <c r="BT16" s="719"/>
    </row>
    <row r="17" spans="1:72" s="469" customFormat="1" ht="13.5" hidden="1" customHeight="1">
      <c r="A17" s="165"/>
      <c r="B17" s="165"/>
      <c r="C17" s="160"/>
      <c r="D17" s="626"/>
      <c r="E17" s="626"/>
      <c r="F17" s="626"/>
      <c r="G17" s="625"/>
      <c r="H17" s="626"/>
      <c r="I17" s="626"/>
      <c r="J17" s="626"/>
      <c r="K17" s="625"/>
      <c r="L17" s="626"/>
      <c r="M17" s="626"/>
      <c r="N17" s="626"/>
      <c r="O17" s="625"/>
      <c r="P17" s="626"/>
      <c r="Q17" s="626"/>
      <c r="R17" s="626"/>
      <c r="S17" s="625"/>
      <c r="T17" s="626"/>
      <c r="U17" s="626"/>
      <c r="V17" s="626"/>
      <c r="W17" s="625"/>
      <c r="X17" s="626"/>
      <c r="Y17" s="626"/>
      <c r="Z17" s="627"/>
      <c r="AA17" s="625"/>
      <c r="AB17" s="626"/>
      <c r="AC17" s="626"/>
      <c r="AD17" s="627"/>
      <c r="AE17" s="626"/>
      <c r="AF17" s="626"/>
      <c r="AG17" s="626"/>
      <c r="AH17" s="626"/>
      <c r="AI17" s="625"/>
      <c r="AJ17" s="626"/>
      <c r="AK17" s="626"/>
      <c r="AL17" s="626"/>
      <c r="AM17" s="625"/>
      <c r="AN17" s="626"/>
      <c r="AO17" s="626"/>
      <c r="AP17" s="626"/>
      <c r="AQ17" s="625"/>
      <c r="AR17" s="626"/>
      <c r="AS17" s="626"/>
      <c r="AT17" s="626"/>
      <c r="AU17" s="625"/>
      <c r="AV17" s="626"/>
      <c r="AW17" s="626"/>
      <c r="AX17" s="628"/>
      <c r="AY17" s="629"/>
      <c r="AZ17" s="626"/>
      <c r="BA17" s="626"/>
      <c r="BB17" s="626"/>
      <c r="BC17" s="625"/>
      <c r="BD17" s="626"/>
      <c r="BE17" s="626"/>
      <c r="BF17" s="626"/>
      <c r="BG17" s="625"/>
      <c r="BH17" s="626"/>
      <c r="BI17" s="626"/>
      <c r="BJ17" s="626"/>
      <c r="BK17" s="625"/>
      <c r="BL17" s="626"/>
      <c r="BM17" s="626"/>
      <c r="BN17" s="626"/>
      <c r="BO17" s="625"/>
      <c r="BP17" s="626"/>
      <c r="BQ17" s="626"/>
      <c r="BR17" s="626"/>
      <c r="BS17" s="625"/>
      <c r="BT17" s="719"/>
    </row>
    <row r="18" spans="1:72" s="469" customFormat="1">
      <c r="A18" s="165" t="s">
        <v>777</v>
      </c>
      <c r="B18" s="165" t="s">
        <v>778</v>
      </c>
      <c r="C18" s="160">
        <v>0</v>
      </c>
      <c r="D18" s="626">
        <v>0</v>
      </c>
      <c r="E18" s="626">
        <v>0</v>
      </c>
      <c r="F18" s="626">
        <v>0</v>
      </c>
      <c r="G18" s="625">
        <v>0</v>
      </c>
      <c r="H18" s="626">
        <v>0</v>
      </c>
      <c r="I18" s="626">
        <v>0</v>
      </c>
      <c r="J18" s="626">
        <v>0</v>
      </c>
      <c r="K18" s="625">
        <v>0</v>
      </c>
      <c r="L18" s="626">
        <v>0</v>
      </c>
      <c r="M18" s="626">
        <v>0</v>
      </c>
      <c r="N18" s="626">
        <v>0</v>
      </c>
      <c r="O18" s="625">
        <v>0</v>
      </c>
      <c r="P18" s="626">
        <v>0</v>
      </c>
      <c r="Q18" s="626">
        <v>0</v>
      </c>
      <c r="R18" s="626">
        <v>0</v>
      </c>
      <c r="S18" s="625">
        <v>0</v>
      </c>
      <c r="T18" s="626">
        <v>0</v>
      </c>
      <c r="U18" s="626">
        <v>0</v>
      </c>
      <c r="V18" s="626">
        <v>0</v>
      </c>
      <c r="W18" s="625">
        <v>0</v>
      </c>
      <c r="X18" s="626">
        <v>0</v>
      </c>
      <c r="Y18" s="626">
        <v>0</v>
      </c>
      <c r="Z18" s="627">
        <v>0</v>
      </c>
      <c r="AA18" s="625">
        <v>0</v>
      </c>
      <c r="AB18" s="626">
        <v>0</v>
      </c>
      <c r="AC18" s="626">
        <v>0</v>
      </c>
      <c r="AD18" s="627">
        <v>0</v>
      </c>
      <c r="AE18" s="626">
        <v>0</v>
      </c>
      <c r="AF18" s="626">
        <v>0</v>
      </c>
      <c r="AG18" s="626">
        <v>0</v>
      </c>
      <c r="AH18" s="626">
        <v>0</v>
      </c>
      <c r="AI18" s="625">
        <v>0</v>
      </c>
      <c r="AJ18" s="626">
        <v>0</v>
      </c>
      <c r="AK18" s="626">
        <v>0</v>
      </c>
      <c r="AL18" s="626">
        <v>0</v>
      </c>
      <c r="AM18" s="625">
        <v>-32.799999999999997</v>
      </c>
      <c r="AN18" s="626">
        <f>(49)*-1</f>
        <v>-49</v>
      </c>
      <c r="AO18" s="626">
        <f>(48.1+0.1)*-1</f>
        <v>-48.2</v>
      </c>
      <c r="AP18" s="626">
        <v>-48.5</v>
      </c>
      <c r="AQ18" s="625">
        <v>-47.5</v>
      </c>
      <c r="AR18" s="626">
        <v>-52</v>
      </c>
      <c r="AS18" s="626">
        <v>-51.7</v>
      </c>
      <c r="AT18" s="626">
        <v>-52.4</v>
      </c>
      <c r="AU18" s="625">
        <v>-51.8</v>
      </c>
      <c r="AV18" s="626">
        <v>-54.1</v>
      </c>
      <c r="AW18" s="626">
        <v>-55.2</v>
      </c>
      <c r="AX18" s="628">
        <v>-57.800000000000004</v>
      </c>
      <c r="AY18" s="629">
        <v>-64.099999999999994</v>
      </c>
      <c r="AZ18" s="626">
        <v>-67.3</v>
      </c>
      <c r="BA18" s="626">
        <v>-68.2</v>
      </c>
      <c r="BB18" s="626">
        <v>-68.8</v>
      </c>
      <c r="BC18" s="625">
        <v>-69.5</v>
      </c>
      <c r="BD18" s="626">
        <v>-71.7</v>
      </c>
      <c r="BE18" s="626">
        <v>-72.2</v>
      </c>
      <c r="BF18" s="626">
        <v>-71.8</v>
      </c>
      <c r="BG18" s="625">
        <v>-73.2</v>
      </c>
      <c r="BH18" s="626">
        <v>-75.099999999999994</v>
      </c>
      <c r="BI18" s="626">
        <v>-78.7</v>
      </c>
      <c r="BJ18" s="626">
        <v>-85.7</v>
      </c>
      <c r="BK18" s="625">
        <v>-90.2</v>
      </c>
      <c r="BL18" s="626">
        <v>-98</v>
      </c>
      <c r="BM18" s="626">
        <v>-104.4</v>
      </c>
      <c r="BN18" s="626">
        <v>-107.7</v>
      </c>
      <c r="BO18" s="625">
        <v>-101.4</v>
      </c>
      <c r="BP18" s="626">
        <v>-108.5</v>
      </c>
      <c r="BQ18" s="626">
        <v>-105.8</v>
      </c>
      <c r="BR18" s="626">
        <v>-97.3</v>
      </c>
      <c r="BS18" s="625">
        <v>-124.9</v>
      </c>
      <c r="BT18" s="719"/>
    </row>
    <row r="19" spans="1:72" s="469" customFormat="1">
      <c r="A19" s="143" t="s">
        <v>779</v>
      </c>
      <c r="B19" s="143" t="s">
        <v>780</v>
      </c>
      <c r="C19" s="172">
        <f t="shared" ref="C19:AO19" si="6">C15+C16+C18</f>
        <v>100.30000000000001</v>
      </c>
      <c r="D19" s="173">
        <f t="shared" si="6"/>
        <v>102.8</v>
      </c>
      <c r="E19" s="173">
        <f t="shared" si="6"/>
        <v>130.60000000000005</v>
      </c>
      <c r="F19" s="173">
        <f t="shared" si="6"/>
        <v>65.800000000000011</v>
      </c>
      <c r="G19" s="172">
        <f t="shared" si="6"/>
        <v>148.6</v>
      </c>
      <c r="H19" s="173">
        <f t="shared" si="6"/>
        <v>199.8</v>
      </c>
      <c r="I19" s="173">
        <f t="shared" si="6"/>
        <v>117.80000000000003</v>
      </c>
      <c r="J19" s="173">
        <f t="shared" si="6"/>
        <v>-172</v>
      </c>
      <c r="K19" s="172">
        <f t="shared" si="6"/>
        <v>47.599999999999966</v>
      </c>
      <c r="L19" s="173">
        <f t="shared" si="6"/>
        <v>130.70000000000002</v>
      </c>
      <c r="M19" s="173">
        <f t="shared" si="6"/>
        <v>190.60000000000002</v>
      </c>
      <c r="N19" s="173">
        <f t="shared" si="6"/>
        <v>99.799999999999983</v>
      </c>
      <c r="O19" s="172">
        <f t="shared" si="6"/>
        <v>181.39999999999995</v>
      </c>
      <c r="P19" s="173">
        <f t="shared" si="6"/>
        <v>145.89999999999998</v>
      </c>
      <c r="Q19" s="173">
        <f t="shared" si="6"/>
        <v>153</v>
      </c>
      <c r="R19" s="173">
        <f t="shared" si="6"/>
        <v>132.90000000000003</v>
      </c>
      <c r="S19" s="172">
        <f t="shared" si="6"/>
        <v>166.3</v>
      </c>
      <c r="T19" s="173">
        <f t="shared" si="6"/>
        <v>164.89999999999998</v>
      </c>
      <c r="U19" s="173">
        <f t="shared" si="6"/>
        <v>184.49999999999997</v>
      </c>
      <c r="V19" s="173">
        <f t="shared" si="6"/>
        <v>169.39999999999995</v>
      </c>
      <c r="W19" s="172">
        <f t="shared" si="6"/>
        <v>196.27373508154264</v>
      </c>
      <c r="X19" s="173">
        <f t="shared" si="6"/>
        <v>94.97749328352603</v>
      </c>
      <c r="Y19" s="173">
        <f t="shared" si="6"/>
        <v>129.97307942367146</v>
      </c>
      <c r="Z19" s="174">
        <f t="shared" si="6"/>
        <v>129.08621463163729</v>
      </c>
      <c r="AA19" s="172">
        <f t="shared" si="6"/>
        <v>214.92155391673006</v>
      </c>
      <c r="AB19" s="173">
        <f t="shared" si="6"/>
        <v>184.30709621476265</v>
      </c>
      <c r="AC19" s="173">
        <f t="shared" si="6"/>
        <v>174.98662120347967</v>
      </c>
      <c r="AD19" s="174">
        <f t="shared" si="6"/>
        <v>148.17076478257349</v>
      </c>
      <c r="AE19" s="173">
        <f t="shared" si="6"/>
        <v>164.19999999999996</v>
      </c>
      <c r="AF19" s="173">
        <f t="shared" si="6"/>
        <v>186.89999999999998</v>
      </c>
      <c r="AG19" s="173">
        <f t="shared" si="6"/>
        <v>149.19999999999999</v>
      </c>
      <c r="AH19" s="173">
        <f t="shared" si="6"/>
        <v>134.60000000000005</v>
      </c>
      <c r="AI19" s="172">
        <f t="shared" si="6"/>
        <v>191.90000000000003</v>
      </c>
      <c r="AJ19" s="173">
        <f t="shared" si="6"/>
        <v>172</v>
      </c>
      <c r="AK19" s="173">
        <f t="shared" si="6"/>
        <v>185.10000000000002</v>
      </c>
      <c r="AL19" s="173">
        <f t="shared" si="6"/>
        <v>140.20000000000007</v>
      </c>
      <c r="AM19" s="172">
        <f t="shared" si="6"/>
        <v>148.60000000000002</v>
      </c>
      <c r="AN19" s="173">
        <f t="shared" si="6"/>
        <v>159.79999999999998</v>
      </c>
      <c r="AO19" s="173">
        <f t="shared" si="6"/>
        <v>195.90000000000003</v>
      </c>
      <c r="AP19" s="173">
        <f>AP15+AP16+AP18</f>
        <v>142.9</v>
      </c>
      <c r="AQ19" s="172">
        <f t="shared" ref="AQ19:AX19" si="7">AQ15+AQ16+AQ18</f>
        <v>198.70000000000007</v>
      </c>
      <c r="AR19" s="173">
        <f t="shared" si="7"/>
        <v>178.40000000000003</v>
      </c>
      <c r="AS19" s="173">
        <f t="shared" si="7"/>
        <v>203</v>
      </c>
      <c r="AT19" s="173">
        <f t="shared" si="7"/>
        <v>182.79999999999998</v>
      </c>
      <c r="AU19" s="172">
        <f t="shared" si="7"/>
        <v>166.49999999999994</v>
      </c>
      <c r="AV19" s="173">
        <f t="shared" si="7"/>
        <v>174.49999999999994</v>
      </c>
      <c r="AW19" s="173">
        <f t="shared" si="7"/>
        <v>185.19000000000017</v>
      </c>
      <c r="AX19" s="471">
        <f t="shared" si="7"/>
        <v>274.39999999999998</v>
      </c>
      <c r="AY19" s="472">
        <f>AY15+AY16+AY18+AY17</f>
        <v>227.8882556311091</v>
      </c>
      <c r="AZ19" s="173">
        <f t="shared" ref="AZ19:BR19" si="8">AZ15+AZ16+AZ18+AZ17</f>
        <v>295.7866728108321</v>
      </c>
      <c r="BA19" s="173">
        <f t="shared" si="8"/>
        <v>300.5453192177211</v>
      </c>
      <c r="BB19" s="173">
        <f t="shared" si="8"/>
        <v>318.72565662159752</v>
      </c>
      <c r="BC19" s="172">
        <f t="shared" si="8"/>
        <v>174.90000000000015</v>
      </c>
      <c r="BD19" s="173">
        <f t="shared" si="8"/>
        <v>202.5449012250719</v>
      </c>
      <c r="BE19" s="173">
        <f t="shared" si="8"/>
        <v>360.40000000000015</v>
      </c>
      <c r="BF19" s="173">
        <f t="shared" si="8"/>
        <v>434.81790893082211</v>
      </c>
      <c r="BG19" s="172">
        <f t="shared" si="8"/>
        <v>268.50000000000006</v>
      </c>
      <c r="BH19" s="173">
        <f t="shared" si="8"/>
        <v>414.1</v>
      </c>
      <c r="BI19" s="173">
        <f t="shared" si="8"/>
        <v>461.89999999999992</v>
      </c>
      <c r="BJ19" s="173">
        <f t="shared" si="8"/>
        <v>475.8</v>
      </c>
      <c r="BK19" s="172">
        <f t="shared" si="8"/>
        <v>551.70000000000016</v>
      </c>
      <c r="BL19" s="173">
        <f t="shared" si="8"/>
        <v>707.3</v>
      </c>
      <c r="BM19" s="173">
        <f t="shared" si="8"/>
        <v>684.9000000000002</v>
      </c>
      <c r="BN19" s="173">
        <f t="shared" si="8"/>
        <v>805.49999999999989</v>
      </c>
      <c r="BO19" s="172">
        <f t="shared" si="8"/>
        <v>773.49999999999989</v>
      </c>
      <c r="BP19" s="173">
        <f t="shared" si="8"/>
        <v>901.69999999999993</v>
      </c>
      <c r="BQ19" s="173">
        <f t="shared" si="8"/>
        <v>936</v>
      </c>
      <c r="BR19" s="173">
        <f t="shared" si="8"/>
        <v>938.10000000000014</v>
      </c>
      <c r="BS19" s="172">
        <f>BS15+BS16+BS18+BS17</f>
        <v>751.10000000000014</v>
      </c>
    </row>
    <row r="20" spans="1:72" ht="18" customHeight="1">
      <c r="A20" s="473"/>
      <c r="B20" s="473"/>
      <c r="C20" s="474"/>
      <c r="D20" s="474"/>
      <c r="E20" s="474"/>
      <c r="F20" s="474"/>
      <c r="G20" s="474"/>
      <c r="H20" s="474"/>
      <c r="I20" s="474"/>
      <c r="J20" s="474"/>
      <c r="K20" s="474"/>
      <c r="L20" s="474"/>
      <c r="M20" s="474"/>
      <c r="N20" s="474"/>
      <c r="O20" s="474"/>
      <c r="P20" s="474"/>
      <c r="Q20" s="474"/>
      <c r="R20" s="474"/>
      <c r="S20" s="474"/>
      <c r="T20" s="474"/>
      <c r="U20" s="474"/>
      <c r="V20" s="474"/>
      <c r="W20" s="474"/>
      <c r="X20" s="474"/>
      <c r="Y20" s="474"/>
      <c r="Z20" s="474"/>
      <c r="AA20" s="474"/>
      <c r="AB20" s="474"/>
      <c r="AC20" s="474"/>
      <c r="AD20" s="474"/>
      <c r="AE20" s="474"/>
      <c r="AF20" s="474"/>
      <c r="AG20" s="474"/>
      <c r="AH20" s="474"/>
      <c r="AI20" s="474"/>
      <c r="AJ20" s="474"/>
      <c r="AK20" s="474"/>
      <c r="AL20" s="474"/>
      <c r="AM20" s="474"/>
      <c r="AN20" s="474"/>
      <c r="AO20" s="474"/>
      <c r="AP20" s="474"/>
      <c r="AQ20" s="474"/>
      <c r="AR20" s="474"/>
      <c r="AS20" s="474"/>
      <c r="AT20" s="474"/>
      <c r="AU20" s="474"/>
      <c r="AV20" s="474"/>
      <c r="AW20" s="474"/>
      <c r="AX20" s="474"/>
      <c r="AY20" s="474"/>
      <c r="AZ20" s="474"/>
      <c r="BA20" s="474"/>
      <c r="BB20" s="474"/>
      <c r="BC20" s="474"/>
      <c r="BD20" s="474"/>
      <c r="BE20" s="474"/>
      <c r="BF20" s="474"/>
      <c r="BG20" s="474"/>
      <c r="BH20" s="474"/>
      <c r="BI20" s="474"/>
      <c r="BJ20" s="474"/>
      <c r="BK20" s="474"/>
      <c r="BL20" s="474"/>
      <c r="BM20" s="474"/>
      <c r="BN20" s="474"/>
      <c r="BO20" s="474"/>
      <c r="BP20" s="474"/>
      <c r="BQ20" s="474"/>
      <c r="BR20" s="474"/>
      <c r="BS20" s="474"/>
    </row>
    <row r="21" spans="1:72">
      <c r="A21" s="548" t="s">
        <v>781</v>
      </c>
      <c r="B21" s="548" t="s">
        <v>782</v>
      </c>
      <c r="C21" s="431"/>
      <c r="D21" s="431"/>
      <c r="E21" s="431"/>
      <c r="F21" s="431"/>
      <c r="G21" s="431"/>
      <c r="H21" s="431"/>
      <c r="I21" s="431"/>
      <c r="J21" s="431"/>
      <c r="K21" s="431"/>
      <c r="L21" s="431"/>
      <c r="M21" s="431"/>
      <c r="N21" s="431"/>
      <c r="O21" s="431"/>
      <c r="P21" s="431"/>
      <c r="Q21" s="431"/>
      <c r="R21" s="431"/>
      <c r="S21" s="431"/>
      <c r="T21" s="431"/>
      <c r="U21" s="431"/>
      <c r="V21" s="431"/>
      <c r="W21" s="431"/>
      <c r="X21" s="431"/>
      <c r="Y21" s="431"/>
      <c r="Z21" s="431"/>
      <c r="AA21" s="431"/>
      <c r="AB21" s="431"/>
      <c r="AC21" s="431"/>
      <c r="AD21" s="431"/>
      <c r="AE21" s="431"/>
      <c r="AF21" s="431"/>
      <c r="AG21" s="431"/>
      <c r="AH21" s="431"/>
      <c r="AI21" s="431"/>
      <c r="AJ21" s="431"/>
      <c r="AK21" s="431"/>
      <c r="AL21" s="431"/>
      <c r="AM21" s="431"/>
      <c r="AN21" s="431"/>
      <c r="AO21" s="431"/>
      <c r="AP21" s="431"/>
      <c r="AQ21" s="431"/>
      <c r="AR21" s="431"/>
      <c r="AS21" s="431"/>
      <c r="AT21" s="431"/>
      <c r="AU21" s="431"/>
      <c r="AV21" s="431"/>
      <c r="AW21" s="431"/>
      <c r="AX21" s="431"/>
      <c r="AY21" s="431"/>
      <c r="AZ21" s="431"/>
      <c r="BA21" s="431"/>
      <c r="BB21" s="431"/>
      <c r="BC21" s="431"/>
      <c r="BD21" s="431"/>
      <c r="BE21" s="431"/>
      <c r="BF21" s="431"/>
      <c r="BG21" s="431"/>
      <c r="BH21" s="431"/>
      <c r="BI21" s="431"/>
      <c r="BJ21" s="431"/>
      <c r="BK21" s="431"/>
      <c r="BL21" s="431"/>
      <c r="BM21" s="431"/>
      <c r="BN21" s="431"/>
      <c r="BO21" s="431"/>
      <c r="BP21" s="431"/>
      <c r="BQ21" s="431"/>
      <c r="BR21" s="431"/>
      <c r="BS21" s="431"/>
    </row>
    <row r="22" spans="1:72">
      <c r="A22" s="549"/>
      <c r="B22" s="549"/>
    </row>
  </sheetData>
  <mergeCells count="22">
    <mergeCell ref="BO3:BR3"/>
    <mergeCell ref="BS3:BV3"/>
    <mergeCell ref="A21:A22"/>
    <mergeCell ref="B21:B22"/>
    <mergeCell ref="AQ3:AT3"/>
    <mergeCell ref="AU3:AX3"/>
    <mergeCell ref="AY3:BB3"/>
    <mergeCell ref="BC3:BF3"/>
    <mergeCell ref="BG3:BJ3"/>
    <mergeCell ref="BK3:BN3"/>
    <mergeCell ref="S3:V3"/>
    <mergeCell ref="W3:Z3"/>
    <mergeCell ref="AA3:AD3"/>
    <mergeCell ref="AE3:AH3"/>
    <mergeCell ref="AI3:AL3"/>
    <mergeCell ref="AM3:AP3"/>
    <mergeCell ref="O3:R3"/>
    <mergeCell ref="A3:A4"/>
    <mergeCell ref="B3:B4"/>
    <mergeCell ref="C3:F3"/>
    <mergeCell ref="G3:J3"/>
    <mergeCell ref="K3:N3"/>
  </mergeCells>
  <hyperlinks>
    <hyperlink ref="A1:B1" location="'Spis tresci_Table of content'!Print_Area" display="Go back to Table of content" xr:uid="{D3FE6C1B-E595-438C-BD81-641E2EB30A81}"/>
    <hyperlink ref="A1" location="'Spis tresci_Table of content'!A1" display="Go back to Table of content" xr:uid="{4A123776-BF78-4455-A3EE-175EABC6F7CB}"/>
    <hyperlink ref="B1" location="'Spis tresci_Table of content'!A1" display="Powrót do spisu treści" xr:uid="{C1A29A36-D0DB-479B-B550-B9CE6C667ED9}"/>
  </hyperlink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97F96-60C4-4C49-B96C-664D062380F8}">
  <sheetPr>
    <pageSetUpPr fitToPage="1"/>
  </sheetPr>
  <dimension ref="A1:BV44"/>
  <sheetViews>
    <sheetView showGridLines="0" zoomScaleNormal="100" zoomScaleSheetLayoutView="100" zoomScalePageLayoutView="80" workbookViewId="0">
      <pane xSplit="2" ySplit="5" topLeftCell="BI6" activePane="bottomRight" state="frozen"/>
      <selection pane="topRight" activeCell="C1" sqref="C1"/>
      <selection pane="bottomLeft" activeCell="A5" sqref="A5"/>
      <selection pane="bottomRight" activeCell="BK1" sqref="BK1"/>
    </sheetView>
  </sheetViews>
  <sheetFormatPr defaultColWidth="0" defaultRowHeight="13.8" customHeight="1" zeroHeight="1" outlineLevelCol="1"/>
  <cols>
    <col min="1" max="1" width="48.44140625" style="4" customWidth="1" outlineLevel="1"/>
    <col min="2" max="2" width="53" style="4" customWidth="1"/>
    <col min="3" max="47" width="6" style="2" customWidth="1"/>
    <col min="48" max="48" width="6.109375" style="2" customWidth="1"/>
    <col min="49" max="51" width="6" style="2" customWidth="1"/>
    <col min="52" max="52" width="6.109375" style="2" customWidth="1"/>
    <col min="53" max="55" width="6" style="2" customWidth="1"/>
    <col min="56" max="56" width="6.109375" style="2" customWidth="1"/>
    <col min="57" max="59" width="6" style="2" customWidth="1"/>
    <col min="60" max="60" width="6.109375" style="2" customWidth="1"/>
    <col min="61" max="62" width="6" style="2" customWidth="1"/>
    <col min="63" max="63" width="8.5546875" style="2" customWidth="1"/>
    <col min="64" max="64" width="8.6640625" style="2" customWidth="1"/>
    <col min="65" max="70" width="7.6640625" style="2" customWidth="1"/>
    <col min="71"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219"/>
    </row>
    <row r="2" spans="1:74" ht="12.75" customHeight="1">
      <c r="A2" s="152" t="s">
        <v>496</v>
      </c>
      <c r="B2" s="152" t="s">
        <v>5</v>
      </c>
      <c r="AY2" s="219" t="s">
        <v>295</v>
      </c>
      <c r="AZ2" s="150"/>
      <c r="BA2" s="150"/>
      <c r="BB2" s="150"/>
    </row>
    <row r="3" spans="1:74">
      <c r="A3" s="536" t="s">
        <v>752</v>
      </c>
      <c r="B3" s="536" t="s">
        <v>753</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4"/>
      <c r="AI3" s="533">
        <v>2015</v>
      </c>
      <c r="AJ3" s="534"/>
      <c r="AK3" s="534"/>
      <c r="AL3" s="535"/>
      <c r="AM3" s="533">
        <v>2016</v>
      </c>
      <c r="AN3" s="534"/>
      <c r="AO3" s="534"/>
      <c r="AP3" s="535"/>
      <c r="AQ3" s="533">
        <v>2017</v>
      </c>
      <c r="AR3" s="534"/>
      <c r="AS3" s="534"/>
      <c r="AT3" s="534">
        <v>2017</v>
      </c>
      <c r="AU3" s="542">
        <v>2018</v>
      </c>
      <c r="AV3" s="543"/>
      <c r="AW3" s="543"/>
      <c r="AX3" s="550"/>
      <c r="AY3" s="543">
        <v>2019</v>
      </c>
      <c r="AZ3" s="543"/>
      <c r="BA3" s="543"/>
      <c r="BB3" s="551"/>
      <c r="BC3" s="533">
        <v>2020</v>
      </c>
      <c r="BD3" s="538"/>
      <c r="BE3" s="538"/>
      <c r="BF3" s="547"/>
      <c r="BG3" s="533">
        <v>2021</v>
      </c>
      <c r="BH3" s="538"/>
      <c r="BI3" s="538"/>
      <c r="BJ3" s="547"/>
      <c r="BK3" s="533">
        <v>2022</v>
      </c>
      <c r="BL3" s="538"/>
      <c r="BM3" s="538"/>
      <c r="BN3" s="547"/>
      <c r="BO3" s="533">
        <v>2023</v>
      </c>
      <c r="BP3" s="538"/>
      <c r="BQ3" s="538"/>
      <c r="BR3" s="547"/>
      <c r="BS3" s="533">
        <v>2024</v>
      </c>
      <c r="BT3" s="538"/>
      <c r="BU3" s="538"/>
      <c r="BV3" s="547"/>
    </row>
    <row r="4" spans="1:74" ht="27" customHeight="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1" t="s">
        <v>8</v>
      </c>
      <c r="AB4" s="12" t="s">
        <v>9</v>
      </c>
      <c r="AC4" s="12" t="s">
        <v>10</v>
      </c>
      <c r="AD4" s="13" t="s">
        <v>11</v>
      </c>
      <c r="AE4" s="12" t="s">
        <v>8</v>
      </c>
      <c r="AF4" s="12" t="s">
        <v>9</v>
      </c>
      <c r="AG4" s="12" t="s">
        <v>10</v>
      </c>
      <c r="AH4" s="12" t="s">
        <v>11</v>
      </c>
      <c r="AI4" s="11" t="s">
        <v>8</v>
      </c>
      <c r="AJ4" s="12" t="s">
        <v>9</v>
      </c>
      <c r="AK4" s="12" t="s">
        <v>10</v>
      </c>
      <c r="AL4" s="12" t="s">
        <v>11</v>
      </c>
      <c r="AM4" s="11" t="s">
        <v>8</v>
      </c>
      <c r="AN4" s="12" t="s">
        <v>9</v>
      </c>
      <c r="AO4" s="12" t="s">
        <v>10</v>
      </c>
      <c r="AP4" s="12" t="s">
        <v>11</v>
      </c>
      <c r="AQ4" s="11" t="s">
        <v>8</v>
      </c>
      <c r="AR4" s="12" t="s">
        <v>9</v>
      </c>
      <c r="AS4" s="12" t="s">
        <v>10</v>
      </c>
      <c r="AT4" s="12" t="s">
        <v>11</v>
      </c>
      <c r="AU4" s="11" t="s">
        <v>8</v>
      </c>
      <c r="AV4" s="12" t="s">
        <v>9</v>
      </c>
      <c r="AW4" s="12" t="s">
        <v>10</v>
      </c>
      <c r="AX4" s="463" t="s">
        <v>11</v>
      </c>
      <c r="AY4" s="464"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c r="A5" s="17" t="s">
        <v>12</v>
      </c>
      <c r="B5" s="17" t="s">
        <v>13</v>
      </c>
      <c r="C5" s="729"/>
      <c r="D5" s="728"/>
      <c r="E5" s="728"/>
      <c r="F5" s="728"/>
      <c r="G5" s="729"/>
      <c r="H5" s="728"/>
      <c r="I5" s="728"/>
      <c r="J5" s="730"/>
      <c r="K5" s="729"/>
      <c r="L5" s="728"/>
      <c r="M5" s="728"/>
      <c r="N5" s="730"/>
      <c r="O5" s="729"/>
      <c r="P5" s="728"/>
      <c r="Q5" s="728"/>
      <c r="R5" s="730"/>
      <c r="S5" s="729"/>
      <c r="T5" s="728"/>
      <c r="U5" s="728"/>
      <c r="V5" s="730"/>
      <c r="W5" s="729"/>
      <c r="X5" s="728"/>
      <c r="Y5" s="728"/>
      <c r="Z5" s="730"/>
      <c r="AA5" s="729"/>
      <c r="AB5" s="728"/>
      <c r="AC5" s="728"/>
      <c r="AD5" s="730"/>
      <c r="AE5" s="728"/>
      <c r="AF5" s="728"/>
      <c r="AG5" s="728"/>
      <c r="AH5" s="728"/>
      <c r="AI5" s="729"/>
      <c r="AJ5" s="728"/>
      <c r="AK5" s="728"/>
      <c r="AL5" s="728"/>
      <c r="AM5" s="729"/>
      <c r="AN5" s="728"/>
      <c r="AO5" s="728"/>
      <c r="AP5" s="728"/>
      <c r="AQ5" s="729"/>
      <c r="AR5" s="728"/>
      <c r="AS5" s="728"/>
      <c r="AT5" s="728"/>
      <c r="AU5" s="729"/>
      <c r="AV5" s="728"/>
      <c r="AW5" s="728"/>
      <c r="AX5" s="731"/>
      <c r="AY5" s="622"/>
      <c r="AZ5" s="620"/>
      <c r="BA5" s="620"/>
      <c r="BB5" s="620"/>
      <c r="BC5" s="729"/>
      <c r="BD5" s="728"/>
      <c r="BE5" s="728"/>
      <c r="BF5" s="728"/>
      <c r="BG5" s="729"/>
      <c r="BH5" s="728"/>
      <c r="BI5" s="728"/>
      <c r="BJ5" s="728"/>
      <c r="BK5" s="729"/>
      <c r="BL5" s="728"/>
      <c r="BM5" s="728"/>
      <c r="BN5" s="728"/>
      <c r="BO5" s="729"/>
      <c r="BP5" s="728"/>
      <c r="BQ5" s="728"/>
      <c r="BR5" s="728"/>
      <c r="BS5" s="734"/>
      <c r="BT5" s="732"/>
    </row>
    <row r="6" spans="1:74" s="466" customFormat="1">
      <c r="A6" s="177" t="s">
        <v>754</v>
      </c>
      <c r="B6" s="177" t="s">
        <v>755</v>
      </c>
      <c r="C6" s="635">
        <f>SUM(C7:C10)</f>
        <v>319.96553822512698</v>
      </c>
      <c r="D6" s="636">
        <f t="shared" ref="D6:AG6" si="0">SUM(D7:D10)</f>
        <v>309.36553822512701</v>
      </c>
      <c r="E6" s="636">
        <f t="shared" si="0"/>
        <v>320.56553822512706</v>
      </c>
      <c r="F6" s="636">
        <f t="shared" si="0"/>
        <v>280.66553822512702</v>
      </c>
      <c r="G6" s="635">
        <f t="shared" si="0"/>
        <v>297.4580087857276</v>
      </c>
      <c r="H6" s="636">
        <f t="shared" si="0"/>
        <v>352.35800878572758</v>
      </c>
      <c r="I6" s="636">
        <f t="shared" si="0"/>
        <v>342.85800878572752</v>
      </c>
      <c r="J6" s="637">
        <f t="shared" si="0"/>
        <v>269.45800878572749</v>
      </c>
      <c r="K6" s="635">
        <f t="shared" si="0"/>
        <v>298.38504180498364</v>
      </c>
      <c r="L6" s="636">
        <f t="shared" si="0"/>
        <v>353.98504180498361</v>
      </c>
      <c r="M6" s="636">
        <f t="shared" si="0"/>
        <v>341.1850418049836</v>
      </c>
      <c r="N6" s="637">
        <f t="shared" si="0"/>
        <v>306.88504180498364</v>
      </c>
      <c r="O6" s="635">
        <f t="shared" si="0"/>
        <v>308.76617079147798</v>
      </c>
      <c r="P6" s="636">
        <f t="shared" si="0"/>
        <v>361.06617079147793</v>
      </c>
      <c r="Q6" s="636">
        <f>SUM(Q7:Q10)</f>
        <v>370.56617079147799</v>
      </c>
      <c r="R6" s="637">
        <f t="shared" si="0"/>
        <v>386.66617079147795</v>
      </c>
      <c r="S6" s="635">
        <f t="shared" si="0"/>
        <v>389.24726417014944</v>
      </c>
      <c r="T6" s="636">
        <f t="shared" si="0"/>
        <v>401.5472641701495</v>
      </c>
      <c r="U6" s="636">
        <f t="shared" si="0"/>
        <v>376.34726417014946</v>
      </c>
      <c r="V6" s="637">
        <f t="shared" si="0"/>
        <v>377.64726417014953</v>
      </c>
      <c r="W6" s="635">
        <f t="shared" si="0"/>
        <v>427.72683986871607</v>
      </c>
      <c r="X6" s="636">
        <f t="shared" si="0"/>
        <v>422.02683986871602</v>
      </c>
      <c r="Y6" s="636">
        <f t="shared" si="0"/>
        <v>424.6268398687161</v>
      </c>
      <c r="Z6" s="637">
        <f t="shared" si="0"/>
        <v>406.32683986871609</v>
      </c>
      <c r="AA6" s="635">
        <f t="shared" si="0"/>
        <v>448.86927101575867</v>
      </c>
      <c r="AB6" s="636">
        <f t="shared" si="0"/>
        <v>420.95260226839201</v>
      </c>
      <c r="AC6" s="636">
        <f t="shared" si="0"/>
        <v>428.22809784460458</v>
      </c>
      <c r="AD6" s="637">
        <f t="shared" si="0"/>
        <v>455.15251444864481</v>
      </c>
      <c r="AE6" s="636">
        <f>SUM(AE7:AE10)</f>
        <v>485.19999999999993</v>
      </c>
      <c r="AF6" s="636">
        <f>SUM(AF7:AF10)</f>
        <v>496.79999999999995</v>
      </c>
      <c r="AG6" s="636">
        <f t="shared" si="0"/>
        <v>493.1</v>
      </c>
      <c r="AH6" s="636">
        <f>SUM(AH7:AH10)</f>
        <v>468.3</v>
      </c>
      <c r="AI6" s="635">
        <f>SUM(AI7:AI10)</f>
        <v>479.59999999999997</v>
      </c>
      <c r="AJ6" s="636">
        <f>SUM(AJ7:AJ10)</f>
        <v>569.6</v>
      </c>
      <c r="AK6" s="636">
        <f>SUM(AK7:AK10)</f>
        <v>530.6</v>
      </c>
      <c r="AL6" s="636">
        <f>SUM(AL7:AL10)</f>
        <v>508.5</v>
      </c>
      <c r="AM6" s="635">
        <f t="shared" ref="AM6:BS6" si="1">SUM(AM7:AM10)</f>
        <v>527.4</v>
      </c>
      <c r="AN6" s="636">
        <f t="shared" si="1"/>
        <v>715.5</v>
      </c>
      <c r="AO6" s="636">
        <f t="shared" si="1"/>
        <v>608</v>
      </c>
      <c r="AP6" s="636">
        <f t="shared" si="1"/>
        <v>621.19999999999993</v>
      </c>
      <c r="AQ6" s="635">
        <f t="shared" si="1"/>
        <v>635.5</v>
      </c>
      <c r="AR6" s="636">
        <f t="shared" si="1"/>
        <v>677</v>
      </c>
      <c r="AS6" s="636">
        <f t="shared" si="1"/>
        <v>678.90000000000009</v>
      </c>
      <c r="AT6" s="636">
        <f t="shared" si="1"/>
        <v>687.19999999999993</v>
      </c>
      <c r="AU6" s="635">
        <f t="shared" si="1"/>
        <v>725.59999999999991</v>
      </c>
      <c r="AV6" s="636">
        <f t="shared" si="1"/>
        <v>787.09999999999991</v>
      </c>
      <c r="AW6" s="636">
        <f t="shared" si="1"/>
        <v>740.30456785007209</v>
      </c>
      <c r="AX6" s="638">
        <f t="shared" si="1"/>
        <v>788.4</v>
      </c>
      <c r="AY6" s="639">
        <f t="shared" si="1"/>
        <v>656.2</v>
      </c>
      <c r="AZ6" s="636">
        <f t="shared" si="1"/>
        <v>709.80000000000007</v>
      </c>
      <c r="BA6" s="636">
        <f t="shared" si="1"/>
        <v>719.50000000000011</v>
      </c>
      <c r="BB6" s="636">
        <f t="shared" si="1"/>
        <v>714.2</v>
      </c>
      <c r="BC6" s="635">
        <f t="shared" si="1"/>
        <v>742.3</v>
      </c>
      <c r="BD6" s="636">
        <f t="shared" si="1"/>
        <v>709.69999999999993</v>
      </c>
      <c r="BE6" s="636">
        <f t="shared" si="1"/>
        <v>746.5</v>
      </c>
      <c r="BF6" s="636">
        <f t="shared" si="1"/>
        <v>762.85881383126048</v>
      </c>
      <c r="BG6" s="635">
        <f t="shared" si="1"/>
        <v>783</v>
      </c>
      <c r="BH6" s="636">
        <f t="shared" si="1"/>
        <v>804.5</v>
      </c>
      <c r="BI6" s="636">
        <f t="shared" si="1"/>
        <v>841.19999999999993</v>
      </c>
      <c r="BJ6" s="636">
        <f t="shared" si="1"/>
        <v>876.29999999999984</v>
      </c>
      <c r="BK6" s="635">
        <f t="shared" si="1"/>
        <v>1094.7</v>
      </c>
      <c r="BL6" s="636">
        <f t="shared" si="1"/>
        <v>1101.3999999999999</v>
      </c>
      <c r="BM6" s="636">
        <f t="shared" si="1"/>
        <v>-603.19999999999993</v>
      </c>
      <c r="BN6" s="636">
        <f t="shared" si="1"/>
        <v>987.59999999999991</v>
      </c>
      <c r="BO6" s="635">
        <f t="shared" si="1"/>
        <v>996.8</v>
      </c>
      <c r="BP6" s="636">
        <f t="shared" si="1"/>
        <v>1109</v>
      </c>
      <c r="BQ6" s="636">
        <f t="shared" si="1"/>
        <v>1114.8999999999999</v>
      </c>
      <c r="BR6" s="636">
        <f t="shared" si="1"/>
        <v>1245.4999999999998</v>
      </c>
      <c r="BS6" s="635">
        <f t="shared" si="1"/>
        <v>1177.7</v>
      </c>
      <c r="BT6" s="733"/>
    </row>
    <row r="7" spans="1:74">
      <c r="A7" s="159" t="s">
        <v>756</v>
      </c>
      <c r="B7" s="159" t="s">
        <v>757</v>
      </c>
      <c r="C7" s="625">
        <v>138</v>
      </c>
      <c r="D7" s="626">
        <v>144.30000000000001</v>
      </c>
      <c r="E7" s="626">
        <v>148.80000000000001</v>
      </c>
      <c r="F7" s="626">
        <v>153.80000000000001</v>
      </c>
      <c r="G7" s="625">
        <v>154.30000000000001</v>
      </c>
      <c r="H7" s="626">
        <v>146</v>
      </c>
      <c r="I7" s="626">
        <v>170.6</v>
      </c>
      <c r="J7" s="627">
        <v>112</v>
      </c>
      <c r="K7" s="625">
        <v>123</v>
      </c>
      <c r="L7" s="626">
        <v>213</v>
      </c>
      <c r="M7" s="626">
        <v>153.1</v>
      </c>
      <c r="N7" s="627">
        <v>153</v>
      </c>
      <c r="O7" s="625">
        <v>178</v>
      </c>
      <c r="P7" s="626">
        <v>202.2</v>
      </c>
      <c r="Q7" s="626">
        <v>199.1</v>
      </c>
      <c r="R7" s="627">
        <v>236.5</v>
      </c>
      <c r="S7" s="625">
        <v>238.3</v>
      </c>
      <c r="T7" s="626">
        <v>245.8</v>
      </c>
      <c r="U7" s="626">
        <v>233.9</v>
      </c>
      <c r="V7" s="627">
        <v>236.9</v>
      </c>
      <c r="W7" s="625">
        <v>254.7738238377311</v>
      </c>
      <c r="X7" s="626">
        <v>265.77382383773107</v>
      </c>
      <c r="Y7" s="626">
        <v>276.17382383773111</v>
      </c>
      <c r="Z7" s="627">
        <v>249.47382383773112</v>
      </c>
      <c r="AA7" s="625">
        <v>242.18036743499977</v>
      </c>
      <c r="AB7" s="626">
        <v>260.00901994993075</v>
      </c>
      <c r="AC7" s="626">
        <v>281.6279190694209</v>
      </c>
      <c r="AD7" s="627">
        <v>296.84214202947464</v>
      </c>
      <c r="AE7" s="626">
        <v>317.39999999999998</v>
      </c>
      <c r="AF7" s="626">
        <v>346.7</v>
      </c>
      <c r="AG7" s="626">
        <v>362.3</v>
      </c>
      <c r="AH7" s="626">
        <v>341.5</v>
      </c>
      <c r="AI7" s="625">
        <v>344.4</v>
      </c>
      <c r="AJ7" s="626">
        <v>373.2</v>
      </c>
      <c r="AK7" s="626">
        <v>404.8</v>
      </c>
      <c r="AL7" s="626">
        <f>394.1+0.4</f>
        <v>394.5</v>
      </c>
      <c r="AM7" s="625">
        <v>402.8</v>
      </c>
      <c r="AN7" s="626">
        <f>429.6+0.1</f>
        <v>429.70000000000005</v>
      </c>
      <c r="AO7" s="626">
        <f>506.9-0.1</f>
        <v>506.79999999999995</v>
      </c>
      <c r="AP7" s="626">
        <v>523.29999999999995</v>
      </c>
      <c r="AQ7" s="625">
        <v>508.2</v>
      </c>
      <c r="AR7" s="626">
        <v>516.70000000000005</v>
      </c>
      <c r="AS7" s="626">
        <v>543.80000000000007</v>
      </c>
      <c r="AT7" s="626">
        <v>564.6</v>
      </c>
      <c r="AU7" s="625">
        <v>562.79999999999995</v>
      </c>
      <c r="AV7" s="626">
        <v>587.29999999999995</v>
      </c>
      <c r="AW7" s="626">
        <v>612.9</v>
      </c>
      <c r="AX7" s="628">
        <v>623.4</v>
      </c>
      <c r="AY7" s="629">
        <v>541.70000000000005</v>
      </c>
      <c r="AZ7" s="626">
        <v>565.1</v>
      </c>
      <c r="BA7" s="626">
        <v>596.1</v>
      </c>
      <c r="BB7" s="626">
        <v>607</v>
      </c>
      <c r="BC7" s="625">
        <v>616.9</v>
      </c>
      <c r="BD7" s="626">
        <v>576.9</v>
      </c>
      <c r="BE7" s="626">
        <v>613.29999999999995</v>
      </c>
      <c r="BF7" s="626">
        <v>632.76903748959944</v>
      </c>
      <c r="BG7" s="625">
        <v>630.79999999999995</v>
      </c>
      <c r="BH7" s="626">
        <v>649.4</v>
      </c>
      <c r="BI7" s="626">
        <v>681.4</v>
      </c>
      <c r="BJ7" s="626">
        <v>753.8</v>
      </c>
      <c r="BK7" s="625">
        <v>922.2</v>
      </c>
      <c r="BL7" s="626">
        <v>956.4</v>
      </c>
      <c r="BM7" s="626">
        <v>-803.9</v>
      </c>
      <c r="BN7" s="626">
        <v>837.3</v>
      </c>
      <c r="BO7" s="625">
        <v>847.6</v>
      </c>
      <c r="BP7" s="626">
        <v>966</v>
      </c>
      <c r="BQ7" s="626">
        <v>969.1</v>
      </c>
      <c r="BR7" s="626">
        <v>995.9</v>
      </c>
      <c r="BS7" s="625">
        <v>1011.3</v>
      </c>
      <c r="BT7" s="732"/>
    </row>
    <row r="8" spans="1:74" s="466" customFormat="1">
      <c r="A8" s="159" t="s">
        <v>758</v>
      </c>
      <c r="B8" s="159" t="s">
        <v>759</v>
      </c>
      <c r="C8" s="625">
        <v>130.16553822512702</v>
      </c>
      <c r="D8" s="626">
        <v>136.56553822512703</v>
      </c>
      <c r="E8" s="626">
        <v>135.06553822512703</v>
      </c>
      <c r="F8" s="626">
        <v>124.46553822512702</v>
      </c>
      <c r="G8" s="625">
        <v>124.25800878572755</v>
      </c>
      <c r="H8" s="626">
        <v>146.15800878572756</v>
      </c>
      <c r="I8" s="626">
        <v>140.75800878572755</v>
      </c>
      <c r="J8" s="627">
        <v>189.35800878572755</v>
      </c>
      <c r="K8" s="625">
        <v>146.78504180498365</v>
      </c>
      <c r="L8" s="626">
        <v>149.58504180498363</v>
      </c>
      <c r="M8" s="626">
        <v>159.78504180498365</v>
      </c>
      <c r="N8" s="627">
        <v>88.385041804983658</v>
      </c>
      <c r="O8" s="625">
        <v>117.26617079147796</v>
      </c>
      <c r="P8" s="626">
        <v>159.16617079147795</v>
      </c>
      <c r="Q8" s="626">
        <v>160.86617079147797</v>
      </c>
      <c r="R8" s="627">
        <v>96.466170791477964</v>
      </c>
      <c r="S8" s="625">
        <v>130.84726417014949</v>
      </c>
      <c r="T8" s="626">
        <v>127.44726417014948</v>
      </c>
      <c r="U8" s="626">
        <v>122.34726417014949</v>
      </c>
      <c r="V8" s="627">
        <v>123.34726417014949</v>
      </c>
      <c r="W8" s="625">
        <v>117.17074753424698</v>
      </c>
      <c r="X8" s="626">
        <v>115.47074753424698</v>
      </c>
      <c r="Y8" s="626">
        <v>117.57074753424699</v>
      </c>
      <c r="Z8" s="627">
        <v>120.17074753424698</v>
      </c>
      <c r="AA8" s="625">
        <v>106.86733167592386</v>
      </c>
      <c r="AB8" s="626">
        <v>113.53324875046341</v>
      </c>
      <c r="AC8" s="626">
        <v>97.43429845405025</v>
      </c>
      <c r="AD8" s="627">
        <v>119.39543086788544</v>
      </c>
      <c r="AE8" s="626">
        <v>121.9</v>
      </c>
      <c r="AF8" s="626">
        <v>123.1</v>
      </c>
      <c r="AG8" s="626">
        <v>97.9</v>
      </c>
      <c r="AH8" s="626">
        <v>93.5</v>
      </c>
      <c r="AI8" s="625">
        <v>89.5</v>
      </c>
      <c r="AJ8" s="626">
        <v>94.8</v>
      </c>
      <c r="AK8" s="626">
        <v>91.8</v>
      </c>
      <c r="AL8" s="626">
        <f>87-0.1</f>
        <v>86.9</v>
      </c>
      <c r="AM8" s="625">
        <v>90.1</v>
      </c>
      <c r="AN8" s="626">
        <f>92.2-0.1</f>
        <v>92.100000000000009</v>
      </c>
      <c r="AO8" s="626">
        <f>98.4+0.1</f>
        <v>98.5</v>
      </c>
      <c r="AP8" s="626">
        <v>100</v>
      </c>
      <c r="AQ8" s="625">
        <v>104.7</v>
      </c>
      <c r="AR8" s="626">
        <v>111</v>
      </c>
      <c r="AS8" s="626">
        <v>108</v>
      </c>
      <c r="AT8" s="626">
        <v>103.19999999999999</v>
      </c>
      <c r="AU8" s="625">
        <v>120.89999999999999</v>
      </c>
      <c r="AV8" s="626">
        <v>162.9</v>
      </c>
      <c r="AW8" s="626">
        <v>106.70456785007201</v>
      </c>
      <c r="AX8" s="628">
        <v>123.8</v>
      </c>
      <c r="AY8" s="629">
        <v>91.1</v>
      </c>
      <c r="AZ8" s="626">
        <v>125</v>
      </c>
      <c r="BA8" s="626">
        <v>98.7</v>
      </c>
      <c r="BB8" s="626">
        <v>103.1</v>
      </c>
      <c r="BC8" s="625">
        <v>103</v>
      </c>
      <c r="BD8" s="626">
        <v>108</v>
      </c>
      <c r="BE8" s="626">
        <v>123.2</v>
      </c>
      <c r="BF8" s="626">
        <v>125.8</v>
      </c>
      <c r="BG8" s="625">
        <v>133.9</v>
      </c>
      <c r="BH8" s="626">
        <v>139.39999999999998</v>
      </c>
      <c r="BI8" s="626">
        <v>149.29999999999998</v>
      </c>
      <c r="BJ8" s="626">
        <v>135.4</v>
      </c>
      <c r="BK8" s="625">
        <v>161.5</v>
      </c>
      <c r="BL8" s="626">
        <v>143.69999999999999</v>
      </c>
      <c r="BM8" s="626">
        <v>142.6</v>
      </c>
      <c r="BN8" s="626">
        <v>132.4</v>
      </c>
      <c r="BO8" s="625">
        <v>130.19999999999999</v>
      </c>
      <c r="BP8" s="626">
        <v>143.19999999999999</v>
      </c>
      <c r="BQ8" s="626">
        <v>152.5</v>
      </c>
      <c r="BR8" s="626">
        <v>162.69999999999999</v>
      </c>
      <c r="BS8" s="625">
        <v>160.19999999999999</v>
      </c>
      <c r="BT8" s="733"/>
    </row>
    <row r="9" spans="1:74" s="466" customFormat="1">
      <c r="A9" s="163" t="s">
        <v>760</v>
      </c>
      <c r="B9" s="163" t="s">
        <v>761</v>
      </c>
      <c r="C9" s="625">
        <v>39.4</v>
      </c>
      <c r="D9" s="626">
        <v>17.600000000000001</v>
      </c>
      <c r="E9" s="626">
        <v>27.1</v>
      </c>
      <c r="F9" s="626">
        <v>-8.3000000000000007</v>
      </c>
      <c r="G9" s="625">
        <v>7.3</v>
      </c>
      <c r="H9" s="626">
        <v>46</v>
      </c>
      <c r="I9" s="626">
        <v>18.5</v>
      </c>
      <c r="J9" s="627">
        <v>-41.3</v>
      </c>
      <c r="K9" s="625">
        <v>18.5</v>
      </c>
      <c r="L9" s="626">
        <v>-24.1</v>
      </c>
      <c r="M9" s="626">
        <v>17.899999999999999</v>
      </c>
      <c r="N9" s="627">
        <v>49.4</v>
      </c>
      <c r="O9" s="625">
        <v>6.2</v>
      </c>
      <c r="P9" s="626">
        <v>-11.2</v>
      </c>
      <c r="Q9" s="626">
        <v>0</v>
      </c>
      <c r="R9" s="627">
        <v>41.3</v>
      </c>
      <c r="S9" s="625">
        <v>10.4</v>
      </c>
      <c r="T9" s="626">
        <f>15.1</f>
        <v>15.1</v>
      </c>
      <c r="U9" s="626">
        <v>11.9</v>
      </c>
      <c r="V9" s="627">
        <v>7.3</v>
      </c>
      <c r="W9" s="625">
        <v>48.98226849673798</v>
      </c>
      <c r="X9" s="626">
        <v>29.582268496737978</v>
      </c>
      <c r="Y9" s="626">
        <v>23.282268496737977</v>
      </c>
      <c r="Z9" s="627">
        <v>26.582268496737978</v>
      </c>
      <c r="AA9" s="625">
        <v>90.821571904835039</v>
      </c>
      <c r="AB9" s="626">
        <v>39.610333567997856</v>
      </c>
      <c r="AC9" s="626">
        <v>39.865880321133432</v>
      </c>
      <c r="AD9" s="627">
        <v>26.914941551284713</v>
      </c>
      <c r="AE9" s="626">
        <v>34.700000000000003</v>
      </c>
      <c r="AF9" s="626">
        <v>25.9</v>
      </c>
      <c r="AG9" s="626">
        <v>32.9</v>
      </c>
      <c r="AH9" s="626">
        <v>33.299999999999997</v>
      </c>
      <c r="AI9" s="625">
        <v>45.7</v>
      </c>
      <c r="AJ9" s="626">
        <v>101.6</v>
      </c>
      <c r="AK9" s="626">
        <v>34</v>
      </c>
      <c r="AL9" s="626">
        <f>27+0.1</f>
        <v>27.1</v>
      </c>
      <c r="AM9" s="625">
        <v>34.5</v>
      </c>
      <c r="AN9" s="626">
        <v>193.7</v>
      </c>
      <c r="AO9" s="626">
        <f>2.6+0.1</f>
        <v>2.7</v>
      </c>
      <c r="AP9" s="626">
        <v>-2.1</v>
      </c>
      <c r="AQ9" s="625">
        <v>22.6</v>
      </c>
      <c r="AR9" s="626">
        <v>49.3</v>
      </c>
      <c r="AS9" s="626">
        <v>27.1</v>
      </c>
      <c r="AT9" s="626">
        <v>19.400000000000002</v>
      </c>
      <c r="AU9" s="625">
        <v>41.9</v>
      </c>
      <c r="AV9" s="626">
        <v>36.9</v>
      </c>
      <c r="AW9" s="626">
        <v>20.7</v>
      </c>
      <c r="AX9" s="628">
        <v>41.2</v>
      </c>
      <c r="AY9" s="629">
        <v>23.4</v>
      </c>
      <c r="AZ9" s="626">
        <v>19.7</v>
      </c>
      <c r="BA9" s="626">
        <v>21.6</v>
      </c>
      <c r="BB9" s="626">
        <v>-0.3</v>
      </c>
      <c r="BC9" s="625">
        <v>18</v>
      </c>
      <c r="BD9" s="626">
        <v>20.8</v>
      </c>
      <c r="BE9" s="626">
        <v>6.3</v>
      </c>
      <c r="BF9" s="626">
        <v>0.28977634166107435</v>
      </c>
      <c r="BG9" s="625">
        <v>12.2</v>
      </c>
      <c r="BH9" s="626">
        <v>8.6</v>
      </c>
      <c r="BI9" s="626">
        <v>2.7</v>
      </c>
      <c r="BJ9" s="626">
        <v>-21.2</v>
      </c>
      <c r="BK9" s="625">
        <v>4.2</v>
      </c>
      <c r="BL9" s="626">
        <v>-4.5</v>
      </c>
      <c r="BM9" s="626">
        <v>52.7</v>
      </c>
      <c r="BN9" s="626">
        <v>10.3</v>
      </c>
      <c r="BO9" s="625">
        <v>13.4</v>
      </c>
      <c r="BP9" s="626">
        <v>-6.5</v>
      </c>
      <c r="BQ9" s="626">
        <v>-13</v>
      </c>
      <c r="BR9" s="626">
        <v>75.599999999999994</v>
      </c>
      <c r="BS9" s="625">
        <v>-1</v>
      </c>
      <c r="BT9" s="733"/>
    </row>
    <row r="10" spans="1:74" ht="21.6">
      <c r="A10" s="159" t="s">
        <v>762</v>
      </c>
      <c r="B10" s="159" t="s">
        <v>763</v>
      </c>
      <c r="C10" s="625">
        <v>12.4</v>
      </c>
      <c r="D10" s="626">
        <v>10.9</v>
      </c>
      <c r="E10" s="626">
        <v>9.6</v>
      </c>
      <c r="F10" s="626">
        <v>10.7</v>
      </c>
      <c r="G10" s="625">
        <v>11.6</v>
      </c>
      <c r="H10" s="626">
        <v>14.2</v>
      </c>
      <c r="I10" s="626">
        <v>13</v>
      </c>
      <c r="J10" s="627">
        <v>9.4</v>
      </c>
      <c r="K10" s="625">
        <v>10.1</v>
      </c>
      <c r="L10" s="626">
        <v>15.5</v>
      </c>
      <c r="M10" s="626">
        <v>10.4</v>
      </c>
      <c r="N10" s="627">
        <v>16.100000000000001</v>
      </c>
      <c r="O10" s="625">
        <v>7.3</v>
      </c>
      <c r="P10" s="626">
        <v>10.9</v>
      </c>
      <c r="Q10" s="626">
        <v>10.6</v>
      </c>
      <c r="R10" s="627">
        <v>12.4</v>
      </c>
      <c r="S10" s="625">
        <v>9.6999999999999993</v>
      </c>
      <c r="T10" s="626">
        <v>13.2</v>
      </c>
      <c r="U10" s="626">
        <v>8.1999999999999993</v>
      </c>
      <c r="V10" s="627">
        <v>10.1</v>
      </c>
      <c r="W10" s="625">
        <v>6.8</v>
      </c>
      <c r="X10" s="626">
        <v>11.2</v>
      </c>
      <c r="Y10" s="626">
        <v>7.6</v>
      </c>
      <c r="Z10" s="627">
        <v>10.1</v>
      </c>
      <c r="AA10" s="625">
        <v>9</v>
      </c>
      <c r="AB10" s="626">
        <v>7.8000000000000007</v>
      </c>
      <c r="AC10" s="626">
        <v>9.3000000000000007</v>
      </c>
      <c r="AD10" s="627">
        <v>12</v>
      </c>
      <c r="AE10" s="626">
        <v>11.2</v>
      </c>
      <c r="AF10" s="626">
        <v>1.1000000000000001</v>
      </c>
      <c r="AG10" s="626">
        <v>0</v>
      </c>
      <c r="AH10" s="626">
        <v>0</v>
      </c>
      <c r="AI10" s="625">
        <v>0</v>
      </c>
      <c r="AJ10" s="626">
        <v>0</v>
      </c>
      <c r="AK10" s="626">
        <v>0</v>
      </c>
      <c r="AL10" s="626">
        <v>0</v>
      </c>
      <c r="AM10" s="625">
        <v>0</v>
      </c>
      <c r="AN10" s="626">
        <v>0</v>
      </c>
      <c r="AO10" s="626">
        <v>0</v>
      </c>
      <c r="AP10" s="626">
        <v>0</v>
      </c>
      <c r="AQ10" s="625">
        <v>0</v>
      </c>
      <c r="AR10" s="626">
        <v>0</v>
      </c>
      <c r="AS10" s="626">
        <v>0</v>
      </c>
      <c r="AT10" s="626">
        <v>0</v>
      </c>
      <c r="AU10" s="625">
        <v>0</v>
      </c>
      <c r="AV10" s="626">
        <v>0</v>
      </c>
      <c r="AW10" s="626">
        <v>0</v>
      </c>
      <c r="AX10" s="628">
        <v>0</v>
      </c>
      <c r="AY10" s="629">
        <v>0</v>
      </c>
      <c r="AZ10" s="626">
        <v>0</v>
      </c>
      <c r="BA10" s="626">
        <v>3.1</v>
      </c>
      <c r="BB10" s="626">
        <v>4.4000000000000004</v>
      </c>
      <c r="BC10" s="625">
        <v>4.4000000000000004</v>
      </c>
      <c r="BD10" s="626">
        <v>4</v>
      </c>
      <c r="BE10" s="626">
        <v>3.7</v>
      </c>
      <c r="BF10" s="626">
        <v>4</v>
      </c>
      <c r="BG10" s="625">
        <v>6.1</v>
      </c>
      <c r="BH10" s="626">
        <v>7.1</v>
      </c>
      <c r="BI10" s="626">
        <v>7.8</v>
      </c>
      <c r="BJ10" s="626">
        <v>8.3000000000000007</v>
      </c>
      <c r="BK10" s="625">
        <v>6.8</v>
      </c>
      <c r="BL10" s="626">
        <v>5.8</v>
      </c>
      <c r="BM10" s="626">
        <v>5.4</v>
      </c>
      <c r="BN10" s="626">
        <v>7.6</v>
      </c>
      <c r="BO10" s="625">
        <v>5.6</v>
      </c>
      <c r="BP10" s="626">
        <v>6.3</v>
      </c>
      <c r="BQ10" s="626">
        <v>6.3</v>
      </c>
      <c r="BR10" s="626">
        <v>11.3</v>
      </c>
      <c r="BS10" s="625">
        <v>7.2</v>
      </c>
      <c r="BT10" s="732"/>
    </row>
    <row r="11" spans="1:74" s="469" customFormat="1">
      <c r="A11" s="203" t="s">
        <v>764</v>
      </c>
      <c r="B11" s="203" t="s">
        <v>765</v>
      </c>
      <c r="C11" s="635">
        <f>SUM(C12:C14)</f>
        <v>-213.26553822512702</v>
      </c>
      <c r="D11" s="636">
        <f t="shared" ref="D11:AG11" si="2">SUM(D12:D14)</f>
        <v>-218.66553822512702</v>
      </c>
      <c r="E11" s="636">
        <f t="shared" si="2"/>
        <v>-226.36553822512704</v>
      </c>
      <c r="F11" s="636">
        <f t="shared" si="2"/>
        <v>-224.76553822512699</v>
      </c>
      <c r="G11" s="635">
        <f t="shared" si="2"/>
        <v>-234.35800878572752</v>
      </c>
      <c r="H11" s="636">
        <f t="shared" si="2"/>
        <v>-251.55800878572754</v>
      </c>
      <c r="I11" s="636">
        <f t="shared" si="2"/>
        <v>-250.45800878572754</v>
      </c>
      <c r="J11" s="637">
        <f t="shared" si="2"/>
        <v>-228.55800878572757</v>
      </c>
      <c r="K11" s="635">
        <f t="shared" si="2"/>
        <v>-230.28504180498365</v>
      </c>
      <c r="L11" s="636">
        <f t="shared" si="2"/>
        <v>-249.18504180498365</v>
      </c>
      <c r="M11" s="636">
        <f t="shared" si="2"/>
        <v>-253.38504180498364</v>
      </c>
      <c r="N11" s="637">
        <f t="shared" si="2"/>
        <v>-234.18504180498365</v>
      </c>
      <c r="O11" s="635">
        <f t="shared" si="2"/>
        <v>-249.46617079147796</v>
      </c>
      <c r="P11" s="636">
        <f t="shared" si="2"/>
        <v>-257.76617079147798</v>
      </c>
      <c r="Q11" s="636">
        <f t="shared" si="2"/>
        <v>-264.86617079147794</v>
      </c>
      <c r="R11" s="637">
        <f t="shared" si="2"/>
        <v>-252.96617079147796</v>
      </c>
      <c r="S11" s="635">
        <f t="shared" si="2"/>
        <v>-254.5472641701495</v>
      </c>
      <c r="T11" s="636">
        <f t="shared" si="2"/>
        <v>-255.24726417014949</v>
      </c>
      <c r="U11" s="636">
        <f t="shared" si="2"/>
        <v>-263.24726417014949</v>
      </c>
      <c r="V11" s="637">
        <f t="shared" si="2"/>
        <v>-249.04726417014948</v>
      </c>
      <c r="W11" s="635">
        <f t="shared" si="2"/>
        <v>-287.20057495025867</v>
      </c>
      <c r="X11" s="636">
        <f t="shared" si="2"/>
        <v>-284.50433315224205</v>
      </c>
      <c r="Y11" s="636">
        <f t="shared" si="2"/>
        <v>-280.39991929238749</v>
      </c>
      <c r="Z11" s="637">
        <f t="shared" si="2"/>
        <v>-272.71305450035339</v>
      </c>
      <c r="AA11" s="635">
        <f t="shared" si="2"/>
        <v>-301.80990405597663</v>
      </c>
      <c r="AB11" s="636">
        <f t="shared" si="2"/>
        <v>-296.8309803969903</v>
      </c>
      <c r="AC11" s="636">
        <f t="shared" si="2"/>
        <v>-281.60444066154071</v>
      </c>
      <c r="AD11" s="637">
        <f t="shared" si="2"/>
        <v>-274.00822340107061</v>
      </c>
      <c r="AE11" s="636">
        <f>SUM(AE12:AE14)</f>
        <v>-284.2</v>
      </c>
      <c r="AF11" s="636">
        <f>SUM(AF12:AF14)</f>
        <v>-289.1539052279694</v>
      </c>
      <c r="AG11" s="636">
        <f t="shared" si="2"/>
        <v>-286.5</v>
      </c>
      <c r="AH11" s="636">
        <f>SUM(AH12:AH14)</f>
        <v>-292.3</v>
      </c>
      <c r="AI11" s="635">
        <f>SUM(AI12:AI14)</f>
        <v>-311.60000000000002</v>
      </c>
      <c r="AJ11" s="636">
        <f>SUM(AJ12:AJ14)</f>
        <v>-303.20000000000005</v>
      </c>
      <c r="AK11" s="636">
        <f>SUM(AK12:AK14)</f>
        <v>-312.60000000000002</v>
      </c>
      <c r="AL11" s="636">
        <f>SUM(AL12:AL14)</f>
        <v>-390</v>
      </c>
      <c r="AM11" s="635">
        <f t="shared" ref="AM11:BS11" si="3">SUM(AM12:AM14)</f>
        <v>-304.5</v>
      </c>
      <c r="AN11" s="636">
        <f t="shared" si="3"/>
        <v>-302</v>
      </c>
      <c r="AO11" s="636">
        <f t="shared" si="3"/>
        <v>-317.39999999999998</v>
      </c>
      <c r="AP11" s="636">
        <f t="shared" si="3"/>
        <v>-311.7</v>
      </c>
      <c r="AQ11" s="635">
        <f t="shared" si="3"/>
        <v>-345.59999999999997</v>
      </c>
      <c r="AR11" s="636">
        <f t="shared" si="3"/>
        <v>-307.2</v>
      </c>
      <c r="AS11" s="636">
        <f t="shared" si="3"/>
        <v>-317.5</v>
      </c>
      <c r="AT11" s="636">
        <f t="shared" si="3"/>
        <v>-302.39999999999998</v>
      </c>
      <c r="AU11" s="635">
        <f t="shared" si="3"/>
        <v>-372.6</v>
      </c>
      <c r="AV11" s="636">
        <f t="shared" si="3"/>
        <v>-331.20000000000005</v>
      </c>
      <c r="AW11" s="636">
        <f t="shared" si="3"/>
        <v>-343.9</v>
      </c>
      <c r="AX11" s="638">
        <f t="shared" si="3"/>
        <v>-337.5</v>
      </c>
      <c r="AY11" s="639">
        <f t="shared" si="3"/>
        <v>-378.68825587760625</v>
      </c>
      <c r="AZ11" s="636">
        <f t="shared" si="3"/>
        <v>-306.28667195757231</v>
      </c>
      <c r="BA11" s="636">
        <f t="shared" si="3"/>
        <v>-339.94531914187559</v>
      </c>
      <c r="BB11" s="636">
        <f t="shared" si="3"/>
        <v>-299.02565673536537</v>
      </c>
      <c r="BC11" s="635">
        <f t="shared" si="3"/>
        <v>-384.20000000000005</v>
      </c>
      <c r="BD11" s="636">
        <f t="shared" si="3"/>
        <v>-351.94490076999989</v>
      </c>
      <c r="BE11" s="636">
        <f t="shared" si="3"/>
        <v>-356.6</v>
      </c>
      <c r="BF11" s="636">
        <f t="shared" si="3"/>
        <v>-346.87672462596004</v>
      </c>
      <c r="BG11" s="635">
        <f t="shared" si="3"/>
        <v>-404.7</v>
      </c>
      <c r="BH11" s="636">
        <f t="shared" si="3"/>
        <v>-372.5</v>
      </c>
      <c r="BI11" s="636">
        <f t="shared" si="3"/>
        <v>-372.6</v>
      </c>
      <c r="BJ11" s="636">
        <f t="shared" si="3"/>
        <v>-393.79999999999995</v>
      </c>
      <c r="BK11" s="635">
        <f t="shared" si="3"/>
        <v>-454</v>
      </c>
      <c r="BL11" s="636">
        <f t="shared" si="3"/>
        <v>-803.9</v>
      </c>
      <c r="BM11" s="636">
        <f t="shared" si="3"/>
        <v>-472.59</v>
      </c>
      <c r="BN11" s="636">
        <f t="shared" si="3"/>
        <v>-363.2</v>
      </c>
      <c r="BO11" s="635">
        <f t="shared" si="3"/>
        <v>-484.7</v>
      </c>
      <c r="BP11" s="636">
        <f t="shared" si="3"/>
        <v>-468.59999999999997</v>
      </c>
      <c r="BQ11" s="636">
        <f t="shared" si="3"/>
        <v>-454.6</v>
      </c>
      <c r="BR11" s="636">
        <f t="shared" si="3"/>
        <v>-545.70000000000005</v>
      </c>
      <c r="BS11" s="635">
        <f t="shared" si="3"/>
        <v>-545.4</v>
      </c>
      <c r="BT11" s="719"/>
    </row>
    <row r="12" spans="1:74" s="469" customFormat="1">
      <c r="A12" s="165" t="s">
        <v>766</v>
      </c>
      <c r="B12" s="165" t="s">
        <v>767</v>
      </c>
      <c r="C12" s="625">
        <v>-98.3</v>
      </c>
      <c r="D12" s="626">
        <v>-106.9</v>
      </c>
      <c r="E12" s="626">
        <v>-110.9</v>
      </c>
      <c r="F12" s="626">
        <v>-123.5</v>
      </c>
      <c r="G12" s="625">
        <v>-111.2</v>
      </c>
      <c r="H12" s="626">
        <v>-112.5</v>
      </c>
      <c r="I12" s="626">
        <v>-129</v>
      </c>
      <c r="J12" s="627">
        <v>-122.2</v>
      </c>
      <c r="K12" s="625">
        <v>-98.4</v>
      </c>
      <c r="L12" s="626">
        <v>-108.8</v>
      </c>
      <c r="M12" s="626">
        <v>-110.5</v>
      </c>
      <c r="N12" s="627">
        <v>-121.1</v>
      </c>
      <c r="O12" s="625">
        <v>-109.7</v>
      </c>
      <c r="P12" s="626">
        <v>-113.8</v>
      </c>
      <c r="Q12" s="626">
        <v>-123.4</v>
      </c>
      <c r="R12" s="627">
        <v>-151.19999999999999</v>
      </c>
      <c r="S12" s="625">
        <v>-121</v>
      </c>
      <c r="T12" s="626">
        <v>-117.2</v>
      </c>
      <c r="U12" s="626">
        <v>-122</v>
      </c>
      <c r="V12" s="627">
        <v>-124.7</v>
      </c>
      <c r="W12" s="625">
        <v>-129.62811836869614</v>
      </c>
      <c r="X12" s="626">
        <v>-127.32975084192324</v>
      </c>
      <c r="Y12" s="626">
        <v>-125.97127117940272</v>
      </c>
      <c r="Z12" s="627">
        <v>-132.37697680018391</v>
      </c>
      <c r="AA12" s="625">
        <v>-128.8682319273081</v>
      </c>
      <c r="AB12" s="626">
        <v>-129.30981485673789</v>
      </c>
      <c r="AC12" s="626">
        <v>-130.91396921036718</v>
      </c>
      <c r="AD12" s="627">
        <v>-154.61098480098664</v>
      </c>
      <c r="AE12" s="626">
        <v>-131.6</v>
      </c>
      <c r="AF12" s="626">
        <v>-138.4</v>
      </c>
      <c r="AG12" s="626">
        <v>-132.69999999999999</v>
      </c>
      <c r="AH12" s="626">
        <v>-139.80000000000001</v>
      </c>
      <c r="AI12" s="625">
        <v>-135.30000000000001</v>
      </c>
      <c r="AJ12" s="626">
        <v>-135.1</v>
      </c>
      <c r="AK12" s="626">
        <v>-138.1</v>
      </c>
      <c r="AL12" s="626">
        <v>-146.30000000000001</v>
      </c>
      <c r="AM12" s="625">
        <v>-144</v>
      </c>
      <c r="AN12" s="626">
        <v>-144.80000000000001</v>
      </c>
      <c r="AO12" s="626">
        <v>-151.5</v>
      </c>
      <c r="AP12" s="626">
        <v>-158.80000000000001</v>
      </c>
      <c r="AQ12" s="625">
        <v>-144.6</v>
      </c>
      <c r="AR12" s="626">
        <v>-153.1</v>
      </c>
      <c r="AS12" s="626">
        <v>-153.30000000000001</v>
      </c>
      <c r="AT12" s="626">
        <v>-156.1</v>
      </c>
      <c r="AU12" s="625">
        <v>-162.4</v>
      </c>
      <c r="AV12" s="626">
        <v>-168.3</v>
      </c>
      <c r="AW12" s="626">
        <v>-167.7</v>
      </c>
      <c r="AX12" s="628">
        <v>-160.6</v>
      </c>
      <c r="AY12" s="629">
        <v>-146.41390463649526</v>
      </c>
      <c r="AZ12" s="626">
        <v>-148.52111915233388</v>
      </c>
      <c r="BA12" s="626">
        <v>-163.7962765038364</v>
      </c>
      <c r="BB12" s="626">
        <v>-157.72366859689498</v>
      </c>
      <c r="BC12" s="625">
        <v>-154.5</v>
      </c>
      <c r="BD12" s="626">
        <v>-154.80211126624576</v>
      </c>
      <c r="BE12" s="626">
        <v>-164.5</v>
      </c>
      <c r="BF12" s="626">
        <v>-176.98948767250897</v>
      </c>
      <c r="BG12" s="625">
        <v>-178.2</v>
      </c>
      <c r="BH12" s="626">
        <v>-177.3</v>
      </c>
      <c r="BI12" s="626">
        <v>-180.5</v>
      </c>
      <c r="BJ12" s="626">
        <v>-210.5</v>
      </c>
      <c r="BK12" s="625">
        <v>-176.6</v>
      </c>
      <c r="BL12" s="626">
        <v>-205.2</v>
      </c>
      <c r="BM12" s="626">
        <v>-206.1</v>
      </c>
      <c r="BN12" s="626">
        <v>-218.8</v>
      </c>
      <c r="BO12" s="625">
        <v>-207.7</v>
      </c>
      <c r="BP12" s="626">
        <v>-230.2</v>
      </c>
      <c r="BQ12" s="626">
        <v>-237.3</v>
      </c>
      <c r="BR12" s="626">
        <v>-296.8</v>
      </c>
      <c r="BS12" s="625">
        <v>-247.4</v>
      </c>
      <c r="BT12" s="719"/>
    </row>
    <row r="13" spans="1:74" s="466" customFormat="1">
      <c r="A13" s="159" t="s">
        <v>768</v>
      </c>
      <c r="B13" s="159" t="s">
        <v>769</v>
      </c>
      <c r="C13" s="625">
        <v>-22</v>
      </c>
      <c r="D13" s="626">
        <v>-23</v>
      </c>
      <c r="E13" s="626">
        <v>-22.3</v>
      </c>
      <c r="F13" s="626">
        <v>-31.2</v>
      </c>
      <c r="G13" s="625">
        <v>-25</v>
      </c>
      <c r="H13" s="626">
        <v>-25.6</v>
      </c>
      <c r="I13" s="626">
        <v>-24.8</v>
      </c>
      <c r="J13" s="627">
        <v>-24.1</v>
      </c>
      <c r="K13" s="625">
        <v>-23.3</v>
      </c>
      <c r="L13" s="626">
        <v>-24.3</v>
      </c>
      <c r="M13" s="626">
        <v>-23.4</v>
      </c>
      <c r="N13" s="627">
        <v>-23.5</v>
      </c>
      <c r="O13" s="625">
        <v>-21.6</v>
      </c>
      <c r="P13" s="626">
        <v>-22</v>
      </c>
      <c r="Q13" s="626">
        <v>-22.2</v>
      </c>
      <c r="R13" s="627">
        <v>-23.8</v>
      </c>
      <c r="S13" s="625">
        <v>-21.8</v>
      </c>
      <c r="T13" s="626">
        <v>-22.1</v>
      </c>
      <c r="U13" s="626">
        <v>-24.5</v>
      </c>
      <c r="V13" s="627">
        <v>-25</v>
      </c>
      <c r="W13" s="625">
        <v>-24.201827824460509</v>
      </c>
      <c r="X13" s="626">
        <v>-25.002182820688386</v>
      </c>
      <c r="Y13" s="626">
        <v>-25.511211797666959</v>
      </c>
      <c r="Z13" s="627">
        <v>-30.512452537068643</v>
      </c>
      <c r="AA13" s="625">
        <v>-28.837033547040939</v>
      </c>
      <c r="AB13" s="626">
        <v>-28.789704505606281</v>
      </c>
      <c r="AC13" s="626">
        <v>-27.620026792403394</v>
      </c>
      <c r="AD13" s="627">
        <v>-31.538412793044863</v>
      </c>
      <c r="AE13" s="626">
        <v>-26.3</v>
      </c>
      <c r="AF13" s="626">
        <v>-26.753905227969401</v>
      </c>
      <c r="AG13" s="626">
        <v>-27.1</v>
      </c>
      <c r="AH13" s="626">
        <v>-42.1</v>
      </c>
      <c r="AI13" s="625">
        <v>-29.4</v>
      </c>
      <c r="AJ13" s="626">
        <v>-32.700000000000003</v>
      </c>
      <c r="AK13" s="626">
        <v>-32.200000000000003</v>
      </c>
      <c r="AL13" s="626">
        <v>-46.5</v>
      </c>
      <c r="AM13" s="625">
        <v>-32.5</v>
      </c>
      <c r="AN13" s="626">
        <v>-34.799999999999997</v>
      </c>
      <c r="AO13" s="626">
        <v>-36</v>
      </c>
      <c r="AP13" s="626">
        <v>-52.6</v>
      </c>
      <c r="AQ13" s="625">
        <v>-35.299999999999997</v>
      </c>
      <c r="AR13" s="626">
        <v>-35.6</v>
      </c>
      <c r="AS13" s="626">
        <v>-34.9</v>
      </c>
      <c r="AT13" s="626">
        <v>-36.5</v>
      </c>
      <c r="AU13" s="625">
        <v>-36.9</v>
      </c>
      <c r="AV13" s="626">
        <v>-31.3</v>
      </c>
      <c r="AW13" s="626">
        <v>-34.5</v>
      </c>
      <c r="AX13" s="628">
        <v>-38.6</v>
      </c>
      <c r="AY13" s="629">
        <v>-48.787365257793901</v>
      </c>
      <c r="AZ13" s="626">
        <v>-44.7566034784656</v>
      </c>
      <c r="BA13" s="626">
        <v>-45.468024622561018</v>
      </c>
      <c r="BB13" s="626">
        <v>-45.4283643135118</v>
      </c>
      <c r="BC13" s="625">
        <v>-48.3</v>
      </c>
      <c r="BD13" s="626">
        <v>-47.928788159602128</v>
      </c>
      <c r="BE13" s="626">
        <v>-45.2</v>
      </c>
      <c r="BF13" s="626">
        <v>-49.538112200061505</v>
      </c>
      <c r="BG13" s="625">
        <v>-45.3</v>
      </c>
      <c r="BH13" s="626">
        <v>-43.7</v>
      </c>
      <c r="BI13" s="626">
        <v>-42.1</v>
      </c>
      <c r="BJ13" s="626">
        <v>-42.6</v>
      </c>
      <c r="BK13" s="625">
        <v>-41.5</v>
      </c>
      <c r="BL13" s="626">
        <v>-40.9</v>
      </c>
      <c r="BM13" s="626">
        <v>-42.6</v>
      </c>
      <c r="BN13" s="626">
        <v>-41.9</v>
      </c>
      <c r="BO13" s="625">
        <v>-41.9</v>
      </c>
      <c r="BP13" s="626">
        <v>-40.4</v>
      </c>
      <c r="BQ13" s="626">
        <v>-39.6</v>
      </c>
      <c r="BR13" s="626">
        <v>-62.6</v>
      </c>
      <c r="BS13" s="625">
        <v>-44.5</v>
      </c>
      <c r="BT13" s="733"/>
    </row>
    <row r="14" spans="1:74" s="469" customFormat="1">
      <c r="A14" s="159" t="s">
        <v>770</v>
      </c>
      <c r="B14" s="159" t="s">
        <v>771</v>
      </c>
      <c r="C14" s="625">
        <v>-92.96553822512702</v>
      </c>
      <c r="D14" s="626">
        <v>-88.765538225127017</v>
      </c>
      <c r="E14" s="626">
        <v>-93.165538225127023</v>
      </c>
      <c r="F14" s="626">
        <v>-70.065538225127014</v>
      </c>
      <c r="G14" s="625">
        <v>-98.158008785727546</v>
      </c>
      <c r="H14" s="626">
        <v>-113.45800878572754</v>
      </c>
      <c r="I14" s="626">
        <v>-96.658008785727546</v>
      </c>
      <c r="J14" s="627">
        <v>-82.258008785727554</v>
      </c>
      <c r="K14" s="625">
        <v>-108.58504180498365</v>
      </c>
      <c r="L14" s="626">
        <v>-116.08504180498365</v>
      </c>
      <c r="M14" s="626">
        <v>-119.48504180498365</v>
      </c>
      <c r="N14" s="627">
        <v>-89.585041804983646</v>
      </c>
      <c r="O14" s="625">
        <v>-118.16617079147795</v>
      </c>
      <c r="P14" s="626">
        <v>-121.96617079147796</v>
      </c>
      <c r="Q14" s="626">
        <v>-119.26617079147796</v>
      </c>
      <c r="R14" s="627">
        <v>-77.966170791477964</v>
      </c>
      <c r="S14" s="625">
        <v>-111.74726417014949</v>
      </c>
      <c r="T14" s="626">
        <v>-115.94726417014948</v>
      </c>
      <c r="U14" s="626">
        <v>-116.74726417014948</v>
      </c>
      <c r="V14" s="627">
        <v>-99.347264170149487</v>
      </c>
      <c r="W14" s="625">
        <v>-133.370628757102</v>
      </c>
      <c r="X14" s="626">
        <v>-132.17239948963044</v>
      </c>
      <c r="Y14" s="626">
        <v>-128.91743631531781</v>
      </c>
      <c r="Z14" s="627">
        <v>-109.82362516310086</v>
      </c>
      <c r="AA14" s="625">
        <v>-144.10463858162757</v>
      </c>
      <c r="AB14" s="626">
        <v>-138.73146103464614</v>
      </c>
      <c r="AC14" s="626">
        <v>-123.07044465877014</v>
      </c>
      <c r="AD14" s="627">
        <v>-87.858825807039068</v>
      </c>
      <c r="AE14" s="626">
        <v>-126.3</v>
      </c>
      <c r="AF14" s="626">
        <v>-124</v>
      </c>
      <c r="AG14" s="626">
        <v>-126.7</v>
      </c>
      <c r="AH14" s="626">
        <v>-110.4</v>
      </c>
      <c r="AI14" s="625">
        <v>-146.9</v>
      </c>
      <c r="AJ14" s="626">
        <v>-135.4</v>
      </c>
      <c r="AK14" s="626">
        <v>-142.30000000000001</v>
      </c>
      <c r="AL14" s="626">
        <v>-197.2</v>
      </c>
      <c r="AM14" s="625">
        <v>-128</v>
      </c>
      <c r="AN14" s="626">
        <v>-122.4</v>
      </c>
      <c r="AO14" s="626">
        <v>-129.9</v>
      </c>
      <c r="AP14" s="626">
        <v>-100.3</v>
      </c>
      <c r="AQ14" s="625">
        <v>-165.7</v>
      </c>
      <c r="AR14" s="626">
        <v>-118.5</v>
      </c>
      <c r="AS14" s="626">
        <v>-129.30000000000001</v>
      </c>
      <c r="AT14" s="626">
        <v>-109.8</v>
      </c>
      <c r="AU14" s="625">
        <v>-173.3</v>
      </c>
      <c r="AV14" s="626">
        <v>-131.6</v>
      </c>
      <c r="AW14" s="626">
        <v>-141.69999999999999</v>
      </c>
      <c r="AX14" s="628">
        <v>-138.30000000000001</v>
      </c>
      <c r="AY14" s="629">
        <v>-183.48698598331708</v>
      </c>
      <c r="AZ14" s="626">
        <v>-113.00894932677284</v>
      </c>
      <c r="BA14" s="626">
        <v>-130.68101801547817</v>
      </c>
      <c r="BB14" s="626">
        <v>-95.873623824958599</v>
      </c>
      <c r="BC14" s="625">
        <v>-181.4</v>
      </c>
      <c r="BD14" s="626">
        <v>-149.214001344152</v>
      </c>
      <c r="BE14" s="626">
        <v>-146.9</v>
      </c>
      <c r="BF14" s="626">
        <v>-120.34912475338956</v>
      </c>
      <c r="BG14" s="625">
        <v>-181.2</v>
      </c>
      <c r="BH14" s="626">
        <v>-151.5</v>
      </c>
      <c r="BI14" s="626">
        <v>-150</v>
      </c>
      <c r="BJ14" s="626">
        <v>-140.69999999999999</v>
      </c>
      <c r="BK14" s="625">
        <v>-235.9</v>
      </c>
      <c r="BL14" s="626">
        <v>-557.79999999999995</v>
      </c>
      <c r="BM14" s="626">
        <v>-223.89</v>
      </c>
      <c r="BN14" s="626">
        <v>-102.5</v>
      </c>
      <c r="BO14" s="625">
        <v>-235.1</v>
      </c>
      <c r="BP14" s="626">
        <v>-198</v>
      </c>
      <c r="BQ14" s="626">
        <v>-177.7</v>
      </c>
      <c r="BR14" s="626">
        <v>-186.3</v>
      </c>
      <c r="BS14" s="625">
        <v>-253.5</v>
      </c>
      <c r="BT14" s="719"/>
    </row>
    <row r="15" spans="1:74" s="469" customFormat="1">
      <c r="A15" s="470" t="s">
        <v>772</v>
      </c>
      <c r="B15" s="470" t="s">
        <v>773</v>
      </c>
      <c r="C15" s="635">
        <f t="shared" ref="C15:AO15" si="4">C6+C11</f>
        <v>106.69999999999996</v>
      </c>
      <c r="D15" s="636">
        <f t="shared" si="4"/>
        <v>90.699999999999989</v>
      </c>
      <c r="E15" s="636">
        <f t="shared" si="4"/>
        <v>94.200000000000017</v>
      </c>
      <c r="F15" s="636">
        <f t="shared" si="4"/>
        <v>55.900000000000034</v>
      </c>
      <c r="G15" s="635">
        <f t="shared" si="4"/>
        <v>63.10000000000008</v>
      </c>
      <c r="H15" s="636">
        <f t="shared" si="4"/>
        <v>100.80000000000004</v>
      </c>
      <c r="I15" s="636">
        <f t="shared" si="4"/>
        <v>92.399999999999977</v>
      </c>
      <c r="J15" s="637">
        <f t="shared" si="4"/>
        <v>40.89999999999992</v>
      </c>
      <c r="K15" s="635">
        <f t="shared" si="4"/>
        <v>68.099999999999994</v>
      </c>
      <c r="L15" s="636">
        <f t="shared" si="4"/>
        <v>104.79999999999995</v>
      </c>
      <c r="M15" s="636">
        <f t="shared" si="4"/>
        <v>87.799999999999955</v>
      </c>
      <c r="N15" s="637">
        <f t="shared" si="4"/>
        <v>72.699999999999989</v>
      </c>
      <c r="O15" s="635">
        <f t="shared" si="4"/>
        <v>59.300000000000011</v>
      </c>
      <c r="P15" s="636">
        <f t="shared" si="4"/>
        <v>103.29999999999995</v>
      </c>
      <c r="Q15" s="636">
        <f t="shared" si="4"/>
        <v>105.70000000000005</v>
      </c>
      <c r="R15" s="637">
        <f t="shared" si="4"/>
        <v>133.69999999999999</v>
      </c>
      <c r="S15" s="635">
        <f t="shared" si="4"/>
        <v>134.69999999999993</v>
      </c>
      <c r="T15" s="636">
        <f t="shared" si="4"/>
        <v>146.30000000000001</v>
      </c>
      <c r="U15" s="636">
        <f t="shared" si="4"/>
        <v>113.09999999999997</v>
      </c>
      <c r="V15" s="637">
        <f t="shared" si="4"/>
        <v>128.60000000000005</v>
      </c>
      <c r="W15" s="635">
        <f t="shared" si="4"/>
        <v>140.5262649184574</v>
      </c>
      <c r="X15" s="636">
        <f t="shared" si="4"/>
        <v>137.52250671647397</v>
      </c>
      <c r="Y15" s="636">
        <f t="shared" si="4"/>
        <v>144.22692057632861</v>
      </c>
      <c r="Z15" s="637">
        <f t="shared" si="4"/>
        <v>133.6137853683627</v>
      </c>
      <c r="AA15" s="635">
        <f t="shared" si="4"/>
        <v>147.05936695978204</v>
      </c>
      <c r="AB15" s="636">
        <f t="shared" si="4"/>
        <v>124.12162187140171</v>
      </c>
      <c r="AC15" s="636">
        <f t="shared" si="4"/>
        <v>146.62365718306387</v>
      </c>
      <c r="AD15" s="637">
        <f t="shared" si="4"/>
        <v>181.1442910475742</v>
      </c>
      <c r="AE15" s="636">
        <f t="shared" si="4"/>
        <v>200.99999999999994</v>
      </c>
      <c r="AF15" s="636">
        <f t="shared" si="4"/>
        <v>207.64609477203055</v>
      </c>
      <c r="AG15" s="636">
        <f t="shared" si="4"/>
        <v>206.60000000000002</v>
      </c>
      <c r="AH15" s="636">
        <f t="shared" si="4"/>
        <v>176</v>
      </c>
      <c r="AI15" s="635">
        <f t="shared" si="4"/>
        <v>167.99999999999994</v>
      </c>
      <c r="AJ15" s="636">
        <f t="shared" si="4"/>
        <v>266.39999999999998</v>
      </c>
      <c r="AK15" s="636">
        <f t="shared" si="4"/>
        <v>218</v>
      </c>
      <c r="AL15" s="636">
        <f t="shared" si="4"/>
        <v>118.5</v>
      </c>
      <c r="AM15" s="635">
        <f t="shared" si="4"/>
        <v>222.89999999999998</v>
      </c>
      <c r="AN15" s="636">
        <f t="shared" si="4"/>
        <v>413.5</v>
      </c>
      <c r="AO15" s="636">
        <f t="shared" si="4"/>
        <v>290.60000000000002</v>
      </c>
      <c r="AP15" s="636">
        <f>AP6+AP11</f>
        <v>309.49999999999994</v>
      </c>
      <c r="AQ15" s="635">
        <f t="shared" ref="AQ15:BP15" si="5">AQ6+AQ11</f>
        <v>289.90000000000003</v>
      </c>
      <c r="AR15" s="636">
        <f t="shared" si="5"/>
        <v>369.8</v>
      </c>
      <c r="AS15" s="636">
        <f t="shared" si="5"/>
        <v>361.40000000000009</v>
      </c>
      <c r="AT15" s="636">
        <f t="shared" si="5"/>
        <v>384.79999999999995</v>
      </c>
      <c r="AU15" s="635">
        <f t="shared" si="5"/>
        <v>352.99999999999989</v>
      </c>
      <c r="AV15" s="636">
        <f t="shared" si="5"/>
        <v>455.89999999999986</v>
      </c>
      <c r="AW15" s="636">
        <f t="shared" si="5"/>
        <v>396.40456785007211</v>
      </c>
      <c r="AX15" s="638">
        <f t="shared" si="5"/>
        <v>450.9</v>
      </c>
      <c r="AY15" s="639">
        <f t="shared" si="5"/>
        <v>277.51174412239379</v>
      </c>
      <c r="AZ15" s="636">
        <f t="shared" si="5"/>
        <v>403.51332804242776</v>
      </c>
      <c r="BA15" s="636">
        <f t="shared" si="5"/>
        <v>379.55468085812453</v>
      </c>
      <c r="BB15" s="636">
        <f t="shared" si="5"/>
        <v>415.17434326463467</v>
      </c>
      <c r="BC15" s="635">
        <f t="shared" si="5"/>
        <v>358.09999999999991</v>
      </c>
      <c r="BD15" s="636">
        <f t="shared" si="5"/>
        <v>357.75509923000004</v>
      </c>
      <c r="BE15" s="636">
        <f t="shared" si="5"/>
        <v>389.9</v>
      </c>
      <c r="BF15" s="636">
        <f t="shared" si="5"/>
        <v>415.98208920530044</v>
      </c>
      <c r="BG15" s="635">
        <f t="shared" si="5"/>
        <v>378.3</v>
      </c>
      <c r="BH15" s="636">
        <f t="shared" si="5"/>
        <v>432</v>
      </c>
      <c r="BI15" s="636">
        <f t="shared" si="5"/>
        <v>468.59999999999991</v>
      </c>
      <c r="BJ15" s="636">
        <f t="shared" si="5"/>
        <v>482.49999999999989</v>
      </c>
      <c r="BK15" s="635">
        <f t="shared" si="5"/>
        <v>640.70000000000005</v>
      </c>
      <c r="BL15" s="636">
        <f t="shared" si="5"/>
        <v>297.49999999999989</v>
      </c>
      <c r="BM15" s="636">
        <f t="shared" si="5"/>
        <v>-1075.79</v>
      </c>
      <c r="BN15" s="636">
        <f t="shared" si="5"/>
        <v>624.39999999999986</v>
      </c>
      <c r="BO15" s="635">
        <f t="shared" si="5"/>
        <v>512.09999999999991</v>
      </c>
      <c r="BP15" s="636">
        <f t="shared" si="5"/>
        <v>640.40000000000009</v>
      </c>
      <c r="BQ15" s="636">
        <f>BQ6+BQ11</f>
        <v>660.29999999999984</v>
      </c>
      <c r="BR15" s="636">
        <f>BR6+BR11</f>
        <v>699.79999999999973</v>
      </c>
      <c r="BS15" s="635">
        <f>BS6+BS11</f>
        <v>632.30000000000007</v>
      </c>
      <c r="BT15" s="719"/>
    </row>
    <row r="16" spans="1:74" s="469" customFormat="1">
      <c r="A16" s="165" t="s">
        <v>385</v>
      </c>
      <c r="B16" s="165" t="s">
        <v>774</v>
      </c>
      <c r="C16" s="625">
        <v>2.4</v>
      </c>
      <c r="D16" s="626">
        <v>10.4</v>
      </c>
      <c r="E16" s="626">
        <v>25</v>
      </c>
      <c r="F16" s="626">
        <v>2.2000000000000002</v>
      </c>
      <c r="G16" s="625">
        <v>2.6</v>
      </c>
      <c r="H16" s="626">
        <v>-6</v>
      </c>
      <c r="I16" s="626">
        <v>-4.9000000000000004</v>
      </c>
      <c r="J16" s="627">
        <v>-20.100000000000001</v>
      </c>
      <c r="K16" s="625">
        <v>-12.8</v>
      </c>
      <c r="L16" s="626">
        <v>-6.8</v>
      </c>
      <c r="M16" s="626">
        <v>-21.4</v>
      </c>
      <c r="N16" s="627">
        <v>-22.8</v>
      </c>
      <c r="O16" s="625">
        <v>-21.2</v>
      </c>
      <c r="P16" s="626">
        <v>-13</v>
      </c>
      <c r="Q16" s="626">
        <v>-21.3</v>
      </c>
      <c r="R16" s="627">
        <v>-25.6</v>
      </c>
      <c r="S16" s="625">
        <v>-33.9</v>
      </c>
      <c r="T16" s="626">
        <v>-21.2</v>
      </c>
      <c r="U16" s="626">
        <v>-21</v>
      </c>
      <c r="V16" s="627">
        <v>-14.1</v>
      </c>
      <c r="W16" s="625">
        <v>-19.2</v>
      </c>
      <c r="X16" s="626">
        <v>-25.2</v>
      </c>
      <c r="Y16" s="626">
        <v>-21.5</v>
      </c>
      <c r="Z16" s="627">
        <v>-24.2</v>
      </c>
      <c r="AA16" s="625">
        <v>-37.98092087615715</v>
      </c>
      <c r="AB16" s="626">
        <v>-40.428718098421875</v>
      </c>
      <c r="AC16" s="626">
        <v>-33.010278386543447</v>
      </c>
      <c r="AD16" s="627">
        <v>-17.01505583014783</v>
      </c>
      <c r="AE16" s="625">
        <v>-36.700000000000003</v>
      </c>
      <c r="AF16" s="626">
        <v>-10.6</v>
      </c>
      <c r="AG16" s="626">
        <v>-13.2</v>
      </c>
      <c r="AH16" s="627">
        <v>-18.2</v>
      </c>
      <c r="AI16" s="625">
        <v>-33.799999999999997</v>
      </c>
      <c r="AJ16" s="626">
        <v>-23.6</v>
      </c>
      <c r="AK16" s="626">
        <v>-7.8</v>
      </c>
      <c r="AL16" s="627">
        <f>(4.6)*-1</f>
        <v>-4.5999999999999996</v>
      </c>
      <c r="AM16" s="625">
        <v>-16.399999999999999</v>
      </c>
      <c r="AN16" s="626">
        <v>-20.6</v>
      </c>
      <c r="AO16" s="626">
        <f>(21.5+3.9)*-1</f>
        <v>-25.4</v>
      </c>
      <c r="AP16" s="627">
        <v>-75.099999999999994</v>
      </c>
      <c r="AQ16" s="625">
        <v>-42.8</v>
      </c>
      <c r="AR16" s="626">
        <v>-43.8</v>
      </c>
      <c r="AS16" s="626">
        <v>-39.799999999999997</v>
      </c>
      <c r="AT16" s="626">
        <v>-33.9</v>
      </c>
      <c r="AU16" s="625">
        <v>-37.5</v>
      </c>
      <c r="AV16" s="626">
        <v>-103.3</v>
      </c>
      <c r="AW16" s="626">
        <v>-41.7</v>
      </c>
      <c r="AX16" s="628">
        <v>-88.5</v>
      </c>
      <c r="AY16" s="629">
        <v>-29.3</v>
      </c>
      <c r="AZ16" s="626">
        <v>-32.4</v>
      </c>
      <c r="BA16" s="626">
        <v>-60.8</v>
      </c>
      <c r="BB16" s="626">
        <v>-39.899999999999991</v>
      </c>
      <c r="BC16" s="625">
        <v>-109.5</v>
      </c>
      <c r="BD16" s="626">
        <v>-60.599999999999994</v>
      </c>
      <c r="BE16" s="626">
        <v>-62.2</v>
      </c>
      <c r="BF16" s="626">
        <v>-83.7</v>
      </c>
      <c r="BG16" s="625">
        <v>-67.900000000000006</v>
      </c>
      <c r="BH16" s="626">
        <v>27.2</v>
      </c>
      <c r="BI16" s="626">
        <v>-31.5</v>
      </c>
      <c r="BJ16" s="626">
        <v>-5.8</v>
      </c>
      <c r="BK16" s="625">
        <v>-60.5</v>
      </c>
      <c r="BL16" s="626">
        <v>-111.3</v>
      </c>
      <c r="BM16" s="626">
        <v>-18.7</v>
      </c>
      <c r="BN16" s="626">
        <v>-101.7</v>
      </c>
      <c r="BO16" s="625">
        <v>-19.600000000000001</v>
      </c>
      <c r="BP16" s="626">
        <v>-60.7</v>
      </c>
      <c r="BQ16" s="626">
        <v>-45.8</v>
      </c>
      <c r="BR16" s="626">
        <v>121</v>
      </c>
      <c r="BS16" s="625">
        <v>-33.299999999999997</v>
      </c>
      <c r="BT16" s="719"/>
    </row>
    <row r="17" spans="1:72" s="469" customFormat="1">
      <c r="A17" s="165" t="s">
        <v>775</v>
      </c>
      <c r="B17" s="165" t="s">
        <v>776</v>
      </c>
      <c r="C17" s="625"/>
      <c r="D17" s="626"/>
      <c r="E17" s="626"/>
      <c r="F17" s="626"/>
      <c r="G17" s="625"/>
      <c r="H17" s="626"/>
      <c r="I17" s="626"/>
      <c r="J17" s="626"/>
      <c r="K17" s="625"/>
      <c r="L17" s="626"/>
      <c r="M17" s="626"/>
      <c r="N17" s="626"/>
      <c r="O17" s="625"/>
      <c r="P17" s="626"/>
      <c r="Q17" s="626"/>
      <c r="R17" s="626"/>
      <c r="S17" s="625"/>
      <c r="T17" s="626"/>
      <c r="U17" s="626"/>
      <c r="V17" s="626"/>
      <c r="W17" s="625"/>
      <c r="X17" s="626"/>
      <c r="Y17" s="626"/>
      <c r="Z17" s="627"/>
      <c r="AA17" s="626"/>
      <c r="AB17" s="626"/>
      <c r="AC17" s="626"/>
      <c r="AD17" s="626"/>
      <c r="AE17" s="625"/>
      <c r="AF17" s="626"/>
      <c r="AG17" s="626"/>
      <c r="AH17" s="627"/>
      <c r="AI17" s="625"/>
      <c r="AJ17" s="626"/>
      <c r="AK17" s="626"/>
      <c r="AL17" s="627"/>
      <c r="AM17" s="625"/>
      <c r="AN17" s="626"/>
      <c r="AO17" s="626"/>
      <c r="AP17" s="627"/>
      <c r="AQ17" s="625"/>
      <c r="AR17" s="626"/>
      <c r="AS17" s="626"/>
      <c r="AT17" s="626"/>
      <c r="AU17" s="625"/>
      <c r="AV17" s="626"/>
      <c r="AW17" s="626"/>
      <c r="AX17" s="628"/>
      <c r="AY17" s="629">
        <v>0</v>
      </c>
      <c r="AZ17" s="626">
        <v>0</v>
      </c>
      <c r="BA17" s="626">
        <v>0</v>
      </c>
      <c r="BB17" s="626">
        <v>-31.2</v>
      </c>
      <c r="BC17" s="625">
        <v>0</v>
      </c>
      <c r="BD17" s="626">
        <v>-10.199999999999999</v>
      </c>
      <c r="BE17" s="626">
        <v>-20.2</v>
      </c>
      <c r="BF17" s="626">
        <v>-239.9</v>
      </c>
      <c r="BG17" s="625">
        <v>0</v>
      </c>
      <c r="BH17" s="626">
        <v>0</v>
      </c>
      <c r="BI17" s="626">
        <v>-0.4</v>
      </c>
      <c r="BJ17" s="626">
        <v>-56</v>
      </c>
      <c r="BK17" s="625">
        <v>-1.1000000000000001</v>
      </c>
      <c r="BL17" s="626">
        <v>-0.2</v>
      </c>
      <c r="BM17" s="626">
        <v>0</v>
      </c>
      <c r="BN17" s="626">
        <v>-293</v>
      </c>
      <c r="BO17" s="625">
        <v>0</v>
      </c>
      <c r="BP17" s="626">
        <v>0</v>
      </c>
      <c r="BQ17" s="626">
        <v>0</v>
      </c>
      <c r="BR17" s="626">
        <v>-105.5</v>
      </c>
      <c r="BS17" s="625">
        <v>-0.8</v>
      </c>
      <c r="BT17" s="719"/>
    </row>
    <row r="18" spans="1:72" s="469" customFormat="1">
      <c r="A18" s="165" t="s">
        <v>777</v>
      </c>
      <c r="B18" s="165" t="s">
        <v>778</v>
      </c>
      <c r="C18" s="625">
        <v>0</v>
      </c>
      <c r="D18" s="626">
        <v>0</v>
      </c>
      <c r="E18" s="626">
        <v>0</v>
      </c>
      <c r="F18" s="626">
        <v>0</v>
      </c>
      <c r="G18" s="625">
        <v>0</v>
      </c>
      <c r="H18" s="626">
        <v>0</v>
      </c>
      <c r="I18" s="626">
        <v>0</v>
      </c>
      <c r="J18" s="626">
        <v>0</v>
      </c>
      <c r="K18" s="625">
        <v>0</v>
      </c>
      <c r="L18" s="626">
        <v>0</v>
      </c>
      <c r="M18" s="626">
        <v>0</v>
      </c>
      <c r="N18" s="626">
        <v>0</v>
      </c>
      <c r="O18" s="625">
        <v>0</v>
      </c>
      <c r="P18" s="626">
        <v>0</v>
      </c>
      <c r="Q18" s="626">
        <v>0</v>
      </c>
      <c r="R18" s="626">
        <v>0</v>
      </c>
      <c r="S18" s="625">
        <v>0</v>
      </c>
      <c r="T18" s="626">
        <v>0</v>
      </c>
      <c r="U18" s="626">
        <v>0</v>
      </c>
      <c r="V18" s="626">
        <v>0</v>
      </c>
      <c r="W18" s="625">
        <v>0</v>
      </c>
      <c r="X18" s="626">
        <v>0</v>
      </c>
      <c r="Y18" s="626">
        <v>0</v>
      </c>
      <c r="Z18" s="627">
        <v>0</v>
      </c>
      <c r="AA18" s="626">
        <v>0</v>
      </c>
      <c r="AB18" s="626">
        <v>0</v>
      </c>
      <c r="AC18" s="626">
        <v>0</v>
      </c>
      <c r="AD18" s="626">
        <v>0</v>
      </c>
      <c r="AE18" s="625">
        <v>0</v>
      </c>
      <c r="AF18" s="626">
        <v>0</v>
      </c>
      <c r="AG18" s="626">
        <v>0</v>
      </c>
      <c r="AH18" s="627">
        <v>0</v>
      </c>
      <c r="AI18" s="625">
        <v>0</v>
      </c>
      <c r="AJ18" s="626">
        <v>0</v>
      </c>
      <c r="AK18" s="626">
        <v>0</v>
      </c>
      <c r="AL18" s="627">
        <v>0</v>
      </c>
      <c r="AM18" s="625">
        <v>-17.7</v>
      </c>
      <c r="AN18" s="626">
        <f>(27.7+0.1)*-1</f>
        <v>-27.8</v>
      </c>
      <c r="AO18" s="626">
        <f>(27.6-0.1)*-1</f>
        <v>-27.5</v>
      </c>
      <c r="AP18" s="627">
        <v>-28.7</v>
      </c>
      <c r="AQ18" s="625">
        <v>-31.9</v>
      </c>
      <c r="AR18" s="626">
        <v>-28.4</v>
      </c>
      <c r="AS18" s="626">
        <v>-32.5</v>
      </c>
      <c r="AT18" s="626">
        <v>-33.699999999999996</v>
      </c>
      <c r="AU18" s="625">
        <v>-35.700000000000003</v>
      </c>
      <c r="AV18" s="626">
        <v>-38</v>
      </c>
      <c r="AW18" s="626">
        <v>-39.5</v>
      </c>
      <c r="AX18" s="628">
        <v>-41.7</v>
      </c>
      <c r="AY18" s="629">
        <v>-38.1</v>
      </c>
      <c r="AZ18" s="626">
        <v>-41.1</v>
      </c>
      <c r="BA18" s="626">
        <v>-43.3</v>
      </c>
      <c r="BB18" s="626">
        <v>-44.8</v>
      </c>
      <c r="BC18" s="625">
        <v>-46.5</v>
      </c>
      <c r="BD18" s="626">
        <v>-49.4</v>
      </c>
      <c r="BE18" s="626">
        <v>-49.8</v>
      </c>
      <c r="BF18" s="626">
        <v>-50.7</v>
      </c>
      <c r="BG18" s="625">
        <v>-52.7</v>
      </c>
      <c r="BH18" s="626">
        <v>-55.8</v>
      </c>
      <c r="BI18" s="626">
        <v>-59.5</v>
      </c>
      <c r="BJ18" s="626">
        <v>-64</v>
      </c>
      <c r="BK18" s="625">
        <v>-61.5</v>
      </c>
      <c r="BL18" s="626">
        <v>-63.3</v>
      </c>
      <c r="BM18" s="626">
        <v>-60.4</v>
      </c>
      <c r="BN18" s="626">
        <v>-61.4</v>
      </c>
      <c r="BO18" s="625">
        <v>-57.2</v>
      </c>
      <c r="BP18" s="626">
        <v>-57.1</v>
      </c>
      <c r="BQ18" s="626">
        <v>-58.3</v>
      </c>
      <c r="BR18" s="626">
        <v>-58.7</v>
      </c>
      <c r="BS18" s="625">
        <v>-61.7</v>
      </c>
      <c r="BT18" s="719"/>
    </row>
    <row r="19" spans="1:72" s="469" customFormat="1">
      <c r="A19" s="143" t="s">
        <v>779</v>
      </c>
      <c r="B19" s="143" t="s">
        <v>780</v>
      </c>
      <c r="C19" s="172">
        <f t="shared" ref="C19:AO19" si="6">C15+C16+C18</f>
        <v>109.09999999999997</v>
      </c>
      <c r="D19" s="173">
        <f t="shared" si="6"/>
        <v>101.1</v>
      </c>
      <c r="E19" s="173">
        <f t="shared" si="6"/>
        <v>119.20000000000002</v>
      </c>
      <c r="F19" s="173">
        <f t="shared" si="6"/>
        <v>58.100000000000037</v>
      </c>
      <c r="G19" s="172">
        <f t="shared" si="6"/>
        <v>65.700000000000074</v>
      </c>
      <c r="H19" s="173">
        <f t="shared" si="6"/>
        <v>94.80000000000004</v>
      </c>
      <c r="I19" s="173">
        <f t="shared" si="6"/>
        <v>87.499999999999972</v>
      </c>
      <c r="J19" s="173">
        <f t="shared" si="6"/>
        <v>20.799999999999919</v>
      </c>
      <c r="K19" s="172">
        <f t="shared" si="6"/>
        <v>55.3</v>
      </c>
      <c r="L19" s="173">
        <f t="shared" si="6"/>
        <v>97.999999999999957</v>
      </c>
      <c r="M19" s="173">
        <f t="shared" si="6"/>
        <v>66.399999999999949</v>
      </c>
      <c r="N19" s="173">
        <f t="shared" si="6"/>
        <v>49.899999999999991</v>
      </c>
      <c r="O19" s="172">
        <f t="shared" si="6"/>
        <v>38.100000000000009</v>
      </c>
      <c r="P19" s="173">
        <f t="shared" si="6"/>
        <v>90.299999999999955</v>
      </c>
      <c r="Q19" s="173">
        <f t="shared" si="6"/>
        <v>84.400000000000048</v>
      </c>
      <c r="R19" s="173">
        <f t="shared" si="6"/>
        <v>108.1</v>
      </c>
      <c r="S19" s="172">
        <f t="shared" si="6"/>
        <v>100.79999999999993</v>
      </c>
      <c r="T19" s="173">
        <f t="shared" si="6"/>
        <v>125.10000000000001</v>
      </c>
      <c r="U19" s="173">
        <f t="shared" si="6"/>
        <v>92.099999999999966</v>
      </c>
      <c r="V19" s="173">
        <f t="shared" si="6"/>
        <v>114.50000000000006</v>
      </c>
      <c r="W19" s="172">
        <f t="shared" si="6"/>
        <v>121.3262649184574</v>
      </c>
      <c r="X19" s="173">
        <f t="shared" si="6"/>
        <v>112.32250671647397</v>
      </c>
      <c r="Y19" s="173">
        <f t="shared" si="6"/>
        <v>122.72692057632861</v>
      </c>
      <c r="Z19" s="174">
        <f t="shared" si="6"/>
        <v>109.4137853683627</v>
      </c>
      <c r="AA19" s="173">
        <f t="shared" si="6"/>
        <v>109.0784460836249</v>
      </c>
      <c r="AB19" s="173">
        <f t="shared" si="6"/>
        <v>83.692903772979832</v>
      </c>
      <c r="AC19" s="173">
        <f t="shared" si="6"/>
        <v>113.61337879652042</v>
      </c>
      <c r="AD19" s="173">
        <f t="shared" si="6"/>
        <v>164.12923521742636</v>
      </c>
      <c r="AE19" s="172">
        <f t="shared" si="6"/>
        <v>164.29999999999995</v>
      </c>
      <c r="AF19" s="173">
        <f t="shared" si="6"/>
        <v>197.04609477203056</v>
      </c>
      <c r="AG19" s="173">
        <f t="shared" si="6"/>
        <v>193.40000000000003</v>
      </c>
      <c r="AH19" s="174">
        <f t="shared" si="6"/>
        <v>157.80000000000001</v>
      </c>
      <c r="AI19" s="172">
        <f t="shared" si="6"/>
        <v>134.19999999999993</v>
      </c>
      <c r="AJ19" s="173">
        <f t="shared" si="6"/>
        <v>242.79999999999998</v>
      </c>
      <c r="AK19" s="173">
        <f t="shared" si="6"/>
        <v>210.2</v>
      </c>
      <c r="AL19" s="174">
        <f t="shared" si="6"/>
        <v>113.9</v>
      </c>
      <c r="AM19" s="172">
        <f t="shared" si="6"/>
        <v>188.79999999999998</v>
      </c>
      <c r="AN19" s="173">
        <f t="shared" si="6"/>
        <v>365.09999999999997</v>
      </c>
      <c r="AO19" s="173">
        <f t="shared" si="6"/>
        <v>237.70000000000005</v>
      </c>
      <c r="AP19" s="174">
        <f>AP15+AP16+AP18</f>
        <v>205.69999999999996</v>
      </c>
      <c r="AQ19" s="172">
        <f t="shared" ref="AQ19:AX19" si="7">AQ15+AQ16+AQ18</f>
        <v>215.20000000000002</v>
      </c>
      <c r="AR19" s="173">
        <f t="shared" si="7"/>
        <v>297.60000000000002</v>
      </c>
      <c r="AS19" s="173">
        <f t="shared" si="7"/>
        <v>289.10000000000008</v>
      </c>
      <c r="AT19" s="173">
        <f t="shared" si="7"/>
        <v>317.2</v>
      </c>
      <c r="AU19" s="172">
        <f t="shared" si="7"/>
        <v>279.7999999999999</v>
      </c>
      <c r="AV19" s="173">
        <f t="shared" si="7"/>
        <v>314.59999999999985</v>
      </c>
      <c r="AW19" s="173">
        <f t="shared" si="7"/>
        <v>315.20456785007212</v>
      </c>
      <c r="AX19" s="471">
        <f t="shared" si="7"/>
        <v>320.7</v>
      </c>
      <c r="AY19" s="472">
        <f t="shared" ref="AY19:BP19" si="8">AY15+AY16+AY18+AY17</f>
        <v>210.11174412239379</v>
      </c>
      <c r="AZ19" s="173">
        <f t="shared" si="8"/>
        <v>330.01332804242776</v>
      </c>
      <c r="BA19" s="173">
        <f t="shared" si="8"/>
        <v>275.4546808581245</v>
      </c>
      <c r="BB19" s="173">
        <f t="shared" si="8"/>
        <v>299.27434326463469</v>
      </c>
      <c r="BC19" s="172">
        <f t="shared" si="8"/>
        <v>202.09999999999991</v>
      </c>
      <c r="BD19" s="173">
        <f t="shared" si="8"/>
        <v>237.55509923000002</v>
      </c>
      <c r="BE19" s="173">
        <f t="shared" si="8"/>
        <v>257.7</v>
      </c>
      <c r="BF19" s="173">
        <f t="shared" si="8"/>
        <v>41.682089205300457</v>
      </c>
      <c r="BG19" s="172">
        <f t="shared" si="8"/>
        <v>257.7</v>
      </c>
      <c r="BH19" s="173">
        <f t="shared" si="8"/>
        <v>403.4</v>
      </c>
      <c r="BI19" s="173">
        <f t="shared" si="8"/>
        <v>377.19999999999993</v>
      </c>
      <c r="BJ19" s="173">
        <f t="shared" si="8"/>
        <v>356.69999999999987</v>
      </c>
      <c r="BK19" s="172">
        <f t="shared" si="8"/>
        <v>517.6</v>
      </c>
      <c r="BL19" s="173">
        <f t="shared" si="8"/>
        <v>122.69999999999987</v>
      </c>
      <c r="BM19" s="173">
        <f t="shared" si="8"/>
        <v>-1154.8900000000001</v>
      </c>
      <c r="BN19" s="173">
        <f t="shared" si="8"/>
        <v>168.29999999999984</v>
      </c>
      <c r="BO19" s="172">
        <f t="shared" si="8"/>
        <v>435.2999999999999</v>
      </c>
      <c r="BP19" s="173">
        <f t="shared" si="8"/>
        <v>522.6</v>
      </c>
      <c r="BQ19" s="173">
        <f>BQ15+BQ16+BQ18+BQ17</f>
        <v>556.19999999999993</v>
      </c>
      <c r="BR19" s="173">
        <f>BR15+BR16+BR18+BR17</f>
        <v>656.59999999999968</v>
      </c>
      <c r="BS19" s="172">
        <f>BS15+BS16+BS18+BS17</f>
        <v>536.50000000000011</v>
      </c>
    </row>
    <row r="20" spans="1:72">
      <c r="A20" s="473"/>
      <c r="B20" s="473"/>
      <c r="C20" s="474"/>
      <c r="D20" s="474"/>
      <c r="E20" s="474"/>
      <c r="F20" s="474"/>
      <c r="G20" s="474"/>
      <c r="H20" s="474"/>
      <c r="I20" s="474"/>
      <c r="J20" s="474"/>
      <c r="K20" s="474"/>
      <c r="L20" s="474"/>
      <c r="M20" s="474"/>
      <c r="N20" s="474"/>
      <c r="O20" s="474"/>
      <c r="P20" s="474"/>
      <c r="Q20" s="474"/>
      <c r="R20" s="474"/>
      <c r="S20" s="474"/>
      <c r="T20" s="474"/>
      <c r="U20" s="474"/>
      <c r="V20" s="474"/>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row>
    <row r="21" spans="1:72">
      <c r="A21" s="548" t="s">
        <v>781</v>
      </c>
      <c r="B21" s="548" t="s">
        <v>782</v>
      </c>
      <c r="C21" s="476"/>
      <c r="D21" s="476"/>
      <c r="E21" s="476"/>
      <c r="F21" s="476"/>
      <c r="G21" s="476"/>
      <c r="H21" s="476"/>
      <c r="I21" s="476"/>
      <c r="J21" s="476"/>
      <c r="K21" s="476"/>
      <c r="L21" s="476"/>
      <c r="M21" s="476"/>
      <c r="N21" s="476"/>
      <c r="O21" s="476"/>
      <c r="P21" s="476"/>
      <c r="Q21" s="476"/>
      <c r="R21" s="476"/>
      <c r="S21" s="476"/>
      <c r="T21" s="476"/>
      <c r="U21" s="476"/>
      <c r="V21" s="476"/>
      <c r="W21" s="476"/>
      <c r="X21" s="476"/>
      <c r="Y21" s="476"/>
      <c r="Z21" s="476"/>
      <c r="AA21" s="476"/>
      <c r="AB21" s="476"/>
      <c r="AC21" s="476"/>
      <c r="AD21" s="476"/>
      <c r="AE21" s="476"/>
      <c r="AF21" s="476"/>
      <c r="AG21" s="476"/>
      <c r="AH21" s="476"/>
      <c r="AI21" s="476"/>
      <c r="AJ21" s="476"/>
      <c r="AK21" s="476"/>
      <c r="AL21" s="476"/>
      <c r="AM21" s="476"/>
      <c r="AN21" s="476"/>
      <c r="AO21" s="476"/>
      <c r="AP21" s="476"/>
      <c r="AQ21" s="476"/>
      <c r="AR21" s="476"/>
      <c r="AS21" s="476"/>
      <c r="AT21" s="476"/>
      <c r="AU21" s="476"/>
      <c r="AV21" s="476"/>
      <c r="AW21" s="476"/>
      <c r="AX21" s="476"/>
      <c r="AY21" s="476"/>
      <c r="AZ21" s="476"/>
      <c r="BA21" s="476"/>
      <c r="BB21" s="476"/>
      <c r="BC21" s="476"/>
      <c r="BD21" s="476"/>
      <c r="BE21" s="476"/>
      <c r="BF21" s="476"/>
      <c r="BG21" s="476"/>
      <c r="BH21" s="476"/>
      <c r="BI21" s="476"/>
      <c r="BJ21" s="476"/>
      <c r="BK21" s="476"/>
      <c r="BL21" s="476"/>
      <c r="BM21" s="476"/>
      <c r="BN21" s="476"/>
      <c r="BO21" s="476"/>
      <c r="BP21" s="476"/>
      <c r="BQ21" s="476"/>
      <c r="BR21" s="476"/>
    </row>
    <row r="22" spans="1:72">
      <c r="A22" s="549"/>
      <c r="B22" s="549"/>
    </row>
    <row r="23" spans="1:72" ht="13.5" hidden="1" customHeight="1">
      <c r="A23" s="2"/>
      <c r="B23" s="2"/>
      <c r="AT23" s="477"/>
    </row>
    <row r="24" spans="1:72" ht="13.5" hidden="1" customHeight="1">
      <c r="A24" s="2"/>
      <c r="B24" s="2"/>
      <c r="AQ24" s="201"/>
      <c r="AR24" s="201"/>
      <c r="AS24" s="201"/>
      <c r="AT24" s="201"/>
      <c r="AW24" s="201"/>
      <c r="BA24" s="201"/>
      <c r="BE24" s="201"/>
      <c r="BI24" s="201"/>
      <c r="BM24" s="201"/>
      <c r="BQ24" s="201"/>
    </row>
    <row r="25" spans="1:72" ht="13.5" hidden="1" customHeight="1">
      <c r="A25" s="2"/>
      <c r="B25" s="2"/>
    </row>
    <row r="26" spans="1:72" ht="13.5" hidden="1" customHeight="1">
      <c r="A26" s="2"/>
      <c r="B26" s="2"/>
    </row>
    <row r="27" spans="1:72" ht="13.5" hidden="1" customHeight="1">
      <c r="A27" s="2"/>
      <c r="B27" s="2"/>
    </row>
    <row r="28" spans="1:72" ht="13.5" hidden="1" customHeight="1">
      <c r="A28" s="2"/>
      <c r="B28" s="2"/>
    </row>
    <row r="29" spans="1:72" ht="13.5" hidden="1" customHeight="1">
      <c r="A29" s="2"/>
      <c r="B29" s="2"/>
    </row>
    <row r="30" spans="1:72" ht="13.5" hidden="1" customHeight="1">
      <c r="A30" s="2"/>
      <c r="B30" s="2"/>
    </row>
    <row r="31" spans="1:72" ht="13.5" hidden="1" customHeight="1">
      <c r="A31" s="2"/>
      <c r="B31" s="2"/>
    </row>
    <row r="32" spans="1:72" ht="13.5" hidden="1" customHeight="1">
      <c r="A32" s="2"/>
      <c r="B32" s="2"/>
    </row>
    <row r="33" s="2" customFormat="1" ht="13.5" hidden="1" customHeight="1"/>
    <row r="34" s="2" customFormat="1" ht="13.5" hidden="1" customHeight="1"/>
    <row r="35" s="2" customFormat="1" ht="13.5" hidden="1" customHeight="1"/>
    <row r="36" s="2" customFormat="1" ht="13.5" hidden="1" customHeight="1"/>
    <row r="37" s="2" customFormat="1" ht="13.5" hidden="1" customHeight="1"/>
    <row r="38" s="2" customFormat="1" ht="13.5" hidden="1" customHeight="1"/>
    <row r="39" s="2" customFormat="1" ht="13.5" hidden="1" customHeight="1"/>
    <row r="40" s="2" customFormat="1" ht="13.5" hidden="1" customHeight="1"/>
    <row r="41" s="2" customFormat="1" ht="13.5" hidden="1" customHeight="1"/>
    <row r="42" s="2" customFormat="1" ht="13.5" hidden="1" customHeight="1"/>
    <row r="43" s="2" customFormat="1" ht="13.5" hidden="1" customHeight="1"/>
    <row r="44" s="2" customFormat="1" ht="13.5" hidden="1" customHeight="1"/>
  </sheetData>
  <mergeCells count="22">
    <mergeCell ref="BO3:BR3"/>
    <mergeCell ref="BS3:BV3"/>
    <mergeCell ref="A21:A22"/>
    <mergeCell ref="B21:B22"/>
    <mergeCell ref="AQ3:AT3"/>
    <mergeCell ref="AU3:AX3"/>
    <mergeCell ref="AY3:BB3"/>
    <mergeCell ref="BC3:BF3"/>
    <mergeCell ref="BG3:BJ3"/>
    <mergeCell ref="BK3:BN3"/>
    <mergeCell ref="S3:V3"/>
    <mergeCell ref="W3:Z3"/>
    <mergeCell ref="AA3:AD3"/>
    <mergeCell ref="AE3:AH3"/>
    <mergeCell ref="AI3:AL3"/>
    <mergeCell ref="AM3:AP3"/>
    <mergeCell ref="O3:R3"/>
    <mergeCell ref="A3:A4"/>
    <mergeCell ref="B3:B4"/>
    <mergeCell ref="C3:F3"/>
    <mergeCell ref="G3:J3"/>
    <mergeCell ref="K3:N3"/>
  </mergeCells>
  <hyperlinks>
    <hyperlink ref="A1:B1" location="'Spis tresci_Table of content'!Print_Area" display="Go back to Table of content" xr:uid="{49E9EEBA-0CC7-44B9-A726-32041A68C7CE}"/>
    <hyperlink ref="A1" location="'Spis tresci_Table of content'!A1" display="Go back to Table of content" xr:uid="{0E81A010-0B6E-4D90-93EC-E3BC06E232B0}"/>
    <hyperlink ref="B1" location="'Spis tresci_Table of content'!A1" display="Powrót do spisu treści" xr:uid="{EDA49534-67F7-476F-9AB5-041F1DFCF943}"/>
  </hyperlinks>
  <printOptions horizontalCentered="1"/>
  <pageMargins left="0.23622047244094491" right="0.23622047244094491" top="0.74803149606299213" bottom="0.74803149606299213" header="0.31496062992125984" footer="0.31496062992125984"/>
  <pageSetup paperSize="9" scale="3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6AE6D-2A17-47C2-94C8-AAB1105451E0}">
  <dimension ref="A1:BV36"/>
  <sheetViews>
    <sheetView workbookViewId="0">
      <pane xSplit="2" ySplit="4" topLeftCell="BK20" activePane="bottomRight" state="frozen"/>
      <selection pane="topRight" activeCell="C1" sqref="C1"/>
      <selection pane="bottomLeft" activeCell="A5" sqref="A5"/>
      <selection pane="bottomRight"/>
    </sheetView>
  </sheetViews>
  <sheetFormatPr defaultRowHeight="14.4" outlineLevelCol="2"/>
  <cols>
    <col min="1" max="1" width="63.44140625" customWidth="1" outlineLevel="1"/>
    <col min="2" max="2" width="54.109375" customWidth="1"/>
    <col min="3" max="46" width="0" hidden="1" customWidth="1" outlineLevel="2"/>
    <col min="47" max="47" width="8.88671875" collapsed="1"/>
  </cols>
  <sheetData>
    <row r="1" spans="1:74">
      <c r="A1" s="1" t="s">
        <v>0</v>
      </c>
      <c r="B1" s="1" t="s">
        <v>1</v>
      </c>
      <c r="C1" s="513"/>
      <c r="D1" s="513"/>
      <c r="E1" s="513"/>
      <c r="F1" s="513"/>
      <c r="G1" s="513"/>
      <c r="H1" s="513"/>
      <c r="I1" s="513"/>
      <c r="J1" s="513"/>
      <c r="K1" s="513"/>
      <c r="L1" s="513"/>
      <c r="M1" s="513"/>
      <c r="N1" s="513"/>
      <c r="O1" s="513"/>
      <c r="P1" s="513"/>
      <c r="Q1" s="513"/>
      <c r="R1" s="513"/>
      <c r="S1" s="513"/>
      <c r="T1" s="513"/>
      <c r="U1" s="513"/>
      <c r="V1" s="513"/>
      <c r="W1" s="513"/>
      <c r="X1" s="513"/>
      <c r="Y1" s="513"/>
      <c r="Z1" s="513"/>
      <c r="AA1" s="513"/>
      <c r="AB1" s="514"/>
      <c r="AC1" s="514"/>
      <c r="AD1" s="514"/>
      <c r="AE1" s="514"/>
      <c r="AF1" s="514"/>
      <c r="AG1" s="514"/>
      <c r="AH1" s="514"/>
      <c r="AI1" s="514"/>
      <c r="AJ1" s="514"/>
      <c r="AK1" s="514"/>
    </row>
    <row r="2" spans="1:74" ht="18" customHeight="1">
      <c r="A2" s="530" t="s">
        <v>579</v>
      </c>
      <c r="B2" s="516" t="s">
        <v>497</v>
      </c>
      <c r="C2" s="515"/>
      <c r="D2" s="515"/>
      <c r="E2" s="515"/>
      <c r="F2" s="515"/>
      <c r="G2" s="515"/>
      <c r="H2" s="517"/>
      <c r="I2" s="515"/>
      <c r="J2" s="515"/>
      <c r="K2" s="515"/>
      <c r="L2" s="515"/>
      <c r="M2" s="515"/>
      <c r="N2" s="515"/>
      <c r="O2" s="515"/>
      <c r="P2" s="515"/>
      <c r="Q2" s="515"/>
      <c r="R2" s="515"/>
      <c r="S2" s="515"/>
      <c r="T2" s="515"/>
      <c r="U2" s="515"/>
      <c r="V2" s="515"/>
      <c r="W2" s="515"/>
      <c r="X2" s="515"/>
      <c r="Y2" s="515"/>
      <c r="Z2" s="515"/>
      <c r="AA2" s="515"/>
      <c r="AB2" s="515"/>
      <c r="AC2" s="515"/>
      <c r="AD2" s="515"/>
      <c r="AE2" s="515"/>
      <c r="AF2" s="515"/>
      <c r="AG2" s="515"/>
      <c r="AH2" s="515"/>
      <c r="AI2" s="515"/>
      <c r="AJ2" s="515"/>
      <c r="AK2" s="515"/>
    </row>
    <row r="3" spans="1:74" ht="14.4" customHeight="1">
      <c r="A3" s="555" t="s">
        <v>798</v>
      </c>
      <c r="B3" s="555" t="s">
        <v>799</v>
      </c>
      <c r="C3" s="552">
        <v>2007</v>
      </c>
      <c r="D3" s="553"/>
      <c r="E3" s="553"/>
      <c r="F3" s="553"/>
      <c r="G3" s="552">
        <v>2008</v>
      </c>
      <c r="H3" s="553"/>
      <c r="I3" s="553"/>
      <c r="J3" s="553"/>
      <c r="K3" s="552">
        <v>2009</v>
      </c>
      <c r="L3" s="553"/>
      <c r="M3" s="553"/>
      <c r="N3" s="553"/>
      <c r="O3" s="552">
        <v>2010</v>
      </c>
      <c r="P3" s="553"/>
      <c r="Q3" s="553"/>
      <c r="R3" s="553"/>
      <c r="S3" s="552">
        <v>2011</v>
      </c>
      <c r="T3" s="553"/>
      <c r="U3" s="553"/>
      <c r="V3" s="553"/>
      <c r="W3" s="552">
        <v>2012</v>
      </c>
      <c r="X3" s="553"/>
      <c r="Y3" s="553"/>
      <c r="Z3" s="554"/>
      <c r="AA3" s="552">
        <v>2013</v>
      </c>
      <c r="AB3" s="553"/>
      <c r="AC3" s="553"/>
      <c r="AD3" s="554"/>
      <c r="AE3" s="552">
        <v>2014</v>
      </c>
      <c r="AF3" s="553"/>
      <c r="AG3" s="553"/>
      <c r="AH3" s="554"/>
      <c r="AI3" s="552">
        <v>2015</v>
      </c>
      <c r="AJ3" s="553"/>
      <c r="AK3" s="553"/>
      <c r="AL3" s="553"/>
      <c r="AM3" s="552">
        <v>2016</v>
      </c>
      <c r="AN3" s="553"/>
      <c r="AO3" s="553"/>
      <c r="AP3" s="553"/>
      <c r="AQ3" s="557">
        <v>2017</v>
      </c>
      <c r="AR3" s="553"/>
      <c r="AS3" s="553"/>
      <c r="AT3" s="553"/>
      <c r="AU3" s="557">
        <v>2018</v>
      </c>
      <c r="AV3" s="553"/>
      <c r="AW3" s="558"/>
      <c r="AX3" s="558"/>
      <c r="AY3" s="557">
        <v>2019</v>
      </c>
      <c r="AZ3" s="553"/>
      <c r="BA3" s="558"/>
      <c r="BB3" s="558"/>
      <c r="BC3" s="557">
        <v>2020</v>
      </c>
      <c r="BD3" s="553"/>
      <c r="BE3" s="558"/>
      <c r="BF3" s="558"/>
      <c r="BG3" s="557">
        <v>2021</v>
      </c>
      <c r="BH3" s="553"/>
      <c r="BI3" s="558"/>
      <c r="BJ3" s="558"/>
      <c r="BK3" s="557">
        <v>2022</v>
      </c>
      <c r="BL3" s="553"/>
      <c r="BM3" s="558"/>
      <c r="BN3" s="558"/>
      <c r="BO3" s="557">
        <v>2023</v>
      </c>
      <c r="BP3" s="553"/>
      <c r="BQ3" s="558"/>
      <c r="BR3" s="558"/>
      <c r="BS3" s="557">
        <v>2024</v>
      </c>
      <c r="BT3" s="553"/>
      <c r="BU3" s="558"/>
      <c r="BV3" s="558"/>
    </row>
    <row r="4" spans="1:74" ht="14.4" customHeight="1">
      <c r="A4" s="556"/>
      <c r="B4" s="556"/>
      <c r="C4" s="518" t="s">
        <v>8</v>
      </c>
      <c r="D4" s="519" t="s">
        <v>9</v>
      </c>
      <c r="E4" s="519" t="s">
        <v>10</v>
      </c>
      <c r="F4" s="519" t="s">
        <v>11</v>
      </c>
      <c r="G4" s="518" t="s">
        <v>8</v>
      </c>
      <c r="H4" s="519" t="s">
        <v>9</v>
      </c>
      <c r="I4" s="519" t="s">
        <v>10</v>
      </c>
      <c r="J4" s="519" t="s">
        <v>11</v>
      </c>
      <c r="K4" s="518" t="s">
        <v>8</v>
      </c>
      <c r="L4" s="519" t="s">
        <v>9</v>
      </c>
      <c r="M4" s="519" t="s">
        <v>10</v>
      </c>
      <c r="N4" s="519" t="s">
        <v>11</v>
      </c>
      <c r="O4" s="518" t="s">
        <v>8</v>
      </c>
      <c r="P4" s="519" t="s">
        <v>9</v>
      </c>
      <c r="Q4" s="519" t="s">
        <v>10</v>
      </c>
      <c r="R4" s="519" t="s">
        <v>11</v>
      </c>
      <c r="S4" s="518" t="s">
        <v>8</v>
      </c>
      <c r="T4" s="519" t="s">
        <v>9</v>
      </c>
      <c r="U4" s="519" t="s">
        <v>10</v>
      </c>
      <c r="V4" s="519" t="s">
        <v>11</v>
      </c>
      <c r="W4" s="518" t="s">
        <v>8</v>
      </c>
      <c r="X4" s="519" t="s">
        <v>9</v>
      </c>
      <c r="Y4" s="519" t="s">
        <v>10</v>
      </c>
      <c r="Z4" s="520" t="s">
        <v>11</v>
      </c>
      <c r="AA4" s="518" t="s">
        <v>8</v>
      </c>
      <c r="AB4" s="519" t="s">
        <v>9</v>
      </c>
      <c r="AC4" s="519" t="s">
        <v>10</v>
      </c>
      <c r="AD4" s="520" t="s">
        <v>11</v>
      </c>
      <c r="AE4" s="518" t="s">
        <v>8</v>
      </c>
      <c r="AF4" s="519" t="s">
        <v>9</v>
      </c>
      <c r="AG4" s="519" t="s">
        <v>10</v>
      </c>
      <c r="AH4" s="519" t="s">
        <v>11</v>
      </c>
      <c r="AI4" s="518" t="s">
        <v>8</v>
      </c>
      <c r="AJ4" s="519" t="s">
        <v>9</v>
      </c>
      <c r="AK4" s="519" t="s">
        <v>10</v>
      </c>
      <c r="AL4" s="519" t="s">
        <v>11</v>
      </c>
      <c r="AM4" s="518" t="s">
        <v>8</v>
      </c>
      <c r="AN4" s="519" t="s">
        <v>9</v>
      </c>
      <c r="AO4" s="519" t="s">
        <v>10</v>
      </c>
      <c r="AP4" s="519" t="s">
        <v>11</v>
      </c>
      <c r="AQ4" s="518" t="s">
        <v>8</v>
      </c>
      <c r="AR4" s="519" t="s">
        <v>9</v>
      </c>
      <c r="AS4" s="519" t="s">
        <v>10</v>
      </c>
      <c r="AT4" s="519" t="s">
        <v>11</v>
      </c>
      <c r="AU4" s="518" t="s">
        <v>8</v>
      </c>
      <c r="AV4" s="519" t="s">
        <v>9</v>
      </c>
      <c r="AW4" s="519" t="s">
        <v>10</v>
      </c>
      <c r="AX4" s="519" t="s">
        <v>11</v>
      </c>
      <c r="AY4" s="518" t="s">
        <v>8</v>
      </c>
      <c r="AZ4" s="519" t="s">
        <v>9</v>
      </c>
      <c r="BA4" s="519" t="s">
        <v>10</v>
      </c>
      <c r="BB4" s="519" t="s">
        <v>11</v>
      </c>
      <c r="BC4" s="518" t="s">
        <v>8</v>
      </c>
      <c r="BD4" s="519" t="s">
        <v>9</v>
      </c>
      <c r="BE4" s="519" t="s">
        <v>10</v>
      </c>
      <c r="BF4" s="519" t="s">
        <v>11</v>
      </c>
      <c r="BG4" s="518" t="s">
        <v>8</v>
      </c>
      <c r="BH4" s="519" t="s">
        <v>9</v>
      </c>
      <c r="BI4" s="519" t="s">
        <v>10</v>
      </c>
      <c r="BJ4" s="519" t="s">
        <v>11</v>
      </c>
      <c r="BK4" s="518" t="s">
        <v>8</v>
      </c>
      <c r="BL4" s="519" t="s">
        <v>9</v>
      </c>
      <c r="BM4" s="519" t="s">
        <v>10</v>
      </c>
      <c r="BN4" s="519" t="s">
        <v>11</v>
      </c>
      <c r="BO4" s="518" t="s">
        <v>8</v>
      </c>
      <c r="BP4" s="519" t="s">
        <v>9</v>
      </c>
      <c r="BQ4" s="519" t="s">
        <v>10</v>
      </c>
      <c r="BR4" s="519" t="s">
        <v>11</v>
      </c>
      <c r="BS4" s="518" t="s">
        <v>8</v>
      </c>
      <c r="BT4" s="519" t="s">
        <v>9</v>
      </c>
      <c r="BU4" s="519" t="s">
        <v>10</v>
      </c>
      <c r="BV4" s="519" t="s">
        <v>11</v>
      </c>
    </row>
    <row r="5" spans="1:74">
      <c r="A5" s="521" t="s">
        <v>12</v>
      </c>
      <c r="B5" s="751" t="s">
        <v>13</v>
      </c>
      <c r="C5" s="752"/>
      <c r="D5" s="753"/>
      <c r="E5" s="751"/>
      <c r="F5" s="753"/>
      <c r="G5" s="752"/>
      <c r="H5" s="753"/>
      <c r="I5" s="751"/>
      <c r="J5" s="754"/>
      <c r="K5" s="752"/>
      <c r="L5" s="753"/>
      <c r="M5" s="751"/>
      <c r="N5" s="754"/>
      <c r="O5" s="752"/>
      <c r="P5" s="753"/>
      <c r="Q5" s="751"/>
      <c r="R5" s="754"/>
      <c r="S5" s="752"/>
      <c r="T5" s="753"/>
      <c r="U5" s="751"/>
      <c r="V5" s="754"/>
      <c r="W5" s="752"/>
      <c r="X5" s="751"/>
      <c r="Y5" s="751"/>
      <c r="Z5" s="755"/>
      <c r="AA5" s="752"/>
      <c r="AB5" s="751"/>
      <c r="AC5" s="751"/>
      <c r="AD5" s="755"/>
      <c r="AE5" s="752"/>
      <c r="AF5" s="751"/>
      <c r="AG5" s="751"/>
      <c r="AH5" s="751"/>
      <c r="AI5" s="752"/>
      <c r="AJ5" s="751"/>
      <c r="AK5" s="751"/>
      <c r="AL5" s="751"/>
      <c r="AM5" s="752"/>
      <c r="AN5" s="751"/>
      <c r="AO5" s="751"/>
      <c r="AP5" s="751"/>
      <c r="AQ5" s="752"/>
      <c r="AR5" s="751"/>
      <c r="AS5" s="751"/>
      <c r="AT5" s="751"/>
      <c r="AU5" s="752"/>
      <c r="AV5" s="751"/>
      <c r="AW5" s="751"/>
      <c r="AX5" s="751"/>
      <c r="AY5" s="752"/>
      <c r="AZ5" s="751"/>
      <c r="BA5" s="751"/>
      <c r="BB5" s="751"/>
      <c r="BC5" s="752"/>
      <c r="BD5" s="751"/>
      <c r="BE5" s="751"/>
      <c r="BF5" s="751"/>
      <c r="BG5" s="752"/>
      <c r="BH5" s="751"/>
      <c r="BI5" s="751"/>
      <c r="BJ5" s="751"/>
      <c r="BK5" s="752"/>
      <c r="BL5" s="751"/>
      <c r="BM5" s="751"/>
      <c r="BN5" s="751"/>
      <c r="BO5" s="752"/>
      <c r="BP5" s="751"/>
      <c r="BQ5" s="751"/>
      <c r="BR5" s="751"/>
      <c r="BS5" s="756"/>
      <c r="BT5" s="757"/>
      <c r="BU5" s="757"/>
      <c r="BV5" s="513"/>
    </row>
    <row r="6" spans="1:74" s="739" customFormat="1" ht="21.6">
      <c r="A6" s="735" t="s">
        <v>984</v>
      </c>
      <c r="B6" s="758" t="s">
        <v>985</v>
      </c>
      <c r="C6" s="741"/>
      <c r="D6" s="742"/>
      <c r="E6" s="742"/>
      <c r="F6" s="742"/>
      <c r="G6" s="741"/>
      <c r="H6" s="742"/>
      <c r="I6" s="742"/>
      <c r="J6" s="759"/>
      <c r="K6" s="741"/>
      <c r="L6" s="742"/>
      <c r="M6" s="742"/>
      <c r="N6" s="759"/>
      <c r="O6" s="741"/>
      <c r="P6" s="742"/>
      <c r="Q6" s="742"/>
      <c r="R6" s="759"/>
      <c r="S6" s="741"/>
      <c r="T6" s="742"/>
      <c r="U6" s="742"/>
      <c r="V6" s="759"/>
      <c r="W6" s="741"/>
      <c r="X6" s="742"/>
      <c r="Y6" s="742"/>
      <c r="Z6" s="759"/>
      <c r="AA6" s="741"/>
      <c r="AB6" s="742"/>
      <c r="AC6" s="742"/>
      <c r="AD6" s="759"/>
      <c r="AE6" s="741"/>
      <c r="AF6" s="742"/>
      <c r="AG6" s="742"/>
      <c r="AH6" s="742"/>
      <c r="AI6" s="741"/>
      <c r="AJ6" s="742"/>
      <c r="AK6" s="742"/>
      <c r="AL6" s="742"/>
      <c r="AM6" s="741"/>
      <c r="AN6" s="742"/>
      <c r="AO6" s="742"/>
      <c r="AP6" s="742"/>
      <c r="AQ6" s="736"/>
      <c r="AR6" s="737"/>
      <c r="AS6" s="737"/>
      <c r="AT6" s="737"/>
      <c r="AU6" s="736">
        <f t="shared" ref="AU6:BL6" si="0">SUM(AU7:AU12)</f>
        <v>1096.8</v>
      </c>
      <c r="AV6" s="737">
        <f t="shared" si="0"/>
        <v>1148.8</v>
      </c>
      <c r="AW6" s="737">
        <f t="shared" si="0"/>
        <v>1193.4000000000001</v>
      </c>
      <c r="AX6" s="737">
        <f t="shared" si="0"/>
        <v>1229.5</v>
      </c>
      <c r="AY6" s="736">
        <f t="shared" si="0"/>
        <v>1262</v>
      </c>
      <c r="AZ6" s="737">
        <f t="shared" si="0"/>
        <v>1313</v>
      </c>
      <c r="BA6" s="737">
        <f t="shared" si="0"/>
        <v>1366.5</v>
      </c>
      <c r="BB6" s="737">
        <f t="shared" si="0"/>
        <v>1365.6999999999996</v>
      </c>
      <c r="BC6" s="736">
        <f t="shared" si="0"/>
        <v>1385.8000000000002</v>
      </c>
      <c r="BD6" s="737">
        <f t="shared" si="0"/>
        <v>1303.3</v>
      </c>
      <c r="BE6" s="737">
        <f t="shared" si="0"/>
        <v>1276.5999999999999</v>
      </c>
      <c r="BF6" s="737">
        <f t="shared" si="0"/>
        <v>1278.4000000000001</v>
      </c>
      <c r="BG6" s="736">
        <f t="shared" si="0"/>
        <v>1267.3000000000002</v>
      </c>
      <c r="BH6" s="737">
        <f t="shared" si="0"/>
        <v>1297</v>
      </c>
      <c r="BI6" s="737">
        <f t="shared" si="0"/>
        <v>1352.3</v>
      </c>
      <c r="BJ6" s="737">
        <f t="shared" si="0"/>
        <v>1515.1000000000001</v>
      </c>
      <c r="BK6" s="736">
        <f t="shared" si="0"/>
        <v>1790.5</v>
      </c>
      <c r="BL6" s="737">
        <f t="shared" si="0"/>
        <v>2144.8000000000002</v>
      </c>
      <c r="BM6" s="737">
        <f t="shared" ref="BM6:BS6" si="1">SUM(BM7:BM8,BM11:BM12)</f>
        <v>705.5</v>
      </c>
      <c r="BN6" s="737">
        <f t="shared" si="1"/>
        <v>2521.3000000000002</v>
      </c>
      <c r="BO6" s="736">
        <f t="shared" si="1"/>
        <v>2679.7</v>
      </c>
      <c r="BP6" s="737">
        <f t="shared" si="1"/>
        <v>2846.4000000000005</v>
      </c>
      <c r="BQ6" s="737">
        <f t="shared" si="1"/>
        <v>2932.5</v>
      </c>
      <c r="BR6" s="737">
        <f t="shared" si="1"/>
        <v>2909</v>
      </c>
      <c r="BS6" s="736">
        <f t="shared" si="1"/>
        <v>3026</v>
      </c>
      <c r="BT6" s="760"/>
      <c r="BU6" s="760"/>
      <c r="BV6" s="738"/>
    </row>
    <row r="7" spans="1:74" s="739" customFormat="1" ht="21.6">
      <c r="A7" s="740" t="s">
        <v>986</v>
      </c>
      <c r="B7" s="761" t="s">
        <v>987</v>
      </c>
      <c r="C7" s="741">
        <v>196.4</v>
      </c>
      <c r="D7" s="742">
        <v>219.2</v>
      </c>
      <c r="E7" s="742">
        <v>237</v>
      </c>
      <c r="F7" s="742">
        <v>220.2</v>
      </c>
      <c r="G7" s="741">
        <v>214.6</v>
      </c>
      <c r="H7" s="742">
        <v>176.10000000000002</v>
      </c>
      <c r="I7" s="742">
        <v>143</v>
      </c>
      <c r="J7" s="759">
        <v>139.19999999999999</v>
      </c>
      <c r="K7" s="741">
        <v>66.599999999999994</v>
      </c>
      <c r="L7" s="742">
        <v>39</v>
      </c>
      <c r="M7" s="742">
        <v>31.2</v>
      </c>
      <c r="N7" s="759">
        <v>32.200000000000003</v>
      </c>
      <c r="O7" s="741">
        <v>24.2</v>
      </c>
      <c r="P7" s="742">
        <v>29.9</v>
      </c>
      <c r="Q7" s="742">
        <v>21.7</v>
      </c>
      <c r="R7" s="759">
        <v>23.5</v>
      </c>
      <c r="S7" s="741">
        <v>26.3</v>
      </c>
      <c r="T7" s="742">
        <v>29.8</v>
      </c>
      <c r="U7" s="742">
        <v>30.2</v>
      </c>
      <c r="V7" s="759">
        <v>41.9</v>
      </c>
      <c r="W7" s="741">
        <f>26.8-26.8+26.9</f>
        <v>26.9</v>
      </c>
      <c r="X7" s="742">
        <f>30.4-30.4+31</f>
        <v>31</v>
      </c>
      <c r="Y7" s="742">
        <v>37.4</v>
      </c>
      <c r="Z7" s="759">
        <v>40.5</v>
      </c>
      <c r="AA7" s="741">
        <v>27.8</v>
      </c>
      <c r="AB7" s="742">
        <v>25.3</v>
      </c>
      <c r="AC7" s="742">
        <v>23.8</v>
      </c>
      <c r="AD7" s="759">
        <v>28.5</v>
      </c>
      <c r="AE7" s="741">
        <v>28.7</v>
      </c>
      <c r="AF7" s="742">
        <v>23.8</v>
      </c>
      <c r="AG7" s="742">
        <v>22.3</v>
      </c>
      <c r="AH7" s="742">
        <v>17.8</v>
      </c>
      <c r="AI7" s="741">
        <v>15.9</v>
      </c>
      <c r="AJ7" s="742">
        <v>15.4</v>
      </c>
      <c r="AK7" s="742">
        <v>17.100000000000001</v>
      </c>
      <c r="AL7" s="742">
        <v>14.4</v>
      </c>
      <c r="AM7" s="741">
        <v>12.3</v>
      </c>
      <c r="AN7" s="742">
        <v>13.9</v>
      </c>
      <c r="AO7" s="742">
        <v>12.7</v>
      </c>
      <c r="AP7" s="742">
        <v>12.3</v>
      </c>
      <c r="AQ7" s="741">
        <v>12.5</v>
      </c>
      <c r="AR7" s="742">
        <v>13.7</v>
      </c>
      <c r="AS7" s="742">
        <v>13.9</v>
      </c>
      <c r="AT7" s="742">
        <v>16.100000000000001</v>
      </c>
      <c r="AU7" s="741">
        <v>9.5</v>
      </c>
      <c r="AV7" s="742">
        <v>7.9</v>
      </c>
      <c r="AW7" s="742">
        <v>10.1</v>
      </c>
      <c r="AX7" s="742">
        <v>8.9</v>
      </c>
      <c r="AY7" s="741">
        <v>9.6999999999999993</v>
      </c>
      <c r="AZ7" s="742">
        <v>10.199999999999999</v>
      </c>
      <c r="BA7" s="742">
        <v>11</v>
      </c>
      <c r="BB7" s="742">
        <v>11.1</v>
      </c>
      <c r="BC7" s="741">
        <v>10.199999999999999</v>
      </c>
      <c r="BD7" s="742">
        <v>4.7</v>
      </c>
      <c r="BE7" s="742">
        <v>2.1</v>
      </c>
      <c r="BF7" s="742">
        <v>2.1</v>
      </c>
      <c r="BG7" s="741">
        <v>2.4</v>
      </c>
      <c r="BH7" s="742">
        <v>2.4</v>
      </c>
      <c r="BI7" s="742">
        <v>3</v>
      </c>
      <c r="BJ7" s="742">
        <v>8.9</v>
      </c>
      <c r="BK7" s="741">
        <v>29.3</v>
      </c>
      <c r="BL7" s="742">
        <v>91.3</v>
      </c>
      <c r="BM7" s="742">
        <v>123.9</v>
      </c>
      <c r="BN7" s="742">
        <v>153.19999999999999</v>
      </c>
      <c r="BO7" s="741">
        <v>167.9</v>
      </c>
      <c r="BP7" s="742">
        <v>203.6</v>
      </c>
      <c r="BQ7" s="742">
        <v>229</v>
      </c>
      <c r="BR7" s="742">
        <v>254.7</v>
      </c>
      <c r="BS7" s="741">
        <v>342.1</v>
      </c>
      <c r="BT7" s="760"/>
      <c r="BU7" s="760"/>
      <c r="BV7" s="738"/>
    </row>
    <row r="8" spans="1:74" s="739" customFormat="1" ht="21.6">
      <c r="A8" s="740" t="s">
        <v>988</v>
      </c>
      <c r="B8" s="761" t="s">
        <v>989</v>
      </c>
      <c r="C8" s="741">
        <v>193.10000000000002</v>
      </c>
      <c r="D8" s="742">
        <v>216.6</v>
      </c>
      <c r="E8" s="742">
        <v>237.50000000000003</v>
      </c>
      <c r="F8" s="742">
        <v>277.39999999999998</v>
      </c>
      <c r="G8" s="741">
        <v>305.2</v>
      </c>
      <c r="H8" s="742">
        <v>353.2</v>
      </c>
      <c r="I8" s="742">
        <v>404.20000000000005</v>
      </c>
      <c r="J8" s="759">
        <v>438.7</v>
      </c>
      <c r="K8" s="741">
        <v>423.4</v>
      </c>
      <c r="L8" s="742">
        <v>419.3</v>
      </c>
      <c r="M8" s="742">
        <v>412.00000000000006</v>
      </c>
      <c r="N8" s="759">
        <v>404.7</v>
      </c>
      <c r="O8" s="741">
        <v>424.2</v>
      </c>
      <c r="P8" s="742">
        <v>431.40000000000003</v>
      </c>
      <c r="Q8" s="742">
        <v>461.7</v>
      </c>
      <c r="R8" s="759">
        <v>479.2</v>
      </c>
      <c r="S8" s="741">
        <v>497.1</v>
      </c>
      <c r="T8" s="742">
        <v>546.6</v>
      </c>
      <c r="U8" s="742">
        <v>608.29999999999995</v>
      </c>
      <c r="V8" s="759">
        <v>635.1</v>
      </c>
      <c r="W8" s="741">
        <v>707.7</v>
      </c>
      <c r="X8" s="742">
        <v>732.99999999999989</v>
      </c>
      <c r="Y8" s="742">
        <v>742.2</v>
      </c>
      <c r="Z8" s="759">
        <v>736.2</v>
      </c>
      <c r="AA8" s="741">
        <v>685.3</v>
      </c>
      <c r="AB8" s="742">
        <v>677.5</v>
      </c>
      <c r="AC8" s="742">
        <v>668.09999999999991</v>
      </c>
      <c r="AD8" s="759">
        <v>674.30000000000007</v>
      </c>
      <c r="AE8" s="741">
        <v>678.1</v>
      </c>
      <c r="AF8" s="742">
        <v>703.3</v>
      </c>
      <c r="AG8" s="742">
        <v>731.8</v>
      </c>
      <c r="AH8" s="742">
        <v>709.1</v>
      </c>
      <c r="AI8" s="741">
        <v>687.7</v>
      </c>
      <c r="AJ8" s="742">
        <v>691.1</v>
      </c>
      <c r="AK8" s="742">
        <v>738</v>
      </c>
      <c r="AL8" s="742">
        <v>750.40000000000009</v>
      </c>
      <c r="AM8" s="741">
        <v>746.59999999999991</v>
      </c>
      <c r="AN8" s="742">
        <v>764.7</v>
      </c>
      <c r="AO8" s="742">
        <v>802.5</v>
      </c>
      <c r="AP8" s="742">
        <v>821.09999999999991</v>
      </c>
      <c r="AQ8" s="741">
        <v>826.3</v>
      </c>
      <c r="AR8" s="742">
        <v>866.5</v>
      </c>
      <c r="AS8" s="742">
        <v>908.6</v>
      </c>
      <c r="AT8" s="742">
        <v>935.7</v>
      </c>
      <c r="AU8" s="741">
        <v>918.5</v>
      </c>
      <c r="AV8" s="742">
        <v>966.7</v>
      </c>
      <c r="AW8" s="742">
        <v>1010.6</v>
      </c>
      <c r="AX8" s="742">
        <v>1059.9000000000001</v>
      </c>
      <c r="AY8" s="741">
        <v>1082.8</v>
      </c>
      <c r="AZ8" s="742">
        <v>1136</v>
      </c>
      <c r="BA8" s="742">
        <v>1178.5</v>
      </c>
      <c r="BB8" s="742">
        <v>1173.7999999999997</v>
      </c>
      <c r="BC8" s="741">
        <v>1200.2</v>
      </c>
      <c r="BD8" s="742">
        <v>1092.5</v>
      </c>
      <c r="BE8" s="742">
        <v>1089.9000000000001</v>
      </c>
      <c r="BF8" s="742">
        <v>1120.2</v>
      </c>
      <c r="BG8" s="741">
        <v>1113.5</v>
      </c>
      <c r="BH8" s="742">
        <v>1143.0999999999999</v>
      </c>
      <c r="BI8" s="742">
        <v>1209.2</v>
      </c>
      <c r="BJ8" s="742">
        <v>1352.2</v>
      </c>
      <c r="BK8" s="741">
        <v>1528.4</v>
      </c>
      <c r="BL8" s="742">
        <v>1746.4</v>
      </c>
      <c r="BM8" s="742">
        <v>154.9</v>
      </c>
      <c r="BN8" s="742">
        <v>1890.5</v>
      </c>
      <c r="BO8" s="741">
        <v>1941.6</v>
      </c>
      <c r="BP8" s="742">
        <v>2009.2</v>
      </c>
      <c r="BQ8" s="742">
        <v>2086</v>
      </c>
      <c r="BR8" s="742">
        <v>2023.6</v>
      </c>
      <c r="BS8" s="741">
        <v>2002.5</v>
      </c>
      <c r="BT8" s="760"/>
      <c r="BU8" s="760"/>
      <c r="BV8" s="738"/>
    </row>
    <row r="9" spans="1:74" s="739" customFormat="1" ht="21.6">
      <c r="A9" s="743" t="s">
        <v>990</v>
      </c>
      <c r="B9" s="762" t="s">
        <v>991</v>
      </c>
      <c r="C9" s="741"/>
      <c r="D9" s="742"/>
      <c r="E9" s="742"/>
      <c r="F9" s="742"/>
      <c r="G9" s="741"/>
      <c r="H9" s="742"/>
      <c r="I9" s="742"/>
      <c r="J9" s="759"/>
      <c r="K9" s="741"/>
      <c r="L9" s="742"/>
      <c r="M9" s="742"/>
      <c r="N9" s="759"/>
      <c r="O9" s="741"/>
      <c r="P9" s="742"/>
      <c r="Q9" s="742"/>
      <c r="R9" s="759"/>
      <c r="S9" s="741"/>
      <c r="T9" s="742"/>
      <c r="U9" s="742"/>
      <c r="V9" s="759"/>
      <c r="W9" s="741"/>
      <c r="X9" s="742"/>
      <c r="Y9" s="742"/>
      <c r="Z9" s="759"/>
      <c r="AA9" s="741"/>
      <c r="AB9" s="742"/>
      <c r="AC9" s="742"/>
      <c r="AD9" s="759"/>
      <c r="AE9" s="741"/>
      <c r="AF9" s="742"/>
      <c r="AG9" s="742"/>
      <c r="AH9" s="742"/>
      <c r="AI9" s="741"/>
      <c r="AJ9" s="742"/>
      <c r="AK9" s="742"/>
      <c r="AL9" s="742"/>
      <c r="AM9" s="741"/>
      <c r="AN9" s="742"/>
      <c r="AO9" s="742"/>
      <c r="AP9" s="742"/>
      <c r="AQ9" s="741"/>
      <c r="AR9" s="742"/>
      <c r="AS9" s="742"/>
      <c r="AT9" s="742"/>
      <c r="AU9" s="741"/>
      <c r="AV9" s="742"/>
      <c r="AW9" s="742"/>
      <c r="AX9" s="742"/>
      <c r="AY9" s="741"/>
      <c r="AZ9" s="742"/>
      <c r="BA9" s="742"/>
      <c r="BB9" s="742"/>
      <c r="BC9" s="741"/>
      <c r="BD9" s="742"/>
      <c r="BE9" s="742"/>
      <c r="BF9" s="742"/>
      <c r="BG9" s="741"/>
      <c r="BH9" s="742"/>
      <c r="BI9" s="742"/>
      <c r="BJ9" s="742"/>
      <c r="BK9" s="741"/>
      <c r="BL9" s="742"/>
      <c r="BM9" s="742">
        <v>-1632.1</v>
      </c>
      <c r="BN9" s="742">
        <v>-12.8</v>
      </c>
      <c r="BO9" s="741">
        <v>0</v>
      </c>
      <c r="BP9" s="742">
        <v>0</v>
      </c>
      <c r="BQ9" s="742">
        <v>0</v>
      </c>
      <c r="BR9" s="742">
        <v>0</v>
      </c>
      <c r="BS9" s="741">
        <v>0</v>
      </c>
      <c r="BT9" s="760"/>
      <c r="BU9" s="760"/>
      <c r="BV9" s="738"/>
    </row>
    <row r="10" spans="1:74" s="739" customFormat="1">
      <c r="A10" s="740"/>
      <c r="B10" s="761"/>
      <c r="C10" s="763"/>
      <c r="D10" s="764"/>
      <c r="E10" s="764"/>
      <c r="F10" s="764"/>
      <c r="G10" s="741"/>
      <c r="H10" s="742"/>
      <c r="I10" s="742"/>
      <c r="J10" s="759"/>
      <c r="K10" s="741"/>
      <c r="L10" s="742"/>
      <c r="M10" s="742"/>
      <c r="N10" s="759"/>
      <c r="O10" s="741"/>
      <c r="P10" s="742"/>
      <c r="Q10" s="742"/>
      <c r="R10" s="759"/>
      <c r="S10" s="741"/>
      <c r="T10" s="742"/>
      <c r="U10" s="742"/>
      <c r="V10" s="759"/>
      <c r="W10" s="741"/>
      <c r="X10" s="742"/>
      <c r="Y10" s="742"/>
      <c r="Z10" s="759"/>
      <c r="AA10" s="741"/>
      <c r="AB10" s="742"/>
      <c r="AC10" s="742"/>
      <c r="AD10" s="759"/>
      <c r="AE10" s="741"/>
      <c r="AF10" s="742"/>
      <c r="AG10" s="742"/>
      <c r="AH10" s="742"/>
      <c r="AI10" s="741"/>
      <c r="AJ10" s="742"/>
      <c r="AK10" s="742"/>
      <c r="AL10" s="742"/>
      <c r="AM10" s="741"/>
      <c r="AN10" s="742"/>
      <c r="AO10" s="742"/>
      <c r="AP10" s="742"/>
      <c r="AQ10" s="741"/>
      <c r="AR10" s="742"/>
      <c r="AS10" s="742"/>
      <c r="AT10" s="742"/>
      <c r="AU10" s="741"/>
      <c r="AV10" s="742"/>
      <c r="AW10" s="742"/>
      <c r="AX10" s="742"/>
      <c r="AY10" s="741"/>
      <c r="AZ10" s="742"/>
      <c r="BA10" s="742"/>
      <c r="BB10" s="742"/>
      <c r="BC10" s="741"/>
      <c r="BD10" s="742"/>
      <c r="BE10" s="742"/>
      <c r="BF10" s="742"/>
      <c r="BG10" s="741"/>
      <c r="BH10" s="742"/>
      <c r="BI10" s="742"/>
      <c r="BJ10" s="742"/>
      <c r="BK10" s="741"/>
      <c r="BL10" s="742"/>
      <c r="BM10" s="742"/>
      <c r="BN10" s="742"/>
      <c r="BO10" s="741"/>
      <c r="BP10" s="742"/>
      <c r="BQ10" s="742"/>
      <c r="BR10" s="742"/>
      <c r="BS10" s="741"/>
      <c r="BT10" s="760"/>
      <c r="BU10" s="760"/>
      <c r="BV10" s="738"/>
    </row>
    <row r="11" spans="1:74" s="739" customFormat="1">
      <c r="A11" s="744" t="s">
        <v>992</v>
      </c>
      <c r="B11" s="765" t="s">
        <v>993</v>
      </c>
      <c r="C11" s="763" t="s">
        <v>28</v>
      </c>
      <c r="D11" s="764" t="s">
        <v>28</v>
      </c>
      <c r="E11" s="764" t="s">
        <v>28</v>
      </c>
      <c r="F11" s="764" t="s">
        <v>28</v>
      </c>
      <c r="G11" s="741" t="s">
        <v>28</v>
      </c>
      <c r="H11" s="742" t="s">
        <v>28</v>
      </c>
      <c r="I11" s="742" t="s">
        <v>28</v>
      </c>
      <c r="J11" s="759" t="s">
        <v>28</v>
      </c>
      <c r="K11" s="741" t="s">
        <v>28</v>
      </c>
      <c r="L11" s="742" t="s">
        <v>28</v>
      </c>
      <c r="M11" s="742" t="s">
        <v>28</v>
      </c>
      <c r="N11" s="759" t="s">
        <v>28</v>
      </c>
      <c r="O11" s="741" t="s">
        <v>28</v>
      </c>
      <c r="P11" s="742" t="s">
        <v>28</v>
      </c>
      <c r="Q11" s="742" t="s">
        <v>28</v>
      </c>
      <c r="R11" s="759" t="s">
        <v>28</v>
      </c>
      <c r="S11" s="741" t="s">
        <v>28</v>
      </c>
      <c r="T11" s="742" t="s">
        <v>28</v>
      </c>
      <c r="U11" s="742" t="s">
        <v>28</v>
      </c>
      <c r="V11" s="759" t="s">
        <v>28</v>
      </c>
      <c r="W11" s="741" t="s">
        <v>28</v>
      </c>
      <c r="X11" s="742" t="s">
        <v>28</v>
      </c>
      <c r="Y11" s="742" t="s">
        <v>28</v>
      </c>
      <c r="Z11" s="759" t="s">
        <v>28</v>
      </c>
      <c r="AA11" s="741" t="s">
        <v>28</v>
      </c>
      <c r="AB11" s="742" t="s">
        <v>28</v>
      </c>
      <c r="AC11" s="742" t="s">
        <v>28</v>
      </c>
      <c r="AD11" s="759" t="s">
        <v>28</v>
      </c>
      <c r="AE11" s="741" t="s">
        <v>28</v>
      </c>
      <c r="AF11" s="742" t="s">
        <v>28</v>
      </c>
      <c r="AG11" s="742" t="s">
        <v>28</v>
      </c>
      <c r="AH11" s="742" t="s">
        <v>28</v>
      </c>
      <c r="AI11" s="741" t="s">
        <v>28</v>
      </c>
      <c r="AJ11" s="742" t="s">
        <v>28</v>
      </c>
      <c r="AK11" s="742" t="s">
        <v>28</v>
      </c>
      <c r="AL11" s="742" t="s">
        <v>28</v>
      </c>
      <c r="AM11" s="741" t="s">
        <v>28</v>
      </c>
      <c r="AN11" s="742" t="s">
        <v>28</v>
      </c>
      <c r="AO11" s="742" t="s">
        <v>28</v>
      </c>
      <c r="AP11" s="742" t="s">
        <v>28</v>
      </c>
      <c r="AQ11" s="741" t="s">
        <v>28</v>
      </c>
      <c r="AR11" s="742" t="s">
        <v>28</v>
      </c>
      <c r="AS11" s="742" t="s">
        <v>28</v>
      </c>
      <c r="AT11" s="742" t="s">
        <v>28</v>
      </c>
      <c r="AU11" s="741">
        <v>69.600000000000009</v>
      </c>
      <c r="AV11" s="742">
        <v>74.7</v>
      </c>
      <c r="AW11" s="742">
        <v>75.7</v>
      </c>
      <c r="AX11" s="742">
        <v>60.6</v>
      </c>
      <c r="AY11" s="741">
        <v>63.3</v>
      </c>
      <c r="AZ11" s="742">
        <v>64.3</v>
      </c>
      <c r="BA11" s="742">
        <v>66.400000000000006</v>
      </c>
      <c r="BB11" s="742">
        <v>66</v>
      </c>
      <c r="BC11" s="741">
        <v>59</v>
      </c>
      <c r="BD11" s="742">
        <v>97.3</v>
      </c>
      <c r="BE11" s="742">
        <v>113.3</v>
      </c>
      <c r="BF11" s="742">
        <v>110.7</v>
      </c>
      <c r="BG11" s="741">
        <v>112.9</v>
      </c>
      <c r="BH11" s="742">
        <v>111.3</v>
      </c>
      <c r="BI11" s="742">
        <v>104.8</v>
      </c>
      <c r="BJ11" s="742">
        <v>113.3</v>
      </c>
      <c r="BK11" s="741">
        <v>134.80000000000001</v>
      </c>
      <c r="BL11" s="742">
        <v>153.6</v>
      </c>
      <c r="BM11" s="742">
        <v>189.2</v>
      </c>
      <c r="BN11" s="742">
        <v>216.1</v>
      </c>
      <c r="BO11" s="741">
        <v>261.10000000000002</v>
      </c>
      <c r="BP11" s="742">
        <v>233.3</v>
      </c>
      <c r="BQ11" s="742">
        <v>214.9</v>
      </c>
      <c r="BR11" s="742">
        <v>241.3</v>
      </c>
      <c r="BS11" s="741">
        <v>282.8</v>
      </c>
      <c r="BT11" s="766"/>
      <c r="BU11" s="766"/>
      <c r="BV11" s="745"/>
    </row>
    <row r="12" spans="1:74" s="739" customFormat="1">
      <c r="A12" s="744" t="s">
        <v>994</v>
      </c>
      <c r="B12" s="765" t="s">
        <v>995</v>
      </c>
      <c r="C12" s="763" t="s">
        <v>28</v>
      </c>
      <c r="D12" s="764" t="s">
        <v>28</v>
      </c>
      <c r="E12" s="764" t="s">
        <v>28</v>
      </c>
      <c r="F12" s="764" t="s">
        <v>28</v>
      </c>
      <c r="G12" s="741" t="s">
        <v>28</v>
      </c>
      <c r="H12" s="742" t="s">
        <v>28</v>
      </c>
      <c r="I12" s="742" t="s">
        <v>28</v>
      </c>
      <c r="J12" s="759" t="s">
        <v>28</v>
      </c>
      <c r="K12" s="741" t="s">
        <v>28</v>
      </c>
      <c r="L12" s="742" t="s">
        <v>28</v>
      </c>
      <c r="M12" s="742" t="s">
        <v>28</v>
      </c>
      <c r="N12" s="759" t="s">
        <v>28</v>
      </c>
      <c r="O12" s="741" t="s">
        <v>28</v>
      </c>
      <c r="P12" s="742" t="s">
        <v>28</v>
      </c>
      <c r="Q12" s="742" t="s">
        <v>28</v>
      </c>
      <c r="R12" s="759" t="s">
        <v>28</v>
      </c>
      <c r="S12" s="741" t="s">
        <v>28</v>
      </c>
      <c r="T12" s="742" t="s">
        <v>28</v>
      </c>
      <c r="U12" s="742" t="s">
        <v>28</v>
      </c>
      <c r="V12" s="759" t="s">
        <v>28</v>
      </c>
      <c r="W12" s="741" t="s">
        <v>28</v>
      </c>
      <c r="X12" s="742" t="s">
        <v>28</v>
      </c>
      <c r="Y12" s="742" t="s">
        <v>28</v>
      </c>
      <c r="Z12" s="759" t="s">
        <v>28</v>
      </c>
      <c r="AA12" s="741" t="s">
        <v>28</v>
      </c>
      <c r="AB12" s="742" t="s">
        <v>28</v>
      </c>
      <c r="AC12" s="742" t="s">
        <v>28</v>
      </c>
      <c r="AD12" s="759" t="s">
        <v>28</v>
      </c>
      <c r="AE12" s="741" t="s">
        <v>28</v>
      </c>
      <c r="AF12" s="742" t="s">
        <v>28</v>
      </c>
      <c r="AG12" s="742" t="s">
        <v>28</v>
      </c>
      <c r="AH12" s="759" t="s">
        <v>28</v>
      </c>
      <c r="AI12" s="741" t="s">
        <v>28</v>
      </c>
      <c r="AJ12" s="742" t="s">
        <v>28</v>
      </c>
      <c r="AK12" s="742" t="s">
        <v>28</v>
      </c>
      <c r="AL12" s="742" t="s">
        <v>28</v>
      </c>
      <c r="AM12" s="741" t="s">
        <v>28</v>
      </c>
      <c r="AN12" s="742" t="s">
        <v>28</v>
      </c>
      <c r="AO12" s="742" t="s">
        <v>28</v>
      </c>
      <c r="AP12" s="742" t="s">
        <v>28</v>
      </c>
      <c r="AQ12" s="736" t="s">
        <v>28</v>
      </c>
      <c r="AR12" s="737" t="s">
        <v>28</v>
      </c>
      <c r="AS12" s="737" t="s">
        <v>28</v>
      </c>
      <c r="AT12" s="737" t="s">
        <v>28</v>
      </c>
      <c r="AU12" s="741">
        <v>99.2</v>
      </c>
      <c r="AV12" s="742">
        <v>99.5</v>
      </c>
      <c r="AW12" s="742">
        <v>97</v>
      </c>
      <c r="AX12" s="742">
        <v>100.1</v>
      </c>
      <c r="AY12" s="741">
        <v>106.2</v>
      </c>
      <c r="AZ12" s="742">
        <v>102.5</v>
      </c>
      <c r="BA12" s="742">
        <v>110.6</v>
      </c>
      <c r="BB12" s="742">
        <v>114.8</v>
      </c>
      <c r="BC12" s="741">
        <v>116.4</v>
      </c>
      <c r="BD12" s="742">
        <v>108.8</v>
      </c>
      <c r="BE12" s="742">
        <v>71.3</v>
      </c>
      <c r="BF12" s="742">
        <v>45.4</v>
      </c>
      <c r="BG12" s="741">
        <v>38.5</v>
      </c>
      <c r="BH12" s="742">
        <v>40.200000000000003</v>
      </c>
      <c r="BI12" s="742">
        <v>35.299999999999997</v>
      </c>
      <c r="BJ12" s="742">
        <v>40.700000000000003</v>
      </c>
      <c r="BK12" s="741">
        <v>98</v>
      </c>
      <c r="BL12" s="742">
        <v>153.5</v>
      </c>
      <c r="BM12" s="742">
        <v>237.5</v>
      </c>
      <c r="BN12" s="742">
        <v>261.5</v>
      </c>
      <c r="BO12" s="741">
        <v>309.10000000000002</v>
      </c>
      <c r="BP12" s="742">
        <v>400.3</v>
      </c>
      <c r="BQ12" s="742">
        <v>402.6</v>
      </c>
      <c r="BR12" s="742">
        <v>389.4</v>
      </c>
      <c r="BS12" s="741">
        <v>398.6</v>
      </c>
      <c r="BT12" s="766"/>
      <c r="BU12" s="766"/>
      <c r="BV12" s="745"/>
    </row>
    <row r="13" spans="1:74" s="739" customFormat="1">
      <c r="A13" s="735" t="s">
        <v>996</v>
      </c>
      <c r="B13" s="758" t="s">
        <v>997</v>
      </c>
      <c r="C13" s="763"/>
      <c r="D13" s="764"/>
      <c r="E13" s="764"/>
      <c r="F13" s="764"/>
      <c r="G13" s="741"/>
      <c r="H13" s="742"/>
      <c r="I13" s="742"/>
      <c r="J13" s="759"/>
      <c r="K13" s="741"/>
      <c r="L13" s="742"/>
      <c r="M13" s="742"/>
      <c r="N13" s="759"/>
      <c r="O13" s="741"/>
      <c r="P13" s="742"/>
      <c r="Q13" s="742"/>
      <c r="R13" s="759"/>
      <c r="S13" s="741"/>
      <c r="T13" s="742"/>
      <c r="U13" s="742"/>
      <c r="V13" s="759"/>
      <c r="W13" s="741"/>
      <c r="X13" s="742"/>
      <c r="Y13" s="742"/>
      <c r="Z13" s="759"/>
      <c r="AA13" s="741"/>
      <c r="AB13" s="742"/>
      <c r="AC13" s="742"/>
      <c r="AD13" s="759"/>
      <c r="AE13" s="741"/>
      <c r="AF13" s="742"/>
      <c r="AG13" s="742"/>
      <c r="AH13" s="759"/>
      <c r="AI13" s="741"/>
      <c r="AJ13" s="742"/>
      <c r="AK13" s="742"/>
      <c r="AL13" s="742"/>
      <c r="AM13" s="741"/>
      <c r="AN13" s="742"/>
      <c r="AO13" s="742"/>
      <c r="AP13" s="742"/>
      <c r="AQ13" s="736"/>
      <c r="AR13" s="737"/>
      <c r="AS13" s="737"/>
      <c r="AT13" s="737"/>
      <c r="AU13" s="736">
        <f t="shared" ref="AU13:BS13" si="2">SUM(AU16:AU17,AU19,AU20,AU21,AU14:AU15,AU18)</f>
        <v>1.3</v>
      </c>
      <c r="AV13" s="737">
        <f t="shared" si="2"/>
        <v>1.4</v>
      </c>
      <c r="AW13" s="737">
        <f t="shared" si="2"/>
        <v>1.3</v>
      </c>
      <c r="AX13" s="737">
        <f t="shared" si="2"/>
        <v>1.3</v>
      </c>
      <c r="AY13" s="736">
        <f t="shared" si="2"/>
        <v>1.1000000000000001</v>
      </c>
      <c r="AZ13" s="737">
        <f t="shared" si="2"/>
        <v>1.1000000000000001</v>
      </c>
      <c r="BA13" s="737">
        <f t="shared" si="2"/>
        <v>1</v>
      </c>
      <c r="BB13" s="737">
        <f t="shared" si="2"/>
        <v>0.9</v>
      </c>
      <c r="BC13" s="736">
        <f t="shared" si="2"/>
        <v>0.8</v>
      </c>
      <c r="BD13" s="737">
        <f t="shared" si="2"/>
        <v>0.7</v>
      </c>
      <c r="BE13" s="737">
        <f t="shared" si="2"/>
        <v>0.7</v>
      </c>
      <c r="BF13" s="737">
        <f t="shared" si="2"/>
        <v>0.6</v>
      </c>
      <c r="BG13" s="736">
        <f t="shared" si="2"/>
        <v>0.3</v>
      </c>
      <c r="BH13" s="737">
        <f t="shared" si="2"/>
        <v>0.1</v>
      </c>
      <c r="BI13" s="737">
        <f t="shared" si="2"/>
        <v>0</v>
      </c>
      <c r="BJ13" s="737">
        <f t="shared" si="2"/>
        <v>0.3</v>
      </c>
      <c r="BK13" s="736">
        <f t="shared" si="2"/>
        <v>61.2</v>
      </c>
      <c r="BL13" s="737">
        <f t="shared" si="2"/>
        <v>234.7</v>
      </c>
      <c r="BM13" s="737">
        <f t="shared" si="2"/>
        <v>312.7</v>
      </c>
      <c r="BN13" s="737">
        <f t="shared" si="2"/>
        <v>341.2</v>
      </c>
      <c r="BO13" s="736">
        <f t="shared" si="2"/>
        <v>302.40000000000003</v>
      </c>
      <c r="BP13" s="737">
        <f t="shared" si="2"/>
        <v>287.60000000000002</v>
      </c>
      <c r="BQ13" s="737">
        <f t="shared" si="2"/>
        <v>244.39999999999998</v>
      </c>
      <c r="BR13" s="737">
        <f t="shared" si="2"/>
        <v>207</v>
      </c>
      <c r="BS13" s="736">
        <f t="shared" si="2"/>
        <v>206.20000000000002</v>
      </c>
      <c r="BT13" s="766"/>
      <c r="BU13" s="766"/>
      <c r="BV13" s="745"/>
    </row>
    <row r="14" spans="1:74" s="739" customFormat="1" ht="21.6">
      <c r="A14" s="744" t="s">
        <v>998</v>
      </c>
      <c r="B14" s="765" t="s">
        <v>999</v>
      </c>
      <c r="C14" s="767" t="s">
        <v>28</v>
      </c>
      <c r="D14" s="768" t="s">
        <v>28</v>
      </c>
      <c r="E14" s="764" t="s">
        <v>28</v>
      </c>
      <c r="F14" s="764" t="s">
        <v>28</v>
      </c>
      <c r="G14" s="741" t="s">
        <v>28</v>
      </c>
      <c r="H14" s="742" t="s">
        <v>28</v>
      </c>
      <c r="I14" s="742" t="s">
        <v>28</v>
      </c>
      <c r="J14" s="759" t="s">
        <v>28</v>
      </c>
      <c r="K14" s="741" t="s">
        <v>28</v>
      </c>
      <c r="L14" s="742" t="s">
        <v>28</v>
      </c>
      <c r="M14" s="742" t="s">
        <v>28</v>
      </c>
      <c r="N14" s="759" t="s">
        <v>28</v>
      </c>
      <c r="O14" s="741" t="s">
        <v>28</v>
      </c>
      <c r="P14" s="742" t="s">
        <v>28</v>
      </c>
      <c r="Q14" s="742" t="s">
        <v>28</v>
      </c>
      <c r="R14" s="759" t="s">
        <v>28</v>
      </c>
      <c r="S14" s="741" t="s">
        <v>28</v>
      </c>
      <c r="T14" s="742" t="s">
        <v>28</v>
      </c>
      <c r="U14" s="742" t="s">
        <v>28</v>
      </c>
      <c r="V14" s="759" t="s">
        <v>28</v>
      </c>
      <c r="W14" s="741" t="s">
        <v>28</v>
      </c>
      <c r="X14" s="742" t="s">
        <v>28</v>
      </c>
      <c r="Y14" s="742" t="s">
        <v>28</v>
      </c>
      <c r="Z14" s="759" t="s">
        <v>28</v>
      </c>
      <c r="AA14" s="741" t="s">
        <v>28</v>
      </c>
      <c r="AB14" s="742" t="s">
        <v>28</v>
      </c>
      <c r="AC14" s="742" t="s">
        <v>28</v>
      </c>
      <c r="AD14" s="759" t="s">
        <v>28</v>
      </c>
      <c r="AE14" s="741" t="s">
        <v>28</v>
      </c>
      <c r="AF14" s="742" t="s">
        <v>28</v>
      </c>
      <c r="AG14" s="742" t="s">
        <v>28</v>
      </c>
      <c r="AH14" s="759" t="s">
        <v>28</v>
      </c>
      <c r="AI14" s="741" t="s">
        <v>28</v>
      </c>
      <c r="AJ14" s="742" t="s">
        <v>28</v>
      </c>
      <c r="AK14" s="742" t="s">
        <v>28</v>
      </c>
      <c r="AL14" s="742" t="s">
        <v>28</v>
      </c>
      <c r="AM14" s="741" t="s">
        <v>28</v>
      </c>
      <c r="AN14" s="742" t="s">
        <v>28</v>
      </c>
      <c r="AO14" s="742" t="s">
        <v>28</v>
      </c>
      <c r="AP14" s="742" t="s">
        <v>28</v>
      </c>
      <c r="AQ14" s="736" t="s">
        <v>28</v>
      </c>
      <c r="AR14" s="737" t="s">
        <v>28</v>
      </c>
      <c r="AS14" s="737" t="s">
        <v>28</v>
      </c>
      <c r="AT14" s="737" t="s">
        <v>28</v>
      </c>
      <c r="AU14" s="741">
        <v>1.3</v>
      </c>
      <c r="AV14" s="742">
        <v>1.4</v>
      </c>
      <c r="AW14" s="742">
        <v>1.3</v>
      </c>
      <c r="AX14" s="742">
        <v>1.3</v>
      </c>
      <c r="AY14" s="741">
        <v>1.1000000000000001</v>
      </c>
      <c r="AZ14" s="742">
        <v>1.1000000000000001</v>
      </c>
      <c r="BA14" s="742">
        <v>1</v>
      </c>
      <c r="BB14" s="742">
        <v>0.9</v>
      </c>
      <c r="BC14" s="741">
        <v>0.8</v>
      </c>
      <c r="BD14" s="742">
        <v>0.7</v>
      </c>
      <c r="BE14" s="742">
        <v>0.7</v>
      </c>
      <c r="BF14" s="742">
        <v>0.6</v>
      </c>
      <c r="BG14" s="741">
        <v>0.3</v>
      </c>
      <c r="BH14" s="742">
        <v>0.1</v>
      </c>
      <c r="BI14" s="742">
        <v>0</v>
      </c>
      <c r="BJ14" s="742">
        <v>0.3</v>
      </c>
      <c r="BK14" s="741">
        <v>0.5</v>
      </c>
      <c r="BL14" s="742">
        <v>0.6</v>
      </c>
      <c r="BM14" s="742">
        <v>0.9</v>
      </c>
      <c r="BN14" s="742">
        <v>0.9</v>
      </c>
      <c r="BO14" s="741">
        <v>0.8</v>
      </c>
      <c r="BP14" s="742">
        <v>0.6</v>
      </c>
      <c r="BQ14" s="742">
        <v>0.7</v>
      </c>
      <c r="BR14" s="742">
        <v>0.5</v>
      </c>
      <c r="BS14" s="741">
        <v>0.4</v>
      </c>
      <c r="BT14" s="766"/>
      <c r="BU14" s="766"/>
      <c r="BV14" s="745"/>
    </row>
    <row r="15" spans="1:74" s="739" customFormat="1" ht="21.6">
      <c r="A15" s="744" t="s">
        <v>1000</v>
      </c>
      <c r="B15" s="765" t="s">
        <v>1001</v>
      </c>
      <c r="C15" s="767"/>
      <c r="D15" s="768"/>
      <c r="E15" s="764"/>
      <c r="F15" s="764"/>
      <c r="G15" s="741"/>
      <c r="H15" s="742"/>
      <c r="I15" s="742"/>
      <c r="J15" s="759"/>
      <c r="K15" s="741"/>
      <c r="L15" s="742"/>
      <c r="M15" s="742"/>
      <c r="N15" s="759"/>
      <c r="O15" s="741"/>
      <c r="P15" s="742"/>
      <c r="Q15" s="742"/>
      <c r="R15" s="759"/>
      <c r="S15" s="741"/>
      <c r="T15" s="742"/>
      <c r="U15" s="742"/>
      <c r="V15" s="759"/>
      <c r="W15" s="741"/>
      <c r="X15" s="742"/>
      <c r="Y15" s="742"/>
      <c r="Z15" s="759"/>
      <c r="AA15" s="741"/>
      <c r="AB15" s="742"/>
      <c r="AC15" s="742"/>
      <c r="AD15" s="759"/>
      <c r="AE15" s="741"/>
      <c r="AF15" s="742"/>
      <c r="AG15" s="742"/>
      <c r="AH15" s="759"/>
      <c r="AI15" s="741"/>
      <c r="AJ15" s="742"/>
      <c r="AK15" s="742"/>
      <c r="AL15" s="742"/>
      <c r="AM15" s="741"/>
      <c r="AN15" s="742"/>
      <c r="AO15" s="742"/>
      <c r="AP15" s="742"/>
      <c r="AQ15" s="736"/>
      <c r="AR15" s="737"/>
      <c r="AS15" s="737"/>
      <c r="AT15" s="737"/>
      <c r="AU15" s="741"/>
      <c r="AV15" s="742"/>
      <c r="AW15" s="742"/>
      <c r="AX15" s="742"/>
      <c r="AY15" s="741"/>
      <c r="AZ15" s="742"/>
      <c r="BA15" s="742"/>
      <c r="BB15" s="742"/>
      <c r="BC15" s="741"/>
      <c r="BD15" s="742"/>
      <c r="BE15" s="742"/>
      <c r="BF15" s="742"/>
      <c r="BG15" s="741"/>
      <c r="BH15" s="742"/>
      <c r="BI15" s="742"/>
      <c r="BJ15" s="742"/>
      <c r="BK15" s="741">
        <v>60.7</v>
      </c>
      <c r="BL15" s="742">
        <v>234.1</v>
      </c>
      <c r="BM15" s="742">
        <v>311.8</v>
      </c>
      <c r="BN15" s="742">
        <v>340.3</v>
      </c>
      <c r="BO15" s="741">
        <v>301.60000000000002</v>
      </c>
      <c r="BP15" s="742">
        <v>287</v>
      </c>
      <c r="BQ15" s="742">
        <v>243.7</v>
      </c>
      <c r="BR15" s="742">
        <v>206.5</v>
      </c>
      <c r="BS15" s="741">
        <v>205.8</v>
      </c>
      <c r="BT15" s="766"/>
      <c r="BU15" s="766"/>
      <c r="BV15" s="745"/>
    </row>
    <row r="16" spans="1:74" s="739" customFormat="1">
      <c r="A16" s="744" t="s">
        <v>1002</v>
      </c>
      <c r="B16" s="765" t="s">
        <v>1003</v>
      </c>
      <c r="C16" s="769">
        <v>191.5</v>
      </c>
      <c r="D16" s="770">
        <v>161.30000000000001</v>
      </c>
      <c r="E16" s="770">
        <v>150.5</v>
      </c>
      <c r="F16" s="771">
        <v>179.4</v>
      </c>
      <c r="G16" s="741">
        <v>99.01</v>
      </c>
      <c r="H16" s="742">
        <v>121.18999999999998</v>
      </c>
      <c r="I16" s="742">
        <v>193.3</v>
      </c>
      <c r="J16" s="759">
        <v>187.06600000000003</v>
      </c>
      <c r="K16" s="741">
        <v>140.60000000000002</v>
      </c>
      <c r="L16" s="742">
        <v>131.19999999999999</v>
      </c>
      <c r="M16" s="742">
        <v>64.600000000000009</v>
      </c>
      <c r="N16" s="759">
        <v>81.400000000000006</v>
      </c>
      <c r="O16" s="741">
        <v>85.6</v>
      </c>
      <c r="P16" s="742">
        <f>169.2-12.6</f>
        <v>156.6</v>
      </c>
      <c r="Q16" s="742">
        <v>135</v>
      </c>
      <c r="R16" s="759">
        <v>145.30000000000001</v>
      </c>
      <c r="S16" s="741">
        <v>171.9</v>
      </c>
      <c r="T16" s="742">
        <v>184.1</v>
      </c>
      <c r="U16" s="742">
        <v>170.60000000000002</v>
      </c>
      <c r="V16" s="759">
        <v>127.29999999999995</v>
      </c>
      <c r="W16" s="741">
        <v>118.5</v>
      </c>
      <c r="X16" s="742">
        <v>116.4</v>
      </c>
      <c r="Y16" s="742">
        <f>126.1+0.1</f>
        <v>126.19999999999999</v>
      </c>
      <c r="Z16" s="759">
        <v>180.9</v>
      </c>
      <c r="AA16" s="741">
        <v>191</v>
      </c>
      <c r="AB16" s="742">
        <v>190.5</v>
      </c>
      <c r="AC16" s="742">
        <v>182.8</v>
      </c>
      <c r="AD16" s="759">
        <v>171.9</v>
      </c>
      <c r="AE16" s="741">
        <v>178.4</v>
      </c>
      <c r="AF16" s="742">
        <v>188.7</v>
      </c>
      <c r="AG16" s="742">
        <v>193.7</v>
      </c>
      <c r="AH16" s="759">
        <v>187.9</v>
      </c>
      <c r="AI16" s="741">
        <v>157.69999999999999</v>
      </c>
      <c r="AJ16" s="742">
        <v>140.5</v>
      </c>
      <c r="AK16" s="742">
        <v>138.6</v>
      </c>
      <c r="AL16" s="742">
        <v>125.9</v>
      </c>
      <c r="AM16" s="741">
        <v>124.2</v>
      </c>
      <c r="AN16" s="742">
        <v>124.4</v>
      </c>
      <c r="AO16" s="742">
        <v>134.69999999999999</v>
      </c>
      <c r="AP16" s="742">
        <v>127.1</v>
      </c>
      <c r="AQ16" s="741">
        <v>121.2</v>
      </c>
      <c r="AR16" s="742">
        <v>108.3</v>
      </c>
      <c r="AS16" s="742">
        <v>103.4</v>
      </c>
      <c r="AT16" s="742">
        <v>103.8</v>
      </c>
      <c r="AU16" s="741" t="s">
        <v>670</v>
      </c>
      <c r="AV16" s="742" t="s">
        <v>28</v>
      </c>
      <c r="AW16" s="742" t="s">
        <v>28</v>
      </c>
      <c r="AX16" s="742" t="s">
        <v>28</v>
      </c>
      <c r="AY16" s="741" t="s">
        <v>670</v>
      </c>
      <c r="AZ16" s="742" t="s">
        <v>670</v>
      </c>
      <c r="BA16" s="742" t="s">
        <v>670</v>
      </c>
      <c r="BB16" s="742" t="s">
        <v>670</v>
      </c>
      <c r="BC16" s="741" t="s">
        <v>670</v>
      </c>
      <c r="BD16" s="742" t="s">
        <v>670</v>
      </c>
      <c r="BE16" s="742" t="s">
        <v>670</v>
      </c>
      <c r="BF16" s="742" t="s">
        <v>670</v>
      </c>
      <c r="BG16" s="741" t="s">
        <v>670</v>
      </c>
      <c r="BH16" s="742" t="s">
        <v>670</v>
      </c>
      <c r="BI16" s="742" t="s">
        <v>670</v>
      </c>
      <c r="BJ16" s="742" t="s">
        <v>670</v>
      </c>
      <c r="BK16" s="741" t="s">
        <v>670</v>
      </c>
      <c r="BL16" s="742" t="s">
        <v>670</v>
      </c>
      <c r="BM16" s="742" t="s">
        <v>670</v>
      </c>
      <c r="BN16" s="742" t="s">
        <v>670</v>
      </c>
      <c r="BO16" s="741" t="s">
        <v>670</v>
      </c>
      <c r="BP16" s="742" t="s">
        <v>670</v>
      </c>
      <c r="BQ16" s="742" t="s">
        <v>670</v>
      </c>
      <c r="BR16" s="742" t="s">
        <v>670</v>
      </c>
      <c r="BS16" s="741" t="s">
        <v>670</v>
      </c>
      <c r="BT16" s="760"/>
      <c r="BU16" s="760"/>
      <c r="BV16" s="738"/>
    </row>
    <row r="17" spans="1:74" s="739" customFormat="1">
      <c r="A17" s="744" t="s">
        <v>1004</v>
      </c>
      <c r="B17" s="765" t="s">
        <v>1005</v>
      </c>
      <c r="C17" s="772"/>
      <c r="D17" s="773"/>
      <c r="E17" s="773"/>
      <c r="F17" s="774"/>
      <c r="G17" s="741">
        <v>53.020022580000003</v>
      </c>
      <c r="H17" s="742">
        <v>57.328109420000004</v>
      </c>
      <c r="I17" s="742">
        <v>59.351867999999982</v>
      </c>
      <c r="J17" s="759">
        <v>61.206000000000017</v>
      </c>
      <c r="K17" s="741">
        <f>96-0.1</f>
        <v>95.9</v>
      </c>
      <c r="L17" s="742">
        <v>73.8</v>
      </c>
      <c r="M17" s="742">
        <v>97.2</v>
      </c>
      <c r="N17" s="759">
        <v>65.900000000000006</v>
      </c>
      <c r="O17" s="741">
        <v>59.8</v>
      </c>
      <c r="P17" s="742">
        <v>-9</v>
      </c>
      <c r="Q17" s="742">
        <v>11.2</v>
      </c>
      <c r="R17" s="759">
        <v>12.6</v>
      </c>
      <c r="S17" s="741">
        <v>3.8000000000000007</v>
      </c>
      <c r="T17" s="742">
        <v>6.6999999999999993</v>
      </c>
      <c r="U17" s="742">
        <v>3.4000000000000004</v>
      </c>
      <c r="V17" s="759">
        <v>4.4999999999999982</v>
      </c>
      <c r="W17" s="741">
        <v>4.5999999999999996</v>
      </c>
      <c r="X17" s="742">
        <v>3.1</v>
      </c>
      <c r="Y17" s="742">
        <f>3.8-0.2</f>
        <v>3.5999999999999996</v>
      </c>
      <c r="Z17" s="759">
        <v>2.7</v>
      </c>
      <c r="AA17" s="741">
        <v>5.4</v>
      </c>
      <c r="AB17" s="742">
        <v>7.1</v>
      </c>
      <c r="AC17" s="742">
        <v>7.9</v>
      </c>
      <c r="AD17" s="759">
        <v>6.4</v>
      </c>
      <c r="AE17" s="741">
        <v>9</v>
      </c>
      <c r="AF17" s="742">
        <v>7.8</v>
      </c>
      <c r="AG17" s="742">
        <v>3.2</v>
      </c>
      <c r="AH17" s="759">
        <v>3.2</v>
      </c>
      <c r="AI17" s="741">
        <v>6.7</v>
      </c>
      <c r="AJ17" s="742">
        <v>7.6</v>
      </c>
      <c r="AK17" s="742">
        <v>6.1</v>
      </c>
      <c r="AL17" s="742">
        <v>4.9000000000000004</v>
      </c>
      <c r="AM17" s="741">
        <v>4.2</v>
      </c>
      <c r="AN17" s="742">
        <v>4.2</v>
      </c>
      <c r="AO17" s="742">
        <v>4</v>
      </c>
      <c r="AP17" s="742">
        <v>5.0999999999999996</v>
      </c>
      <c r="AQ17" s="741">
        <v>0</v>
      </c>
      <c r="AR17" s="742">
        <v>0</v>
      </c>
      <c r="AS17" s="742">
        <v>0</v>
      </c>
      <c r="AT17" s="742">
        <v>0</v>
      </c>
      <c r="AU17" s="741" t="s">
        <v>28</v>
      </c>
      <c r="AV17" s="742" t="s">
        <v>28</v>
      </c>
      <c r="AW17" s="742" t="s">
        <v>28</v>
      </c>
      <c r="AX17" s="742" t="s">
        <v>28</v>
      </c>
      <c r="AY17" s="741" t="s">
        <v>28</v>
      </c>
      <c r="AZ17" s="742" t="s">
        <v>28</v>
      </c>
      <c r="BA17" s="742" t="s">
        <v>28</v>
      </c>
      <c r="BB17" s="742" t="s">
        <v>28</v>
      </c>
      <c r="BC17" s="741" t="s">
        <v>28</v>
      </c>
      <c r="BD17" s="742" t="s">
        <v>28</v>
      </c>
      <c r="BE17" s="742" t="s">
        <v>28</v>
      </c>
      <c r="BF17" s="742" t="s">
        <v>28</v>
      </c>
      <c r="BG17" s="741" t="s">
        <v>28</v>
      </c>
      <c r="BH17" s="742" t="s">
        <v>28</v>
      </c>
      <c r="BI17" s="742" t="s">
        <v>28</v>
      </c>
      <c r="BJ17" s="742" t="s">
        <v>28</v>
      </c>
      <c r="BK17" s="741" t="s">
        <v>28</v>
      </c>
      <c r="BL17" s="742" t="s">
        <v>28</v>
      </c>
      <c r="BM17" s="742" t="s">
        <v>28</v>
      </c>
      <c r="BN17" s="742" t="s">
        <v>28</v>
      </c>
      <c r="BO17" s="741" t="s">
        <v>28</v>
      </c>
      <c r="BP17" s="742" t="s">
        <v>28</v>
      </c>
      <c r="BQ17" s="742" t="s">
        <v>28</v>
      </c>
      <c r="BR17" s="742" t="s">
        <v>28</v>
      </c>
      <c r="BS17" s="741" t="s">
        <v>28</v>
      </c>
      <c r="BT17" s="760"/>
      <c r="BU17" s="760"/>
      <c r="BV17" s="738"/>
    </row>
    <row r="18" spans="1:74" s="739" customFormat="1">
      <c r="A18" s="744" t="s">
        <v>1006</v>
      </c>
      <c r="B18" s="765" t="s">
        <v>1007</v>
      </c>
      <c r="C18" s="772"/>
      <c r="D18" s="773"/>
      <c r="E18" s="773"/>
      <c r="F18" s="774"/>
      <c r="G18" s="741">
        <v>21.783115200000001</v>
      </c>
      <c r="H18" s="742">
        <v>86.900599490000005</v>
      </c>
      <c r="I18" s="742">
        <v>103.23416106000001</v>
      </c>
      <c r="J18" s="759">
        <v>108.94612424999997</v>
      </c>
      <c r="K18" s="741">
        <v>108</v>
      </c>
      <c r="L18" s="742">
        <v>108.3</v>
      </c>
      <c r="M18" s="742">
        <v>109.3</v>
      </c>
      <c r="N18" s="759">
        <v>109.3</v>
      </c>
      <c r="O18" s="741">
        <v>106.9</v>
      </c>
      <c r="P18" s="742">
        <v>99.2</v>
      </c>
      <c r="Q18" s="742">
        <v>95.7</v>
      </c>
      <c r="R18" s="759">
        <v>94.1</v>
      </c>
      <c r="S18" s="741">
        <v>89.3</v>
      </c>
      <c r="T18" s="742">
        <v>78.899999999999991</v>
      </c>
      <c r="U18" s="742">
        <v>71.700000000000017</v>
      </c>
      <c r="V18" s="759">
        <v>72.999999999999972</v>
      </c>
      <c r="W18" s="741">
        <v>72.599999999999994</v>
      </c>
      <c r="X18" s="742">
        <v>56.8</v>
      </c>
      <c r="Y18" s="742">
        <v>35.099999999999994</v>
      </c>
      <c r="Z18" s="759">
        <v>0</v>
      </c>
      <c r="AA18" s="741">
        <v>0</v>
      </c>
      <c r="AB18" s="742">
        <v>0</v>
      </c>
      <c r="AC18" s="742">
        <v>0</v>
      </c>
      <c r="AD18" s="759">
        <v>0</v>
      </c>
      <c r="AE18" s="741">
        <v>0</v>
      </c>
      <c r="AF18" s="742">
        <v>0</v>
      </c>
      <c r="AG18" s="742">
        <v>0</v>
      </c>
      <c r="AH18" s="759">
        <v>0</v>
      </c>
      <c r="AI18" s="741">
        <v>11</v>
      </c>
      <c r="AJ18" s="742">
        <v>20.399999999999999</v>
      </c>
      <c r="AK18" s="742">
        <v>21.4</v>
      </c>
      <c r="AL18" s="742">
        <v>25.5</v>
      </c>
      <c r="AM18" s="741">
        <v>27.6</v>
      </c>
      <c r="AN18" s="742">
        <v>29.8</v>
      </c>
      <c r="AO18" s="742">
        <v>37.6</v>
      </c>
      <c r="AP18" s="742">
        <v>38.299999999999997</v>
      </c>
      <c r="AQ18" s="741">
        <v>44.3</v>
      </c>
      <c r="AR18" s="742">
        <v>52.1</v>
      </c>
      <c r="AS18" s="742">
        <v>55.7</v>
      </c>
      <c r="AT18" s="742">
        <v>55.400000000000006</v>
      </c>
      <c r="AU18" s="741" t="s">
        <v>670</v>
      </c>
      <c r="AV18" s="742" t="s">
        <v>28</v>
      </c>
      <c r="AW18" s="742" t="s">
        <v>28</v>
      </c>
      <c r="AX18" s="742" t="s">
        <v>28</v>
      </c>
      <c r="AY18" s="741" t="s">
        <v>670</v>
      </c>
      <c r="AZ18" s="742" t="s">
        <v>670</v>
      </c>
      <c r="BA18" s="742" t="s">
        <v>670</v>
      </c>
      <c r="BB18" s="742" t="s">
        <v>670</v>
      </c>
      <c r="BC18" s="741" t="s">
        <v>670</v>
      </c>
      <c r="BD18" s="742" t="s">
        <v>670</v>
      </c>
      <c r="BE18" s="742" t="s">
        <v>670</v>
      </c>
      <c r="BF18" s="742" t="s">
        <v>670</v>
      </c>
      <c r="BG18" s="741" t="s">
        <v>670</v>
      </c>
      <c r="BH18" s="742" t="s">
        <v>670</v>
      </c>
      <c r="BI18" s="742" t="s">
        <v>670</v>
      </c>
      <c r="BJ18" s="742" t="s">
        <v>670</v>
      </c>
      <c r="BK18" s="741" t="s">
        <v>670</v>
      </c>
      <c r="BL18" s="742" t="s">
        <v>670</v>
      </c>
      <c r="BM18" s="742" t="s">
        <v>670</v>
      </c>
      <c r="BN18" s="742" t="s">
        <v>670</v>
      </c>
      <c r="BO18" s="741" t="s">
        <v>670</v>
      </c>
      <c r="BP18" s="742" t="s">
        <v>670</v>
      </c>
      <c r="BQ18" s="742" t="s">
        <v>670</v>
      </c>
      <c r="BR18" s="742" t="s">
        <v>670</v>
      </c>
      <c r="BS18" s="741" t="s">
        <v>670</v>
      </c>
      <c r="BT18" s="760"/>
      <c r="BU18" s="760"/>
      <c r="BV18" s="738"/>
    </row>
    <row r="19" spans="1:74" s="739" customFormat="1" ht="21.6">
      <c r="A19" s="744" t="s">
        <v>1008</v>
      </c>
      <c r="B19" s="765" t="s">
        <v>1009</v>
      </c>
      <c r="C19" s="775"/>
      <c r="D19" s="776"/>
      <c r="E19" s="776"/>
      <c r="F19" s="777"/>
      <c r="G19" s="741">
        <v>36.089889790000001</v>
      </c>
      <c r="H19" s="742">
        <v>33.973921469999993</v>
      </c>
      <c r="I19" s="742">
        <v>-13.281362729999991</v>
      </c>
      <c r="J19" s="759">
        <v>21.481551469999992</v>
      </c>
      <c r="K19" s="741">
        <v>6.6</v>
      </c>
      <c r="L19" s="742">
        <v>3.2</v>
      </c>
      <c r="M19" s="742">
        <v>3.2</v>
      </c>
      <c r="N19" s="759">
        <v>3.2</v>
      </c>
      <c r="O19" s="741">
        <v>3.1</v>
      </c>
      <c r="P19" s="742">
        <v>3.1</v>
      </c>
      <c r="Q19" s="742">
        <v>3.2</v>
      </c>
      <c r="R19" s="759">
        <v>2.2000000000000002</v>
      </c>
      <c r="S19" s="741">
        <v>0.8</v>
      </c>
      <c r="T19" s="742">
        <v>0.89999999999999991</v>
      </c>
      <c r="U19" s="742">
        <v>0</v>
      </c>
      <c r="V19" s="759">
        <v>0</v>
      </c>
      <c r="W19" s="741">
        <v>3.6</v>
      </c>
      <c r="X19" s="742">
        <v>2.7</v>
      </c>
      <c r="Y19" s="742">
        <v>0</v>
      </c>
      <c r="Z19" s="759">
        <v>0</v>
      </c>
      <c r="AA19" s="741">
        <v>0</v>
      </c>
      <c r="AB19" s="742">
        <v>0</v>
      </c>
      <c r="AC19" s="742">
        <v>0</v>
      </c>
      <c r="AD19" s="759">
        <v>0</v>
      </c>
      <c r="AE19" s="741">
        <v>0</v>
      </c>
      <c r="AF19" s="742">
        <v>0</v>
      </c>
      <c r="AG19" s="742">
        <v>0</v>
      </c>
      <c r="AH19" s="759">
        <v>0</v>
      </c>
      <c r="AI19" s="741">
        <v>0</v>
      </c>
      <c r="AJ19" s="742">
        <v>0</v>
      </c>
      <c r="AK19" s="742">
        <v>0</v>
      </c>
      <c r="AL19" s="742">
        <v>0</v>
      </c>
      <c r="AM19" s="741">
        <v>0</v>
      </c>
      <c r="AN19" s="742">
        <v>0</v>
      </c>
      <c r="AO19" s="742">
        <v>0</v>
      </c>
      <c r="AP19" s="742">
        <v>0</v>
      </c>
      <c r="AQ19" s="741">
        <v>0</v>
      </c>
      <c r="AR19" s="742">
        <v>0</v>
      </c>
      <c r="AS19" s="742">
        <v>0</v>
      </c>
      <c r="AT19" s="742">
        <v>0</v>
      </c>
      <c r="AU19" s="741" t="s">
        <v>28</v>
      </c>
      <c r="AV19" s="742" t="s">
        <v>28</v>
      </c>
      <c r="AW19" s="742" t="s">
        <v>28</v>
      </c>
      <c r="AX19" s="742" t="s">
        <v>28</v>
      </c>
      <c r="AY19" s="741" t="s">
        <v>28</v>
      </c>
      <c r="AZ19" s="742" t="s">
        <v>28</v>
      </c>
      <c r="BA19" s="742" t="s">
        <v>28</v>
      </c>
      <c r="BB19" s="742" t="s">
        <v>28</v>
      </c>
      <c r="BC19" s="741" t="s">
        <v>28</v>
      </c>
      <c r="BD19" s="742" t="s">
        <v>28</v>
      </c>
      <c r="BE19" s="742" t="s">
        <v>28</v>
      </c>
      <c r="BF19" s="742" t="s">
        <v>28</v>
      </c>
      <c r="BG19" s="741" t="s">
        <v>28</v>
      </c>
      <c r="BH19" s="742" t="s">
        <v>28</v>
      </c>
      <c r="BI19" s="742" t="s">
        <v>28</v>
      </c>
      <c r="BJ19" s="742" t="s">
        <v>28</v>
      </c>
      <c r="BK19" s="741" t="s">
        <v>28</v>
      </c>
      <c r="BL19" s="742" t="s">
        <v>28</v>
      </c>
      <c r="BM19" s="742" t="s">
        <v>28</v>
      </c>
      <c r="BN19" s="742" t="s">
        <v>28</v>
      </c>
      <c r="BO19" s="741" t="s">
        <v>28</v>
      </c>
      <c r="BP19" s="742" t="s">
        <v>28</v>
      </c>
      <c r="BQ19" s="742" t="s">
        <v>28</v>
      </c>
      <c r="BR19" s="742" t="s">
        <v>28</v>
      </c>
      <c r="BS19" s="741" t="s">
        <v>28</v>
      </c>
      <c r="BT19" s="760"/>
      <c r="BU19" s="760"/>
      <c r="BV19" s="738"/>
    </row>
    <row r="20" spans="1:74" s="739" customFormat="1">
      <c r="A20" s="746" t="s">
        <v>1010</v>
      </c>
      <c r="B20" s="778" t="s">
        <v>1011</v>
      </c>
      <c r="C20" s="741">
        <v>-25</v>
      </c>
      <c r="D20" s="742">
        <v>-11.1</v>
      </c>
      <c r="E20" s="742">
        <v>-6.7</v>
      </c>
      <c r="F20" s="742">
        <v>-3.7</v>
      </c>
      <c r="G20" s="741">
        <v>20.8</v>
      </c>
      <c r="H20" s="742">
        <v>26.6</v>
      </c>
      <c r="I20" s="742">
        <v>20.3</v>
      </c>
      <c r="J20" s="759">
        <v>26.2</v>
      </c>
      <c r="K20" s="741">
        <v>19.7</v>
      </c>
      <c r="L20" s="742">
        <v>-1.5</v>
      </c>
      <c r="M20" s="742">
        <v>14.6</v>
      </c>
      <c r="N20" s="759">
        <v>14.8</v>
      </c>
      <c r="O20" s="741">
        <v>23</v>
      </c>
      <c r="P20" s="742">
        <v>11.9</v>
      </c>
      <c r="Q20" s="742">
        <v>18.8</v>
      </c>
      <c r="R20" s="759">
        <v>-5.4</v>
      </c>
      <c r="S20" s="741">
        <v>-16.600000000000001</v>
      </c>
      <c r="T20" s="742">
        <v>-13.4</v>
      </c>
      <c r="U20" s="742">
        <v>-1.9</v>
      </c>
      <c r="V20" s="759">
        <v>15.2</v>
      </c>
      <c r="W20" s="741">
        <v>11.3</v>
      </c>
      <c r="X20" s="742">
        <v>2.2000000000000002</v>
      </c>
      <c r="Y20" s="742">
        <v>18.7</v>
      </c>
      <c r="Z20" s="759">
        <v>17.600000000000001</v>
      </c>
      <c r="AA20" s="741">
        <v>15.6</v>
      </c>
      <c r="AB20" s="742">
        <v>2.4</v>
      </c>
      <c r="AC20" s="742">
        <v>12.8</v>
      </c>
      <c r="AD20" s="759">
        <v>10.3</v>
      </c>
      <c r="AE20" s="741">
        <v>9.6</v>
      </c>
      <c r="AF20" s="742">
        <v>9</v>
      </c>
      <c r="AG20" s="742">
        <v>11.2</v>
      </c>
      <c r="AH20" s="759">
        <v>7.9</v>
      </c>
      <c r="AI20" s="741">
        <v>8</v>
      </c>
      <c r="AJ20" s="742">
        <v>3</v>
      </c>
      <c r="AK20" s="742">
        <v>7.3</v>
      </c>
      <c r="AL20" s="742">
        <v>14</v>
      </c>
      <c r="AM20" s="741">
        <v>20.100000000000001</v>
      </c>
      <c r="AN20" s="742">
        <v>24.2</v>
      </c>
      <c r="AO20" s="742">
        <v>19</v>
      </c>
      <c r="AP20" s="742">
        <v>12.3</v>
      </c>
      <c r="AQ20" s="741">
        <v>0</v>
      </c>
      <c r="AR20" s="742">
        <v>0</v>
      </c>
      <c r="AS20" s="742">
        <v>0</v>
      </c>
      <c r="AT20" s="742">
        <v>0</v>
      </c>
      <c r="AU20" s="741" t="s">
        <v>28</v>
      </c>
      <c r="AV20" s="742" t="s">
        <v>28</v>
      </c>
      <c r="AW20" s="742" t="s">
        <v>28</v>
      </c>
      <c r="AX20" s="742" t="s">
        <v>28</v>
      </c>
      <c r="AY20" s="741" t="s">
        <v>28</v>
      </c>
      <c r="AZ20" s="742" t="s">
        <v>28</v>
      </c>
      <c r="BA20" s="742" t="s">
        <v>28</v>
      </c>
      <c r="BB20" s="742" t="s">
        <v>28</v>
      </c>
      <c r="BC20" s="741" t="s">
        <v>28</v>
      </c>
      <c r="BD20" s="742" t="s">
        <v>28</v>
      </c>
      <c r="BE20" s="742" t="s">
        <v>28</v>
      </c>
      <c r="BF20" s="742" t="s">
        <v>28</v>
      </c>
      <c r="BG20" s="741" t="s">
        <v>28</v>
      </c>
      <c r="BH20" s="742" t="s">
        <v>28</v>
      </c>
      <c r="BI20" s="742" t="s">
        <v>28</v>
      </c>
      <c r="BJ20" s="742" t="s">
        <v>28</v>
      </c>
      <c r="BK20" s="741" t="s">
        <v>28</v>
      </c>
      <c r="BL20" s="742" t="s">
        <v>28</v>
      </c>
      <c r="BM20" s="742" t="s">
        <v>28</v>
      </c>
      <c r="BN20" s="742" t="s">
        <v>28</v>
      </c>
      <c r="BO20" s="741" t="s">
        <v>28</v>
      </c>
      <c r="BP20" s="742" t="s">
        <v>28</v>
      </c>
      <c r="BQ20" s="742" t="s">
        <v>28</v>
      </c>
      <c r="BR20" s="742" t="s">
        <v>28</v>
      </c>
      <c r="BS20" s="741" t="s">
        <v>28</v>
      </c>
      <c r="BT20" s="779"/>
      <c r="BU20" s="779"/>
      <c r="BV20" s="747"/>
    </row>
    <row r="21" spans="1:74" s="739" customFormat="1">
      <c r="A21" s="740" t="s">
        <v>133</v>
      </c>
      <c r="B21" s="761" t="s">
        <v>1012</v>
      </c>
      <c r="C21" s="741">
        <f>-0.1+0.1</f>
        <v>0</v>
      </c>
      <c r="D21" s="742">
        <f>0.2-0.2</f>
        <v>0</v>
      </c>
      <c r="E21" s="742">
        <f>-0.6+0.6</f>
        <v>0</v>
      </c>
      <c r="F21" s="742">
        <v>0</v>
      </c>
      <c r="G21" s="741">
        <f>0.5-0.5</f>
        <v>0</v>
      </c>
      <c r="H21" s="742">
        <f>0.4-0.4</f>
        <v>0</v>
      </c>
      <c r="I21" s="742">
        <f>0.3-0.3</f>
        <v>0</v>
      </c>
      <c r="J21" s="759">
        <f>0.4-0.4</f>
        <v>0</v>
      </c>
      <c r="K21" s="741">
        <f>0.1-0.1</f>
        <v>0</v>
      </c>
      <c r="L21" s="742">
        <f>0.1-0.1</f>
        <v>0</v>
      </c>
      <c r="M21" s="742">
        <f>0.1-0.1</f>
        <v>0</v>
      </c>
      <c r="N21" s="759">
        <v>0</v>
      </c>
      <c r="O21" s="741">
        <f>0.1-0.1</f>
        <v>0</v>
      </c>
      <c r="P21" s="742">
        <f>0.1-0.1</f>
        <v>0</v>
      </c>
      <c r="Q21" s="742">
        <v>0</v>
      </c>
      <c r="R21" s="759">
        <f>0.1-0.1</f>
        <v>0</v>
      </c>
      <c r="S21" s="741">
        <f>0.2-0.2</f>
        <v>0</v>
      </c>
      <c r="T21" s="742">
        <f>0.1-0.1</f>
        <v>0</v>
      </c>
      <c r="U21" s="742">
        <f>0.1-0.1</f>
        <v>0</v>
      </c>
      <c r="V21" s="759">
        <f>0.1-0.1</f>
        <v>0</v>
      </c>
      <c r="W21" s="741">
        <f>0.4-0.4</f>
        <v>0</v>
      </c>
      <c r="X21" s="742">
        <f>1.1-1.1</f>
        <v>0</v>
      </c>
      <c r="Y21" s="742">
        <v>0</v>
      </c>
      <c r="Z21" s="759">
        <v>0</v>
      </c>
      <c r="AA21" s="741">
        <v>0</v>
      </c>
      <c r="AB21" s="742">
        <v>0</v>
      </c>
      <c r="AC21" s="742">
        <v>0</v>
      </c>
      <c r="AD21" s="759">
        <v>0</v>
      </c>
      <c r="AE21" s="741">
        <v>0</v>
      </c>
      <c r="AF21" s="742">
        <v>0</v>
      </c>
      <c r="AG21" s="742">
        <v>0</v>
      </c>
      <c r="AH21" s="759">
        <v>0</v>
      </c>
      <c r="AI21" s="741">
        <v>0</v>
      </c>
      <c r="AJ21" s="742">
        <v>0</v>
      </c>
      <c r="AK21" s="742">
        <v>0</v>
      </c>
      <c r="AL21" s="742">
        <v>0</v>
      </c>
      <c r="AM21" s="741">
        <v>0</v>
      </c>
      <c r="AN21" s="742">
        <v>0</v>
      </c>
      <c r="AO21" s="742">
        <v>0</v>
      </c>
      <c r="AP21" s="742">
        <v>0</v>
      </c>
      <c r="AQ21" s="741">
        <v>0</v>
      </c>
      <c r="AR21" s="742">
        <v>0</v>
      </c>
      <c r="AS21" s="742">
        <v>0</v>
      </c>
      <c r="AT21" s="742">
        <v>0</v>
      </c>
      <c r="AU21" s="741" t="s">
        <v>28</v>
      </c>
      <c r="AV21" s="742" t="s">
        <v>28</v>
      </c>
      <c r="AW21" s="742" t="s">
        <v>28</v>
      </c>
      <c r="AX21" s="742" t="s">
        <v>28</v>
      </c>
      <c r="AY21" s="741" t="s">
        <v>28</v>
      </c>
      <c r="AZ21" s="742" t="s">
        <v>28</v>
      </c>
      <c r="BA21" s="742" t="s">
        <v>28</v>
      </c>
      <c r="BB21" s="742" t="s">
        <v>28</v>
      </c>
      <c r="BC21" s="741" t="s">
        <v>28</v>
      </c>
      <c r="BD21" s="742" t="s">
        <v>28</v>
      </c>
      <c r="BE21" s="742" t="s">
        <v>28</v>
      </c>
      <c r="BF21" s="742" t="s">
        <v>28</v>
      </c>
      <c r="BG21" s="741" t="s">
        <v>28</v>
      </c>
      <c r="BH21" s="742" t="s">
        <v>28</v>
      </c>
      <c r="BI21" s="742" t="s">
        <v>28</v>
      </c>
      <c r="BJ21" s="742" t="s">
        <v>28</v>
      </c>
      <c r="BK21" s="741" t="s">
        <v>28</v>
      </c>
      <c r="BL21" s="742" t="s">
        <v>28</v>
      </c>
      <c r="BM21" s="742" t="s">
        <v>28</v>
      </c>
      <c r="BN21" s="742" t="s">
        <v>28</v>
      </c>
      <c r="BO21" s="741" t="s">
        <v>28</v>
      </c>
      <c r="BP21" s="742" t="s">
        <v>28</v>
      </c>
      <c r="BQ21" s="742" t="s">
        <v>28</v>
      </c>
      <c r="BR21" s="742" t="s">
        <v>28</v>
      </c>
      <c r="BS21" s="741" t="s">
        <v>28</v>
      </c>
      <c r="BT21" s="779"/>
      <c r="BU21" s="779"/>
      <c r="BV21" s="747"/>
    </row>
    <row r="22" spans="1:74" s="739" customFormat="1">
      <c r="A22" s="748" t="s">
        <v>1013</v>
      </c>
      <c r="B22" s="780" t="s">
        <v>1014</v>
      </c>
      <c r="C22" s="737">
        <f t="shared" ref="C22:AT22" si="3">SUM(C7:C8,C16:C21)</f>
        <v>556</v>
      </c>
      <c r="D22" s="737">
        <f t="shared" si="3"/>
        <v>585.99999999999989</v>
      </c>
      <c r="E22" s="737">
        <f t="shared" si="3"/>
        <v>618.29999999999995</v>
      </c>
      <c r="F22" s="737">
        <f t="shared" si="3"/>
        <v>673.3</v>
      </c>
      <c r="G22" s="736">
        <f t="shared" si="3"/>
        <v>750.50302756999997</v>
      </c>
      <c r="H22" s="737">
        <f t="shared" si="3"/>
        <v>855.29263037999988</v>
      </c>
      <c r="I22" s="737">
        <f t="shared" si="3"/>
        <v>910.10466632999999</v>
      </c>
      <c r="J22" s="737">
        <f t="shared" si="3"/>
        <v>982.79967571999998</v>
      </c>
      <c r="K22" s="736">
        <f t="shared" si="3"/>
        <v>860.80000000000007</v>
      </c>
      <c r="L22" s="737">
        <f t="shared" si="3"/>
        <v>773.3</v>
      </c>
      <c r="M22" s="737">
        <f t="shared" si="3"/>
        <v>732.10000000000014</v>
      </c>
      <c r="N22" s="737">
        <f t="shared" si="3"/>
        <v>711.49999999999989</v>
      </c>
      <c r="O22" s="736">
        <f t="shared" si="3"/>
        <v>726.8</v>
      </c>
      <c r="P22" s="737">
        <f t="shared" si="3"/>
        <v>723.1</v>
      </c>
      <c r="Q22" s="737">
        <f t="shared" si="3"/>
        <v>747.30000000000007</v>
      </c>
      <c r="R22" s="737">
        <f t="shared" si="3"/>
        <v>751.50000000000011</v>
      </c>
      <c r="S22" s="736">
        <f t="shared" si="3"/>
        <v>772.5999999999998</v>
      </c>
      <c r="T22" s="737">
        <f t="shared" si="3"/>
        <v>833.6</v>
      </c>
      <c r="U22" s="737">
        <f t="shared" si="3"/>
        <v>882.30000000000007</v>
      </c>
      <c r="V22" s="737">
        <f t="shared" si="3"/>
        <v>897</v>
      </c>
      <c r="W22" s="736">
        <f t="shared" si="3"/>
        <v>945.2</v>
      </c>
      <c r="X22" s="737">
        <f t="shared" si="3"/>
        <v>945.19999999999993</v>
      </c>
      <c r="Y22" s="737">
        <f t="shared" si="3"/>
        <v>963.2</v>
      </c>
      <c r="Z22" s="737">
        <f t="shared" si="3"/>
        <v>977.90000000000009</v>
      </c>
      <c r="AA22" s="736">
        <f t="shared" si="3"/>
        <v>925.09999999999991</v>
      </c>
      <c r="AB22" s="737">
        <f t="shared" si="3"/>
        <v>902.8</v>
      </c>
      <c r="AC22" s="737">
        <f t="shared" si="3"/>
        <v>895.39999999999975</v>
      </c>
      <c r="AD22" s="737">
        <f t="shared" si="3"/>
        <v>891.4</v>
      </c>
      <c r="AE22" s="736">
        <f t="shared" si="3"/>
        <v>903.80000000000007</v>
      </c>
      <c r="AF22" s="737">
        <f t="shared" si="3"/>
        <v>932.59999999999991</v>
      </c>
      <c r="AG22" s="737">
        <f t="shared" si="3"/>
        <v>962.2</v>
      </c>
      <c r="AH22" s="737">
        <f t="shared" si="3"/>
        <v>925.9</v>
      </c>
      <c r="AI22" s="736">
        <f t="shared" si="3"/>
        <v>887</v>
      </c>
      <c r="AJ22" s="737">
        <f t="shared" si="3"/>
        <v>878</v>
      </c>
      <c r="AK22" s="737">
        <f t="shared" si="3"/>
        <v>928.5</v>
      </c>
      <c r="AL22" s="737">
        <f t="shared" si="3"/>
        <v>935.1</v>
      </c>
      <c r="AM22" s="736">
        <f t="shared" si="3"/>
        <v>935</v>
      </c>
      <c r="AN22" s="737">
        <f t="shared" si="3"/>
        <v>961.2</v>
      </c>
      <c r="AO22" s="737">
        <f t="shared" si="3"/>
        <v>1010.5000000000001</v>
      </c>
      <c r="AP22" s="737">
        <f t="shared" si="3"/>
        <v>1016.1999999999998</v>
      </c>
      <c r="AQ22" s="736">
        <f t="shared" si="3"/>
        <v>1004.3</v>
      </c>
      <c r="AR22" s="737">
        <f t="shared" si="3"/>
        <v>1040.5999999999999</v>
      </c>
      <c r="AS22" s="737">
        <f t="shared" si="3"/>
        <v>1081.6000000000001</v>
      </c>
      <c r="AT22" s="737">
        <f t="shared" si="3"/>
        <v>1111.0000000000002</v>
      </c>
      <c r="AU22" s="736">
        <f t="shared" ref="AU22:BS22" si="4">SUM(AU6,AU13)</f>
        <v>1098.0999999999999</v>
      </c>
      <c r="AV22" s="737">
        <f t="shared" si="4"/>
        <v>1150.2</v>
      </c>
      <c r="AW22" s="737">
        <f t="shared" si="4"/>
        <v>1194.7</v>
      </c>
      <c r="AX22" s="737">
        <f t="shared" si="4"/>
        <v>1230.8</v>
      </c>
      <c r="AY22" s="736">
        <f t="shared" si="4"/>
        <v>1263.0999999999999</v>
      </c>
      <c r="AZ22" s="737">
        <f t="shared" si="4"/>
        <v>1314.1</v>
      </c>
      <c r="BA22" s="737">
        <f t="shared" si="4"/>
        <v>1367.5</v>
      </c>
      <c r="BB22" s="737">
        <f t="shared" si="4"/>
        <v>1366.5999999999997</v>
      </c>
      <c r="BC22" s="736">
        <f t="shared" si="4"/>
        <v>1386.6000000000001</v>
      </c>
      <c r="BD22" s="737">
        <f t="shared" si="4"/>
        <v>1304</v>
      </c>
      <c r="BE22" s="737">
        <f t="shared" si="4"/>
        <v>1277.3</v>
      </c>
      <c r="BF22" s="737">
        <f t="shared" si="4"/>
        <v>1279</v>
      </c>
      <c r="BG22" s="736">
        <f t="shared" si="4"/>
        <v>1267.6000000000001</v>
      </c>
      <c r="BH22" s="737">
        <f t="shared" si="4"/>
        <v>1297.0999999999999</v>
      </c>
      <c r="BI22" s="737">
        <f t="shared" si="4"/>
        <v>1352.3</v>
      </c>
      <c r="BJ22" s="737">
        <f t="shared" si="4"/>
        <v>1515.4</v>
      </c>
      <c r="BK22" s="736">
        <f t="shared" si="4"/>
        <v>1851.7</v>
      </c>
      <c r="BL22" s="737">
        <f t="shared" si="4"/>
        <v>2379.5</v>
      </c>
      <c r="BM22" s="737">
        <f t="shared" si="4"/>
        <v>1018.2</v>
      </c>
      <c r="BN22" s="737">
        <f t="shared" si="4"/>
        <v>2862.5</v>
      </c>
      <c r="BO22" s="736">
        <f t="shared" si="4"/>
        <v>2982.1</v>
      </c>
      <c r="BP22" s="737">
        <f t="shared" si="4"/>
        <v>3134.0000000000005</v>
      </c>
      <c r="BQ22" s="737">
        <f t="shared" si="4"/>
        <v>3176.9</v>
      </c>
      <c r="BR22" s="737">
        <f t="shared" si="4"/>
        <v>3116</v>
      </c>
      <c r="BS22" s="736">
        <f t="shared" si="4"/>
        <v>3232.2</v>
      </c>
      <c r="BT22" s="779"/>
      <c r="BU22" s="779"/>
      <c r="BV22" s="747"/>
    </row>
    <row r="23" spans="1:74" s="739" customFormat="1">
      <c r="A23" s="735"/>
      <c r="B23" s="758"/>
      <c r="C23" s="741"/>
      <c r="D23" s="742"/>
      <c r="E23" s="742"/>
      <c r="F23" s="742"/>
      <c r="G23" s="741"/>
      <c r="H23" s="742"/>
      <c r="I23" s="742"/>
      <c r="J23" s="759"/>
      <c r="K23" s="741"/>
      <c r="L23" s="742"/>
      <c r="M23" s="742"/>
      <c r="N23" s="759"/>
      <c r="O23" s="741"/>
      <c r="P23" s="742"/>
      <c r="Q23" s="742"/>
      <c r="R23" s="759"/>
      <c r="S23" s="741"/>
      <c r="T23" s="742"/>
      <c r="U23" s="742"/>
      <c r="V23" s="759"/>
      <c r="W23" s="741"/>
      <c r="X23" s="742"/>
      <c r="Y23" s="742"/>
      <c r="Z23" s="759"/>
      <c r="AA23" s="741"/>
      <c r="AB23" s="742"/>
      <c r="AC23" s="742"/>
      <c r="AD23" s="759"/>
      <c r="AE23" s="741"/>
      <c r="AF23" s="742"/>
      <c r="AG23" s="742"/>
      <c r="AH23" s="759"/>
      <c r="AI23" s="741"/>
      <c r="AJ23" s="742"/>
      <c r="AK23" s="742"/>
      <c r="AL23" s="742"/>
      <c r="AM23" s="741"/>
      <c r="AN23" s="742"/>
      <c r="AO23" s="742"/>
      <c r="AP23" s="742"/>
      <c r="AQ23" s="741"/>
      <c r="AR23" s="742"/>
      <c r="AS23" s="742"/>
      <c r="AT23" s="742"/>
      <c r="AU23" s="741"/>
      <c r="AV23" s="742"/>
      <c r="AW23" s="742"/>
      <c r="AX23" s="742"/>
      <c r="AY23" s="741"/>
      <c r="AZ23" s="742"/>
      <c r="BA23" s="742"/>
      <c r="BB23" s="742"/>
      <c r="BC23" s="741"/>
      <c r="BD23" s="742"/>
      <c r="BE23" s="742"/>
      <c r="BF23" s="742"/>
      <c r="BG23" s="741"/>
      <c r="BH23" s="742"/>
      <c r="BI23" s="742"/>
      <c r="BJ23" s="742"/>
      <c r="BK23" s="741"/>
      <c r="BL23" s="742"/>
      <c r="BM23" s="742"/>
      <c r="BN23" s="742"/>
      <c r="BO23" s="741"/>
      <c r="BP23" s="742"/>
      <c r="BQ23" s="742"/>
      <c r="BR23" s="742"/>
      <c r="BS23" s="741"/>
      <c r="BT23" s="779"/>
      <c r="BU23" s="779"/>
      <c r="BV23" s="747"/>
    </row>
    <row r="24" spans="1:74" s="739" customFormat="1">
      <c r="A24" s="749" t="s">
        <v>1015</v>
      </c>
      <c r="B24" s="781" t="s">
        <v>1016</v>
      </c>
      <c r="C24" s="741"/>
      <c r="D24" s="742"/>
      <c r="E24" s="742"/>
      <c r="F24" s="742"/>
      <c r="G24" s="741"/>
      <c r="H24" s="742"/>
      <c r="I24" s="742"/>
      <c r="J24" s="759"/>
      <c r="K24" s="741"/>
      <c r="L24" s="742"/>
      <c r="M24" s="742"/>
      <c r="N24" s="759"/>
      <c r="O24" s="741"/>
      <c r="P24" s="742"/>
      <c r="Q24" s="742"/>
      <c r="R24" s="759"/>
      <c r="S24" s="741"/>
      <c r="T24" s="742"/>
      <c r="U24" s="742"/>
      <c r="V24" s="759"/>
      <c r="W24" s="741"/>
      <c r="X24" s="742"/>
      <c r="Y24" s="742"/>
      <c r="Z24" s="759"/>
      <c r="AA24" s="741"/>
      <c r="AB24" s="742"/>
      <c r="AC24" s="742"/>
      <c r="AD24" s="759"/>
      <c r="AE24" s="741"/>
      <c r="AF24" s="742"/>
      <c r="AG24" s="742"/>
      <c r="AH24" s="759"/>
      <c r="AI24" s="741"/>
      <c r="AJ24" s="742"/>
      <c r="AK24" s="742"/>
      <c r="AL24" s="742"/>
      <c r="AM24" s="741"/>
      <c r="AN24" s="742"/>
      <c r="AO24" s="742"/>
      <c r="AP24" s="742"/>
      <c r="AQ24" s="741"/>
      <c r="AR24" s="742"/>
      <c r="AS24" s="742"/>
      <c r="AT24" s="742"/>
      <c r="AU24" s="741"/>
      <c r="AV24" s="742"/>
      <c r="AW24" s="742"/>
      <c r="AX24" s="742"/>
      <c r="AY24" s="741"/>
      <c r="AZ24" s="742"/>
      <c r="BA24" s="742"/>
      <c r="BB24" s="742"/>
      <c r="BC24" s="741"/>
      <c r="BD24" s="742"/>
      <c r="BE24" s="742"/>
      <c r="BF24" s="742"/>
      <c r="BG24" s="741"/>
      <c r="BH24" s="742"/>
      <c r="BI24" s="742"/>
      <c r="BJ24" s="742"/>
      <c r="BK24" s="741"/>
      <c r="BL24" s="742"/>
      <c r="BM24" s="742"/>
      <c r="BN24" s="742"/>
      <c r="BO24" s="741"/>
      <c r="BP24" s="742"/>
      <c r="BQ24" s="742"/>
      <c r="BR24" s="742"/>
      <c r="BS24" s="741"/>
      <c r="BT24" s="779"/>
      <c r="BU24" s="779"/>
      <c r="BV24" s="747"/>
    </row>
    <row r="25" spans="1:74" s="739" customFormat="1">
      <c r="A25" s="740" t="s">
        <v>1017</v>
      </c>
      <c r="B25" s="761" t="s">
        <v>1018</v>
      </c>
      <c r="C25" s="741">
        <v>-26.7</v>
      </c>
      <c r="D25" s="742">
        <v>-25.7</v>
      </c>
      <c r="E25" s="742">
        <v>-30.7</v>
      </c>
      <c r="F25" s="742">
        <v>-35.4</v>
      </c>
      <c r="G25" s="741">
        <f>(38.9-0.4)*-1</f>
        <v>-38.5</v>
      </c>
      <c r="H25" s="742">
        <f>(55-1.2)*-1</f>
        <v>-53.8</v>
      </c>
      <c r="I25" s="742">
        <f>(61.9-0.5)*-1</f>
        <v>-61.4</v>
      </c>
      <c r="J25" s="759">
        <f>(90.5-0.5)*-1</f>
        <v>-90</v>
      </c>
      <c r="K25" s="741">
        <f>(97.7-0.8)*-1</f>
        <v>-96.9</v>
      </c>
      <c r="L25" s="742">
        <f>(52.3-0.9)*-1</f>
        <v>-51.4</v>
      </c>
      <c r="M25" s="742">
        <f>(18.4-0.5)*-1</f>
        <v>-17.899999999999999</v>
      </c>
      <c r="N25" s="759">
        <f>(16.6-0.2)*-1</f>
        <v>-16.400000000000002</v>
      </c>
      <c r="O25" s="741">
        <v>-18.600000000000001</v>
      </c>
      <c r="P25" s="742">
        <v>-18.600000000000001</v>
      </c>
      <c r="Q25" s="742">
        <v>-19.3</v>
      </c>
      <c r="R25" s="759">
        <v>-34.700000000000003</v>
      </c>
      <c r="S25" s="741">
        <v>-42</v>
      </c>
      <c r="T25" s="742">
        <v>-48.9</v>
      </c>
      <c r="U25" s="742">
        <v>-44.3</v>
      </c>
      <c r="V25" s="759">
        <v>-27.7</v>
      </c>
      <c r="W25" s="741">
        <f>(39.8-0.2)*-1</f>
        <v>-39.599999999999994</v>
      </c>
      <c r="X25" s="742">
        <f>(31.4-0.1)*-1</f>
        <v>-31.299999999999997</v>
      </c>
      <c r="Y25" s="742">
        <f>(24.2-0.3)*-1</f>
        <v>-23.9</v>
      </c>
      <c r="Z25" s="759">
        <f>(32.3-0.3)*-1</f>
        <v>-31.999999999999996</v>
      </c>
      <c r="AA25" s="741">
        <f>(26.3-0.4)*-1</f>
        <v>-25.900000000000002</v>
      </c>
      <c r="AB25" s="742">
        <f>(24.5-1.9)*-1</f>
        <v>-22.6</v>
      </c>
      <c r="AC25" s="742">
        <f>(17.3-1.3)*-1</f>
        <v>-16</v>
      </c>
      <c r="AD25" s="759">
        <f>(16.9-1)*-1</f>
        <v>-15.899999999999999</v>
      </c>
      <c r="AE25" s="741">
        <v>-24.2</v>
      </c>
      <c r="AF25" s="742">
        <v>-28.799999999999997</v>
      </c>
      <c r="AG25" s="742">
        <v>-19.399999999999999</v>
      </c>
      <c r="AH25" s="759">
        <v>-17.899999999999999</v>
      </c>
      <c r="AI25" s="741">
        <v>-14.9</v>
      </c>
      <c r="AJ25" s="742">
        <v>-16.5</v>
      </c>
      <c r="AK25" s="742">
        <v>-19.5</v>
      </c>
      <c r="AL25" s="742">
        <v>-14.3</v>
      </c>
      <c r="AM25" s="741">
        <v>-8.6</v>
      </c>
      <c r="AN25" s="742">
        <v>-7.8</v>
      </c>
      <c r="AO25" s="742">
        <v>-15.2</v>
      </c>
      <c r="AP25" s="742">
        <v>-13</v>
      </c>
      <c r="AQ25" s="741">
        <v>-16.899999999999999</v>
      </c>
      <c r="AR25" s="742">
        <v>-16.3</v>
      </c>
      <c r="AS25" s="742">
        <v>-15.5</v>
      </c>
      <c r="AT25" s="742">
        <v>-12.2</v>
      </c>
      <c r="AU25" s="741">
        <v>-10.199999999999999</v>
      </c>
      <c r="AV25" s="742">
        <v>-14.5</v>
      </c>
      <c r="AW25" s="742">
        <v>-19.5</v>
      </c>
      <c r="AX25" s="742">
        <v>-14.1</v>
      </c>
      <c r="AY25" s="741">
        <v>-15.1</v>
      </c>
      <c r="AZ25" s="742">
        <v>-15.6</v>
      </c>
      <c r="BA25" s="742">
        <v>-14.5</v>
      </c>
      <c r="BB25" s="742">
        <v>-13.1</v>
      </c>
      <c r="BC25" s="741">
        <v>-12.8</v>
      </c>
      <c r="BD25" s="742">
        <v>-3.8</v>
      </c>
      <c r="BE25" s="742">
        <v>-1.7</v>
      </c>
      <c r="BF25" s="742">
        <v>-1.6</v>
      </c>
      <c r="BG25" s="741">
        <v>-1.3</v>
      </c>
      <c r="BH25" s="742">
        <v>-0.5</v>
      </c>
      <c r="BI25" s="742">
        <v>-0.8</v>
      </c>
      <c r="BJ25" s="742">
        <v>-8</v>
      </c>
      <c r="BK25" s="741">
        <v>-52</v>
      </c>
      <c r="BL25" s="742">
        <v>-103.4</v>
      </c>
      <c r="BM25" s="742">
        <v>-112.4</v>
      </c>
      <c r="BN25" s="742">
        <v>-100.7</v>
      </c>
      <c r="BO25" s="741">
        <v>-92.1</v>
      </c>
      <c r="BP25" s="742">
        <v>-126.8</v>
      </c>
      <c r="BQ25" s="742">
        <v>-105.5</v>
      </c>
      <c r="BR25" s="742">
        <v>-99.7</v>
      </c>
      <c r="BS25" s="741">
        <v>-188.7</v>
      </c>
      <c r="BT25" s="779"/>
      <c r="BU25" s="779"/>
      <c r="BV25" s="747"/>
    </row>
    <row r="26" spans="1:74" s="739" customFormat="1">
      <c r="A26" s="746" t="s">
        <v>1019</v>
      </c>
      <c r="B26" s="778" t="s">
        <v>1020</v>
      </c>
      <c r="C26" s="741">
        <v>-293.2</v>
      </c>
      <c r="D26" s="742">
        <v>-313.40000000000003</v>
      </c>
      <c r="E26" s="742">
        <v>-333</v>
      </c>
      <c r="F26" s="742">
        <v>-374.7</v>
      </c>
      <c r="G26" s="741">
        <v>-428.59999999999997</v>
      </c>
      <c r="H26" s="742">
        <v>-485.7</v>
      </c>
      <c r="I26" s="742">
        <v>-527.79999999999995</v>
      </c>
      <c r="J26" s="759">
        <v>-560.29999999999995</v>
      </c>
      <c r="K26" s="741">
        <v>-452.8</v>
      </c>
      <c r="L26" s="742">
        <v>-362.9</v>
      </c>
      <c r="M26" s="742">
        <v>-336.2</v>
      </c>
      <c r="N26" s="759">
        <v>-340.7</v>
      </c>
      <c r="O26" s="741">
        <v>-317.8</v>
      </c>
      <c r="P26" s="742">
        <v>-299.2</v>
      </c>
      <c r="Q26" s="742">
        <v>-317.8</v>
      </c>
      <c r="R26" s="759">
        <v>-295.10000000000002</v>
      </c>
      <c r="S26" s="741">
        <v>-295.7</v>
      </c>
      <c r="T26" s="742">
        <v>-325.2</v>
      </c>
      <c r="U26" s="742">
        <v>-360.6</v>
      </c>
      <c r="V26" s="759">
        <v>-389.6</v>
      </c>
      <c r="W26" s="741">
        <v>-392.09999999999997</v>
      </c>
      <c r="X26" s="742">
        <v>-399.8</v>
      </c>
      <c r="Y26" s="742">
        <v>-423.8</v>
      </c>
      <c r="Z26" s="759">
        <v>-438.1</v>
      </c>
      <c r="AA26" s="741">
        <v>-416</v>
      </c>
      <c r="AB26" s="742">
        <v>-377.59999999999997</v>
      </c>
      <c r="AC26" s="742">
        <v>-346.90000000000003</v>
      </c>
      <c r="AD26" s="759">
        <v>-323.7</v>
      </c>
      <c r="AE26" s="741">
        <v>-305.79999999999995</v>
      </c>
      <c r="AF26" s="742">
        <v>-316.10000000000002</v>
      </c>
      <c r="AG26" s="742">
        <v>-340.3</v>
      </c>
      <c r="AH26" s="759">
        <v>-319.20000000000005</v>
      </c>
      <c r="AI26" s="741">
        <v>-296.60000000000002</v>
      </c>
      <c r="AJ26" s="742">
        <v>-260.60000000000002</v>
      </c>
      <c r="AK26" s="742">
        <v>-258.5</v>
      </c>
      <c r="AL26" s="742">
        <v>-255.6</v>
      </c>
      <c r="AM26" s="741">
        <v>-251.1</v>
      </c>
      <c r="AN26" s="742">
        <v>-253.3</v>
      </c>
      <c r="AO26" s="742">
        <v>-201.2</v>
      </c>
      <c r="AP26" s="742">
        <v>-184.4</v>
      </c>
      <c r="AQ26" s="741">
        <v>-183.79999999999998</v>
      </c>
      <c r="AR26" s="742">
        <v>-185</v>
      </c>
      <c r="AS26" s="742">
        <v>-188.29999999999998</v>
      </c>
      <c r="AT26" s="742">
        <v>-195.70000000000002</v>
      </c>
      <c r="AU26" s="741">
        <v>-200.1</v>
      </c>
      <c r="AV26" s="742">
        <v>-210.6</v>
      </c>
      <c r="AW26" s="742">
        <v>-209</v>
      </c>
      <c r="AX26" s="742">
        <v>-215.8</v>
      </c>
      <c r="AY26" s="741">
        <v>-220.2</v>
      </c>
      <c r="AZ26" s="742">
        <v>-237.6</v>
      </c>
      <c r="BA26" s="742">
        <v>-216.4</v>
      </c>
      <c r="BB26" s="742">
        <v>-216.9</v>
      </c>
      <c r="BC26" s="741">
        <v>-210.3</v>
      </c>
      <c r="BD26" s="742">
        <v>-189.9</v>
      </c>
      <c r="BE26" s="742">
        <v>-128.5</v>
      </c>
      <c r="BF26" s="742">
        <v>-113.7</v>
      </c>
      <c r="BG26" s="741">
        <v>-115.5</v>
      </c>
      <c r="BH26" s="742">
        <v>-112.6</v>
      </c>
      <c r="BI26" s="742">
        <v>-106.2</v>
      </c>
      <c r="BJ26" s="742">
        <v>-81.900000000000006</v>
      </c>
      <c r="BK26" s="741">
        <v>-26.1</v>
      </c>
      <c r="BL26" s="742">
        <v>-242.9</v>
      </c>
      <c r="BM26" s="742">
        <v>-561</v>
      </c>
      <c r="BN26" s="742">
        <v>-753.4</v>
      </c>
      <c r="BO26" s="741">
        <v>-848.4</v>
      </c>
      <c r="BP26" s="742">
        <v>-768.2</v>
      </c>
      <c r="BQ26" s="742">
        <v>-810.1</v>
      </c>
      <c r="BR26" s="742">
        <v>-695</v>
      </c>
      <c r="BS26" s="741">
        <v>-727.7</v>
      </c>
      <c r="BT26" s="779"/>
      <c r="BU26" s="779"/>
      <c r="BV26" s="747"/>
    </row>
    <row r="27" spans="1:74" s="739" customFormat="1">
      <c r="A27" s="746" t="s">
        <v>1021</v>
      </c>
      <c r="B27" s="778" t="s">
        <v>1022</v>
      </c>
      <c r="C27" s="741">
        <v>0</v>
      </c>
      <c r="D27" s="742">
        <v>0</v>
      </c>
      <c r="E27" s="742">
        <v>0</v>
      </c>
      <c r="F27" s="742">
        <v>0</v>
      </c>
      <c r="G27" s="741">
        <v>0</v>
      </c>
      <c r="H27" s="742">
        <v>0</v>
      </c>
      <c r="I27" s="742">
        <v>0</v>
      </c>
      <c r="J27" s="759">
        <v>0</v>
      </c>
      <c r="K27" s="741">
        <v>0</v>
      </c>
      <c r="L27" s="742">
        <v>0</v>
      </c>
      <c r="M27" s="742">
        <v>0</v>
      </c>
      <c r="N27" s="759">
        <v>0</v>
      </c>
      <c r="O27" s="741">
        <v>0</v>
      </c>
      <c r="P27" s="742">
        <v>0</v>
      </c>
      <c r="Q27" s="742">
        <v>0</v>
      </c>
      <c r="R27" s="759">
        <v>0</v>
      </c>
      <c r="S27" s="741">
        <v>0</v>
      </c>
      <c r="T27" s="742">
        <v>0</v>
      </c>
      <c r="U27" s="742">
        <v>0</v>
      </c>
      <c r="V27" s="759">
        <v>0</v>
      </c>
      <c r="W27" s="741">
        <v>0</v>
      </c>
      <c r="X27" s="742">
        <v>0</v>
      </c>
      <c r="Y27" s="742">
        <v>0</v>
      </c>
      <c r="Z27" s="759">
        <v>-2</v>
      </c>
      <c r="AA27" s="741">
        <v>-7.4</v>
      </c>
      <c r="AB27" s="742">
        <v>-6.8</v>
      </c>
      <c r="AC27" s="742">
        <v>-5.0999999999999996</v>
      </c>
      <c r="AD27" s="759">
        <v>-5.0999999999999996</v>
      </c>
      <c r="AE27" s="741">
        <v>-5</v>
      </c>
      <c r="AF27" s="742">
        <v>-5.0999999999999996</v>
      </c>
      <c r="AG27" s="742">
        <v>-5.0999999999999996</v>
      </c>
      <c r="AH27" s="759">
        <v>-5.3</v>
      </c>
      <c r="AI27" s="741">
        <v>-6.1</v>
      </c>
      <c r="AJ27" s="742">
        <v>-6.2</v>
      </c>
      <c r="AK27" s="742">
        <v>-5.7</v>
      </c>
      <c r="AL27" s="742">
        <v>-5.7</v>
      </c>
      <c r="AM27" s="741">
        <v>-5.7</v>
      </c>
      <c r="AN27" s="742">
        <v>-5.6</v>
      </c>
      <c r="AO27" s="742">
        <v>-5.6</v>
      </c>
      <c r="AP27" s="742">
        <v>-5.8</v>
      </c>
      <c r="AQ27" s="741">
        <v>-5.7</v>
      </c>
      <c r="AR27" s="742">
        <v>-5.7</v>
      </c>
      <c r="AS27" s="742">
        <v>-5.8</v>
      </c>
      <c r="AT27" s="742">
        <v>-4.6999999999999993</v>
      </c>
      <c r="AU27" s="741">
        <v>-1.9</v>
      </c>
      <c r="AV27" s="742">
        <v>-1.9</v>
      </c>
      <c r="AW27" s="742">
        <v>-1.9</v>
      </c>
      <c r="AX27" s="742">
        <v>-1.9</v>
      </c>
      <c r="AY27" s="741">
        <v>-1.9</v>
      </c>
      <c r="AZ27" s="742">
        <v>-1.9</v>
      </c>
      <c r="BA27" s="742">
        <v>-1.9</v>
      </c>
      <c r="BB27" s="742">
        <v>-4.0999999999999996</v>
      </c>
      <c r="BC27" s="741">
        <v>-2.8</v>
      </c>
      <c r="BD27" s="742">
        <v>-2.1</v>
      </c>
      <c r="BE27" s="742">
        <v>-2.1</v>
      </c>
      <c r="BF27" s="742">
        <v>-1.4</v>
      </c>
      <c r="BG27" s="741">
        <v>-1.9</v>
      </c>
      <c r="BH27" s="742">
        <v>-1.4</v>
      </c>
      <c r="BI27" s="742">
        <v>-1.2</v>
      </c>
      <c r="BJ27" s="742">
        <v>-1.8</v>
      </c>
      <c r="BK27" s="741">
        <v>-2.4</v>
      </c>
      <c r="BL27" s="742">
        <v>-5.5</v>
      </c>
      <c r="BM27" s="742">
        <v>-6.1</v>
      </c>
      <c r="BN27" s="742">
        <v>-8.3000000000000007</v>
      </c>
      <c r="BO27" s="741">
        <v>-8.3000000000000007</v>
      </c>
      <c r="BP27" s="742">
        <v>-7.8</v>
      </c>
      <c r="BQ27" s="742">
        <v>-7.9</v>
      </c>
      <c r="BR27" s="742">
        <v>-6.7</v>
      </c>
      <c r="BS27" s="741">
        <v>-6.4</v>
      </c>
      <c r="BT27" s="779"/>
      <c r="BU27" s="779"/>
      <c r="BV27" s="747"/>
    </row>
    <row r="28" spans="1:74" s="739" customFormat="1">
      <c r="A28" s="750" t="s">
        <v>1023</v>
      </c>
      <c r="B28" s="782" t="s">
        <v>1024</v>
      </c>
      <c r="C28" s="741">
        <v>0</v>
      </c>
      <c r="D28" s="742">
        <v>0</v>
      </c>
      <c r="E28" s="742">
        <v>0</v>
      </c>
      <c r="F28" s="742">
        <v>0</v>
      </c>
      <c r="G28" s="741">
        <v>0</v>
      </c>
      <c r="H28" s="742">
        <v>0</v>
      </c>
      <c r="I28" s="742">
        <v>0</v>
      </c>
      <c r="J28" s="759">
        <v>0</v>
      </c>
      <c r="K28" s="741">
        <v>0</v>
      </c>
      <c r="L28" s="742">
        <v>0</v>
      </c>
      <c r="M28" s="742">
        <v>0</v>
      </c>
      <c r="N28" s="759">
        <v>0</v>
      </c>
      <c r="O28" s="741">
        <v>0</v>
      </c>
      <c r="P28" s="742">
        <v>0</v>
      </c>
      <c r="Q28" s="742">
        <v>0</v>
      </c>
      <c r="R28" s="759">
        <v>0</v>
      </c>
      <c r="S28" s="741">
        <v>0</v>
      </c>
      <c r="T28" s="742">
        <v>0</v>
      </c>
      <c r="U28" s="742">
        <v>0</v>
      </c>
      <c r="V28" s="759">
        <v>0</v>
      </c>
      <c r="W28" s="741">
        <v>0</v>
      </c>
      <c r="X28" s="742">
        <v>0</v>
      </c>
      <c r="Y28" s="742">
        <v>0</v>
      </c>
      <c r="Z28" s="759">
        <v>0</v>
      </c>
      <c r="AA28" s="741">
        <v>0</v>
      </c>
      <c r="AB28" s="742">
        <v>0</v>
      </c>
      <c r="AC28" s="742">
        <v>0</v>
      </c>
      <c r="AD28" s="742">
        <v>0</v>
      </c>
      <c r="AE28" s="741">
        <v>0</v>
      </c>
      <c r="AF28" s="742">
        <v>0</v>
      </c>
      <c r="AG28" s="742">
        <v>0</v>
      </c>
      <c r="AH28" s="742">
        <v>0</v>
      </c>
      <c r="AI28" s="741">
        <v>0</v>
      </c>
      <c r="AJ28" s="742">
        <v>0</v>
      </c>
      <c r="AK28" s="742">
        <v>0</v>
      </c>
      <c r="AL28" s="742">
        <v>0</v>
      </c>
      <c r="AM28" s="741">
        <v>-1.3</v>
      </c>
      <c r="AN28" s="742">
        <v>-3.4</v>
      </c>
      <c r="AO28" s="742">
        <v>-3.3</v>
      </c>
      <c r="AP28" s="742">
        <v>-3.2</v>
      </c>
      <c r="AQ28" s="741">
        <v>-3.1</v>
      </c>
      <c r="AR28" s="742">
        <v>-3.1</v>
      </c>
      <c r="AS28" s="742">
        <v>-3.1</v>
      </c>
      <c r="AT28" s="742">
        <v>-3.1999999999999993</v>
      </c>
      <c r="AU28" s="741">
        <v>-2.9</v>
      </c>
      <c r="AV28" s="742">
        <v>-3.2</v>
      </c>
      <c r="AW28" s="742">
        <v>-3.1</v>
      </c>
      <c r="AX28" s="742">
        <v>-3.9</v>
      </c>
      <c r="AY28" s="741">
        <v>-4.0999999999999996</v>
      </c>
      <c r="AZ28" s="742">
        <v>-4.2</v>
      </c>
      <c r="BA28" s="742">
        <v>-4.0999999999999996</v>
      </c>
      <c r="BB28" s="742">
        <v>-7.3</v>
      </c>
      <c r="BC28" s="741">
        <v>-7.4</v>
      </c>
      <c r="BD28" s="742">
        <v>-8</v>
      </c>
      <c r="BE28" s="742">
        <v>-7.7</v>
      </c>
      <c r="BF28" s="742">
        <v>-7.3</v>
      </c>
      <c r="BG28" s="741">
        <v>-6.9</v>
      </c>
      <c r="BH28" s="742">
        <v>-6.9</v>
      </c>
      <c r="BI28" s="742">
        <v>-7.1</v>
      </c>
      <c r="BJ28" s="742">
        <v>-5.8</v>
      </c>
      <c r="BK28" s="741">
        <v>-3.9</v>
      </c>
      <c r="BL28" s="742">
        <v>-4.4000000000000004</v>
      </c>
      <c r="BM28" s="742">
        <v>-5.9</v>
      </c>
      <c r="BN28" s="742">
        <v>-11.5</v>
      </c>
      <c r="BO28" s="741">
        <v>-15.4</v>
      </c>
      <c r="BP28" s="742">
        <v>-18.3</v>
      </c>
      <c r="BQ28" s="742">
        <v>-20.6</v>
      </c>
      <c r="BR28" s="742">
        <v>-21.7</v>
      </c>
      <c r="BS28" s="741">
        <v>-20.9</v>
      </c>
      <c r="BT28" s="779"/>
      <c r="BU28" s="779"/>
      <c r="BV28" s="747"/>
    </row>
    <row r="29" spans="1:74" s="739" customFormat="1">
      <c r="A29" s="750"/>
      <c r="B29" s="782"/>
      <c r="C29" s="741"/>
      <c r="D29" s="742"/>
      <c r="E29" s="742"/>
      <c r="F29" s="742"/>
      <c r="G29" s="741"/>
      <c r="H29" s="742"/>
      <c r="I29" s="742"/>
      <c r="J29" s="759"/>
      <c r="K29" s="741"/>
      <c r="L29" s="742"/>
      <c r="M29" s="742"/>
      <c r="N29" s="759"/>
      <c r="O29" s="741"/>
      <c r="P29" s="742"/>
      <c r="Q29" s="742"/>
      <c r="R29" s="759"/>
      <c r="S29" s="741"/>
      <c r="T29" s="742"/>
      <c r="U29" s="742"/>
      <c r="V29" s="759"/>
      <c r="W29" s="741"/>
      <c r="X29" s="742"/>
      <c r="Y29" s="742"/>
      <c r="Z29" s="759"/>
      <c r="AA29" s="741"/>
      <c r="AB29" s="742"/>
      <c r="AC29" s="742"/>
      <c r="AD29" s="742"/>
      <c r="AE29" s="741"/>
      <c r="AF29" s="742"/>
      <c r="AG29" s="742"/>
      <c r="AH29" s="742"/>
      <c r="AI29" s="741"/>
      <c r="AJ29" s="742"/>
      <c r="AK29" s="742"/>
      <c r="AL29" s="742"/>
      <c r="AM29" s="741"/>
      <c r="AN29" s="742"/>
      <c r="AO29" s="742"/>
      <c r="AP29" s="742"/>
      <c r="AQ29" s="741"/>
      <c r="AR29" s="742"/>
      <c r="AS29" s="742"/>
      <c r="AT29" s="742"/>
      <c r="AU29" s="741"/>
      <c r="AV29" s="742"/>
      <c r="AW29" s="742"/>
      <c r="AX29" s="742"/>
      <c r="AY29" s="741"/>
      <c r="AZ29" s="742"/>
      <c r="BA29" s="742"/>
      <c r="BB29" s="742"/>
      <c r="BC29" s="741"/>
      <c r="BD29" s="742"/>
      <c r="BE29" s="742"/>
      <c r="BF29" s="742"/>
      <c r="BG29" s="741"/>
      <c r="BH29" s="742"/>
      <c r="BI29" s="742"/>
      <c r="BJ29" s="742"/>
      <c r="BK29" s="741"/>
      <c r="BL29" s="742"/>
      <c r="BM29" s="742"/>
      <c r="BN29" s="742"/>
      <c r="BO29" s="741"/>
      <c r="BP29" s="742"/>
      <c r="BQ29" s="742"/>
      <c r="BR29" s="742"/>
      <c r="BS29" s="741"/>
      <c r="BT29" s="779"/>
      <c r="BU29" s="779"/>
      <c r="BV29" s="747"/>
    </row>
    <row r="30" spans="1:74" s="739" customFormat="1">
      <c r="A30" s="746" t="s">
        <v>1025</v>
      </c>
      <c r="B30" s="778" t="s">
        <v>1026</v>
      </c>
      <c r="C30" s="741">
        <v>0</v>
      </c>
      <c r="D30" s="742">
        <v>0</v>
      </c>
      <c r="E30" s="742">
        <v>0</v>
      </c>
      <c r="F30" s="742">
        <v>0</v>
      </c>
      <c r="G30" s="741">
        <v>0</v>
      </c>
      <c r="H30" s="742">
        <v>0</v>
      </c>
      <c r="I30" s="742">
        <v>0</v>
      </c>
      <c r="J30" s="759">
        <v>0</v>
      </c>
      <c r="K30" s="741">
        <v>0</v>
      </c>
      <c r="L30" s="742">
        <v>0</v>
      </c>
      <c r="M30" s="742">
        <v>0</v>
      </c>
      <c r="N30" s="759">
        <v>0</v>
      </c>
      <c r="O30" s="741">
        <v>0</v>
      </c>
      <c r="P30" s="742">
        <v>0</v>
      </c>
      <c r="Q30" s="742">
        <v>0</v>
      </c>
      <c r="R30" s="759">
        <v>0</v>
      </c>
      <c r="S30" s="741">
        <v>0</v>
      </c>
      <c r="T30" s="742">
        <v>0</v>
      </c>
      <c r="U30" s="742">
        <v>0</v>
      </c>
      <c r="V30" s="759">
        <v>0</v>
      </c>
      <c r="W30" s="741">
        <v>0</v>
      </c>
      <c r="X30" s="742">
        <v>0</v>
      </c>
      <c r="Y30" s="742">
        <v>0</v>
      </c>
      <c r="Z30" s="759">
        <v>0</v>
      </c>
      <c r="AA30" s="741">
        <v>0</v>
      </c>
      <c r="AB30" s="742">
        <v>-0.5</v>
      </c>
      <c r="AC30" s="742">
        <v>-1.3</v>
      </c>
      <c r="AD30" s="759">
        <v>-1.3</v>
      </c>
      <c r="AE30" s="741">
        <v>-0.9</v>
      </c>
      <c r="AF30" s="742">
        <v>-0.4</v>
      </c>
      <c r="AG30" s="742">
        <v>-0.5</v>
      </c>
      <c r="AH30" s="759">
        <v>-0.3</v>
      </c>
      <c r="AI30" s="741">
        <v>-0.4</v>
      </c>
      <c r="AJ30" s="742">
        <v>-0.6</v>
      </c>
      <c r="AK30" s="742">
        <v>-0.2</v>
      </c>
      <c r="AL30" s="742">
        <v>-0.1</v>
      </c>
      <c r="AM30" s="741">
        <v>-0.2</v>
      </c>
      <c r="AN30" s="742">
        <v>-0.2</v>
      </c>
      <c r="AO30" s="742">
        <v>-0.3</v>
      </c>
      <c r="AP30" s="742">
        <v>-0.3</v>
      </c>
      <c r="AQ30" s="741">
        <v>0</v>
      </c>
      <c r="AR30" s="742">
        <v>0</v>
      </c>
      <c r="AS30" s="742">
        <v>0</v>
      </c>
      <c r="AT30" s="742">
        <v>0</v>
      </c>
      <c r="AU30" s="741" t="s">
        <v>28</v>
      </c>
      <c r="AV30" s="742" t="s">
        <v>28</v>
      </c>
      <c r="AW30" s="742" t="s">
        <v>28</v>
      </c>
      <c r="AX30" s="742" t="s">
        <v>28</v>
      </c>
      <c r="AY30" s="741" t="s">
        <v>28</v>
      </c>
      <c r="AZ30" s="742" t="s">
        <v>28</v>
      </c>
      <c r="BA30" s="742" t="s">
        <v>28</v>
      </c>
      <c r="BB30" s="742" t="s">
        <v>28</v>
      </c>
      <c r="BC30" s="741" t="s">
        <v>28</v>
      </c>
      <c r="BD30" s="742" t="s">
        <v>28</v>
      </c>
      <c r="BE30" s="742" t="s">
        <v>28</v>
      </c>
      <c r="BF30" s="742" t="s">
        <v>28</v>
      </c>
      <c r="BG30" s="741" t="s">
        <v>28</v>
      </c>
      <c r="BH30" s="742" t="s">
        <v>28</v>
      </c>
      <c r="BI30" s="742" t="s">
        <v>28</v>
      </c>
      <c r="BJ30" s="742" t="s">
        <v>28</v>
      </c>
      <c r="BK30" s="741" t="s">
        <v>28</v>
      </c>
      <c r="BL30" s="742" t="s">
        <v>28</v>
      </c>
      <c r="BM30" s="742" t="s">
        <v>28</v>
      </c>
      <c r="BN30" s="742" t="s">
        <v>28</v>
      </c>
      <c r="BO30" s="741" t="s">
        <v>28</v>
      </c>
      <c r="BP30" s="742" t="s">
        <v>28</v>
      </c>
      <c r="BQ30" s="742" t="s">
        <v>28</v>
      </c>
      <c r="BR30" s="742" t="s">
        <v>28</v>
      </c>
      <c r="BS30" s="741" t="s">
        <v>28</v>
      </c>
      <c r="BT30" s="779"/>
      <c r="BU30" s="779"/>
      <c r="BV30" s="747"/>
    </row>
    <row r="31" spans="1:74" s="739" customFormat="1">
      <c r="A31" s="746" t="s">
        <v>1027</v>
      </c>
      <c r="B31" s="778" t="s">
        <v>1028</v>
      </c>
      <c r="C31" s="741" t="s">
        <v>28</v>
      </c>
      <c r="D31" s="742" t="s">
        <v>28</v>
      </c>
      <c r="E31" s="742" t="s">
        <v>28</v>
      </c>
      <c r="F31" s="742" t="s">
        <v>28</v>
      </c>
      <c r="G31" s="741" t="s">
        <v>28</v>
      </c>
      <c r="H31" s="742" t="s">
        <v>28</v>
      </c>
      <c r="I31" s="742" t="s">
        <v>28</v>
      </c>
      <c r="J31" s="742" t="s">
        <v>28</v>
      </c>
      <c r="K31" s="741" t="s">
        <v>28</v>
      </c>
      <c r="L31" s="742" t="s">
        <v>28</v>
      </c>
      <c r="M31" s="742" t="s">
        <v>28</v>
      </c>
      <c r="N31" s="742" t="s">
        <v>28</v>
      </c>
      <c r="O31" s="741" t="s">
        <v>28</v>
      </c>
      <c r="P31" s="742" t="s">
        <v>28</v>
      </c>
      <c r="Q31" s="742" t="s">
        <v>28</v>
      </c>
      <c r="R31" s="742" t="s">
        <v>28</v>
      </c>
      <c r="S31" s="741" t="s">
        <v>28</v>
      </c>
      <c r="T31" s="742" t="s">
        <v>28</v>
      </c>
      <c r="U31" s="742" t="s">
        <v>28</v>
      </c>
      <c r="V31" s="742" t="s">
        <v>28</v>
      </c>
      <c r="W31" s="741" t="s">
        <v>28</v>
      </c>
      <c r="X31" s="742" t="s">
        <v>28</v>
      </c>
      <c r="Y31" s="742" t="s">
        <v>28</v>
      </c>
      <c r="Z31" s="742" t="s">
        <v>28</v>
      </c>
      <c r="AA31" s="741" t="s">
        <v>28</v>
      </c>
      <c r="AB31" s="742" t="s">
        <v>28</v>
      </c>
      <c r="AC31" s="742" t="s">
        <v>28</v>
      </c>
      <c r="AD31" s="742" t="s">
        <v>28</v>
      </c>
      <c r="AE31" s="741" t="s">
        <v>28</v>
      </c>
      <c r="AF31" s="742" t="s">
        <v>28</v>
      </c>
      <c r="AG31" s="742" t="s">
        <v>28</v>
      </c>
      <c r="AH31" s="742" t="s">
        <v>28</v>
      </c>
      <c r="AI31" s="741" t="s">
        <v>28</v>
      </c>
      <c r="AJ31" s="742" t="s">
        <v>28</v>
      </c>
      <c r="AK31" s="742" t="s">
        <v>28</v>
      </c>
      <c r="AL31" s="742" t="s">
        <v>28</v>
      </c>
      <c r="AM31" s="741" t="s">
        <v>28</v>
      </c>
      <c r="AN31" s="742" t="s">
        <v>28</v>
      </c>
      <c r="AO31" s="742" t="s">
        <v>28</v>
      </c>
      <c r="AP31" s="742" t="s">
        <v>28</v>
      </c>
      <c r="AQ31" s="741" t="s">
        <v>28</v>
      </c>
      <c r="AR31" s="742" t="s">
        <v>28</v>
      </c>
      <c r="AS31" s="742" t="s">
        <v>28</v>
      </c>
      <c r="AT31" s="742" t="s">
        <v>28</v>
      </c>
      <c r="AU31" s="741" t="s">
        <v>28</v>
      </c>
      <c r="AV31" s="742" t="s">
        <v>28</v>
      </c>
      <c r="AW31" s="742" t="s">
        <v>28</v>
      </c>
      <c r="AX31" s="742" t="s">
        <v>28</v>
      </c>
      <c r="AY31" s="741">
        <v>-1.6</v>
      </c>
      <c r="AZ31" s="742">
        <v>-1.6</v>
      </c>
      <c r="BA31" s="742">
        <v>-2.8</v>
      </c>
      <c r="BB31" s="742">
        <v>-1.3</v>
      </c>
      <c r="BC31" s="741">
        <v>-1.2</v>
      </c>
      <c r="BD31" s="742">
        <v>-1</v>
      </c>
      <c r="BE31" s="742">
        <v>-1</v>
      </c>
      <c r="BF31" s="742">
        <v>-0.8</v>
      </c>
      <c r="BG31" s="741">
        <v>-0.4</v>
      </c>
      <c r="BH31" s="742">
        <v>-0.7</v>
      </c>
      <c r="BI31" s="742">
        <v>-0.3</v>
      </c>
      <c r="BJ31" s="742">
        <v>-1.5</v>
      </c>
      <c r="BK31" s="741">
        <v>-1.4</v>
      </c>
      <c r="BL31" s="742">
        <v>-1.8</v>
      </c>
      <c r="BM31" s="742">
        <v>-2.2999999999999998</v>
      </c>
      <c r="BN31" s="742">
        <v>-2.5</v>
      </c>
      <c r="BO31" s="741">
        <v>-4.2</v>
      </c>
      <c r="BP31" s="742">
        <v>-4.4000000000000004</v>
      </c>
      <c r="BQ31" s="742">
        <v>-4.2</v>
      </c>
      <c r="BR31" s="742">
        <v>-4.5999999999999996</v>
      </c>
      <c r="BS31" s="741">
        <v>-4.5999999999999996</v>
      </c>
      <c r="BT31" s="779"/>
      <c r="BU31" s="779"/>
      <c r="BV31" s="747"/>
    </row>
    <row r="32" spans="1:74" s="739" customFormat="1" ht="21.6">
      <c r="A32" s="746" t="s">
        <v>1029</v>
      </c>
      <c r="B32" s="765" t="s">
        <v>1030</v>
      </c>
      <c r="C32" s="742"/>
      <c r="D32" s="742"/>
      <c r="E32" s="742"/>
      <c r="F32" s="742"/>
      <c r="G32" s="741"/>
      <c r="H32" s="742"/>
      <c r="I32" s="742"/>
      <c r="J32" s="742"/>
      <c r="K32" s="741"/>
      <c r="L32" s="742"/>
      <c r="M32" s="742"/>
      <c r="N32" s="742"/>
      <c r="O32" s="741"/>
      <c r="P32" s="742"/>
      <c r="Q32" s="742"/>
      <c r="R32" s="742"/>
      <c r="S32" s="741"/>
      <c r="T32" s="742"/>
      <c r="U32" s="742"/>
      <c r="V32" s="742"/>
      <c r="W32" s="741"/>
      <c r="X32" s="742"/>
      <c r="Y32" s="742"/>
      <c r="Z32" s="742"/>
      <c r="AA32" s="741"/>
      <c r="AB32" s="742"/>
      <c r="AC32" s="742"/>
      <c r="AD32" s="742"/>
      <c r="AE32" s="741"/>
      <c r="AF32" s="742"/>
      <c r="AG32" s="742"/>
      <c r="AH32" s="742"/>
      <c r="AI32" s="741"/>
      <c r="AJ32" s="742"/>
      <c r="AK32" s="742"/>
      <c r="AL32" s="742"/>
      <c r="AM32" s="741"/>
      <c r="AN32" s="742"/>
      <c r="AO32" s="742"/>
      <c r="AP32" s="742"/>
      <c r="AQ32" s="741"/>
      <c r="AR32" s="742"/>
      <c r="AS32" s="742"/>
      <c r="AT32" s="742"/>
      <c r="AU32" s="741"/>
      <c r="AV32" s="742"/>
      <c r="AW32" s="742"/>
      <c r="AX32" s="742"/>
      <c r="AY32" s="741"/>
      <c r="AZ32" s="742"/>
      <c r="BA32" s="742"/>
      <c r="BB32" s="742"/>
      <c r="BC32" s="741"/>
      <c r="BD32" s="742"/>
      <c r="BE32" s="742"/>
      <c r="BF32" s="742"/>
      <c r="BG32" s="741"/>
      <c r="BH32" s="742"/>
      <c r="BI32" s="742"/>
      <c r="BJ32" s="742"/>
      <c r="BK32" s="741">
        <v>-33.299999999999997</v>
      </c>
      <c r="BL32" s="742">
        <v>-123</v>
      </c>
      <c r="BM32" s="742">
        <v>-157.19999999999999</v>
      </c>
      <c r="BN32" s="742">
        <v>-176.5</v>
      </c>
      <c r="BO32" s="741">
        <v>-153.30000000000001</v>
      </c>
      <c r="BP32" s="742">
        <v>-154.5</v>
      </c>
      <c r="BQ32" s="742">
        <v>-138.69999999999999</v>
      </c>
      <c r="BR32" s="742">
        <v>-122.1</v>
      </c>
      <c r="BS32" s="741">
        <v>-121.3</v>
      </c>
      <c r="BT32" s="779"/>
      <c r="BU32" s="779"/>
      <c r="BV32" s="747"/>
    </row>
    <row r="33" spans="1:74" s="739" customFormat="1">
      <c r="A33" s="748" t="s">
        <v>1031</v>
      </c>
      <c r="B33" s="780" t="s">
        <v>1032</v>
      </c>
      <c r="C33" s="737">
        <f t="shared" ref="C33:Z33" si="5">SUM(C25:C27)</f>
        <v>-319.89999999999998</v>
      </c>
      <c r="D33" s="737">
        <f t="shared" si="5"/>
        <v>-339.1</v>
      </c>
      <c r="E33" s="737">
        <f t="shared" si="5"/>
        <v>-363.7</v>
      </c>
      <c r="F33" s="737">
        <f t="shared" si="5"/>
        <v>-410.09999999999997</v>
      </c>
      <c r="G33" s="736">
        <f t="shared" si="5"/>
        <v>-467.09999999999997</v>
      </c>
      <c r="H33" s="737">
        <f t="shared" si="5"/>
        <v>-539.5</v>
      </c>
      <c r="I33" s="737">
        <f t="shared" si="5"/>
        <v>-589.19999999999993</v>
      </c>
      <c r="J33" s="737">
        <f t="shared" si="5"/>
        <v>-650.29999999999995</v>
      </c>
      <c r="K33" s="736">
        <f t="shared" si="5"/>
        <v>-549.70000000000005</v>
      </c>
      <c r="L33" s="737">
        <f t="shared" si="5"/>
        <v>-414.29999999999995</v>
      </c>
      <c r="M33" s="737">
        <f t="shared" si="5"/>
        <v>-354.09999999999997</v>
      </c>
      <c r="N33" s="737">
        <f t="shared" si="5"/>
        <v>-357.09999999999997</v>
      </c>
      <c r="O33" s="736">
        <f t="shared" si="5"/>
        <v>-336.40000000000003</v>
      </c>
      <c r="P33" s="737">
        <f t="shared" si="5"/>
        <v>-317.8</v>
      </c>
      <c r="Q33" s="737">
        <f t="shared" si="5"/>
        <v>-337.1</v>
      </c>
      <c r="R33" s="737">
        <f t="shared" si="5"/>
        <v>-329.8</v>
      </c>
      <c r="S33" s="736">
        <f t="shared" si="5"/>
        <v>-337.7</v>
      </c>
      <c r="T33" s="737">
        <f t="shared" si="5"/>
        <v>-374.09999999999997</v>
      </c>
      <c r="U33" s="737">
        <f t="shared" si="5"/>
        <v>-404.90000000000003</v>
      </c>
      <c r="V33" s="737">
        <f t="shared" si="5"/>
        <v>-417.3</v>
      </c>
      <c r="W33" s="736">
        <f t="shared" si="5"/>
        <v>-431.69999999999993</v>
      </c>
      <c r="X33" s="737">
        <f t="shared" si="5"/>
        <v>-431.1</v>
      </c>
      <c r="Y33" s="737">
        <f t="shared" si="5"/>
        <v>-447.7</v>
      </c>
      <c r="Z33" s="737">
        <f t="shared" si="5"/>
        <v>-472.1</v>
      </c>
      <c r="AA33" s="736">
        <f t="shared" ref="AA33:AT33" si="6">SUM(AA25:AA30)</f>
        <v>-449.29999999999995</v>
      </c>
      <c r="AB33" s="737">
        <f t="shared" si="6"/>
        <v>-407.5</v>
      </c>
      <c r="AC33" s="737">
        <f t="shared" si="6"/>
        <v>-369.30000000000007</v>
      </c>
      <c r="AD33" s="737">
        <f t="shared" si="6"/>
        <v>-346</v>
      </c>
      <c r="AE33" s="736">
        <f t="shared" si="6"/>
        <v>-335.89999999999992</v>
      </c>
      <c r="AF33" s="737">
        <f t="shared" si="6"/>
        <v>-350.40000000000003</v>
      </c>
      <c r="AG33" s="737">
        <f t="shared" si="6"/>
        <v>-365.3</v>
      </c>
      <c r="AH33" s="737">
        <f t="shared" si="6"/>
        <v>-342.70000000000005</v>
      </c>
      <c r="AI33" s="736">
        <f t="shared" si="6"/>
        <v>-318</v>
      </c>
      <c r="AJ33" s="737">
        <f t="shared" si="6"/>
        <v>-283.90000000000003</v>
      </c>
      <c r="AK33" s="737">
        <f t="shared" si="6"/>
        <v>-283.89999999999998</v>
      </c>
      <c r="AL33" s="737">
        <f t="shared" si="6"/>
        <v>-275.7</v>
      </c>
      <c r="AM33" s="736">
        <f t="shared" si="6"/>
        <v>-266.89999999999998</v>
      </c>
      <c r="AN33" s="737">
        <f t="shared" si="6"/>
        <v>-270.3</v>
      </c>
      <c r="AO33" s="737">
        <f t="shared" si="6"/>
        <v>-225.6</v>
      </c>
      <c r="AP33" s="737">
        <f t="shared" si="6"/>
        <v>-206.70000000000002</v>
      </c>
      <c r="AQ33" s="736">
        <f t="shared" si="6"/>
        <v>-209.49999999999997</v>
      </c>
      <c r="AR33" s="737">
        <f t="shared" si="6"/>
        <v>-210.1</v>
      </c>
      <c r="AS33" s="737">
        <f t="shared" si="6"/>
        <v>-212.7</v>
      </c>
      <c r="AT33" s="737">
        <f t="shared" si="6"/>
        <v>-215.79999999999998</v>
      </c>
      <c r="AU33" s="736">
        <f t="shared" ref="AU33:BS33" si="7">SUM(AU25:AU32)</f>
        <v>-215.1</v>
      </c>
      <c r="AV33" s="737">
        <f t="shared" si="7"/>
        <v>-230.2</v>
      </c>
      <c r="AW33" s="737">
        <f t="shared" si="7"/>
        <v>-233.5</v>
      </c>
      <c r="AX33" s="737">
        <f t="shared" si="7"/>
        <v>-235.70000000000002</v>
      </c>
      <c r="AY33" s="736">
        <f t="shared" si="7"/>
        <v>-242.89999999999998</v>
      </c>
      <c r="AZ33" s="737">
        <f t="shared" si="7"/>
        <v>-260.90000000000003</v>
      </c>
      <c r="BA33" s="737">
        <f t="shared" si="7"/>
        <v>-239.70000000000002</v>
      </c>
      <c r="BB33" s="737">
        <f t="shared" si="7"/>
        <v>-242.70000000000002</v>
      </c>
      <c r="BC33" s="736">
        <f t="shared" si="7"/>
        <v>-234.50000000000003</v>
      </c>
      <c r="BD33" s="737">
        <f t="shared" si="7"/>
        <v>-204.8</v>
      </c>
      <c r="BE33" s="737">
        <f t="shared" si="7"/>
        <v>-140.99999999999997</v>
      </c>
      <c r="BF33" s="737">
        <f t="shared" si="7"/>
        <v>-124.8</v>
      </c>
      <c r="BG33" s="736">
        <f t="shared" si="7"/>
        <v>-126.00000000000001</v>
      </c>
      <c r="BH33" s="737">
        <f t="shared" si="7"/>
        <v>-122.10000000000001</v>
      </c>
      <c r="BI33" s="737">
        <f t="shared" si="7"/>
        <v>-115.6</v>
      </c>
      <c r="BJ33" s="737">
        <f t="shared" si="7"/>
        <v>-99</v>
      </c>
      <c r="BK33" s="736">
        <f t="shared" si="7"/>
        <v>-119.10000000000001</v>
      </c>
      <c r="BL33" s="737">
        <f t="shared" si="7"/>
        <v>-481</v>
      </c>
      <c r="BM33" s="737">
        <f t="shared" si="7"/>
        <v>-844.89999999999986</v>
      </c>
      <c r="BN33" s="737">
        <f t="shared" si="7"/>
        <v>-1052.9000000000001</v>
      </c>
      <c r="BO33" s="736">
        <f t="shared" si="7"/>
        <v>-1121.7</v>
      </c>
      <c r="BP33" s="737">
        <f t="shared" si="7"/>
        <v>-1080</v>
      </c>
      <c r="BQ33" s="737">
        <f t="shared" si="7"/>
        <v>-1087</v>
      </c>
      <c r="BR33" s="737">
        <f t="shared" si="7"/>
        <v>-949.80000000000018</v>
      </c>
      <c r="BS33" s="736">
        <f t="shared" si="7"/>
        <v>-1069.6000000000001</v>
      </c>
      <c r="BT33" s="779"/>
      <c r="BU33" s="779"/>
      <c r="BV33" s="747"/>
    </row>
    <row r="34" spans="1:74">
      <c r="A34" s="522"/>
      <c r="B34" s="783"/>
      <c r="C34" s="527"/>
      <c r="D34" s="528"/>
      <c r="E34" s="528"/>
      <c r="F34" s="528"/>
      <c r="G34" s="527"/>
      <c r="H34" s="528"/>
      <c r="I34" s="528"/>
      <c r="J34" s="784"/>
      <c r="K34" s="527"/>
      <c r="L34" s="528"/>
      <c r="M34" s="528"/>
      <c r="N34" s="784"/>
      <c r="O34" s="527"/>
      <c r="P34" s="528"/>
      <c r="Q34" s="528"/>
      <c r="R34" s="784"/>
      <c r="S34" s="527"/>
      <c r="T34" s="528"/>
      <c r="U34" s="528"/>
      <c r="V34" s="784"/>
      <c r="W34" s="527"/>
      <c r="X34" s="528"/>
      <c r="Y34" s="528"/>
      <c r="Z34" s="784"/>
      <c r="AA34" s="527"/>
      <c r="AB34" s="528"/>
      <c r="AC34" s="528"/>
      <c r="AD34" s="784"/>
      <c r="AE34" s="527"/>
      <c r="AF34" s="528"/>
      <c r="AG34" s="528"/>
      <c r="AH34" s="784"/>
      <c r="AI34" s="527"/>
      <c r="AJ34" s="528"/>
      <c r="AK34" s="528"/>
      <c r="AL34" s="528"/>
      <c r="AM34" s="527"/>
      <c r="AN34" s="528"/>
      <c r="AO34" s="528"/>
      <c r="AP34" s="528"/>
      <c r="AQ34" s="527"/>
      <c r="AR34" s="528"/>
      <c r="AS34" s="528"/>
      <c r="AT34" s="528"/>
      <c r="AU34" s="527"/>
      <c r="AV34" s="528"/>
      <c r="AW34" s="528"/>
      <c r="AX34" s="528"/>
      <c r="AY34" s="527"/>
      <c r="AZ34" s="528"/>
      <c r="BA34" s="528"/>
      <c r="BB34" s="528"/>
      <c r="BC34" s="527"/>
      <c r="BD34" s="528"/>
      <c r="BE34" s="528"/>
      <c r="BF34" s="528"/>
      <c r="BG34" s="527"/>
      <c r="BH34" s="528"/>
      <c r="BI34" s="528"/>
      <c r="BJ34" s="528"/>
      <c r="BK34" s="527"/>
      <c r="BL34" s="528"/>
      <c r="BM34" s="528"/>
      <c r="BN34" s="528"/>
      <c r="BO34" s="527"/>
      <c r="BP34" s="528"/>
      <c r="BQ34" s="528"/>
      <c r="BR34" s="528"/>
      <c r="BS34" s="527"/>
      <c r="BT34" s="785"/>
      <c r="BU34" s="785"/>
      <c r="BV34" s="529"/>
    </row>
    <row r="35" spans="1:74">
      <c r="A35" s="523" t="s">
        <v>798</v>
      </c>
      <c r="B35" s="523" t="s">
        <v>799</v>
      </c>
      <c r="C35" s="524">
        <f t="shared" ref="C35:BN35" si="8">C22+C33</f>
        <v>236.10000000000002</v>
      </c>
      <c r="D35" s="525">
        <f t="shared" si="8"/>
        <v>246.89999999999986</v>
      </c>
      <c r="E35" s="525">
        <f t="shared" si="8"/>
        <v>254.59999999999997</v>
      </c>
      <c r="F35" s="525">
        <f t="shared" si="8"/>
        <v>263.2</v>
      </c>
      <c r="G35" s="524">
        <f t="shared" si="8"/>
        <v>283.40302757000001</v>
      </c>
      <c r="H35" s="525">
        <f t="shared" si="8"/>
        <v>315.79263037999988</v>
      </c>
      <c r="I35" s="525">
        <f t="shared" si="8"/>
        <v>320.90466633000005</v>
      </c>
      <c r="J35" s="526">
        <f t="shared" si="8"/>
        <v>332.49967572000003</v>
      </c>
      <c r="K35" s="524">
        <f t="shared" si="8"/>
        <v>311.10000000000002</v>
      </c>
      <c r="L35" s="525">
        <f t="shared" si="8"/>
        <v>359</v>
      </c>
      <c r="M35" s="525">
        <f t="shared" si="8"/>
        <v>378.00000000000017</v>
      </c>
      <c r="N35" s="526">
        <f t="shared" si="8"/>
        <v>354.39999999999992</v>
      </c>
      <c r="O35" s="524">
        <f t="shared" si="8"/>
        <v>390.39999999999992</v>
      </c>
      <c r="P35" s="525">
        <f t="shared" si="8"/>
        <v>405.3</v>
      </c>
      <c r="Q35" s="525">
        <f t="shared" si="8"/>
        <v>410.20000000000005</v>
      </c>
      <c r="R35" s="526">
        <f t="shared" si="8"/>
        <v>421.7000000000001</v>
      </c>
      <c r="S35" s="524">
        <f t="shared" si="8"/>
        <v>434.89999999999981</v>
      </c>
      <c r="T35" s="525">
        <f t="shared" si="8"/>
        <v>459.50000000000006</v>
      </c>
      <c r="U35" s="525">
        <f t="shared" si="8"/>
        <v>477.40000000000003</v>
      </c>
      <c r="V35" s="526">
        <f t="shared" si="8"/>
        <v>479.7</v>
      </c>
      <c r="W35" s="524">
        <f t="shared" si="8"/>
        <v>513.50000000000011</v>
      </c>
      <c r="X35" s="525">
        <f t="shared" si="8"/>
        <v>514.09999999999991</v>
      </c>
      <c r="Y35" s="525">
        <f t="shared" si="8"/>
        <v>515.5</v>
      </c>
      <c r="Z35" s="526">
        <f t="shared" si="8"/>
        <v>505.80000000000007</v>
      </c>
      <c r="AA35" s="524">
        <f t="shared" si="8"/>
        <v>475.79999999999995</v>
      </c>
      <c r="AB35" s="525">
        <f t="shared" si="8"/>
        <v>495.29999999999995</v>
      </c>
      <c r="AC35" s="525">
        <f t="shared" si="8"/>
        <v>526.09999999999968</v>
      </c>
      <c r="AD35" s="526">
        <f t="shared" si="8"/>
        <v>545.4</v>
      </c>
      <c r="AE35" s="524">
        <f t="shared" si="8"/>
        <v>567.90000000000009</v>
      </c>
      <c r="AF35" s="525">
        <f t="shared" si="8"/>
        <v>582.19999999999982</v>
      </c>
      <c r="AG35" s="525">
        <f t="shared" si="8"/>
        <v>596.90000000000009</v>
      </c>
      <c r="AH35" s="526">
        <f t="shared" si="8"/>
        <v>583.19999999999993</v>
      </c>
      <c r="AI35" s="524">
        <f t="shared" si="8"/>
        <v>569</v>
      </c>
      <c r="AJ35" s="525">
        <f t="shared" si="8"/>
        <v>594.09999999999991</v>
      </c>
      <c r="AK35" s="525">
        <f t="shared" si="8"/>
        <v>644.6</v>
      </c>
      <c r="AL35" s="525">
        <f t="shared" si="8"/>
        <v>659.40000000000009</v>
      </c>
      <c r="AM35" s="524">
        <f t="shared" si="8"/>
        <v>668.1</v>
      </c>
      <c r="AN35" s="525">
        <f t="shared" si="8"/>
        <v>690.90000000000009</v>
      </c>
      <c r="AO35" s="525">
        <f t="shared" si="8"/>
        <v>784.90000000000009</v>
      </c>
      <c r="AP35" s="525">
        <f t="shared" si="8"/>
        <v>809.49999999999977</v>
      </c>
      <c r="AQ35" s="524">
        <f t="shared" si="8"/>
        <v>794.8</v>
      </c>
      <c r="AR35" s="525">
        <f t="shared" si="8"/>
        <v>830.49999999999989</v>
      </c>
      <c r="AS35" s="525">
        <f t="shared" si="8"/>
        <v>868.90000000000009</v>
      </c>
      <c r="AT35" s="525">
        <f t="shared" si="8"/>
        <v>895.20000000000027</v>
      </c>
      <c r="AU35" s="524">
        <f t="shared" si="8"/>
        <v>882.99999999999989</v>
      </c>
      <c r="AV35" s="525">
        <f t="shared" si="8"/>
        <v>920</v>
      </c>
      <c r="AW35" s="525">
        <f t="shared" si="8"/>
        <v>961.2</v>
      </c>
      <c r="AX35" s="525">
        <f t="shared" si="8"/>
        <v>995.09999999999991</v>
      </c>
      <c r="AY35" s="524">
        <f t="shared" si="8"/>
        <v>1020.1999999999999</v>
      </c>
      <c r="AZ35" s="525">
        <f t="shared" si="8"/>
        <v>1053.1999999999998</v>
      </c>
      <c r="BA35" s="525">
        <f t="shared" si="8"/>
        <v>1127.8</v>
      </c>
      <c r="BB35" s="525">
        <f t="shared" si="8"/>
        <v>1123.8999999999996</v>
      </c>
      <c r="BC35" s="524">
        <f t="shared" si="8"/>
        <v>1152.1000000000001</v>
      </c>
      <c r="BD35" s="525">
        <f t="shared" si="8"/>
        <v>1099.2</v>
      </c>
      <c r="BE35" s="525">
        <f t="shared" si="8"/>
        <v>1136.3</v>
      </c>
      <c r="BF35" s="525">
        <f t="shared" si="8"/>
        <v>1154.2</v>
      </c>
      <c r="BG35" s="524">
        <f t="shared" si="8"/>
        <v>1141.6000000000001</v>
      </c>
      <c r="BH35" s="525">
        <f t="shared" si="8"/>
        <v>1175</v>
      </c>
      <c r="BI35" s="525">
        <f t="shared" si="8"/>
        <v>1236.7</v>
      </c>
      <c r="BJ35" s="525">
        <f t="shared" si="8"/>
        <v>1416.4</v>
      </c>
      <c r="BK35" s="524">
        <f t="shared" si="8"/>
        <v>1732.6000000000001</v>
      </c>
      <c r="BL35" s="525">
        <f t="shared" si="8"/>
        <v>1898.5</v>
      </c>
      <c r="BM35" s="525">
        <f t="shared" si="8"/>
        <v>173.30000000000018</v>
      </c>
      <c r="BN35" s="525">
        <f t="shared" si="8"/>
        <v>1809.6</v>
      </c>
      <c r="BO35" s="524">
        <f t="shared" ref="BO35:BS35" si="9">BO22+BO33</f>
        <v>1860.3999999999999</v>
      </c>
      <c r="BP35" s="525">
        <f t="shared" si="9"/>
        <v>2054.0000000000005</v>
      </c>
      <c r="BQ35" s="525">
        <f t="shared" si="9"/>
        <v>2089.9</v>
      </c>
      <c r="BR35" s="525">
        <f t="shared" si="9"/>
        <v>2166.1999999999998</v>
      </c>
      <c r="BS35" s="524">
        <f t="shared" si="9"/>
        <v>2162.5999999999995</v>
      </c>
      <c r="BT35" s="529"/>
      <c r="BU35" s="529"/>
      <c r="BV35" s="529"/>
    </row>
    <row r="36" spans="1:74">
      <c r="AU36" s="515"/>
      <c r="AV36" s="515"/>
      <c r="AW36" s="515"/>
      <c r="AX36" s="515"/>
      <c r="AY36" s="515"/>
      <c r="AZ36" s="515"/>
      <c r="BA36" s="515"/>
      <c r="BB36" s="515"/>
      <c r="BC36" s="515"/>
      <c r="BD36" s="515"/>
      <c r="BE36" s="515"/>
      <c r="BF36" s="515"/>
      <c r="BG36" s="515"/>
      <c r="BH36" s="515"/>
      <c r="BI36" s="515"/>
      <c r="BJ36" s="515"/>
      <c r="BK36" s="515"/>
      <c r="BL36" s="515"/>
      <c r="BM36" s="515"/>
      <c r="BN36" s="515"/>
      <c r="BO36" s="515"/>
      <c r="BP36" s="515"/>
      <c r="BQ36" s="515"/>
      <c r="BR36" s="515"/>
      <c r="BS36" s="515"/>
      <c r="BT36" s="514"/>
      <c r="BU36" s="514"/>
      <c r="BV36" s="514"/>
    </row>
  </sheetData>
  <mergeCells count="24">
    <mergeCell ref="BG3:BJ3"/>
    <mergeCell ref="BK3:BN3"/>
    <mergeCell ref="BO3:BR3"/>
    <mergeCell ref="BS3:BV3"/>
    <mergeCell ref="AM3:AP3"/>
    <mergeCell ref="AQ3:AT3"/>
    <mergeCell ref="AU3:AX3"/>
    <mergeCell ref="AY3:BB3"/>
    <mergeCell ref="BC3:BF3"/>
    <mergeCell ref="A3:A4"/>
    <mergeCell ref="B3:B4"/>
    <mergeCell ref="C3:F3"/>
    <mergeCell ref="G3:J3"/>
    <mergeCell ref="K3:N3"/>
    <mergeCell ref="C16:C19"/>
    <mergeCell ref="D16:D19"/>
    <mergeCell ref="E16:E19"/>
    <mergeCell ref="F16:F19"/>
    <mergeCell ref="S3:V3"/>
    <mergeCell ref="W3:Z3"/>
    <mergeCell ref="AA3:AD3"/>
    <mergeCell ref="AE3:AH3"/>
    <mergeCell ref="O3:R3"/>
    <mergeCell ref="AI3:AL3"/>
  </mergeCells>
  <hyperlinks>
    <hyperlink ref="A1:B1" location="'Spis tresci_Table of content'!Print_Area" display="Go back to Table of content" xr:uid="{B6169D2A-F6C6-4528-9A99-BFC3D4FC3DD1}"/>
    <hyperlink ref="B1" location="'Spis tresci_Table of content'!A1" display="Powrót do spisu treści" xr:uid="{01F2D954-7CD5-4019-934F-061FFAD3C8A1}"/>
    <hyperlink ref="A1" location="'Spis tresci_Table of content'!A1" display="Go back to Table of content" xr:uid="{E4067AB6-5073-4652-9389-84637EA560F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5D163-DAA6-41AD-A660-4F69391CC53C}">
  <sheetPr>
    <pageSetUpPr fitToPage="1"/>
  </sheetPr>
  <dimension ref="A1:BV62"/>
  <sheetViews>
    <sheetView showGridLines="0" zoomScaleNormal="100" zoomScaleSheetLayoutView="100" zoomScalePageLayoutView="80" workbookViewId="0">
      <pane xSplit="2" ySplit="5" topLeftCell="BP6" activePane="bottomRight" state="frozen"/>
      <selection activeCell="B1" sqref="B1"/>
      <selection pane="topRight" activeCell="C1" sqref="C1"/>
      <selection pane="bottomLeft" activeCell="B5" sqref="B5"/>
      <selection pane="bottomRight"/>
    </sheetView>
  </sheetViews>
  <sheetFormatPr defaultColWidth="0" defaultRowHeight="13.8" customHeight="1" zeroHeight="1"/>
  <cols>
    <col min="1" max="1" width="49.88671875" style="4" bestFit="1" customWidth="1"/>
    <col min="2" max="2" width="66" style="4" bestFit="1" customWidth="1"/>
    <col min="3" max="35" width="7" style="151" bestFit="1" customWidth="1"/>
    <col min="36" max="49" width="7.88671875" style="151" bestFit="1" customWidth="1"/>
    <col min="50" max="50" width="7.88671875" style="2" bestFit="1" customWidth="1"/>
    <col min="51" max="53" width="7.88671875" style="151" bestFit="1" customWidth="1"/>
    <col min="54" max="54" width="7.88671875" style="2" bestFit="1" customWidth="1"/>
    <col min="55" max="57" width="7.88671875" style="151" bestFit="1" customWidth="1"/>
    <col min="58" max="58" width="7.88671875" style="2" bestFit="1" customWidth="1"/>
    <col min="59" max="61" width="7.88671875" style="151" bestFit="1" customWidth="1"/>
    <col min="62" max="62" width="7.88671875" style="2" bestFit="1" customWidth="1"/>
    <col min="63" max="65" width="7.88671875" style="151" bestFit="1" customWidth="1"/>
    <col min="66" max="66" width="7.88671875" style="2" bestFit="1" customWidth="1"/>
    <col min="67" max="69" width="7.88671875" style="151" bestFit="1" customWidth="1"/>
    <col min="70" max="70" width="7.88671875" style="2" bestFit="1" customWidth="1"/>
    <col min="71"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2"/>
      <c r="AC1" s="2"/>
      <c r="AD1" s="2"/>
      <c r="AE1" s="2"/>
      <c r="AF1" s="2"/>
      <c r="AG1" s="2"/>
      <c r="AH1" s="2"/>
      <c r="AI1" s="2"/>
      <c r="AJ1" s="2"/>
      <c r="AK1" s="2"/>
      <c r="AL1" s="2"/>
      <c r="AM1" s="2"/>
      <c r="AN1" s="2"/>
      <c r="AO1" s="2"/>
      <c r="AP1" s="2"/>
      <c r="AQ1" s="2"/>
      <c r="AR1" s="2"/>
      <c r="AS1" s="2"/>
      <c r="AT1" s="2"/>
      <c r="AU1" s="2"/>
      <c r="AV1" s="2"/>
      <c r="AW1" s="2"/>
      <c r="AZ1" s="2"/>
      <c r="BA1" s="2"/>
      <c r="BC1" s="2"/>
      <c r="BD1" s="2"/>
      <c r="BE1" s="2"/>
      <c r="BG1" s="2"/>
      <c r="BH1" s="2"/>
      <c r="BI1" s="2"/>
      <c r="BK1" s="2"/>
      <c r="BL1" s="2"/>
      <c r="BM1" s="2"/>
      <c r="BO1" s="2"/>
      <c r="BP1" s="2"/>
      <c r="BQ1" s="2"/>
    </row>
    <row r="2" spans="1:74" ht="12.75" customHeight="1">
      <c r="A2" s="152" t="s">
        <v>579</v>
      </c>
      <c r="B2" s="152" t="s">
        <v>497</v>
      </c>
      <c r="H2" s="432"/>
    </row>
    <row r="3" spans="1:74" ht="13.5" customHeight="1">
      <c r="A3" s="536" t="s">
        <v>734</v>
      </c>
      <c r="B3" s="536" t="s">
        <v>735</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5"/>
      <c r="AI3" s="533">
        <v>2015</v>
      </c>
      <c r="AJ3" s="534"/>
      <c r="AK3" s="534"/>
      <c r="AL3" s="534"/>
      <c r="AM3" s="533">
        <v>2016</v>
      </c>
      <c r="AN3" s="534"/>
      <c r="AO3" s="534"/>
      <c r="AP3" s="534"/>
      <c r="AQ3" s="540">
        <v>2017</v>
      </c>
      <c r="AR3" s="534"/>
      <c r="AS3" s="534"/>
      <c r="AT3" s="534"/>
      <c r="AU3" s="540">
        <v>2018</v>
      </c>
      <c r="AV3" s="534"/>
      <c r="AW3" s="547"/>
      <c r="AX3" s="547"/>
      <c r="AY3" s="540">
        <v>2019</v>
      </c>
      <c r="AZ3" s="534"/>
      <c r="BA3" s="547"/>
      <c r="BB3" s="547"/>
      <c r="BC3" s="540">
        <v>2020</v>
      </c>
      <c r="BD3" s="534"/>
      <c r="BE3" s="547"/>
      <c r="BF3" s="547"/>
      <c r="BG3" s="540">
        <v>2021</v>
      </c>
      <c r="BH3" s="534"/>
      <c r="BI3" s="547"/>
      <c r="BJ3" s="547"/>
      <c r="BK3" s="540">
        <v>2022</v>
      </c>
      <c r="BL3" s="534"/>
      <c r="BM3" s="547"/>
      <c r="BN3" s="547"/>
      <c r="BO3" s="540">
        <v>2023</v>
      </c>
      <c r="BP3" s="534"/>
      <c r="BQ3" s="547"/>
      <c r="BR3" s="547"/>
      <c r="BS3" s="540">
        <v>2024</v>
      </c>
      <c r="BT3" s="534"/>
      <c r="BU3" s="547"/>
      <c r="BV3" s="547"/>
    </row>
    <row r="4" spans="1:74" ht="13.5" customHeight="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1" t="s">
        <v>8</v>
      </c>
      <c r="AB4" s="12" t="s">
        <v>9</v>
      </c>
      <c r="AC4" s="12" t="s">
        <v>10</v>
      </c>
      <c r="AD4" s="13" t="s">
        <v>11</v>
      </c>
      <c r="AE4" s="11" t="s">
        <v>8</v>
      </c>
      <c r="AF4" s="12" t="s">
        <v>9</v>
      </c>
      <c r="AG4" s="12" t="s">
        <v>10</v>
      </c>
      <c r="AH4" s="12" t="s">
        <v>11</v>
      </c>
      <c r="AI4" s="11" t="s">
        <v>8</v>
      </c>
      <c r="AJ4" s="12" t="s">
        <v>9</v>
      </c>
      <c r="AK4" s="12" t="s">
        <v>10</v>
      </c>
      <c r="AL4" s="12" t="s">
        <v>11</v>
      </c>
      <c r="AM4" s="11" t="s">
        <v>8</v>
      </c>
      <c r="AN4" s="12" t="s">
        <v>9</v>
      </c>
      <c r="AO4" s="12" t="s">
        <v>10</v>
      </c>
      <c r="AP4" s="12" t="s">
        <v>11</v>
      </c>
      <c r="AQ4" s="11" t="s">
        <v>8</v>
      </c>
      <c r="AR4" s="12" t="s">
        <v>9</v>
      </c>
      <c r="AS4" s="12" t="s">
        <v>10</v>
      </c>
      <c r="AT4" s="12" t="s">
        <v>11</v>
      </c>
      <c r="AU4" s="11" t="s">
        <v>8</v>
      </c>
      <c r="AV4" s="12" t="s">
        <v>9</v>
      </c>
      <c r="AW4" s="12" t="s">
        <v>10</v>
      </c>
      <c r="AX4" s="12" t="s">
        <v>11</v>
      </c>
      <c r="AY4" s="11"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s="150" customFormat="1" ht="12.75" customHeight="1">
      <c r="A5" s="17" t="s">
        <v>12</v>
      </c>
      <c r="B5" s="17" t="s">
        <v>13</v>
      </c>
      <c r="C5" s="22"/>
      <c r="D5" s="23"/>
      <c r="E5" s="17"/>
      <c r="F5" s="23"/>
      <c r="G5" s="22"/>
      <c r="H5" s="23"/>
      <c r="I5" s="17"/>
      <c r="J5" s="24"/>
      <c r="K5" s="22"/>
      <c r="L5" s="23"/>
      <c r="M5" s="17"/>
      <c r="N5" s="24"/>
      <c r="O5" s="22"/>
      <c r="P5" s="23"/>
      <c r="Q5" s="17"/>
      <c r="R5" s="24"/>
      <c r="S5" s="22"/>
      <c r="T5" s="23"/>
      <c r="U5" s="17"/>
      <c r="V5" s="24"/>
      <c r="W5" s="22"/>
      <c r="X5" s="17"/>
      <c r="Y5" s="17"/>
      <c r="Z5" s="25"/>
      <c r="AA5" s="22"/>
      <c r="AB5" s="17"/>
      <c r="AC5" s="17"/>
      <c r="AD5" s="25"/>
      <c r="AE5" s="22"/>
      <c r="AF5" s="17"/>
      <c r="AG5" s="17"/>
      <c r="AH5" s="17"/>
      <c r="AI5" s="22"/>
      <c r="AJ5" s="17"/>
      <c r="AK5" s="17"/>
      <c r="AL5" s="17"/>
      <c r="AM5" s="22"/>
      <c r="AN5" s="17"/>
      <c r="AO5" s="17"/>
      <c r="AP5" s="17"/>
      <c r="AQ5" s="22"/>
      <c r="AR5" s="17"/>
      <c r="AS5" s="17"/>
      <c r="AT5" s="17"/>
      <c r="AU5" s="22"/>
      <c r="AV5" s="17"/>
      <c r="AW5" s="17"/>
      <c r="AX5" s="17"/>
      <c r="AY5" s="22"/>
      <c r="AZ5" s="17"/>
      <c r="BA5" s="17"/>
      <c r="BB5" s="17"/>
      <c r="BC5" s="22"/>
      <c r="BD5" s="17"/>
      <c r="BE5" s="17"/>
      <c r="BF5" s="17"/>
      <c r="BG5" s="22"/>
      <c r="BH5" s="17"/>
      <c r="BI5" s="17"/>
      <c r="BJ5" s="17"/>
      <c r="BK5" s="22"/>
      <c r="BL5" s="17"/>
      <c r="BM5" s="17"/>
      <c r="BN5" s="17"/>
      <c r="BO5" s="22"/>
      <c r="BP5" s="17"/>
      <c r="BQ5" s="17"/>
      <c r="BR5" s="17"/>
      <c r="BS5" s="22"/>
    </row>
    <row r="6" spans="1:74" s="164" customFormat="1" ht="10.8">
      <c r="A6" s="177" t="s">
        <v>736</v>
      </c>
      <c r="B6" s="177" t="s">
        <v>737</v>
      </c>
      <c r="C6" s="180">
        <f t="shared" ref="C6:BN6" si="0">+C8+C10+C11+C9+C12+C7</f>
        <v>44208.1</v>
      </c>
      <c r="D6" s="181">
        <f t="shared" si="0"/>
        <v>44852.6</v>
      </c>
      <c r="E6" s="181">
        <f t="shared" si="0"/>
        <v>43729.1</v>
      </c>
      <c r="F6" s="181">
        <f t="shared" si="0"/>
        <v>42797.399999999994</v>
      </c>
      <c r="G6" s="180">
        <f t="shared" si="0"/>
        <v>47718.8</v>
      </c>
      <c r="H6" s="181">
        <f t="shared" si="0"/>
        <v>48074.1</v>
      </c>
      <c r="I6" s="181">
        <f t="shared" si="0"/>
        <v>51163.7</v>
      </c>
      <c r="J6" s="182">
        <f t="shared" si="0"/>
        <v>53147.700000000004</v>
      </c>
      <c r="K6" s="180">
        <f t="shared" si="0"/>
        <v>49686.400000000001</v>
      </c>
      <c r="L6" s="181">
        <f t="shared" si="0"/>
        <v>49064.800000000003</v>
      </c>
      <c r="M6" s="181">
        <f t="shared" si="0"/>
        <v>48775</v>
      </c>
      <c r="N6" s="182">
        <f t="shared" si="0"/>
        <v>48690.2</v>
      </c>
      <c r="O6" s="180">
        <f t="shared" si="0"/>
        <v>55579.5</v>
      </c>
      <c r="P6" s="181">
        <f t="shared" si="0"/>
        <v>56976.600000000006</v>
      </c>
      <c r="Q6" s="181">
        <f t="shared" si="0"/>
        <v>55267.4</v>
      </c>
      <c r="R6" s="182">
        <f t="shared" si="0"/>
        <v>61195.899999999994</v>
      </c>
      <c r="S6" s="180">
        <f t="shared" si="0"/>
        <v>62807.1</v>
      </c>
      <c r="T6" s="181">
        <f t="shared" si="0"/>
        <v>64535.200000000004</v>
      </c>
      <c r="U6" s="181">
        <f t="shared" si="0"/>
        <v>69294.399999999994</v>
      </c>
      <c r="V6" s="182">
        <f t="shared" si="0"/>
        <v>65725</v>
      </c>
      <c r="W6" s="180">
        <f t="shared" si="0"/>
        <v>68001.399999999994</v>
      </c>
      <c r="X6" s="181">
        <f t="shared" si="0"/>
        <v>66654.599999999991</v>
      </c>
      <c r="Y6" s="181">
        <f t="shared" si="0"/>
        <v>69028</v>
      </c>
      <c r="Z6" s="182">
        <f t="shared" si="0"/>
        <v>73427.7</v>
      </c>
      <c r="AA6" s="180">
        <f t="shared" si="0"/>
        <v>73324.800000000003</v>
      </c>
      <c r="AB6" s="181">
        <f t="shared" si="0"/>
        <v>76721.399999999994</v>
      </c>
      <c r="AC6" s="181">
        <f t="shared" si="0"/>
        <v>80225</v>
      </c>
      <c r="AD6" s="182">
        <f t="shared" si="0"/>
        <v>81792.100000000006</v>
      </c>
      <c r="AE6" s="180">
        <f t="shared" si="0"/>
        <v>86618.599999999991</v>
      </c>
      <c r="AF6" s="181">
        <f t="shared" si="0"/>
        <v>92269.099999999991</v>
      </c>
      <c r="AG6" s="181">
        <f t="shared" si="0"/>
        <v>91787.8</v>
      </c>
      <c r="AH6" s="182">
        <f t="shared" si="0"/>
        <v>94143.5</v>
      </c>
      <c r="AI6" s="180">
        <f t="shared" si="0"/>
        <v>95798.9</v>
      </c>
      <c r="AJ6" s="181">
        <f t="shared" si="0"/>
        <v>100102.8</v>
      </c>
      <c r="AK6" s="181">
        <f t="shared" si="0"/>
        <v>106076.7</v>
      </c>
      <c r="AL6" s="181">
        <f t="shared" si="0"/>
        <v>104411.9</v>
      </c>
      <c r="AM6" s="180">
        <f t="shared" si="0"/>
        <v>107678.99999999999</v>
      </c>
      <c r="AN6" s="181">
        <f t="shared" si="0"/>
        <v>111031.2</v>
      </c>
      <c r="AO6" s="181">
        <f t="shared" si="0"/>
        <v>112371.9</v>
      </c>
      <c r="AP6" s="181">
        <f t="shared" si="0"/>
        <v>111977.8</v>
      </c>
      <c r="AQ6" s="180">
        <f t="shared" si="0"/>
        <v>114604</v>
      </c>
      <c r="AR6" s="181">
        <f t="shared" si="0"/>
        <v>114900.6</v>
      </c>
      <c r="AS6" s="181">
        <f t="shared" si="0"/>
        <v>118416.09999999999</v>
      </c>
      <c r="AT6" s="181">
        <f t="shared" si="0"/>
        <v>122756.6</v>
      </c>
      <c r="AU6" s="180">
        <f t="shared" si="0"/>
        <v>124184.29999999999</v>
      </c>
      <c r="AV6" s="181">
        <f t="shared" si="0"/>
        <v>126765.8</v>
      </c>
      <c r="AW6" s="181">
        <f t="shared" si="0"/>
        <v>130797.5</v>
      </c>
      <c r="AX6" s="181">
        <f t="shared" si="0"/>
        <v>137768.1</v>
      </c>
      <c r="AY6" s="180">
        <f t="shared" si="0"/>
        <v>140836</v>
      </c>
      <c r="AZ6" s="181">
        <f t="shared" si="0"/>
        <v>145488.4</v>
      </c>
      <c r="BA6" s="181">
        <f t="shared" si="0"/>
        <v>152095.1</v>
      </c>
      <c r="BB6" s="181">
        <f t="shared" si="0"/>
        <v>155086.5</v>
      </c>
      <c r="BC6" s="180">
        <f t="shared" si="0"/>
        <v>167564.09999999998</v>
      </c>
      <c r="BD6" s="181">
        <f t="shared" si="0"/>
        <v>177429.89999999997</v>
      </c>
      <c r="BE6" s="181">
        <f t="shared" si="0"/>
        <v>181445.1</v>
      </c>
      <c r="BF6" s="181">
        <f t="shared" si="0"/>
        <v>182555.59999999998</v>
      </c>
      <c r="BG6" s="180">
        <f t="shared" si="0"/>
        <v>190877.3</v>
      </c>
      <c r="BH6" s="181">
        <f t="shared" si="0"/>
        <v>193314.19999999998</v>
      </c>
      <c r="BI6" s="181">
        <f t="shared" si="0"/>
        <v>195885</v>
      </c>
      <c r="BJ6" s="181">
        <f t="shared" si="0"/>
        <v>196456.5</v>
      </c>
      <c r="BK6" s="180">
        <f t="shared" si="0"/>
        <v>204353.89999999997</v>
      </c>
      <c r="BL6" s="181">
        <f t="shared" si="0"/>
        <v>204124.79999999999</v>
      </c>
      <c r="BM6" s="181">
        <f t="shared" si="0"/>
        <v>204751.6</v>
      </c>
      <c r="BN6" s="181">
        <f t="shared" si="0"/>
        <v>211209.1</v>
      </c>
      <c r="BO6" s="180">
        <f t="shared" ref="BO6:BS6" si="1">+BO8+BO10+BO11+BO9+BO12+BO7</f>
        <v>222557.09999999998</v>
      </c>
      <c r="BP6" s="181">
        <f t="shared" si="1"/>
        <v>222423.59999999998</v>
      </c>
      <c r="BQ6" s="181">
        <f t="shared" si="1"/>
        <v>227988.2</v>
      </c>
      <c r="BR6" s="181">
        <f t="shared" si="1"/>
        <v>240168.5</v>
      </c>
      <c r="BS6" s="180">
        <f t="shared" si="1"/>
        <v>247930.8</v>
      </c>
    </row>
    <row r="7" spans="1:74" s="164" customFormat="1" ht="10.8">
      <c r="A7" s="163" t="s">
        <v>502</v>
      </c>
      <c r="B7" s="163" t="s">
        <v>503</v>
      </c>
      <c r="C7" s="183">
        <v>1807.6</v>
      </c>
      <c r="D7" s="184">
        <v>2608.9</v>
      </c>
      <c r="E7" s="184">
        <v>1593</v>
      </c>
      <c r="F7" s="184">
        <v>1841.7</v>
      </c>
      <c r="G7" s="183">
        <v>1661.3</v>
      </c>
      <c r="H7" s="184">
        <v>1622.9</v>
      </c>
      <c r="I7" s="184">
        <v>2151.3000000000002</v>
      </c>
      <c r="J7" s="185">
        <v>1369.8</v>
      </c>
      <c r="K7" s="183">
        <v>1584.3</v>
      </c>
      <c r="L7" s="184">
        <v>903.3</v>
      </c>
      <c r="M7" s="184">
        <v>1686</v>
      </c>
      <c r="N7" s="185">
        <v>2656.6</v>
      </c>
      <c r="O7" s="183">
        <v>2387.8000000000002</v>
      </c>
      <c r="P7" s="184">
        <v>2158.5</v>
      </c>
      <c r="Q7" s="184">
        <v>1265.0999999999999</v>
      </c>
      <c r="R7" s="185">
        <v>2394.1999999999998</v>
      </c>
      <c r="S7" s="183">
        <v>1401.5</v>
      </c>
      <c r="T7" s="184">
        <v>1566.6</v>
      </c>
      <c r="U7" s="184">
        <v>4064.9</v>
      </c>
      <c r="V7" s="185">
        <v>1493.1</v>
      </c>
      <c r="W7" s="183">
        <v>1558.1</v>
      </c>
      <c r="X7" s="184">
        <v>2321.1999999999998</v>
      </c>
      <c r="Y7" s="184">
        <v>2126</v>
      </c>
      <c r="Z7" s="185">
        <v>4071.6</v>
      </c>
      <c r="AA7" s="183">
        <v>3534.4</v>
      </c>
      <c r="AB7" s="184">
        <v>1673.5</v>
      </c>
      <c r="AC7" s="184">
        <v>4577.6000000000004</v>
      </c>
      <c r="AD7" s="185">
        <v>6970.1</v>
      </c>
      <c r="AE7" s="183">
        <v>7304.2</v>
      </c>
      <c r="AF7" s="184">
        <v>7857.1</v>
      </c>
      <c r="AG7" s="184">
        <v>3008</v>
      </c>
      <c r="AH7" s="185">
        <v>5330.7</v>
      </c>
      <c r="AI7" s="183">
        <v>2392.5</v>
      </c>
      <c r="AJ7" s="184">
        <v>2864.7</v>
      </c>
      <c r="AK7" s="184">
        <v>3940.7</v>
      </c>
      <c r="AL7" s="184">
        <v>3589.7</v>
      </c>
      <c r="AM7" s="183">
        <v>3565.7</v>
      </c>
      <c r="AN7" s="184">
        <v>1286.5999999999999</v>
      </c>
      <c r="AO7" s="184">
        <v>1299.0999999999999</v>
      </c>
      <c r="AP7" s="184">
        <v>1825</v>
      </c>
      <c r="AQ7" s="183">
        <v>1250</v>
      </c>
      <c r="AR7" s="184">
        <v>1351.9</v>
      </c>
      <c r="AS7" s="184">
        <v>1638.2</v>
      </c>
      <c r="AT7" s="184">
        <v>2815.2</v>
      </c>
      <c r="AU7" s="183">
        <v>2042.4</v>
      </c>
      <c r="AV7" s="184">
        <v>1781.5</v>
      </c>
      <c r="AW7" s="184">
        <v>1529.8</v>
      </c>
      <c r="AX7" s="184">
        <v>1237.3999999999999</v>
      </c>
      <c r="AY7" s="183">
        <v>1760.3000000000002</v>
      </c>
      <c r="AZ7" s="184">
        <v>2293.5</v>
      </c>
      <c r="BA7" s="184">
        <v>2792.5</v>
      </c>
      <c r="BB7" s="184">
        <v>1402.9</v>
      </c>
      <c r="BC7" s="183">
        <v>1740.5</v>
      </c>
      <c r="BD7" s="184">
        <v>1910.3000000000002</v>
      </c>
      <c r="BE7" s="184">
        <v>1193.6000000000001</v>
      </c>
      <c r="BF7" s="184">
        <v>867.3</v>
      </c>
      <c r="BG7" s="183">
        <v>899.8</v>
      </c>
      <c r="BH7" s="184">
        <v>850.8</v>
      </c>
      <c r="BI7" s="184">
        <v>747.1</v>
      </c>
      <c r="BJ7" s="184">
        <v>1100</v>
      </c>
      <c r="BK7" s="183">
        <v>4998.3</v>
      </c>
      <c r="BL7" s="184">
        <v>2718.1000000000004</v>
      </c>
      <c r="BM7" s="184">
        <v>2069.5</v>
      </c>
      <c r="BN7" s="184">
        <v>2337.6</v>
      </c>
      <c r="BO7" s="183">
        <v>6706.5</v>
      </c>
      <c r="BP7" s="184">
        <v>2267.8000000000002</v>
      </c>
      <c r="BQ7" s="184">
        <v>3389.9</v>
      </c>
      <c r="BR7" s="184">
        <v>6751.4</v>
      </c>
      <c r="BS7" s="183">
        <v>4217.3999999999996</v>
      </c>
    </row>
    <row r="8" spans="1:74" s="164" customFormat="1" ht="10.8">
      <c r="A8" s="163" t="s">
        <v>504</v>
      </c>
      <c r="B8" s="163" t="s">
        <v>505</v>
      </c>
      <c r="C8" s="183">
        <v>16614.2</v>
      </c>
      <c r="D8" s="184">
        <v>18078.900000000001</v>
      </c>
      <c r="E8" s="184">
        <v>17532.8</v>
      </c>
      <c r="F8" s="184">
        <v>15183.7</v>
      </c>
      <c r="G8" s="183">
        <v>14080.6</v>
      </c>
      <c r="H8" s="184">
        <v>9002</v>
      </c>
      <c r="I8" s="184">
        <v>7244.5</v>
      </c>
      <c r="J8" s="185">
        <v>7787.2</v>
      </c>
      <c r="K8" s="183">
        <v>2947.5</v>
      </c>
      <c r="L8" s="184">
        <v>3233.7</v>
      </c>
      <c r="M8" s="184">
        <v>3639.9</v>
      </c>
      <c r="N8" s="185">
        <v>1184.0999999999999</v>
      </c>
      <c r="O8" s="183">
        <v>1280.7</v>
      </c>
      <c r="P8" s="184">
        <v>1940.1</v>
      </c>
      <c r="Q8" s="184">
        <v>1859.2</v>
      </c>
      <c r="R8" s="185">
        <v>1181.0999999999999</v>
      </c>
      <c r="S8" s="183">
        <v>2386.8000000000002</v>
      </c>
      <c r="T8" s="184">
        <v>1758.3</v>
      </c>
      <c r="U8" s="184">
        <v>2706.4</v>
      </c>
      <c r="V8" s="185">
        <v>1018.1</v>
      </c>
      <c r="W8" s="183">
        <v>1478.4</v>
      </c>
      <c r="X8" s="184">
        <v>1605.3000000000002</v>
      </c>
      <c r="Y8" s="184">
        <v>3415.4999999999995</v>
      </c>
      <c r="Z8" s="185">
        <v>1377.0999999999997</v>
      </c>
      <c r="AA8" s="183">
        <v>1600.2999999999995</v>
      </c>
      <c r="AB8" s="184">
        <v>2043.8000000000002</v>
      </c>
      <c r="AC8" s="184">
        <v>2501.6999999999998</v>
      </c>
      <c r="AD8" s="185">
        <v>1399.8000000000002</v>
      </c>
      <c r="AE8" s="183">
        <v>2050.9</v>
      </c>
      <c r="AF8" s="184">
        <v>2576.1000000000004</v>
      </c>
      <c r="AG8" s="184">
        <v>2512.6000000000008</v>
      </c>
      <c r="AH8" s="185">
        <v>1838.3000000000002</v>
      </c>
      <c r="AI8" s="183">
        <v>2111.2999999999997</v>
      </c>
      <c r="AJ8" s="184">
        <v>2315.4</v>
      </c>
      <c r="AK8" s="184">
        <v>3325.7</v>
      </c>
      <c r="AL8" s="184">
        <v>1014.6</v>
      </c>
      <c r="AM8" s="183">
        <v>954.3</v>
      </c>
      <c r="AN8" s="184">
        <v>1285.4000000000001</v>
      </c>
      <c r="AO8" s="184">
        <v>1192.7</v>
      </c>
      <c r="AP8" s="184">
        <v>1113.4000000000001</v>
      </c>
      <c r="AQ8" s="183">
        <v>1125.7</v>
      </c>
      <c r="AR8" s="184">
        <v>1050.2</v>
      </c>
      <c r="AS8" s="184">
        <v>1174.7</v>
      </c>
      <c r="AT8" s="184">
        <v>2234.5</v>
      </c>
      <c r="AU8" s="183">
        <v>2017.4</v>
      </c>
      <c r="AV8" s="184">
        <v>951.8</v>
      </c>
      <c r="AW8" s="184">
        <v>621.79999999999995</v>
      </c>
      <c r="AX8" s="184">
        <v>776.5</v>
      </c>
      <c r="AY8" s="183">
        <v>987.9</v>
      </c>
      <c r="AZ8" s="184">
        <v>694.3</v>
      </c>
      <c r="BA8" s="184">
        <v>804.7</v>
      </c>
      <c r="BB8" s="184">
        <v>798.5</v>
      </c>
      <c r="BC8" s="183">
        <v>1082.3</v>
      </c>
      <c r="BD8" s="184">
        <v>744.4</v>
      </c>
      <c r="BE8" s="184">
        <v>731.3</v>
      </c>
      <c r="BF8" s="184">
        <v>704.6</v>
      </c>
      <c r="BG8" s="183">
        <v>1336.4</v>
      </c>
      <c r="BH8" s="184">
        <v>709.5</v>
      </c>
      <c r="BI8" s="184">
        <v>913.8</v>
      </c>
      <c r="BJ8" s="184">
        <v>704.8</v>
      </c>
      <c r="BK8" s="183">
        <v>1074.4000000000001</v>
      </c>
      <c r="BL8" s="184">
        <v>2293.1999999999998</v>
      </c>
      <c r="BM8" s="184">
        <v>2257.6</v>
      </c>
      <c r="BN8" s="184">
        <v>5161.1000000000004</v>
      </c>
      <c r="BO8" s="183">
        <v>9163.4</v>
      </c>
      <c r="BP8" s="184">
        <v>11288.2</v>
      </c>
      <c r="BQ8" s="184">
        <v>11683.7</v>
      </c>
      <c r="BR8" s="184">
        <v>19909.099999999999</v>
      </c>
      <c r="BS8" s="183">
        <v>20521.599999999999</v>
      </c>
    </row>
    <row r="9" spans="1:74" s="164" customFormat="1" ht="10.8">
      <c r="A9" s="163" t="s">
        <v>510</v>
      </c>
      <c r="B9" s="163" t="s">
        <v>511</v>
      </c>
      <c r="C9" s="183">
        <v>12001.7</v>
      </c>
      <c r="D9" s="184">
        <v>9593.7999999999993</v>
      </c>
      <c r="E9" s="184">
        <v>9149.9000000000015</v>
      </c>
      <c r="F9" s="184">
        <v>9388.2999999999993</v>
      </c>
      <c r="G9" s="183">
        <v>13933.400000000001</v>
      </c>
      <c r="H9" s="184">
        <v>17001.2</v>
      </c>
      <c r="I9" s="184">
        <v>19710.7</v>
      </c>
      <c r="J9" s="185">
        <v>18050.900000000001</v>
      </c>
      <c r="K9" s="183">
        <v>15901.9</v>
      </c>
      <c r="L9" s="184">
        <v>15568.2</v>
      </c>
      <c r="M9" s="184">
        <v>14334.5</v>
      </c>
      <c r="N9" s="185">
        <v>14166.3</v>
      </c>
      <c r="O9" s="183">
        <v>21639.699999999997</v>
      </c>
      <c r="P9" s="184">
        <v>21008.7</v>
      </c>
      <c r="Q9" s="184">
        <v>18736.400000000001</v>
      </c>
      <c r="R9" s="185">
        <v>23006.799999999999</v>
      </c>
      <c r="S9" s="183">
        <v>23574.1</v>
      </c>
      <c r="T9" s="184">
        <v>23947.5</v>
      </c>
      <c r="U9" s="184">
        <v>22396.3</v>
      </c>
      <c r="V9" s="185">
        <v>20450.7</v>
      </c>
      <c r="W9" s="183">
        <v>16819.8</v>
      </c>
      <c r="X9" s="184">
        <v>13817.5</v>
      </c>
      <c r="Y9" s="184">
        <v>13536.1</v>
      </c>
      <c r="Z9" s="185">
        <v>17881.099999999999</v>
      </c>
      <c r="AA9" s="183">
        <v>18003.900000000001</v>
      </c>
      <c r="AB9" s="184">
        <v>20256.699999999997</v>
      </c>
      <c r="AC9" s="184">
        <v>19794</v>
      </c>
      <c r="AD9" s="185">
        <v>19493.600000000002</v>
      </c>
      <c r="AE9" s="183">
        <v>20994.899999999998</v>
      </c>
      <c r="AF9" s="184">
        <v>22090.400000000001</v>
      </c>
      <c r="AG9" s="184">
        <v>23190.600000000002</v>
      </c>
      <c r="AH9" s="185">
        <v>22829.3</v>
      </c>
      <c r="AI9" s="183">
        <v>23869.699999999997</v>
      </c>
      <c r="AJ9" s="184">
        <v>24267.600000000002</v>
      </c>
      <c r="AK9" s="184">
        <v>24310.3</v>
      </c>
      <c r="AL9" s="184">
        <v>23478.799999999999</v>
      </c>
      <c r="AM9" s="183">
        <v>25072</v>
      </c>
      <c r="AN9" s="184">
        <v>27761</v>
      </c>
      <c r="AO9" s="184">
        <v>27344</v>
      </c>
      <c r="AP9" s="184">
        <v>25721.300000000003</v>
      </c>
      <c r="AQ9" s="183">
        <v>26569.7</v>
      </c>
      <c r="AR9" s="184">
        <v>24427.600000000002</v>
      </c>
      <c r="AS9" s="184">
        <v>24446.100000000002</v>
      </c>
      <c r="AT9" s="184">
        <v>29465.100000000002</v>
      </c>
      <c r="AU9" s="183">
        <v>29135.7</v>
      </c>
      <c r="AV9" s="184">
        <v>28677</v>
      </c>
      <c r="AW9" s="184">
        <v>28823.4</v>
      </c>
      <c r="AX9" s="184">
        <v>31937.200000000001</v>
      </c>
      <c r="AY9" s="183">
        <v>29977.200000000001</v>
      </c>
      <c r="AZ9" s="184">
        <v>31315.200000000004</v>
      </c>
      <c r="BA9" s="184">
        <v>32063.300000000003</v>
      </c>
      <c r="BB9" s="184">
        <v>33794.199999999997</v>
      </c>
      <c r="BC9" s="183">
        <v>38094.699999999997</v>
      </c>
      <c r="BD9" s="184">
        <v>53077.599999999999</v>
      </c>
      <c r="BE9" s="184">
        <v>56084.100000000006</v>
      </c>
      <c r="BF9" s="184">
        <v>54170.6</v>
      </c>
      <c r="BG9" s="183">
        <v>54707.199999999997</v>
      </c>
      <c r="BH9" s="184">
        <v>55221.600000000006</v>
      </c>
      <c r="BI9" s="184">
        <v>49443.6</v>
      </c>
      <c r="BJ9" s="184">
        <v>45584.4</v>
      </c>
      <c r="BK9" s="183">
        <v>37312.300000000003</v>
      </c>
      <c r="BL9" s="184">
        <v>39283</v>
      </c>
      <c r="BM9" s="184">
        <v>42363.9</v>
      </c>
      <c r="BN9" s="184">
        <v>48432.799999999996</v>
      </c>
      <c r="BO9" s="183">
        <v>40976.699999999997</v>
      </c>
      <c r="BP9" s="184">
        <v>41150.6</v>
      </c>
      <c r="BQ9" s="184">
        <v>54003.3</v>
      </c>
      <c r="BR9" s="184">
        <v>56613.7</v>
      </c>
      <c r="BS9" s="183">
        <v>64439.3</v>
      </c>
    </row>
    <row r="10" spans="1:74" s="164" customFormat="1" ht="10.8">
      <c r="A10" s="163" t="s">
        <v>514</v>
      </c>
      <c r="B10" s="163" t="s">
        <v>515</v>
      </c>
      <c r="C10" s="183"/>
      <c r="D10" s="184"/>
      <c r="E10" s="184"/>
      <c r="F10" s="184"/>
      <c r="G10" s="183"/>
      <c r="H10" s="184"/>
      <c r="I10" s="184"/>
      <c r="J10" s="185"/>
      <c r="K10" s="183"/>
      <c r="L10" s="184"/>
      <c r="M10" s="184"/>
      <c r="N10" s="185"/>
      <c r="O10" s="183"/>
      <c r="P10" s="184"/>
      <c r="Q10" s="184"/>
      <c r="R10" s="185"/>
      <c r="S10" s="183"/>
      <c r="T10" s="184"/>
      <c r="U10" s="184"/>
      <c r="V10" s="185"/>
      <c r="W10" s="183"/>
      <c r="X10" s="184"/>
      <c r="Y10" s="184"/>
      <c r="Z10" s="185"/>
      <c r="AA10" s="183"/>
      <c r="AB10" s="184"/>
      <c r="AC10" s="184"/>
      <c r="AD10" s="185"/>
      <c r="AE10" s="183"/>
      <c r="AF10" s="184"/>
      <c r="AG10" s="184"/>
      <c r="AH10" s="185"/>
      <c r="AI10" s="183"/>
      <c r="AJ10" s="184"/>
      <c r="AK10" s="184"/>
      <c r="AL10" s="184"/>
      <c r="AM10" s="183"/>
      <c r="AN10" s="184"/>
      <c r="AO10" s="184"/>
      <c r="AP10" s="184"/>
      <c r="AQ10" s="183"/>
      <c r="AR10" s="184"/>
      <c r="AS10" s="184"/>
      <c r="AT10" s="184"/>
      <c r="AU10" s="183"/>
      <c r="AV10" s="184"/>
      <c r="AW10" s="184"/>
      <c r="AX10" s="184"/>
      <c r="AY10" s="183">
        <v>0</v>
      </c>
      <c r="AZ10" s="184">
        <v>0</v>
      </c>
      <c r="BA10" s="184">
        <v>0</v>
      </c>
      <c r="BB10" s="184">
        <v>111.49999999999999</v>
      </c>
      <c r="BC10" s="183">
        <v>2111.1</v>
      </c>
      <c r="BD10" s="184">
        <v>3.6</v>
      </c>
      <c r="BE10" s="184">
        <v>0</v>
      </c>
      <c r="BF10" s="184">
        <v>963</v>
      </c>
      <c r="BG10" s="183">
        <v>3607.1</v>
      </c>
      <c r="BH10" s="184">
        <v>1881.5</v>
      </c>
      <c r="BI10" s="184">
        <v>3018.5999999999995</v>
      </c>
      <c r="BJ10" s="184">
        <v>2280.9</v>
      </c>
      <c r="BK10" s="183">
        <v>10935.8</v>
      </c>
      <c r="BL10" s="184">
        <v>6878.6</v>
      </c>
      <c r="BM10" s="184">
        <v>3206.4</v>
      </c>
      <c r="BN10" s="184">
        <v>163.80000000000001</v>
      </c>
      <c r="BO10" s="183">
        <v>9416.6</v>
      </c>
      <c r="BP10" s="184">
        <v>11307.9</v>
      </c>
      <c r="BQ10" s="184">
        <v>464.6</v>
      </c>
      <c r="BR10" s="184">
        <v>165.2</v>
      </c>
      <c r="BS10" s="183">
        <v>0</v>
      </c>
    </row>
    <row r="11" spans="1:74" s="164" customFormat="1" ht="10.8">
      <c r="A11" s="163" t="s">
        <v>508</v>
      </c>
      <c r="B11" s="163" t="s">
        <v>509</v>
      </c>
      <c r="C11" s="183">
        <v>2</v>
      </c>
      <c r="D11" s="184">
        <v>3.8</v>
      </c>
      <c r="E11" s="184">
        <v>4</v>
      </c>
      <c r="F11" s="184">
        <v>4.5999999999999996</v>
      </c>
      <c r="G11" s="183">
        <v>3.6</v>
      </c>
      <c r="H11" s="184">
        <v>76</v>
      </c>
      <c r="I11" s="184">
        <v>70.400000000000006</v>
      </c>
      <c r="J11" s="185">
        <v>197</v>
      </c>
      <c r="K11" s="183">
        <v>212.4</v>
      </c>
      <c r="L11" s="184">
        <v>91</v>
      </c>
      <c r="M11" s="184">
        <v>64.599999999999994</v>
      </c>
      <c r="N11" s="185">
        <v>90.4</v>
      </c>
      <c r="O11" s="183">
        <v>111.7</v>
      </c>
      <c r="P11" s="184">
        <v>88.1</v>
      </c>
      <c r="Q11" s="184">
        <v>86.1</v>
      </c>
      <c r="R11" s="185">
        <v>104.8</v>
      </c>
      <c r="S11" s="183">
        <v>112.3</v>
      </c>
      <c r="T11" s="184">
        <v>168</v>
      </c>
      <c r="U11" s="184">
        <v>337.1</v>
      </c>
      <c r="V11" s="185">
        <v>433.4</v>
      </c>
      <c r="W11" s="183">
        <v>349.2</v>
      </c>
      <c r="X11" s="184">
        <v>420</v>
      </c>
      <c r="Y11" s="184">
        <v>675.3</v>
      </c>
      <c r="Z11" s="185">
        <v>1112.5999999999999</v>
      </c>
      <c r="AA11" s="183">
        <v>1066.9000000000001</v>
      </c>
      <c r="AB11" s="184">
        <v>990.7</v>
      </c>
      <c r="AC11" s="184">
        <v>994.1</v>
      </c>
      <c r="AD11" s="185">
        <v>1051.9000000000001</v>
      </c>
      <c r="AE11" s="183">
        <v>1011.1</v>
      </c>
      <c r="AF11" s="184">
        <v>1653</v>
      </c>
      <c r="AG11" s="184">
        <v>2370.9</v>
      </c>
      <c r="AH11" s="185">
        <v>2983.8</v>
      </c>
      <c r="AI11" s="183">
        <v>3039.3</v>
      </c>
      <c r="AJ11" s="184">
        <v>2036.6</v>
      </c>
      <c r="AK11" s="184">
        <v>2521.2000000000003</v>
      </c>
      <c r="AL11" s="184">
        <v>2454.8000000000002</v>
      </c>
      <c r="AM11" s="183">
        <v>2737.1</v>
      </c>
      <c r="AN11" s="184">
        <v>2389.6</v>
      </c>
      <c r="AO11" s="184">
        <v>2138.9</v>
      </c>
      <c r="AP11" s="184">
        <v>1338.6</v>
      </c>
      <c r="AQ11" s="183">
        <v>1259.0999999999999</v>
      </c>
      <c r="AR11" s="184">
        <v>1148.5999999999999</v>
      </c>
      <c r="AS11" s="184">
        <v>1050.0999999999999</v>
      </c>
      <c r="AT11" s="184">
        <v>967.2</v>
      </c>
      <c r="AU11" s="183">
        <v>960.6</v>
      </c>
      <c r="AV11" s="184">
        <v>880.2</v>
      </c>
      <c r="AW11" s="184">
        <v>836.5</v>
      </c>
      <c r="AX11" s="184">
        <v>909.6</v>
      </c>
      <c r="AY11" s="183">
        <v>929.3</v>
      </c>
      <c r="AZ11" s="184">
        <v>869</v>
      </c>
      <c r="BA11" s="184">
        <v>883.6</v>
      </c>
      <c r="BB11" s="184">
        <v>851.6</v>
      </c>
      <c r="BC11" s="183">
        <v>1075.8</v>
      </c>
      <c r="BD11" s="184">
        <v>1095.9000000000001</v>
      </c>
      <c r="BE11" s="184">
        <v>1054.0999999999999</v>
      </c>
      <c r="BF11" s="184">
        <v>1194.8</v>
      </c>
      <c r="BG11" s="183">
        <v>873.6</v>
      </c>
      <c r="BH11" s="184">
        <v>882</v>
      </c>
      <c r="BI11" s="184">
        <v>593.29999999999995</v>
      </c>
      <c r="BJ11" s="184">
        <v>250.4</v>
      </c>
      <c r="BK11" s="183">
        <v>323.39999999999998</v>
      </c>
      <c r="BL11" s="184">
        <v>834.2</v>
      </c>
      <c r="BM11" s="184">
        <v>504</v>
      </c>
      <c r="BN11" s="184">
        <v>139.19999999999999</v>
      </c>
      <c r="BO11" s="183">
        <v>243</v>
      </c>
      <c r="BP11" s="184">
        <v>195.7</v>
      </c>
      <c r="BQ11" s="184">
        <v>361</v>
      </c>
      <c r="BR11" s="184">
        <v>208.4</v>
      </c>
      <c r="BS11" s="183">
        <v>327</v>
      </c>
    </row>
    <row r="12" spans="1:74" s="164" customFormat="1" ht="10.8">
      <c r="A12" s="163" t="s">
        <v>512</v>
      </c>
      <c r="B12" s="163" t="s">
        <v>513</v>
      </c>
      <c r="C12" s="183">
        <v>13782.6</v>
      </c>
      <c r="D12" s="184">
        <v>14567.2</v>
      </c>
      <c r="E12" s="184">
        <v>15449.4</v>
      </c>
      <c r="F12" s="184">
        <v>16379.1</v>
      </c>
      <c r="G12" s="183">
        <v>18039.900000000001</v>
      </c>
      <c r="H12" s="184">
        <v>20372</v>
      </c>
      <c r="I12" s="184">
        <v>21986.799999999999</v>
      </c>
      <c r="J12" s="185">
        <v>25742.799999999999</v>
      </c>
      <c r="K12" s="183">
        <v>29040.3</v>
      </c>
      <c r="L12" s="184">
        <v>29268.6</v>
      </c>
      <c r="M12" s="184">
        <v>29050</v>
      </c>
      <c r="N12" s="185">
        <v>30592.799999999999</v>
      </c>
      <c r="O12" s="183">
        <v>30159.599999999999</v>
      </c>
      <c r="P12" s="184">
        <v>31781.200000000001</v>
      </c>
      <c r="Q12" s="184">
        <v>33320.6</v>
      </c>
      <c r="R12" s="185">
        <v>34509</v>
      </c>
      <c r="S12" s="183">
        <v>35332.400000000001</v>
      </c>
      <c r="T12" s="184">
        <v>37094.800000000003</v>
      </c>
      <c r="U12" s="184">
        <v>39789.699999999997</v>
      </c>
      <c r="V12" s="185">
        <v>42329.7</v>
      </c>
      <c r="W12" s="183">
        <v>47795.899999999994</v>
      </c>
      <c r="X12" s="184">
        <v>48490.6</v>
      </c>
      <c r="Y12" s="184">
        <v>49275.1</v>
      </c>
      <c r="Z12" s="185">
        <v>48985.299999999996</v>
      </c>
      <c r="AA12" s="183">
        <v>49119.30000000001</v>
      </c>
      <c r="AB12" s="184">
        <v>51756.700000000004</v>
      </c>
      <c r="AC12" s="184">
        <v>52357.599999999999</v>
      </c>
      <c r="AD12" s="185">
        <v>52876.7</v>
      </c>
      <c r="AE12" s="183">
        <v>55257.5</v>
      </c>
      <c r="AF12" s="184">
        <v>58092.499999999985</v>
      </c>
      <c r="AG12" s="184">
        <v>60705.7</v>
      </c>
      <c r="AH12" s="185">
        <v>61161.4</v>
      </c>
      <c r="AI12" s="183">
        <v>64386.1</v>
      </c>
      <c r="AJ12" s="184">
        <v>68618.5</v>
      </c>
      <c r="AK12" s="184">
        <v>71978.8</v>
      </c>
      <c r="AL12" s="184">
        <v>73874</v>
      </c>
      <c r="AM12" s="183">
        <v>75349.899999999994</v>
      </c>
      <c r="AN12" s="184">
        <v>78308.599999999991</v>
      </c>
      <c r="AO12" s="184">
        <v>80397.2</v>
      </c>
      <c r="AP12" s="184">
        <v>81979.5</v>
      </c>
      <c r="AQ12" s="183">
        <v>84399.5</v>
      </c>
      <c r="AR12" s="184">
        <v>86922.3</v>
      </c>
      <c r="AS12" s="184">
        <v>90107</v>
      </c>
      <c r="AT12" s="184">
        <v>87274.6</v>
      </c>
      <c r="AU12" s="183">
        <v>90028.2</v>
      </c>
      <c r="AV12" s="184">
        <v>94475.3</v>
      </c>
      <c r="AW12" s="184">
        <v>98986</v>
      </c>
      <c r="AX12" s="184">
        <v>102907.40000000001</v>
      </c>
      <c r="AY12" s="183">
        <v>107181.3</v>
      </c>
      <c r="AZ12" s="184">
        <v>110316.4</v>
      </c>
      <c r="BA12" s="184">
        <v>115551</v>
      </c>
      <c r="BB12" s="184">
        <v>118127.8</v>
      </c>
      <c r="BC12" s="183">
        <v>123459.7</v>
      </c>
      <c r="BD12" s="184">
        <v>120598.09999999999</v>
      </c>
      <c r="BE12" s="184">
        <v>122382</v>
      </c>
      <c r="BF12" s="184">
        <v>124655.3</v>
      </c>
      <c r="BG12" s="183">
        <v>129453.2</v>
      </c>
      <c r="BH12" s="184">
        <v>133768.79999999999</v>
      </c>
      <c r="BI12" s="184">
        <v>141168.6</v>
      </c>
      <c r="BJ12" s="184">
        <v>146536</v>
      </c>
      <c r="BK12" s="183">
        <v>149709.69999999998</v>
      </c>
      <c r="BL12" s="184">
        <v>152117.69999999998</v>
      </c>
      <c r="BM12" s="184">
        <v>154350.20000000001</v>
      </c>
      <c r="BN12" s="184">
        <v>154974.6</v>
      </c>
      <c r="BO12" s="183">
        <v>156050.9</v>
      </c>
      <c r="BP12" s="184">
        <v>156213.4</v>
      </c>
      <c r="BQ12" s="184">
        <v>158085.70000000001</v>
      </c>
      <c r="BR12" s="184">
        <v>156520.70000000001</v>
      </c>
      <c r="BS12" s="183">
        <v>158425.5</v>
      </c>
    </row>
    <row r="13" spans="1:74" s="150" customFormat="1" ht="10.8">
      <c r="A13" s="163"/>
      <c r="B13" s="159"/>
      <c r="C13" s="457"/>
      <c r="D13" s="458"/>
      <c r="E13" s="436"/>
      <c r="F13" s="436"/>
      <c r="G13" s="183"/>
      <c r="H13" s="184"/>
      <c r="I13" s="184"/>
      <c r="J13" s="185"/>
      <c r="K13" s="183"/>
      <c r="L13" s="184"/>
      <c r="M13" s="184"/>
      <c r="N13" s="185"/>
      <c r="O13" s="183"/>
      <c r="P13" s="184"/>
      <c r="Q13" s="184"/>
      <c r="R13" s="185"/>
      <c r="S13" s="183"/>
      <c r="T13" s="184"/>
      <c r="U13" s="184"/>
      <c r="V13" s="185"/>
      <c r="W13" s="183"/>
      <c r="X13" s="184"/>
      <c r="Y13" s="184"/>
      <c r="Z13" s="185"/>
      <c r="AA13" s="183"/>
      <c r="AB13" s="184"/>
      <c r="AC13" s="184"/>
      <c r="AD13" s="185"/>
      <c r="AE13" s="183"/>
      <c r="AF13" s="184"/>
      <c r="AG13" s="184"/>
      <c r="AH13" s="185"/>
      <c r="AI13" s="183"/>
      <c r="AJ13" s="184"/>
      <c r="AK13" s="184"/>
      <c r="AL13" s="185"/>
      <c r="AM13" s="183"/>
      <c r="AN13" s="184"/>
      <c r="AO13" s="184"/>
      <c r="AP13" s="185"/>
      <c r="AQ13" s="183"/>
      <c r="AR13" s="184"/>
      <c r="AS13" s="184"/>
      <c r="AT13" s="185"/>
      <c r="AU13" s="183"/>
      <c r="AV13" s="184"/>
      <c r="AW13" s="184"/>
      <c r="AX13" s="185"/>
      <c r="AY13" s="183"/>
      <c r="AZ13" s="184"/>
      <c r="BA13" s="184"/>
      <c r="BB13" s="184"/>
      <c r="BC13" s="183"/>
      <c r="BD13" s="184"/>
      <c r="BE13" s="184"/>
      <c r="BF13" s="184"/>
      <c r="BG13" s="183"/>
      <c r="BH13" s="184"/>
      <c r="BI13" s="184"/>
      <c r="BJ13" s="184"/>
      <c r="BK13" s="183"/>
      <c r="BL13" s="184"/>
      <c r="BM13" s="184"/>
      <c r="BN13" s="184"/>
      <c r="BO13" s="183"/>
      <c r="BP13" s="184"/>
      <c r="BQ13" s="184"/>
      <c r="BR13" s="184"/>
      <c r="BS13" s="183"/>
    </row>
    <row r="14" spans="1:74" s="164" customFormat="1" ht="10.8">
      <c r="A14" s="177" t="s">
        <v>738</v>
      </c>
      <c r="B14" s="177" t="s">
        <v>739</v>
      </c>
      <c r="C14" s="180">
        <f t="shared" ref="C14:BN14" si="2">+C15+C16+C17+C18+C19</f>
        <v>46373.2</v>
      </c>
      <c r="D14" s="181">
        <f t="shared" si="2"/>
        <v>44121.8</v>
      </c>
      <c r="E14" s="181">
        <f t="shared" si="2"/>
        <v>46250.299999999996</v>
      </c>
      <c r="F14" s="181">
        <f t="shared" si="2"/>
        <v>46312</v>
      </c>
      <c r="G14" s="180">
        <f t="shared" si="2"/>
        <v>50581.500000000007</v>
      </c>
      <c r="H14" s="181">
        <f t="shared" si="2"/>
        <v>53700.700000000004</v>
      </c>
      <c r="I14" s="181">
        <f t="shared" si="2"/>
        <v>56567.8</v>
      </c>
      <c r="J14" s="182">
        <f t="shared" si="2"/>
        <v>53547.8</v>
      </c>
      <c r="K14" s="180">
        <f t="shared" si="2"/>
        <v>55267.4</v>
      </c>
      <c r="L14" s="181">
        <f t="shared" si="2"/>
        <v>55845.3</v>
      </c>
      <c r="M14" s="181">
        <f t="shared" si="2"/>
        <v>53369.599999999999</v>
      </c>
      <c r="N14" s="182">
        <f t="shared" si="2"/>
        <v>52041.1</v>
      </c>
      <c r="O14" s="180">
        <f t="shared" si="2"/>
        <v>52113.399999999994</v>
      </c>
      <c r="P14" s="181">
        <f t="shared" si="2"/>
        <v>51807.7</v>
      </c>
      <c r="Q14" s="181">
        <f t="shared" si="2"/>
        <v>51593.2</v>
      </c>
      <c r="R14" s="182">
        <f t="shared" si="2"/>
        <v>52039.600000000006</v>
      </c>
      <c r="S14" s="180">
        <f t="shared" si="2"/>
        <v>57318.200000000012</v>
      </c>
      <c r="T14" s="181">
        <f t="shared" si="2"/>
        <v>57651.7</v>
      </c>
      <c r="U14" s="181">
        <f t="shared" si="2"/>
        <v>59168.9</v>
      </c>
      <c r="V14" s="182">
        <f t="shared" si="2"/>
        <v>58794.599999999991</v>
      </c>
      <c r="W14" s="180">
        <f t="shared" si="2"/>
        <v>58698.399999999994</v>
      </c>
      <c r="X14" s="181">
        <f t="shared" si="2"/>
        <v>59137.000000000007</v>
      </c>
      <c r="Y14" s="181">
        <f t="shared" si="2"/>
        <v>60897.899999999994</v>
      </c>
      <c r="Z14" s="182">
        <f t="shared" si="2"/>
        <v>64343.19999999999</v>
      </c>
      <c r="AA14" s="180">
        <f t="shared" si="2"/>
        <v>64742.499999999993</v>
      </c>
      <c r="AB14" s="181">
        <f t="shared" si="2"/>
        <v>69947.399999999994</v>
      </c>
      <c r="AC14" s="181">
        <f t="shared" si="2"/>
        <v>73080.299999999988</v>
      </c>
      <c r="AD14" s="182">
        <f t="shared" si="2"/>
        <v>74271.999999999985</v>
      </c>
      <c r="AE14" s="180">
        <f t="shared" si="2"/>
        <v>79272.5</v>
      </c>
      <c r="AF14" s="181">
        <f t="shared" si="2"/>
        <v>84652.9</v>
      </c>
      <c r="AG14" s="181">
        <f t="shared" si="2"/>
        <v>81232.300000000032</v>
      </c>
      <c r="AH14" s="182">
        <f t="shared" si="2"/>
        <v>84711.299999999988</v>
      </c>
      <c r="AI14" s="180">
        <f t="shared" si="2"/>
        <v>86404.200000000012</v>
      </c>
      <c r="AJ14" s="181">
        <f t="shared" si="2"/>
        <v>92014.9</v>
      </c>
      <c r="AK14" s="181">
        <f t="shared" si="2"/>
        <v>97461.9</v>
      </c>
      <c r="AL14" s="181">
        <f t="shared" si="2"/>
        <v>94476.7</v>
      </c>
      <c r="AM14" s="180">
        <f t="shared" si="2"/>
        <v>97981</v>
      </c>
      <c r="AN14" s="181">
        <f t="shared" si="2"/>
        <v>101836.3</v>
      </c>
      <c r="AO14" s="181">
        <f t="shared" si="2"/>
        <v>102471.40000000001</v>
      </c>
      <c r="AP14" s="181">
        <f t="shared" si="2"/>
        <v>103867.79999999999</v>
      </c>
      <c r="AQ14" s="180">
        <f t="shared" si="2"/>
        <v>104939.9</v>
      </c>
      <c r="AR14" s="181">
        <f t="shared" si="2"/>
        <v>106365.90000000001</v>
      </c>
      <c r="AS14" s="181">
        <f t="shared" si="2"/>
        <v>106417.3</v>
      </c>
      <c r="AT14" s="181">
        <f t="shared" si="2"/>
        <v>110238.7</v>
      </c>
      <c r="AU14" s="180">
        <f t="shared" si="2"/>
        <v>112508.09999999999</v>
      </c>
      <c r="AV14" s="181">
        <f t="shared" si="2"/>
        <v>115689.60000000001</v>
      </c>
      <c r="AW14" s="181">
        <f t="shared" si="2"/>
        <v>118605.29999999999</v>
      </c>
      <c r="AX14" s="181">
        <f t="shared" si="2"/>
        <v>124867.3</v>
      </c>
      <c r="AY14" s="180">
        <f t="shared" si="2"/>
        <v>127525.09999999999</v>
      </c>
      <c r="AZ14" s="181">
        <f t="shared" si="2"/>
        <v>132221.5</v>
      </c>
      <c r="BA14" s="181">
        <f t="shared" si="2"/>
        <v>136440.00000000003</v>
      </c>
      <c r="BB14" s="181">
        <f t="shared" si="2"/>
        <v>139806.40000000002</v>
      </c>
      <c r="BC14" s="180">
        <f t="shared" si="2"/>
        <v>149459.10000000003</v>
      </c>
      <c r="BD14" s="181">
        <f t="shared" si="2"/>
        <v>158685.29999999999</v>
      </c>
      <c r="BE14" s="181">
        <f t="shared" si="2"/>
        <v>162395.09999999998</v>
      </c>
      <c r="BF14" s="181">
        <f t="shared" si="2"/>
        <v>163494.70000000001</v>
      </c>
      <c r="BG14" s="180">
        <f t="shared" si="2"/>
        <v>172742.9</v>
      </c>
      <c r="BH14" s="181">
        <f t="shared" si="2"/>
        <v>174683.1</v>
      </c>
      <c r="BI14" s="181">
        <f t="shared" si="2"/>
        <v>178163.80000000005</v>
      </c>
      <c r="BJ14" s="181">
        <f t="shared" si="2"/>
        <v>183478.99999999997</v>
      </c>
      <c r="BK14" s="180">
        <f t="shared" si="2"/>
        <v>193543.09999999998</v>
      </c>
      <c r="BL14" s="181">
        <f t="shared" si="2"/>
        <v>197068.09999999998</v>
      </c>
      <c r="BM14" s="181">
        <f t="shared" si="2"/>
        <v>198687.1</v>
      </c>
      <c r="BN14" s="181">
        <f t="shared" si="2"/>
        <v>200789.09999999998</v>
      </c>
      <c r="BO14" s="180">
        <f t="shared" ref="BO14:BS14" si="3">+BO15+BO16+BO17+BO18+BO19</f>
        <v>211268</v>
      </c>
      <c r="BP14" s="181">
        <f t="shared" si="3"/>
        <v>209416</v>
      </c>
      <c r="BQ14" s="181">
        <f t="shared" si="3"/>
        <v>212100.2</v>
      </c>
      <c r="BR14" s="181">
        <f t="shared" si="3"/>
        <v>221155.6</v>
      </c>
      <c r="BS14" s="180">
        <f t="shared" si="3"/>
        <v>230048</v>
      </c>
    </row>
    <row r="15" spans="1:74" s="164" customFormat="1" ht="10.8">
      <c r="A15" s="163" t="s">
        <v>540</v>
      </c>
      <c r="B15" s="163" t="s">
        <v>541</v>
      </c>
      <c r="C15" s="183">
        <v>5598.6</v>
      </c>
      <c r="D15" s="184">
        <v>3868.4</v>
      </c>
      <c r="E15" s="184">
        <v>5592.2</v>
      </c>
      <c r="F15" s="184">
        <v>1810.2</v>
      </c>
      <c r="G15" s="183">
        <v>5212.3</v>
      </c>
      <c r="H15" s="184">
        <v>6024.8</v>
      </c>
      <c r="I15" s="184">
        <v>5153.5</v>
      </c>
      <c r="J15" s="185">
        <v>6015.9</v>
      </c>
      <c r="K15" s="183">
        <v>8073.1</v>
      </c>
      <c r="L15" s="184">
        <v>9535.2999999999993</v>
      </c>
      <c r="M15" s="184">
        <v>6355.9000000000005</v>
      </c>
      <c r="N15" s="185">
        <v>3927.8</v>
      </c>
      <c r="O15" s="183">
        <v>5359.0999999999995</v>
      </c>
      <c r="P15" s="184">
        <v>5121.8</v>
      </c>
      <c r="Q15" s="184">
        <v>3115.6000000000004</v>
      </c>
      <c r="R15" s="185">
        <v>3991</v>
      </c>
      <c r="S15" s="183">
        <v>10409.200000000001</v>
      </c>
      <c r="T15" s="184">
        <v>8913.5</v>
      </c>
      <c r="U15" s="184">
        <v>7573.3</v>
      </c>
      <c r="V15" s="185">
        <v>4917.2999999999993</v>
      </c>
      <c r="W15" s="183">
        <v>5381.4</v>
      </c>
      <c r="X15" s="184">
        <v>4079.3</v>
      </c>
      <c r="Y15" s="184">
        <v>4932.7</v>
      </c>
      <c r="Z15" s="185">
        <v>4513.7000000000007</v>
      </c>
      <c r="AA15" s="183">
        <v>4773.2999999999993</v>
      </c>
      <c r="AB15" s="184">
        <v>4139.6000000000004</v>
      </c>
      <c r="AC15" s="184">
        <v>4513.2</v>
      </c>
      <c r="AD15" s="185">
        <v>4609.8</v>
      </c>
      <c r="AE15" s="183">
        <v>10542.5</v>
      </c>
      <c r="AF15" s="184">
        <v>11859.5</v>
      </c>
      <c r="AG15" s="184">
        <v>7043.3</v>
      </c>
      <c r="AH15" s="185">
        <v>6123.4000000000005</v>
      </c>
      <c r="AI15" s="183">
        <v>5807.5000000000009</v>
      </c>
      <c r="AJ15" s="184">
        <v>8493</v>
      </c>
      <c r="AK15" s="184">
        <v>10917.1</v>
      </c>
      <c r="AL15" s="184">
        <v>3913.5</v>
      </c>
      <c r="AM15" s="183">
        <v>4236</v>
      </c>
      <c r="AN15" s="184">
        <v>5082.3</v>
      </c>
      <c r="AO15" s="184">
        <v>7032.5</v>
      </c>
      <c r="AP15" s="184">
        <v>5043</v>
      </c>
      <c r="AQ15" s="183">
        <v>5606.6</v>
      </c>
      <c r="AR15" s="184">
        <v>6140.5</v>
      </c>
      <c r="AS15" s="184">
        <v>5637.8</v>
      </c>
      <c r="AT15" s="184">
        <v>4109</v>
      </c>
      <c r="AU15" s="183">
        <v>6288.8</v>
      </c>
      <c r="AV15" s="184">
        <v>4882</v>
      </c>
      <c r="AW15" s="184">
        <v>6882.2</v>
      </c>
      <c r="AX15" s="184">
        <v>5195.8</v>
      </c>
      <c r="AY15" s="183">
        <v>5004.3</v>
      </c>
      <c r="AZ15" s="184">
        <v>7359.2</v>
      </c>
      <c r="BA15" s="184">
        <v>7593.0999999999995</v>
      </c>
      <c r="BB15" s="184">
        <v>6256.1</v>
      </c>
      <c r="BC15" s="183">
        <v>6624.3</v>
      </c>
      <c r="BD15" s="184">
        <v>4594.6000000000004</v>
      </c>
      <c r="BE15" s="184">
        <v>4883.1000000000004</v>
      </c>
      <c r="BF15" s="184">
        <v>8228</v>
      </c>
      <c r="BG15" s="183">
        <v>10333.799999999999</v>
      </c>
      <c r="BH15" s="184">
        <v>9422.5</v>
      </c>
      <c r="BI15" s="184">
        <v>10306.1</v>
      </c>
      <c r="BJ15" s="184">
        <v>10051</v>
      </c>
      <c r="BK15" s="183">
        <v>16491.8</v>
      </c>
      <c r="BL15" s="184">
        <v>8788</v>
      </c>
      <c r="BM15" s="184">
        <v>9151</v>
      </c>
      <c r="BN15" s="184">
        <v>5639.6</v>
      </c>
      <c r="BO15" s="183">
        <v>7144.8</v>
      </c>
      <c r="BP15" s="184">
        <v>7381.4</v>
      </c>
      <c r="BQ15" s="184">
        <v>7253.4</v>
      </c>
      <c r="BR15" s="184">
        <v>13654.8</v>
      </c>
      <c r="BS15" s="183">
        <v>13590.5</v>
      </c>
    </row>
    <row r="16" spans="1:74" s="164" customFormat="1" ht="10.8">
      <c r="A16" s="163" t="s">
        <v>508</v>
      </c>
      <c r="B16" s="163" t="s">
        <v>509</v>
      </c>
      <c r="C16" s="183">
        <v>0</v>
      </c>
      <c r="D16" s="184">
        <v>0</v>
      </c>
      <c r="E16" s="184">
        <v>0</v>
      </c>
      <c r="F16" s="184">
        <v>0</v>
      </c>
      <c r="G16" s="183">
        <v>10.1</v>
      </c>
      <c r="H16" s="184">
        <v>24.5</v>
      </c>
      <c r="I16" s="184">
        <v>110.8</v>
      </c>
      <c r="J16" s="185">
        <v>420</v>
      </c>
      <c r="K16" s="183">
        <v>610.9</v>
      </c>
      <c r="L16" s="184">
        <v>382.1</v>
      </c>
      <c r="M16" s="184">
        <v>493.7</v>
      </c>
      <c r="N16" s="185">
        <v>482.6</v>
      </c>
      <c r="O16" s="183">
        <v>557</v>
      </c>
      <c r="P16" s="184">
        <v>663.3</v>
      </c>
      <c r="Q16" s="184">
        <v>776</v>
      </c>
      <c r="R16" s="185">
        <v>600.4</v>
      </c>
      <c r="S16" s="183">
        <v>421.1</v>
      </c>
      <c r="T16" s="184">
        <v>427.5</v>
      </c>
      <c r="U16" s="184">
        <v>813.1</v>
      </c>
      <c r="V16" s="185">
        <v>900.6</v>
      </c>
      <c r="W16" s="183">
        <v>851.5</v>
      </c>
      <c r="X16" s="184">
        <v>871.7</v>
      </c>
      <c r="Y16" s="184">
        <v>1069</v>
      </c>
      <c r="Z16" s="185">
        <v>1364</v>
      </c>
      <c r="AA16" s="183">
        <v>1267.9000000000001</v>
      </c>
      <c r="AB16" s="184">
        <v>1082.3</v>
      </c>
      <c r="AC16" s="184">
        <v>1084.2</v>
      </c>
      <c r="AD16" s="185">
        <v>1114.4000000000001</v>
      </c>
      <c r="AE16" s="183">
        <v>1122.3</v>
      </c>
      <c r="AF16" s="184">
        <v>1251.7</v>
      </c>
      <c r="AG16" s="184">
        <v>1637.8</v>
      </c>
      <c r="AH16" s="185">
        <v>2032.8</v>
      </c>
      <c r="AI16" s="183">
        <v>2062.5</v>
      </c>
      <c r="AJ16" s="184">
        <v>1900.5</v>
      </c>
      <c r="AK16" s="184">
        <v>1842.8</v>
      </c>
      <c r="AL16" s="184">
        <v>1830.9</v>
      </c>
      <c r="AM16" s="183">
        <v>1818</v>
      </c>
      <c r="AN16" s="184">
        <v>1730.1</v>
      </c>
      <c r="AO16" s="184">
        <v>1614.3</v>
      </c>
      <c r="AP16" s="184">
        <v>1468.1</v>
      </c>
      <c r="AQ16" s="183">
        <v>1206.4000000000001</v>
      </c>
      <c r="AR16" s="184">
        <v>1015</v>
      </c>
      <c r="AS16" s="184">
        <v>799.9</v>
      </c>
      <c r="AT16" s="184">
        <v>699.2</v>
      </c>
      <c r="AU16" s="183">
        <v>622.6</v>
      </c>
      <c r="AV16" s="184">
        <v>677.7</v>
      </c>
      <c r="AW16" s="184">
        <v>574</v>
      </c>
      <c r="AX16" s="184">
        <v>611.79999999999995</v>
      </c>
      <c r="AY16" s="183">
        <v>727.4</v>
      </c>
      <c r="AZ16" s="184">
        <v>505.1</v>
      </c>
      <c r="BA16" s="184">
        <v>569.70000000000005</v>
      </c>
      <c r="BB16" s="184">
        <v>546</v>
      </c>
      <c r="BC16" s="183">
        <v>510.4</v>
      </c>
      <c r="BD16" s="184">
        <v>480.9</v>
      </c>
      <c r="BE16" s="184">
        <v>449.7</v>
      </c>
      <c r="BF16" s="184">
        <v>558.5</v>
      </c>
      <c r="BG16" s="183">
        <v>549.6</v>
      </c>
      <c r="BH16" s="184">
        <v>454</v>
      </c>
      <c r="BI16" s="184">
        <v>406</v>
      </c>
      <c r="BJ16" s="184">
        <v>235.4</v>
      </c>
      <c r="BK16" s="183">
        <v>362.5</v>
      </c>
      <c r="BL16" s="184">
        <v>1144.4000000000001</v>
      </c>
      <c r="BM16" s="184">
        <v>842</v>
      </c>
      <c r="BN16" s="184">
        <v>369.5</v>
      </c>
      <c r="BO16" s="183">
        <v>418.7</v>
      </c>
      <c r="BP16" s="184">
        <v>328.4</v>
      </c>
      <c r="BQ16" s="184">
        <v>390</v>
      </c>
      <c r="BR16" s="184">
        <v>280.3</v>
      </c>
      <c r="BS16" s="183">
        <v>411.1</v>
      </c>
    </row>
    <row r="17" spans="1:71" s="164" customFormat="1" ht="10.8">
      <c r="A17" s="163" t="s">
        <v>544</v>
      </c>
      <c r="B17" s="163" t="s">
        <v>545</v>
      </c>
      <c r="C17" s="183">
        <v>40774.6</v>
      </c>
      <c r="D17" s="184">
        <v>40253.4</v>
      </c>
      <c r="E17" s="184">
        <v>40658.1</v>
      </c>
      <c r="F17" s="184">
        <v>44501.8</v>
      </c>
      <c r="G17" s="183">
        <v>45359.100000000006</v>
      </c>
      <c r="H17" s="184">
        <v>47651.4</v>
      </c>
      <c r="I17" s="184">
        <v>51303.5</v>
      </c>
      <c r="J17" s="185">
        <v>47111.9</v>
      </c>
      <c r="K17" s="183">
        <v>46583.4</v>
      </c>
      <c r="L17" s="184">
        <v>45927.9</v>
      </c>
      <c r="M17" s="184">
        <v>46520</v>
      </c>
      <c r="N17" s="185">
        <v>47630.7</v>
      </c>
      <c r="O17" s="183">
        <v>46197.299999999996</v>
      </c>
      <c r="P17" s="184">
        <v>46022.6</v>
      </c>
      <c r="Q17" s="184">
        <v>47701.599999999999</v>
      </c>
      <c r="R17" s="185">
        <v>47448.200000000004</v>
      </c>
      <c r="S17" s="183">
        <v>46487.900000000009</v>
      </c>
      <c r="T17" s="184">
        <v>48310.7</v>
      </c>
      <c r="U17" s="184">
        <v>50782.5</v>
      </c>
      <c r="V17" s="185">
        <v>52976.69999999999</v>
      </c>
      <c r="W17" s="183">
        <v>52465.499999999993</v>
      </c>
      <c r="X17" s="184">
        <v>54186.000000000007</v>
      </c>
      <c r="Y17" s="184">
        <v>54896.2</v>
      </c>
      <c r="Z17" s="185">
        <v>57898.399999999994</v>
      </c>
      <c r="AA17" s="183">
        <v>58126.799999999996</v>
      </c>
      <c r="AB17" s="184">
        <v>64159.100000000006</v>
      </c>
      <c r="AC17" s="184">
        <v>66911.399999999994</v>
      </c>
      <c r="AD17" s="185">
        <v>67981.399999999994</v>
      </c>
      <c r="AE17" s="183">
        <v>67036.3</v>
      </c>
      <c r="AF17" s="184">
        <v>70975.3</v>
      </c>
      <c r="AG17" s="184">
        <v>71979.60000000002</v>
      </c>
      <c r="AH17" s="185">
        <v>75688.599999999991</v>
      </c>
      <c r="AI17" s="183">
        <v>77661.500000000015</v>
      </c>
      <c r="AJ17" s="184">
        <v>80755.099999999991</v>
      </c>
      <c r="AK17" s="184">
        <v>83830</v>
      </c>
      <c r="AL17" s="184">
        <v>87866</v>
      </c>
      <c r="AM17" s="183">
        <v>90413.4</v>
      </c>
      <c r="AN17" s="184">
        <v>93492.400000000009</v>
      </c>
      <c r="AO17" s="184">
        <v>92304.6</v>
      </c>
      <c r="AP17" s="184">
        <v>95825.4</v>
      </c>
      <c r="AQ17" s="183">
        <v>96620.7</v>
      </c>
      <c r="AR17" s="184">
        <v>97708.800000000003</v>
      </c>
      <c r="AS17" s="184">
        <v>98459.8</v>
      </c>
      <c r="AT17" s="184">
        <v>104503.3</v>
      </c>
      <c r="AU17" s="183">
        <v>104662.1</v>
      </c>
      <c r="AV17" s="184">
        <v>109174.1</v>
      </c>
      <c r="AW17" s="184">
        <v>110205</v>
      </c>
      <c r="AX17" s="184">
        <v>117682.5</v>
      </c>
      <c r="AY17" s="183">
        <v>120414</v>
      </c>
      <c r="AZ17" s="184">
        <v>122992</v>
      </c>
      <c r="BA17" s="184">
        <v>125786.3</v>
      </c>
      <c r="BB17" s="184">
        <v>130473.5</v>
      </c>
      <c r="BC17" s="183">
        <v>139648.70000000001</v>
      </c>
      <c r="BD17" s="184">
        <v>150979.29999999999</v>
      </c>
      <c r="BE17" s="184">
        <v>154399.79999999999</v>
      </c>
      <c r="BF17" s="184">
        <v>151028.5</v>
      </c>
      <c r="BG17" s="183">
        <v>158931.1</v>
      </c>
      <c r="BH17" s="184">
        <v>161998.29999999999</v>
      </c>
      <c r="BI17" s="184">
        <v>164586.30000000002</v>
      </c>
      <c r="BJ17" s="184">
        <v>170609.9</v>
      </c>
      <c r="BK17" s="183">
        <v>174661.9</v>
      </c>
      <c r="BL17" s="184">
        <v>185095.1</v>
      </c>
      <c r="BM17" s="184">
        <v>186580.5</v>
      </c>
      <c r="BN17" s="184">
        <v>192731.3</v>
      </c>
      <c r="BO17" s="183">
        <v>201651.9</v>
      </c>
      <c r="BP17" s="184">
        <v>199740.2</v>
      </c>
      <c r="BQ17" s="184">
        <v>202417.4</v>
      </c>
      <c r="BR17" s="184">
        <v>205289.9</v>
      </c>
      <c r="BS17" s="183">
        <v>214125.8</v>
      </c>
    </row>
    <row r="18" spans="1:71" s="164" customFormat="1" ht="10.8">
      <c r="A18" s="163" t="s">
        <v>546</v>
      </c>
      <c r="B18" s="163" t="s">
        <v>547</v>
      </c>
      <c r="C18" s="183">
        <v>0</v>
      </c>
      <c r="D18" s="184">
        <v>0</v>
      </c>
      <c r="E18" s="184">
        <v>0</v>
      </c>
      <c r="F18" s="184">
        <v>0</v>
      </c>
      <c r="G18" s="183">
        <v>0</v>
      </c>
      <c r="H18" s="184">
        <v>0</v>
      </c>
      <c r="I18" s="184">
        <v>0</v>
      </c>
      <c r="J18" s="185">
        <v>0</v>
      </c>
      <c r="K18" s="183">
        <v>0</v>
      </c>
      <c r="L18" s="184">
        <v>0</v>
      </c>
      <c r="M18" s="184">
        <v>0</v>
      </c>
      <c r="N18" s="185">
        <v>0</v>
      </c>
      <c r="O18" s="183">
        <v>0</v>
      </c>
      <c r="P18" s="184">
        <v>0</v>
      </c>
      <c r="Q18" s="184">
        <v>0</v>
      </c>
      <c r="R18" s="185">
        <v>0</v>
      </c>
      <c r="S18" s="183">
        <v>0</v>
      </c>
      <c r="T18" s="184">
        <v>0</v>
      </c>
      <c r="U18" s="184">
        <v>0</v>
      </c>
      <c r="V18" s="185">
        <v>0</v>
      </c>
      <c r="W18" s="183">
        <v>0</v>
      </c>
      <c r="X18" s="184">
        <v>0</v>
      </c>
      <c r="Y18" s="184">
        <v>0</v>
      </c>
      <c r="Z18" s="185">
        <v>567.1</v>
      </c>
      <c r="AA18" s="183">
        <v>574.5</v>
      </c>
      <c r="AB18" s="184">
        <v>566.4</v>
      </c>
      <c r="AC18" s="184">
        <v>571.5</v>
      </c>
      <c r="AD18" s="185">
        <v>566.4</v>
      </c>
      <c r="AE18" s="183">
        <v>571.4</v>
      </c>
      <c r="AF18" s="184">
        <v>566.4</v>
      </c>
      <c r="AG18" s="184">
        <v>571.6</v>
      </c>
      <c r="AH18" s="185">
        <v>866.5</v>
      </c>
      <c r="AI18" s="183">
        <v>872.7</v>
      </c>
      <c r="AJ18" s="184">
        <v>866.3</v>
      </c>
      <c r="AK18" s="184">
        <v>872</v>
      </c>
      <c r="AL18" s="184">
        <v>866.3</v>
      </c>
      <c r="AM18" s="183">
        <v>872</v>
      </c>
      <c r="AN18" s="184">
        <v>866.3</v>
      </c>
      <c r="AO18" s="184">
        <v>871.9</v>
      </c>
      <c r="AP18" s="184">
        <v>866.4</v>
      </c>
      <c r="AQ18" s="183">
        <v>872</v>
      </c>
      <c r="AR18" s="184">
        <v>866.3</v>
      </c>
      <c r="AS18" s="184">
        <v>872.1</v>
      </c>
      <c r="AT18" s="184">
        <v>300.3</v>
      </c>
      <c r="AU18" s="183">
        <v>302.2</v>
      </c>
      <c r="AV18" s="184">
        <v>300.2</v>
      </c>
      <c r="AW18" s="184">
        <v>302.2</v>
      </c>
      <c r="AX18" s="184">
        <v>300.3</v>
      </c>
      <c r="AY18" s="183">
        <v>302.2</v>
      </c>
      <c r="AZ18" s="184">
        <v>300.2</v>
      </c>
      <c r="BA18" s="184">
        <v>302.2</v>
      </c>
      <c r="BB18" s="184">
        <v>399.7</v>
      </c>
      <c r="BC18" s="183">
        <v>397.6</v>
      </c>
      <c r="BD18" s="184">
        <v>395.4</v>
      </c>
      <c r="BE18" s="184">
        <v>397.3</v>
      </c>
      <c r="BF18" s="184">
        <v>1370.5</v>
      </c>
      <c r="BG18" s="183">
        <v>596.5</v>
      </c>
      <c r="BH18" s="184">
        <v>546.20000000000005</v>
      </c>
      <c r="BI18" s="184">
        <v>547.20000000000005</v>
      </c>
      <c r="BJ18" s="184">
        <v>972.4</v>
      </c>
      <c r="BK18" s="183">
        <v>398</v>
      </c>
      <c r="BL18" s="184">
        <v>401.8</v>
      </c>
      <c r="BM18" s="184">
        <v>407.9</v>
      </c>
      <c r="BN18" s="184">
        <v>404.8</v>
      </c>
      <c r="BO18" s="183">
        <v>413</v>
      </c>
      <c r="BP18" s="184">
        <v>404.8</v>
      </c>
      <c r="BQ18" s="184">
        <v>412.7</v>
      </c>
      <c r="BR18" s="184">
        <v>404.4</v>
      </c>
      <c r="BS18" s="183">
        <v>410.9</v>
      </c>
    </row>
    <row r="19" spans="1:71" s="164" customFormat="1" ht="10.8">
      <c r="A19" s="163" t="s">
        <v>548</v>
      </c>
      <c r="B19" s="163" t="s">
        <v>549</v>
      </c>
      <c r="C19" s="183">
        <v>0</v>
      </c>
      <c r="D19" s="184">
        <v>0</v>
      </c>
      <c r="E19" s="184">
        <v>0</v>
      </c>
      <c r="F19" s="184">
        <v>0</v>
      </c>
      <c r="G19" s="183">
        <v>0</v>
      </c>
      <c r="H19" s="184">
        <v>0</v>
      </c>
      <c r="I19" s="184">
        <v>0</v>
      </c>
      <c r="J19" s="185">
        <v>0</v>
      </c>
      <c r="K19" s="183">
        <v>0</v>
      </c>
      <c r="L19" s="184">
        <v>0</v>
      </c>
      <c r="M19" s="184">
        <v>0</v>
      </c>
      <c r="N19" s="185">
        <v>0</v>
      </c>
      <c r="O19" s="183">
        <v>0</v>
      </c>
      <c r="P19" s="184">
        <v>0</v>
      </c>
      <c r="Q19" s="184">
        <v>0</v>
      </c>
      <c r="R19" s="185">
        <v>0</v>
      </c>
      <c r="S19" s="183">
        <v>0</v>
      </c>
      <c r="T19" s="184">
        <v>0</v>
      </c>
      <c r="U19" s="184">
        <v>0</v>
      </c>
      <c r="V19" s="185">
        <v>0</v>
      </c>
      <c r="W19" s="183">
        <v>0</v>
      </c>
      <c r="X19" s="184">
        <v>0</v>
      </c>
      <c r="Y19" s="184">
        <v>0</v>
      </c>
      <c r="Z19" s="185">
        <v>0</v>
      </c>
      <c r="AA19" s="183">
        <v>0</v>
      </c>
      <c r="AB19" s="184">
        <v>0</v>
      </c>
      <c r="AC19" s="184">
        <v>0</v>
      </c>
      <c r="AD19" s="185">
        <v>0</v>
      </c>
      <c r="AE19" s="183">
        <v>0</v>
      </c>
      <c r="AF19" s="184">
        <v>0</v>
      </c>
      <c r="AG19" s="184">
        <v>0</v>
      </c>
      <c r="AH19" s="185">
        <v>0</v>
      </c>
      <c r="AI19" s="183">
        <v>0</v>
      </c>
      <c r="AJ19" s="184">
        <v>0</v>
      </c>
      <c r="AK19" s="184">
        <v>0</v>
      </c>
      <c r="AL19" s="184">
        <v>0</v>
      </c>
      <c r="AM19" s="183">
        <v>641.6</v>
      </c>
      <c r="AN19" s="184">
        <v>665.2</v>
      </c>
      <c r="AO19" s="184">
        <v>648.1</v>
      </c>
      <c r="AP19" s="184">
        <v>664.9</v>
      </c>
      <c r="AQ19" s="183">
        <v>634.20000000000005</v>
      </c>
      <c r="AR19" s="184">
        <v>635.29999999999995</v>
      </c>
      <c r="AS19" s="184">
        <v>647.70000000000005</v>
      </c>
      <c r="AT19" s="184">
        <v>626.9</v>
      </c>
      <c r="AU19" s="183">
        <v>632.4</v>
      </c>
      <c r="AV19" s="184">
        <v>655.6</v>
      </c>
      <c r="AW19" s="184">
        <v>641.9</v>
      </c>
      <c r="AX19" s="184">
        <v>1076.9000000000001</v>
      </c>
      <c r="AY19" s="183">
        <v>1077.2</v>
      </c>
      <c r="AZ19" s="184">
        <v>1065</v>
      </c>
      <c r="BA19" s="184">
        <v>2188.6999999999998</v>
      </c>
      <c r="BB19" s="184">
        <v>2131.1</v>
      </c>
      <c r="BC19" s="183">
        <v>2278.1</v>
      </c>
      <c r="BD19" s="184">
        <v>2235.1</v>
      </c>
      <c r="BE19" s="184">
        <v>2265.1999999999998</v>
      </c>
      <c r="BF19" s="184">
        <v>2309.1999999999998</v>
      </c>
      <c r="BG19" s="183">
        <v>2331.9</v>
      </c>
      <c r="BH19" s="184">
        <v>2262.1</v>
      </c>
      <c r="BI19" s="184">
        <v>2318.1999999999998</v>
      </c>
      <c r="BJ19" s="184">
        <v>1610.3</v>
      </c>
      <c r="BK19" s="183">
        <v>1628.9</v>
      </c>
      <c r="BL19" s="184">
        <v>1638.8</v>
      </c>
      <c r="BM19" s="184">
        <v>1705.7</v>
      </c>
      <c r="BN19" s="184">
        <v>1643.9</v>
      </c>
      <c r="BO19" s="183">
        <v>1639.6</v>
      </c>
      <c r="BP19" s="184">
        <v>1561.2</v>
      </c>
      <c r="BQ19" s="184">
        <v>1626.7</v>
      </c>
      <c r="BR19" s="184">
        <v>1526.2</v>
      </c>
      <c r="BS19" s="183">
        <v>1509.7</v>
      </c>
    </row>
    <row r="20" spans="1:71" s="164" customFormat="1" ht="10.8">
      <c r="A20" s="177"/>
      <c r="B20" s="159"/>
      <c r="C20" s="183"/>
      <c r="D20" s="184"/>
      <c r="E20" s="184"/>
      <c r="F20" s="184"/>
      <c r="G20" s="183"/>
      <c r="H20" s="184"/>
      <c r="I20" s="184"/>
      <c r="J20" s="185"/>
      <c r="K20" s="183"/>
      <c r="L20" s="184"/>
      <c r="M20" s="184"/>
      <c r="N20" s="185"/>
      <c r="O20" s="183"/>
      <c r="P20" s="184"/>
      <c r="Q20" s="184"/>
      <c r="R20" s="185"/>
      <c r="S20" s="183"/>
      <c r="T20" s="184"/>
      <c r="U20" s="184"/>
      <c r="V20" s="185"/>
      <c r="W20" s="183"/>
      <c r="X20" s="184"/>
      <c r="Y20" s="184"/>
      <c r="Z20" s="185"/>
      <c r="AA20" s="183"/>
      <c r="AB20" s="184"/>
      <c r="AC20" s="184"/>
      <c r="AD20" s="185"/>
      <c r="AE20" s="183"/>
      <c r="AF20" s="184"/>
      <c r="AG20" s="184"/>
      <c r="AH20" s="185"/>
      <c r="AI20" s="183"/>
      <c r="AJ20" s="184"/>
      <c r="AK20" s="184"/>
      <c r="AL20" s="184"/>
      <c r="AM20" s="183"/>
      <c r="AN20" s="184"/>
      <c r="AO20" s="184"/>
      <c r="AP20" s="184"/>
      <c r="AQ20" s="183"/>
      <c r="AR20" s="184"/>
      <c r="AS20" s="184"/>
      <c r="AT20" s="184"/>
      <c r="AU20" s="183"/>
      <c r="AV20" s="184"/>
      <c r="AW20" s="184"/>
      <c r="AX20" s="184"/>
      <c r="AY20" s="183"/>
      <c r="AZ20" s="184"/>
      <c r="BA20" s="184"/>
      <c r="BB20" s="184"/>
      <c r="BC20" s="183"/>
      <c r="BD20" s="184"/>
      <c r="BE20" s="184"/>
      <c r="BF20" s="184"/>
      <c r="BG20" s="183"/>
      <c r="BH20" s="184"/>
      <c r="BI20" s="184"/>
      <c r="BJ20" s="184"/>
      <c r="BK20" s="183"/>
      <c r="BL20" s="184"/>
      <c r="BM20" s="184"/>
      <c r="BN20" s="184"/>
      <c r="BO20" s="183"/>
      <c r="BP20" s="184"/>
      <c r="BQ20" s="184"/>
      <c r="BR20" s="184"/>
      <c r="BS20" s="183"/>
    </row>
    <row r="21" spans="1:71" s="164" customFormat="1" ht="10.8">
      <c r="A21" s="177" t="s">
        <v>798</v>
      </c>
      <c r="B21" s="177" t="s">
        <v>799</v>
      </c>
      <c r="C21" s="180">
        <f>C22+C23</f>
        <v>236.10000000000002</v>
      </c>
      <c r="D21" s="181">
        <f t="shared" ref="D21:BO21" si="4">D22+D23</f>
        <v>246.89999999999986</v>
      </c>
      <c r="E21" s="181">
        <f t="shared" si="4"/>
        <v>254.59999999999997</v>
      </c>
      <c r="F21" s="181">
        <f t="shared" si="4"/>
        <v>263.2</v>
      </c>
      <c r="G21" s="180">
        <f t="shared" si="4"/>
        <v>283.40302757000001</v>
      </c>
      <c r="H21" s="181">
        <f t="shared" si="4"/>
        <v>315.79263037999988</v>
      </c>
      <c r="I21" s="181">
        <f t="shared" si="4"/>
        <v>320.90466633000005</v>
      </c>
      <c r="J21" s="182">
        <f t="shared" si="4"/>
        <v>332.49967572000003</v>
      </c>
      <c r="K21" s="180">
        <f t="shared" si="4"/>
        <v>311.10000000000002</v>
      </c>
      <c r="L21" s="181">
        <f t="shared" si="4"/>
        <v>359</v>
      </c>
      <c r="M21" s="181">
        <f t="shared" si="4"/>
        <v>378.00000000000017</v>
      </c>
      <c r="N21" s="182">
        <f t="shared" si="4"/>
        <v>354.39999999999992</v>
      </c>
      <c r="O21" s="180">
        <f t="shared" si="4"/>
        <v>390.39999999999992</v>
      </c>
      <c r="P21" s="181">
        <f t="shared" si="4"/>
        <v>405.3</v>
      </c>
      <c r="Q21" s="181">
        <f t="shared" si="4"/>
        <v>410.20000000000005</v>
      </c>
      <c r="R21" s="182">
        <f t="shared" si="4"/>
        <v>421.7000000000001</v>
      </c>
      <c r="S21" s="180">
        <f t="shared" si="4"/>
        <v>434.89999999999981</v>
      </c>
      <c r="T21" s="181">
        <f t="shared" si="4"/>
        <v>459.50000000000006</v>
      </c>
      <c r="U21" s="181">
        <f t="shared" si="4"/>
        <v>477.40000000000003</v>
      </c>
      <c r="V21" s="182">
        <f t="shared" si="4"/>
        <v>479.7</v>
      </c>
      <c r="W21" s="180">
        <f t="shared" si="4"/>
        <v>513.50000000000011</v>
      </c>
      <c r="X21" s="181">
        <f t="shared" si="4"/>
        <v>514.09999999999991</v>
      </c>
      <c r="Y21" s="181">
        <f t="shared" si="4"/>
        <v>515.5</v>
      </c>
      <c r="Z21" s="182">
        <f t="shared" si="4"/>
        <v>505.80000000000007</v>
      </c>
      <c r="AA21" s="180">
        <f t="shared" si="4"/>
        <v>475.79999999999995</v>
      </c>
      <c r="AB21" s="181">
        <f t="shared" si="4"/>
        <v>495.29999999999995</v>
      </c>
      <c r="AC21" s="181">
        <f t="shared" si="4"/>
        <v>526.09999999999968</v>
      </c>
      <c r="AD21" s="182">
        <f t="shared" si="4"/>
        <v>545.4</v>
      </c>
      <c r="AE21" s="180">
        <f t="shared" si="4"/>
        <v>567.90000000000009</v>
      </c>
      <c r="AF21" s="181">
        <f t="shared" si="4"/>
        <v>582.19999999999982</v>
      </c>
      <c r="AG21" s="181">
        <f t="shared" si="4"/>
        <v>596.90000000000009</v>
      </c>
      <c r="AH21" s="182">
        <f t="shared" si="4"/>
        <v>583.19999999999993</v>
      </c>
      <c r="AI21" s="180">
        <f t="shared" si="4"/>
        <v>569</v>
      </c>
      <c r="AJ21" s="181">
        <f t="shared" si="4"/>
        <v>594.09999999999991</v>
      </c>
      <c r="AK21" s="181">
        <f t="shared" si="4"/>
        <v>644.6</v>
      </c>
      <c r="AL21" s="181">
        <f t="shared" si="4"/>
        <v>659.40000000000009</v>
      </c>
      <c r="AM21" s="180">
        <f t="shared" si="4"/>
        <v>668.1</v>
      </c>
      <c r="AN21" s="181">
        <f t="shared" si="4"/>
        <v>690.90000000000009</v>
      </c>
      <c r="AO21" s="181">
        <f t="shared" si="4"/>
        <v>784.90000000000009</v>
      </c>
      <c r="AP21" s="181">
        <f t="shared" si="4"/>
        <v>809.49999999999977</v>
      </c>
      <c r="AQ21" s="180">
        <f t="shared" si="4"/>
        <v>794.8</v>
      </c>
      <c r="AR21" s="181">
        <f t="shared" si="4"/>
        <v>830.49999999999989</v>
      </c>
      <c r="AS21" s="181">
        <f t="shared" si="4"/>
        <v>868.90000000000009</v>
      </c>
      <c r="AT21" s="181">
        <f t="shared" si="4"/>
        <v>895.20000000000027</v>
      </c>
      <c r="AU21" s="180">
        <f t="shared" si="4"/>
        <v>882.99999999999989</v>
      </c>
      <c r="AV21" s="181">
        <f t="shared" si="4"/>
        <v>920</v>
      </c>
      <c r="AW21" s="181">
        <f t="shared" si="4"/>
        <v>961.2</v>
      </c>
      <c r="AX21" s="181">
        <f t="shared" si="4"/>
        <v>995.09999999999991</v>
      </c>
      <c r="AY21" s="180">
        <f t="shared" si="4"/>
        <v>1020.1999999999999</v>
      </c>
      <c r="AZ21" s="181">
        <f t="shared" si="4"/>
        <v>1053.1999999999998</v>
      </c>
      <c r="BA21" s="181">
        <f t="shared" si="4"/>
        <v>1127.8</v>
      </c>
      <c r="BB21" s="181">
        <f t="shared" si="4"/>
        <v>1123.8999999999996</v>
      </c>
      <c r="BC21" s="180">
        <f t="shared" si="4"/>
        <v>1152.1000000000001</v>
      </c>
      <c r="BD21" s="181">
        <f t="shared" si="4"/>
        <v>1099.2</v>
      </c>
      <c r="BE21" s="181">
        <f t="shared" si="4"/>
        <v>1136.3</v>
      </c>
      <c r="BF21" s="181">
        <f t="shared" si="4"/>
        <v>1154.2</v>
      </c>
      <c r="BG21" s="180">
        <f t="shared" si="4"/>
        <v>1141.6000000000001</v>
      </c>
      <c r="BH21" s="181">
        <f t="shared" si="4"/>
        <v>1175</v>
      </c>
      <c r="BI21" s="181">
        <f t="shared" si="4"/>
        <v>1236.7</v>
      </c>
      <c r="BJ21" s="181">
        <f t="shared" si="4"/>
        <v>1416.4</v>
      </c>
      <c r="BK21" s="180">
        <f t="shared" si="4"/>
        <v>1732.6000000000001</v>
      </c>
      <c r="BL21" s="181">
        <f t="shared" si="4"/>
        <v>1898.5</v>
      </c>
      <c r="BM21" s="181">
        <f t="shared" si="4"/>
        <v>173.30000000000018</v>
      </c>
      <c r="BN21" s="181">
        <f t="shared" si="4"/>
        <v>1809.6</v>
      </c>
      <c r="BO21" s="180">
        <f t="shared" si="4"/>
        <v>1860.3999999999999</v>
      </c>
      <c r="BP21" s="181">
        <f t="shared" ref="BP21:BS21" si="5">BP22+BP23</f>
        <v>2054.0000000000005</v>
      </c>
      <c r="BQ21" s="181">
        <f t="shared" si="5"/>
        <v>2089.9</v>
      </c>
      <c r="BR21" s="181">
        <f t="shared" si="5"/>
        <v>2166.1999999999998</v>
      </c>
      <c r="BS21" s="180">
        <f t="shared" si="5"/>
        <v>2162.5999999999995</v>
      </c>
    </row>
    <row r="22" spans="1:71" s="164" customFormat="1" ht="10.8">
      <c r="A22" s="163" t="s">
        <v>1013</v>
      </c>
      <c r="B22" s="163" t="s">
        <v>1014</v>
      </c>
      <c r="C22" s="183">
        <v>556</v>
      </c>
      <c r="D22" s="184">
        <v>585.99999999999989</v>
      </c>
      <c r="E22" s="184">
        <v>618.29999999999995</v>
      </c>
      <c r="F22" s="184">
        <v>673.3</v>
      </c>
      <c r="G22" s="183">
        <v>750.50302756999997</v>
      </c>
      <c r="H22" s="184">
        <v>855.29263037999988</v>
      </c>
      <c r="I22" s="184">
        <v>910.10466632999999</v>
      </c>
      <c r="J22" s="185">
        <v>982.79967571999998</v>
      </c>
      <c r="K22" s="183">
        <v>860.80000000000007</v>
      </c>
      <c r="L22" s="184">
        <v>773.3</v>
      </c>
      <c r="M22" s="184">
        <v>732.10000000000014</v>
      </c>
      <c r="N22" s="185">
        <v>711.49999999999989</v>
      </c>
      <c r="O22" s="183">
        <v>726.8</v>
      </c>
      <c r="P22" s="184">
        <v>723.1</v>
      </c>
      <c r="Q22" s="184">
        <v>747.30000000000007</v>
      </c>
      <c r="R22" s="185">
        <v>751.50000000000011</v>
      </c>
      <c r="S22" s="183">
        <v>772.5999999999998</v>
      </c>
      <c r="T22" s="184">
        <v>833.6</v>
      </c>
      <c r="U22" s="184">
        <v>882.30000000000007</v>
      </c>
      <c r="V22" s="185">
        <v>897</v>
      </c>
      <c r="W22" s="183">
        <v>945.2</v>
      </c>
      <c r="X22" s="184">
        <v>945.19999999999993</v>
      </c>
      <c r="Y22" s="184">
        <v>963.2</v>
      </c>
      <c r="Z22" s="185">
        <v>977.90000000000009</v>
      </c>
      <c r="AA22" s="183">
        <v>925.09999999999991</v>
      </c>
      <c r="AB22" s="184">
        <v>902.8</v>
      </c>
      <c r="AC22" s="184">
        <v>895.39999999999975</v>
      </c>
      <c r="AD22" s="185">
        <v>891.4</v>
      </c>
      <c r="AE22" s="183">
        <v>903.80000000000007</v>
      </c>
      <c r="AF22" s="184">
        <v>932.59999999999991</v>
      </c>
      <c r="AG22" s="184">
        <v>962.2</v>
      </c>
      <c r="AH22" s="185">
        <v>925.9</v>
      </c>
      <c r="AI22" s="183">
        <v>887</v>
      </c>
      <c r="AJ22" s="184">
        <v>878</v>
      </c>
      <c r="AK22" s="184">
        <v>928.5</v>
      </c>
      <c r="AL22" s="184">
        <v>935.1</v>
      </c>
      <c r="AM22" s="183">
        <v>935</v>
      </c>
      <c r="AN22" s="184">
        <v>961.2</v>
      </c>
      <c r="AO22" s="184">
        <v>1010.5000000000001</v>
      </c>
      <c r="AP22" s="184">
        <v>1016.1999999999998</v>
      </c>
      <c r="AQ22" s="183">
        <v>1004.3</v>
      </c>
      <c r="AR22" s="184">
        <v>1040.5999999999999</v>
      </c>
      <c r="AS22" s="184">
        <v>1081.6000000000001</v>
      </c>
      <c r="AT22" s="184">
        <v>1111.0000000000002</v>
      </c>
      <c r="AU22" s="183">
        <v>1098.0999999999999</v>
      </c>
      <c r="AV22" s="184">
        <v>1150.2</v>
      </c>
      <c r="AW22" s="184">
        <v>1194.7</v>
      </c>
      <c r="AX22" s="184">
        <v>1230.8</v>
      </c>
      <c r="AY22" s="183">
        <v>1263.0999999999999</v>
      </c>
      <c r="AZ22" s="184">
        <v>1314.1</v>
      </c>
      <c r="BA22" s="184">
        <v>1367.5</v>
      </c>
      <c r="BB22" s="184">
        <v>1366.5999999999997</v>
      </c>
      <c r="BC22" s="183">
        <v>1386.6000000000001</v>
      </c>
      <c r="BD22" s="184">
        <v>1304</v>
      </c>
      <c r="BE22" s="184">
        <v>1277.3</v>
      </c>
      <c r="BF22" s="184">
        <v>1279</v>
      </c>
      <c r="BG22" s="183">
        <v>1267.6000000000001</v>
      </c>
      <c r="BH22" s="184">
        <v>1297.0999999999999</v>
      </c>
      <c r="BI22" s="184">
        <v>1352.3</v>
      </c>
      <c r="BJ22" s="184">
        <v>1515.4</v>
      </c>
      <c r="BK22" s="183">
        <v>1851.7</v>
      </c>
      <c r="BL22" s="184">
        <v>2379.5</v>
      </c>
      <c r="BM22" s="184">
        <v>1018.2</v>
      </c>
      <c r="BN22" s="184">
        <v>2862.5</v>
      </c>
      <c r="BO22" s="183">
        <v>2982.1</v>
      </c>
      <c r="BP22" s="184">
        <v>3134.0000000000005</v>
      </c>
      <c r="BQ22" s="184">
        <v>3176.9</v>
      </c>
      <c r="BR22" s="184">
        <v>3116</v>
      </c>
      <c r="BS22" s="183">
        <v>3232.2</v>
      </c>
    </row>
    <row r="23" spans="1:71" s="164" customFormat="1" ht="10.8">
      <c r="A23" s="163" t="s">
        <v>1031</v>
      </c>
      <c r="B23" s="163" t="s">
        <v>1032</v>
      </c>
      <c r="C23" s="183">
        <v>-319.89999999999998</v>
      </c>
      <c r="D23" s="184">
        <v>-339.1</v>
      </c>
      <c r="E23" s="184">
        <v>-363.7</v>
      </c>
      <c r="F23" s="184">
        <v>-410.09999999999997</v>
      </c>
      <c r="G23" s="183">
        <v>-467.09999999999997</v>
      </c>
      <c r="H23" s="184">
        <v>-539.5</v>
      </c>
      <c r="I23" s="184">
        <v>-589.19999999999993</v>
      </c>
      <c r="J23" s="185">
        <v>-650.29999999999995</v>
      </c>
      <c r="K23" s="183">
        <v>-549.70000000000005</v>
      </c>
      <c r="L23" s="184">
        <v>-414.29999999999995</v>
      </c>
      <c r="M23" s="184">
        <v>-354.09999999999997</v>
      </c>
      <c r="N23" s="185">
        <v>-357.09999999999997</v>
      </c>
      <c r="O23" s="183">
        <v>-336.40000000000003</v>
      </c>
      <c r="P23" s="184">
        <v>-317.8</v>
      </c>
      <c r="Q23" s="184">
        <v>-337.1</v>
      </c>
      <c r="R23" s="185">
        <v>-329.8</v>
      </c>
      <c r="S23" s="183">
        <v>-337.7</v>
      </c>
      <c r="T23" s="184">
        <v>-374.09999999999997</v>
      </c>
      <c r="U23" s="184">
        <v>-404.90000000000003</v>
      </c>
      <c r="V23" s="185">
        <v>-417.3</v>
      </c>
      <c r="W23" s="183">
        <v>-431.69999999999993</v>
      </c>
      <c r="X23" s="184">
        <v>-431.1</v>
      </c>
      <c r="Y23" s="184">
        <v>-447.7</v>
      </c>
      <c r="Z23" s="185">
        <v>-472.1</v>
      </c>
      <c r="AA23" s="183">
        <v>-449.29999999999995</v>
      </c>
      <c r="AB23" s="184">
        <v>-407.5</v>
      </c>
      <c r="AC23" s="184">
        <v>-369.30000000000007</v>
      </c>
      <c r="AD23" s="185">
        <v>-346</v>
      </c>
      <c r="AE23" s="183">
        <v>-335.89999999999992</v>
      </c>
      <c r="AF23" s="184">
        <v>-350.40000000000003</v>
      </c>
      <c r="AG23" s="184">
        <v>-365.3</v>
      </c>
      <c r="AH23" s="185">
        <v>-342.70000000000005</v>
      </c>
      <c r="AI23" s="183">
        <v>-318</v>
      </c>
      <c r="AJ23" s="184">
        <v>-283.90000000000003</v>
      </c>
      <c r="AK23" s="184">
        <v>-283.89999999999998</v>
      </c>
      <c r="AL23" s="184">
        <v>-275.7</v>
      </c>
      <c r="AM23" s="183">
        <v>-266.89999999999998</v>
      </c>
      <c r="AN23" s="184">
        <v>-270.3</v>
      </c>
      <c r="AO23" s="184">
        <v>-225.6</v>
      </c>
      <c r="AP23" s="184">
        <v>-206.70000000000002</v>
      </c>
      <c r="AQ23" s="183">
        <v>-209.49999999999997</v>
      </c>
      <c r="AR23" s="184">
        <v>-210.1</v>
      </c>
      <c r="AS23" s="184">
        <v>-212.7</v>
      </c>
      <c r="AT23" s="184">
        <v>-215.79999999999998</v>
      </c>
      <c r="AU23" s="183">
        <v>-215.1</v>
      </c>
      <c r="AV23" s="184">
        <v>-230.2</v>
      </c>
      <c r="AW23" s="184">
        <v>-233.5</v>
      </c>
      <c r="AX23" s="184">
        <v>-235.70000000000002</v>
      </c>
      <c r="AY23" s="183">
        <v>-242.89999999999998</v>
      </c>
      <c r="AZ23" s="184">
        <v>-260.90000000000003</v>
      </c>
      <c r="BA23" s="184">
        <v>-239.70000000000002</v>
      </c>
      <c r="BB23" s="184">
        <v>-242.70000000000002</v>
      </c>
      <c r="BC23" s="183">
        <v>-234.50000000000003</v>
      </c>
      <c r="BD23" s="184">
        <v>-204.8</v>
      </c>
      <c r="BE23" s="184">
        <v>-140.99999999999997</v>
      </c>
      <c r="BF23" s="184">
        <v>-124.8</v>
      </c>
      <c r="BG23" s="183">
        <v>-126.00000000000001</v>
      </c>
      <c r="BH23" s="184">
        <v>-122.10000000000001</v>
      </c>
      <c r="BI23" s="184">
        <v>-115.6</v>
      </c>
      <c r="BJ23" s="184">
        <v>-99</v>
      </c>
      <c r="BK23" s="183">
        <v>-119.10000000000001</v>
      </c>
      <c r="BL23" s="184">
        <v>-481</v>
      </c>
      <c r="BM23" s="184">
        <v>-844.89999999999986</v>
      </c>
      <c r="BN23" s="184">
        <v>-1052.9000000000001</v>
      </c>
      <c r="BO23" s="183">
        <v>-1121.7</v>
      </c>
      <c r="BP23" s="184">
        <v>-1080</v>
      </c>
      <c r="BQ23" s="184">
        <v>-1087</v>
      </c>
      <c r="BR23" s="184">
        <v>-949.80000000000018</v>
      </c>
      <c r="BS23" s="183">
        <v>-1069.6000000000001</v>
      </c>
    </row>
    <row r="24" spans="1:71" s="164" customFormat="1" ht="10.8">
      <c r="A24" s="177"/>
      <c r="B24" s="159"/>
      <c r="C24" s="183"/>
      <c r="D24" s="184"/>
      <c r="E24" s="184"/>
      <c r="F24" s="184"/>
      <c r="G24" s="183"/>
      <c r="H24" s="184"/>
      <c r="I24" s="184"/>
      <c r="J24" s="185"/>
      <c r="K24" s="183"/>
      <c r="L24" s="184"/>
      <c r="M24" s="184"/>
      <c r="N24" s="185"/>
      <c r="O24" s="183"/>
      <c r="P24" s="184"/>
      <c r="Q24" s="184"/>
      <c r="R24" s="185"/>
      <c r="S24" s="183"/>
      <c r="T24" s="184"/>
      <c r="U24" s="184"/>
      <c r="V24" s="185"/>
      <c r="W24" s="183"/>
      <c r="X24" s="184"/>
      <c r="Y24" s="184"/>
      <c r="Z24" s="185"/>
      <c r="AA24" s="183"/>
      <c r="AB24" s="184"/>
      <c r="AC24" s="184"/>
      <c r="AD24" s="185"/>
      <c r="AE24" s="183"/>
      <c r="AF24" s="184"/>
      <c r="AG24" s="184"/>
      <c r="AH24" s="185"/>
      <c r="AI24" s="183"/>
      <c r="AJ24" s="184"/>
      <c r="AK24" s="184"/>
      <c r="AL24" s="184"/>
      <c r="AM24" s="183"/>
      <c r="AN24" s="184"/>
      <c r="AO24" s="184"/>
      <c r="AP24" s="184"/>
      <c r="AQ24" s="183"/>
      <c r="AR24" s="184"/>
      <c r="AS24" s="184"/>
      <c r="AT24" s="184"/>
      <c r="AU24" s="183"/>
      <c r="AV24" s="184"/>
      <c r="AW24" s="184"/>
      <c r="AX24" s="184"/>
      <c r="AY24" s="183"/>
      <c r="AZ24" s="184"/>
      <c r="BA24" s="184"/>
      <c r="BB24" s="184"/>
      <c r="BC24" s="183"/>
      <c r="BD24" s="184"/>
      <c r="BE24" s="184"/>
      <c r="BF24" s="184"/>
      <c r="BG24" s="183"/>
      <c r="BH24" s="184"/>
      <c r="BI24" s="184"/>
      <c r="BJ24" s="184"/>
      <c r="BK24" s="183"/>
      <c r="BL24" s="184"/>
      <c r="BM24" s="184"/>
      <c r="BN24" s="184"/>
      <c r="BO24" s="183"/>
      <c r="BP24" s="184"/>
      <c r="BQ24" s="184"/>
      <c r="BR24" s="184"/>
      <c r="BS24" s="183"/>
    </row>
    <row r="25" spans="1:71" s="9" customFormat="1" ht="10.8">
      <c r="A25" s="459" t="s">
        <v>740</v>
      </c>
      <c r="B25" s="459" t="s">
        <v>741</v>
      </c>
      <c r="C25" s="460"/>
      <c r="D25" s="460">
        <f t="shared" ref="D25:BO25" si="6">D21*4/AVERAGE(C6:D6)</f>
        <v>2.2178132442255662E-2</v>
      </c>
      <c r="E25" s="460">
        <f t="shared" si="6"/>
        <v>2.2993462532328909E-2</v>
      </c>
      <c r="F25" s="460">
        <f t="shared" si="6"/>
        <v>2.4334741379808497E-2</v>
      </c>
      <c r="G25" s="461">
        <f t="shared" si="6"/>
        <v>2.5047717652309752E-2</v>
      </c>
      <c r="H25" s="460">
        <f t="shared" si="6"/>
        <v>2.6372946669742738E-2</v>
      </c>
      <c r="I25" s="460">
        <f t="shared" si="6"/>
        <v>2.5869551024307276E-2</v>
      </c>
      <c r="J25" s="460">
        <f t="shared" si="6"/>
        <v>2.5500543619968674E-2</v>
      </c>
      <c r="K25" s="461">
        <f t="shared" si="6"/>
        <v>2.420208860679483E-2</v>
      </c>
      <c r="L25" s="460">
        <f t="shared" si="6"/>
        <v>2.908319088780693E-2</v>
      </c>
      <c r="M25" s="460">
        <f t="shared" si="6"/>
        <v>3.0907667431863121E-2</v>
      </c>
      <c r="N25" s="460">
        <f t="shared" si="6"/>
        <v>2.9089357021788283E-2</v>
      </c>
      <c r="O25" s="461">
        <f t="shared" si="6"/>
        <v>2.9953092796852772E-2</v>
      </c>
      <c r="P25" s="460">
        <f t="shared" si="6"/>
        <v>2.8806968258495096E-2</v>
      </c>
      <c r="Q25" s="460">
        <f t="shared" si="6"/>
        <v>2.9236306617725673E-2</v>
      </c>
      <c r="R25" s="460">
        <f t="shared" si="6"/>
        <v>2.8967065161299752E-2</v>
      </c>
      <c r="S25" s="461">
        <f t="shared" si="6"/>
        <v>2.8057385708410269E-2</v>
      </c>
      <c r="T25" s="460">
        <f t="shared" si="6"/>
        <v>2.886707716132032E-2</v>
      </c>
      <c r="U25" s="460">
        <f t="shared" si="6"/>
        <v>2.8537782374003957E-2</v>
      </c>
      <c r="V25" s="460">
        <f t="shared" si="6"/>
        <v>2.8422582236330485E-2</v>
      </c>
      <c r="W25" s="461">
        <f t="shared" si="6"/>
        <v>3.0719439093552216E-2</v>
      </c>
      <c r="X25" s="460">
        <f t="shared" si="6"/>
        <v>3.0543013307984784E-2</v>
      </c>
      <c r="Y25" s="460">
        <f t="shared" si="6"/>
        <v>3.0394464728712454E-2</v>
      </c>
      <c r="Z25" s="460">
        <f t="shared" si="6"/>
        <v>2.8404619822162261E-2</v>
      </c>
      <c r="AA25" s="461">
        <f t="shared" si="6"/>
        <v>2.593754791230132E-2</v>
      </c>
      <c r="AB25" s="460">
        <f t="shared" si="6"/>
        <v>2.6407866377155833E-2</v>
      </c>
      <c r="AC25" s="460">
        <f t="shared" si="6"/>
        <v>2.6816798601305907E-2</v>
      </c>
      <c r="AD25" s="460">
        <f t="shared" si="6"/>
        <v>2.6930490670429231E-2</v>
      </c>
      <c r="AE25" s="461">
        <f t="shared" si="6"/>
        <v>2.6976908236828186E-2</v>
      </c>
      <c r="AF25" s="460">
        <f t="shared" si="6"/>
        <v>2.6036446329177461E-2</v>
      </c>
      <c r="AG25" s="460">
        <f t="shared" si="6"/>
        <v>2.5944150966358777E-2</v>
      </c>
      <c r="AH25" s="460">
        <f t="shared" si="6"/>
        <v>2.5093139240138694E-2</v>
      </c>
      <c r="AI25" s="461">
        <f t="shared" si="6"/>
        <v>2.3965159964283909E-2</v>
      </c>
      <c r="AJ25" s="460">
        <f t="shared" si="6"/>
        <v>2.426114729989581E-2</v>
      </c>
      <c r="AK25" s="460">
        <f t="shared" si="6"/>
        <v>2.5011215955029479E-2</v>
      </c>
      <c r="AL25" s="460">
        <f t="shared" si="6"/>
        <v>2.5061689801727984E-2</v>
      </c>
      <c r="AM25" s="461">
        <f t="shared" si="6"/>
        <v>2.5200515439370578E-2</v>
      </c>
      <c r="AN25" s="460">
        <f t="shared" si="6"/>
        <v>2.5271798023137473E-2</v>
      </c>
      <c r="AO25" s="460">
        <f t="shared" si="6"/>
        <v>2.8107040591648019E-2</v>
      </c>
      <c r="AP25" s="460">
        <f t="shared" si="6"/>
        <v>2.8865650366369993E-2</v>
      </c>
      <c r="AQ25" s="461">
        <f t="shared" si="6"/>
        <v>2.8062271550495229E-2</v>
      </c>
      <c r="AR25" s="460">
        <f t="shared" si="6"/>
        <v>2.8949310819913844E-2</v>
      </c>
      <c r="AS25" s="460">
        <f t="shared" si="6"/>
        <v>2.9792980956785349E-2</v>
      </c>
      <c r="AT25" s="460">
        <f t="shared" si="6"/>
        <v>2.9694903278853709E-2</v>
      </c>
      <c r="AU25" s="461">
        <f t="shared" si="6"/>
        <v>2.8606034885270117E-2</v>
      </c>
      <c r="AV25" s="460">
        <f t="shared" si="6"/>
        <v>2.9328539817278419E-2</v>
      </c>
      <c r="AW25" s="460">
        <f t="shared" si="6"/>
        <v>2.985518511371768E-2</v>
      </c>
      <c r="AX25" s="460">
        <f t="shared" si="6"/>
        <v>2.9641919888474175E-2</v>
      </c>
      <c r="AY25" s="461">
        <f t="shared" si="6"/>
        <v>2.9294615549448125E-2</v>
      </c>
      <c r="AZ25" s="460">
        <f t="shared" si="6"/>
        <v>2.9426762092228248E-2</v>
      </c>
      <c r="BA25" s="460">
        <f t="shared" si="6"/>
        <v>3.0318885287658758E-2</v>
      </c>
      <c r="BB25" s="460">
        <f t="shared" si="6"/>
        <v>2.9269982316649169E-2</v>
      </c>
      <c r="BC25" s="461">
        <f t="shared" si="6"/>
        <v>2.8565885202135072E-2</v>
      </c>
      <c r="BD25" s="460">
        <f t="shared" si="6"/>
        <v>2.5489138941546814E-2</v>
      </c>
      <c r="BE25" s="460">
        <f t="shared" si="6"/>
        <v>2.5330268199233716E-2</v>
      </c>
      <c r="BF25" s="460">
        <f t="shared" si="6"/>
        <v>2.536698418437108E-2</v>
      </c>
      <c r="BG25" s="461">
        <f t="shared" si="6"/>
        <v>2.4456334725729847E-2</v>
      </c>
      <c r="BH25" s="460">
        <f t="shared" si="6"/>
        <v>2.4466965042172977E-2</v>
      </c>
      <c r="BI25" s="460">
        <f t="shared" si="6"/>
        <v>2.5420401686334405E-2</v>
      </c>
      <c r="BJ25" s="460">
        <f t="shared" si="6"/>
        <v>2.8880962121009379E-2</v>
      </c>
      <c r="BK25" s="461">
        <f t="shared" si="6"/>
        <v>3.4581936995646823E-2</v>
      </c>
      <c r="BL25" s="460">
        <f t="shared" si="6"/>
        <v>3.7181865296770679E-2</v>
      </c>
      <c r="BM25" s="460">
        <f t="shared" si="6"/>
        <v>3.3907557393872607E-3</v>
      </c>
      <c r="BN25" s="460">
        <f t="shared" si="6"/>
        <v>3.4803287906766192E-2</v>
      </c>
      <c r="BO25" s="461">
        <f t="shared" si="6"/>
        <v>3.4311571533236107E-2</v>
      </c>
      <c r="BP25" s="460">
        <f t="shared" ref="BP25:BS25" si="7">BP21*4/AVERAGE(BO6:BP6)</f>
        <v>3.6927444268931228E-2</v>
      </c>
      <c r="BQ25" s="460">
        <f t="shared" si="7"/>
        <v>3.711980902809385E-2</v>
      </c>
      <c r="BR25" s="460">
        <f t="shared" si="7"/>
        <v>3.7016665573727764E-2</v>
      </c>
      <c r="BS25" s="461">
        <f t="shared" si="7"/>
        <v>3.5445246489802372E-2</v>
      </c>
    </row>
    <row r="26" spans="1:71" s="9" customFormat="1" ht="10.8">
      <c r="A26" s="462" t="s">
        <v>742</v>
      </c>
      <c r="B26" s="462" t="s">
        <v>743</v>
      </c>
      <c r="C26" s="460"/>
      <c r="D26" s="460"/>
      <c r="E26" s="460"/>
      <c r="F26" s="460"/>
      <c r="G26" s="461">
        <f t="shared" ref="G26:AL26" si="8">SUM(D21:G21)/AVERAGE(C6:G6)</f>
        <v>2.3467865341056663E-2</v>
      </c>
      <c r="H26" s="460">
        <f t="shared" si="8"/>
        <v>2.4584800458463191E-2</v>
      </c>
      <c r="I26" s="460">
        <f t="shared" si="8"/>
        <v>2.534017075068817E-2</v>
      </c>
      <c r="J26" s="460">
        <f t="shared" si="8"/>
        <v>2.5784092906719052E-2</v>
      </c>
      <c r="K26" s="461">
        <f t="shared" si="8"/>
        <v>2.5627394703445727E-2</v>
      </c>
      <c r="L26" s="460">
        <f t="shared" si="8"/>
        <v>2.6350277399718958E-2</v>
      </c>
      <c r="M26" s="460">
        <f t="shared" si="8"/>
        <v>2.7410515263010773E-2</v>
      </c>
      <c r="N26" s="460">
        <f t="shared" si="8"/>
        <v>2.8121529923513446E-2</v>
      </c>
      <c r="O26" s="461">
        <f t="shared" si="8"/>
        <v>2.942462526196812E-2</v>
      </c>
      <c r="P26" s="460">
        <f t="shared" si="8"/>
        <v>2.9490196502243847E-2</v>
      </c>
      <c r="Q26" s="460">
        <f t="shared" si="8"/>
        <v>2.9407585019640862E-2</v>
      </c>
      <c r="R26" s="460">
        <f t="shared" si="8"/>
        <v>2.9303992371887761E-2</v>
      </c>
      <c r="S26" s="461">
        <f t="shared" si="8"/>
        <v>2.864887184679938E-2</v>
      </c>
      <c r="T26" s="460">
        <f t="shared" si="8"/>
        <v>2.8696844427629025E-2</v>
      </c>
      <c r="U26" s="460">
        <f t="shared" si="8"/>
        <v>2.8641009262216546E-2</v>
      </c>
      <c r="V26" s="460">
        <f t="shared" si="8"/>
        <v>2.8611598058583699E-2</v>
      </c>
      <c r="W26" s="461">
        <f t="shared" si="8"/>
        <v>2.9211797564558519E-2</v>
      </c>
      <c r="X26" s="460">
        <f t="shared" si="8"/>
        <v>2.9692355658378283E-2</v>
      </c>
      <c r="Y26" s="460">
        <f t="shared" si="8"/>
        <v>2.9860934375031373E-2</v>
      </c>
      <c r="Z26" s="460">
        <f t="shared" si="8"/>
        <v>2.9881573355477989E-2</v>
      </c>
      <c r="AA26" s="461">
        <f t="shared" si="8"/>
        <v>2.8695641007714663E-2</v>
      </c>
      <c r="AB26" s="460">
        <f t="shared" si="8"/>
        <v>2.7737212051013971E-2</v>
      </c>
      <c r="AC26" s="460">
        <f t="shared" si="8"/>
        <v>2.686953906466101E-2</v>
      </c>
      <c r="AD26" s="460">
        <f t="shared" si="8"/>
        <v>2.649348493220334E-2</v>
      </c>
      <c r="AE26" s="461">
        <f t="shared" si="8"/>
        <v>2.6771970335247218E-2</v>
      </c>
      <c r="AF26" s="460">
        <f t="shared" si="8"/>
        <v>2.6597948117239766E-2</v>
      </c>
      <c r="AG26" s="460">
        <f t="shared" si="8"/>
        <v>2.6489937660131007E-2</v>
      </c>
      <c r="AH26" s="460">
        <f t="shared" si="8"/>
        <v>2.6087573730254349E-2</v>
      </c>
      <c r="AI26" s="461">
        <f t="shared" si="8"/>
        <v>2.5306224530136579E-2</v>
      </c>
      <c r="AJ26" s="460">
        <f t="shared" si="8"/>
        <v>2.4711976597445989E-2</v>
      </c>
      <c r="AK26" s="460">
        <f t="shared" si="8"/>
        <v>2.450146000376709E-2</v>
      </c>
      <c r="AL26" s="460">
        <f t="shared" si="8"/>
        <v>2.4644689329671638E-2</v>
      </c>
      <c r="AM26" s="461">
        <f t="shared" ref="AM26:BS26" si="9">SUM(AJ21:AM21)/AVERAGE(AI6:AM6)</f>
        <v>2.4959669834397808E-2</v>
      </c>
      <c r="AN26" s="460">
        <f t="shared" si="9"/>
        <v>2.5155790195986561E-2</v>
      </c>
      <c r="AO26" s="460">
        <f t="shared" si="9"/>
        <v>2.5881200737041355E-2</v>
      </c>
      <c r="AP26" s="460">
        <f t="shared" si="9"/>
        <v>2.6973078796021999E-2</v>
      </c>
      <c r="AQ26" s="461">
        <f t="shared" si="9"/>
        <v>2.7616096361984348E-2</v>
      </c>
      <c r="AR26" s="460">
        <f t="shared" si="9"/>
        <v>2.8498695753387187E-2</v>
      </c>
      <c r="AS26" s="460">
        <f t="shared" si="9"/>
        <v>2.8864851301063272E-2</v>
      </c>
      <c r="AT26" s="460">
        <f t="shared" si="9"/>
        <v>2.9085817664687055E-2</v>
      </c>
      <c r="AU26" s="461">
        <f t="shared" si="9"/>
        <v>2.9230328533561417E-2</v>
      </c>
      <c r="AV26" s="460">
        <f t="shared" si="9"/>
        <v>2.9381898622030059E-2</v>
      </c>
      <c r="AW26" s="460">
        <f t="shared" si="9"/>
        <v>2.9372939042121442E-2</v>
      </c>
      <c r="AX26" s="460">
        <f t="shared" si="9"/>
        <v>2.9265624564534385E-2</v>
      </c>
      <c r="AY26" s="461">
        <f t="shared" si="9"/>
        <v>2.9503217755023573E-2</v>
      </c>
      <c r="AZ26" s="460">
        <f t="shared" si="9"/>
        <v>2.955817290779305E-2</v>
      </c>
      <c r="BA26" s="460">
        <f t="shared" si="9"/>
        <v>2.9677428845388678E-2</v>
      </c>
      <c r="BB26" s="460">
        <f t="shared" si="9"/>
        <v>2.9572358709271936E-2</v>
      </c>
      <c r="BC26" s="461">
        <f t="shared" si="9"/>
        <v>2.9281139805649968E-2</v>
      </c>
      <c r="BD26" s="460">
        <f t="shared" si="9"/>
        <v>2.8226170417619451E-2</v>
      </c>
      <c r="BE26" s="460">
        <f t="shared" si="9"/>
        <v>2.7059668743830385E-2</v>
      </c>
      <c r="BF26" s="460">
        <f t="shared" si="9"/>
        <v>2.6281094878583173E-2</v>
      </c>
      <c r="BG26" s="461">
        <f t="shared" si="9"/>
        <v>2.5177469684577364E-2</v>
      </c>
      <c r="BH26" s="460">
        <f t="shared" si="9"/>
        <v>2.4886506059006157E-2</v>
      </c>
      <c r="BI26" s="460">
        <f t="shared" si="9"/>
        <v>2.4931753462534633E-2</v>
      </c>
      <c r="BJ26" s="460">
        <f t="shared" si="9"/>
        <v>2.5908451002337015E-2</v>
      </c>
      <c r="BK26" s="461">
        <f t="shared" si="9"/>
        <v>2.8345265901705899E-2</v>
      </c>
      <c r="BL26" s="460">
        <f t="shared" si="9"/>
        <v>3.1606390443787082E-2</v>
      </c>
      <c r="BM26" s="460">
        <f t="shared" si="9"/>
        <v>2.5959359639958084E-2</v>
      </c>
      <c r="BN26" s="460">
        <f t="shared" si="9"/>
        <v>2.7495457666153817E-2</v>
      </c>
      <c r="BO26" s="461">
        <f t="shared" si="9"/>
        <v>2.7420339991585458E-2</v>
      </c>
      <c r="BP26" s="460">
        <f t="shared" si="9"/>
        <v>2.7685133562589826E-2</v>
      </c>
      <c r="BQ26" s="460">
        <f t="shared" si="9"/>
        <v>3.58788116330018E-2</v>
      </c>
      <c r="BR26" s="460">
        <f t="shared" si="9"/>
        <v>3.6334439605584225E-2</v>
      </c>
      <c r="BS26" s="461">
        <f t="shared" si="9"/>
        <v>3.6486659439988113E-2</v>
      </c>
    </row>
    <row r="27" spans="1:71" s="164" customFormat="1" ht="10.8">
      <c r="A27" s="165"/>
      <c r="B27" s="165"/>
      <c r="C27" s="217"/>
      <c r="D27" s="217" t="b">
        <v>1</v>
      </c>
      <c r="E27" s="217" t="b">
        <v>1</v>
      </c>
      <c r="F27" s="217" t="b">
        <v>1</v>
      </c>
      <c r="G27" s="216"/>
      <c r="H27" s="217"/>
      <c r="I27" s="217"/>
      <c r="J27" s="217"/>
      <c r="K27" s="216"/>
      <c r="L27" s="217"/>
      <c r="M27" s="217"/>
      <c r="N27" s="217"/>
      <c r="O27" s="216"/>
      <c r="P27" s="217"/>
      <c r="Q27" s="217"/>
      <c r="R27" s="217"/>
      <c r="S27" s="216"/>
      <c r="T27" s="217"/>
      <c r="U27" s="217"/>
      <c r="V27" s="217"/>
      <c r="W27" s="216"/>
      <c r="X27" s="217"/>
      <c r="Y27" s="217"/>
      <c r="Z27" s="217"/>
      <c r="AA27" s="216"/>
      <c r="AB27" s="217"/>
      <c r="AC27" s="217"/>
      <c r="AD27" s="217"/>
      <c r="AE27" s="216"/>
      <c r="AF27" s="217"/>
      <c r="AG27" s="217"/>
      <c r="AH27" s="217"/>
      <c r="AI27" s="216"/>
      <c r="AJ27" s="217"/>
      <c r="AK27" s="217"/>
      <c r="AL27" s="217"/>
      <c r="AM27" s="216"/>
      <c r="AN27" s="217"/>
      <c r="AO27" s="217"/>
      <c r="AP27" s="217"/>
      <c r="AQ27" s="216"/>
      <c r="AR27" s="217"/>
      <c r="AS27" s="217"/>
      <c r="AT27" s="217"/>
      <c r="AU27" s="216"/>
      <c r="AV27" s="217"/>
      <c r="AW27" s="217"/>
      <c r="AX27" s="217"/>
      <c r="AY27" s="216"/>
      <c r="AZ27" s="217"/>
      <c r="BA27" s="217"/>
      <c r="BB27" s="217"/>
      <c r="BC27" s="216"/>
      <c r="BD27" s="217"/>
      <c r="BE27" s="217"/>
      <c r="BF27" s="217"/>
      <c r="BG27" s="216"/>
      <c r="BH27" s="217"/>
      <c r="BI27" s="217"/>
      <c r="BJ27" s="217"/>
      <c r="BK27" s="216"/>
      <c r="BL27" s="217"/>
      <c r="BM27" s="217"/>
      <c r="BN27" s="217"/>
      <c r="BO27" s="216"/>
      <c r="BP27" s="217"/>
      <c r="BQ27" s="217"/>
      <c r="BR27" s="217"/>
      <c r="BS27" s="216"/>
    </row>
    <row r="28" spans="1:71" s="164" customFormat="1" ht="10.8">
      <c r="A28" s="165" t="s">
        <v>744</v>
      </c>
      <c r="B28" s="165" t="s">
        <v>745</v>
      </c>
      <c r="C28" s="217"/>
      <c r="D28" s="217">
        <f t="shared" ref="D28:BO28" si="10">D22*4/AVERAGE(C6:D6)</f>
        <v>5.2638256829331001E-2</v>
      </c>
      <c r="E28" s="217">
        <f t="shared" si="10"/>
        <v>5.5839975976979442E-2</v>
      </c>
      <c r="F28" s="217">
        <f t="shared" si="10"/>
        <v>6.2251448978058739E-2</v>
      </c>
      <c r="G28" s="216">
        <f t="shared" si="10"/>
        <v>6.633093546304418E-2</v>
      </c>
      <c r="H28" s="217">
        <f t="shared" si="10"/>
        <v>7.1428477925190692E-2</v>
      </c>
      <c r="I28" s="217">
        <f t="shared" si="10"/>
        <v>7.3367581008849464E-2</v>
      </c>
      <c r="J28" s="217">
        <f t="shared" si="10"/>
        <v>7.5374287045902946E-2</v>
      </c>
      <c r="K28" s="216">
        <f t="shared" si="10"/>
        <v>6.6966113380678205E-2</v>
      </c>
      <c r="L28" s="217">
        <f t="shared" si="10"/>
        <v>6.2646327335769067E-2</v>
      </c>
      <c r="M28" s="217">
        <f t="shared" si="10"/>
        <v>5.9861119912346522E-2</v>
      </c>
      <c r="N28" s="217">
        <f t="shared" si="10"/>
        <v>5.8400331605537148E-2</v>
      </c>
      <c r="O28" s="216">
        <f t="shared" si="10"/>
        <v>5.5763083618731037E-2</v>
      </c>
      <c r="P28" s="217">
        <f t="shared" si="10"/>
        <v>5.1394815563083653E-2</v>
      </c>
      <c r="Q28" s="217">
        <f t="shared" si="10"/>
        <v>5.3262535191190626E-2</v>
      </c>
      <c r="R28" s="217">
        <f t="shared" si="10"/>
        <v>5.1621412067149063E-2</v>
      </c>
      <c r="S28" s="216">
        <f t="shared" si="10"/>
        <v>4.9843955388176077E-2</v>
      </c>
      <c r="T28" s="217">
        <f t="shared" si="10"/>
        <v>5.2369087098316898E-2</v>
      </c>
      <c r="U28" s="217">
        <f t="shared" si="10"/>
        <v>5.2741695409685152E-2</v>
      </c>
      <c r="V28" s="217">
        <f t="shared" si="10"/>
        <v>5.3147918002894402E-2</v>
      </c>
      <c r="W28" s="216">
        <f t="shared" si="10"/>
        <v>5.6545304442503504E-2</v>
      </c>
      <c r="X28" s="217">
        <f t="shared" si="10"/>
        <v>5.6154942965779463E-2</v>
      </c>
      <c r="Y28" s="217">
        <f t="shared" si="10"/>
        <v>5.6791364552271267E-2</v>
      </c>
      <c r="Z28" s="217">
        <f t="shared" si="10"/>
        <v>5.4916721479028215E-2</v>
      </c>
      <c r="AA28" s="216">
        <f t="shared" si="10"/>
        <v>5.0430486703804019E-2</v>
      </c>
      <c r="AB28" s="217">
        <f t="shared" si="10"/>
        <v>4.8134507904898621E-2</v>
      </c>
      <c r="AC28" s="217">
        <f t="shared" si="10"/>
        <v>4.5641059622903095E-2</v>
      </c>
      <c r="AD28" s="217">
        <f t="shared" si="10"/>
        <v>4.401510704734253E-2</v>
      </c>
      <c r="AE28" s="216">
        <f t="shared" si="10"/>
        <v>4.2933139046390761E-2</v>
      </c>
      <c r="AF28" s="217">
        <f t="shared" si="10"/>
        <v>4.1706612584319659E-2</v>
      </c>
      <c r="AG28" s="217">
        <f t="shared" si="10"/>
        <v>4.1821849656274772E-2</v>
      </c>
      <c r="AH28" s="217">
        <f t="shared" si="10"/>
        <v>3.9838370408855316E-2</v>
      </c>
      <c r="AI28" s="216">
        <f t="shared" si="10"/>
        <v>3.7358694004077028E-2</v>
      </c>
      <c r="AJ28" s="217">
        <f t="shared" si="10"/>
        <v>3.585471693201233E-2</v>
      </c>
      <c r="AK28" s="217">
        <f t="shared" si="10"/>
        <v>3.6026860090358159E-2</v>
      </c>
      <c r="AL28" s="217">
        <f t="shared" si="10"/>
        <v>3.5540167020921803E-2</v>
      </c>
      <c r="AM28" s="216">
        <f t="shared" si="10"/>
        <v>3.526789692532778E-2</v>
      </c>
      <c r="AN28" s="217">
        <f t="shared" si="10"/>
        <v>3.5158854045216001E-2</v>
      </c>
      <c r="AO28" s="217">
        <f t="shared" si="10"/>
        <v>3.6185710941343256E-2</v>
      </c>
      <c r="AP28" s="217">
        <f t="shared" si="10"/>
        <v>3.6236286475979235E-2</v>
      </c>
      <c r="AQ28" s="216">
        <f t="shared" si="10"/>
        <v>3.5459158679117211E-2</v>
      </c>
      <c r="AR28" s="217">
        <f t="shared" si="10"/>
        <v>3.6272911305481458E-2</v>
      </c>
      <c r="AS28" s="217">
        <f t="shared" si="10"/>
        <v>3.7086072278581003E-2</v>
      </c>
      <c r="AT28" s="217">
        <f t="shared" si="10"/>
        <v>3.685325909607514E-2</v>
      </c>
      <c r="AU28" s="216">
        <f t="shared" si="10"/>
        <v>3.5574503859020515E-2</v>
      </c>
      <c r="AV28" s="217">
        <f t="shared" si="10"/>
        <v>3.6667050541123521E-2</v>
      </c>
      <c r="AW28" s="217">
        <f t="shared" si="10"/>
        <v>3.7107771177027161E-2</v>
      </c>
      <c r="AX28" s="217">
        <f t="shared" si="10"/>
        <v>3.6662923323016801E-2</v>
      </c>
      <c r="AY28" s="216">
        <f t="shared" si="10"/>
        <v>3.6269387277502375E-2</v>
      </c>
      <c r="AZ28" s="217">
        <f t="shared" si="10"/>
        <v>3.6716395808390756E-2</v>
      </c>
      <c r="BA28" s="217">
        <f t="shared" si="10"/>
        <v>3.6762790947750798E-2</v>
      </c>
      <c r="BB28" s="217">
        <f t="shared" si="10"/>
        <v>3.5590673399708832E-2</v>
      </c>
      <c r="BC28" s="216">
        <f t="shared" si="10"/>
        <v>3.4380224304557318E-2</v>
      </c>
      <c r="BD28" s="217">
        <f t="shared" si="10"/>
        <v>3.0238207041281884E-2</v>
      </c>
      <c r="BE28" s="217">
        <f t="shared" si="10"/>
        <v>2.8473423894113548E-2</v>
      </c>
      <c r="BF28" s="217">
        <f t="shared" si="10"/>
        <v>2.810983605251309E-2</v>
      </c>
      <c r="BG28" s="216">
        <f t="shared" si="10"/>
        <v>2.7155614837364363E-2</v>
      </c>
      <c r="BH28" s="217">
        <f t="shared" si="10"/>
        <v>2.7009447111661762E-2</v>
      </c>
      <c r="BI28" s="217">
        <f t="shared" si="10"/>
        <v>2.7796562788412724E-2</v>
      </c>
      <c r="BJ28" s="217">
        <f t="shared" si="10"/>
        <v>3.0899611690325905E-2</v>
      </c>
      <c r="BK28" s="216">
        <f t="shared" si="10"/>
        <v>3.6959120821216218E-2</v>
      </c>
      <c r="BL28" s="217">
        <f t="shared" si="10"/>
        <v>4.660218513229699E-2</v>
      </c>
      <c r="BM28" s="217">
        <f t="shared" si="10"/>
        <v>1.9921912832337595E-2</v>
      </c>
      <c r="BN28" s="217">
        <f t="shared" si="10"/>
        <v>5.5053277869760289E-2</v>
      </c>
      <c r="BO28" s="216">
        <f t="shared" si="10"/>
        <v>5.4999213862214257E-2</v>
      </c>
      <c r="BP28" s="217">
        <f t="shared" ref="BP28:BS28" si="11">BP22*4/AVERAGE(BO6:BP6)</f>
        <v>5.634401671802846E-2</v>
      </c>
      <c r="BQ28" s="217">
        <f t="shared" si="11"/>
        <v>5.6426585626753123E-2</v>
      </c>
      <c r="BR28" s="217">
        <f t="shared" si="11"/>
        <v>5.3247128578956575E-2</v>
      </c>
      <c r="BS28" s="216">
        <f t="shared" si="11"/>
        <v>5.2976105476897836E-2</v>
      </c>
    </row>
    <row r="29" spans="1:71" s="164" customFormat="1" ht="10.8">
      <c r="A29" s="165" t="s">
        <v>746</v>
      </c>
      <c r="B29" s="165" t="s">
        <v>747</v>
      </c>
      <c r="C29" s="217"/>
      <c r="D29" s="217"/>
      <c r="E29" s="217"/>
      <c r="F29" s="217"/>
      <c r="G29" s="216">
        <f t="shared" ref="G29:AL29" si="12">SUM(D22:G22)/AVERAGE(C6:G6)</f>
        <v>5.8845329448604149E-2</v>
      </c>
      <c r="H29" s="217">
        <f t="shared" si="12"/>
        <v>6.3770967767814699E-2</v>
      </c>
      <c r="I29" s="217">
        <f t="shared" si="12"/>
        <v>6.8296170563950875E-2</v>
      </c>
      <c r="J29" s="217">
        <f t="shared" si="12"/>
        <v>7.2018845483584504E-2</v>
      </c>
      <c r="K29" s="216">
        <f t="shared" si="12"/>
        <v>7.224041912749353E-2</v>
      </c>
      <c r="L29" s="217">
        <f t="shared" si="12"/>
        <v>7.0220806876294853E-2</v>
      </c>
      <c r="M29" s="217">
        <f t="shared" si="12"/>
        <v>6.6491256184938244E-2</v>
      </c>
      <c r="N29" s="217">
        <f t="shared" si="12"/>
        <v>6.1710968018251211E-2</v>
      </c>
      <c r="O29" s="216">
        <f t="shared" si="12"/>
        <v>5.8454089204788472E-2</v>
      </c>
      <c r="P29" s="217">
        <f t="shared" si="12"/>
        <v>5.5840510162451777E-2</v>
      </c>
      <c r="Q29" s="217">
        <f t="shared" si="12"/>
        <v>5.4821407771985756E-2</v>
      </c>
      <c r="R29" s="217">
        <f t="shared" si="12"/>
        <v>5.3089630318865468E-2</v>
      </c>
      <c r="S29" s="216">
        <f t="shared" si="12"/>
        <v>5.1306169933162338E-2</v>
      </c>
      <c r="T29" s="217">
        <f t="shared" si="12"/>
        <v>5.1615421391292438E-2</v>
      </c>
      <c r="U29" s="217">
        <f t="shared" si="12"/>
        <v>5.1740657936761421E-2</v>
      </c>
      <c r="V29" s="217">
        <f t="shared" si="12"/>
        <v>5.2316805415789959E-2</v>
      </c>
      <c r="W29" s="216">
        <f t="shared" si="12"/>
        <v>5.3851353253435395E-2</v>
      </c>
      <c r="X29" s="217">
        <f t="shared" si="12"/>
        <v>5.4901011517887226E-2</v>
      </c>
      <c r="Y29" s="217">
        <f t="shared" si="12"/>
        <v>5.5367026135551056E-2</v>
      </c>
      <c r="Z29" s="217">
        <f t="shared" si="12"/>
        <v>5.587937347431008E-2</v>
      </c>
      <c r="AA29" s="216">
        <f t="shared" si="12"/>
        <v>5.4380750863565863E-2</v>
      </c>
      <c r="AB29" s="217">
        <f t="shared" si="12"/>
        <v>5.2470162728504147E-2</v>
      </c>
      <c r="AC29" s="217">
        <f t="shared" si="12"/>
        <v>4.9650293552732573E-2</v>
      </c>
      <c r="AD29" s="217">
        <f t="shared" si="12"/>
        <v>4.6884363059059742E-2</v>
      </c>
      <c r="AE29" s="216">
        <f t="shared" si="12"/>
        <v>4.506600374885341E-2</v>
      </c>
      <c r="AF29" s="217">
        <f t="shared" si="12"/>
        <v>4.3378504509535086E-2</v>
      </c>
      <c r="AG29" s="217">
        <f t="shared" si="12"/>
        <v>4.2639971194330578E-2</v>
      </c>
      <c r="AH29" s="217">
        <f t="shared" si="12"/>
        <v>4.1697351454095075E-2</v>
      </c>
      <c r="AI29" s="216">
        <f t="shared" si="12"/>
        <v>4.0247024703121609E-2</v>
      </c>
      <c r="AJ29" s="217">
        <f t="shared" si="12"/>
        <v>3.8526511483496902E-2</v>
      </c>
      <c r="AK29" s="217">
        <f t="shared" si="12"/>
        <v>3.7090879726310019E-2</v>
      </c>
      <c r="AL29" s="217">
        <f t="shared" si="12"/>
        <v>3.6247302379979127E-2</v>
      </c>
      <c r="AM29" s="216">
        <f t="shared" ref="AM29:BS29" si="13">SUM(AJ22:AM22)/AVERAGE(AI6:AM6)</f>
        <v>3.5759770132159217E-2</v>
      </c>
      <c r="AN29" s="217">
        <f t="shared" si="13"/>
        <v>3.5516612834724098E-2</v>
      </c>
      <c r="AO29" s="217">
        <f t="shared" si="13"/>
        <v>3.5469053255650654E-2</v>
      </c>
      <c r="AP29" s="217">
        <f t="shared" si="13"/>
        <v>3.5827416133579842E-2</v>
      </c>
      <c r="AQ29" s="216">
        <f t="shared" si="13"/>
        <v>3.5793961201361614E-2</v>
      </c>
      <c r="AR29" s="217">
        <f t="shared" si="13"/>
        <v>3.6039161918654306E-2</v>
      </c>
      <c r="AS29" s="217">
        <f t="shared" si="13"/>
        <v>3.6195302080974309E-2</v>
      </c>
      <c r="AT29" s="217">
        <f t="shared" si="13"/>
        <v>3.6363708135396057E-2</v>
      </c>
      <c r="AU29" s="216">
        <f t="shared" si="13"/>
        <v>3.6405947198474391E-2</v>
      </c>
      <c r="AV29" s="217">
        <f t="shared" si="13"/>
        <v>3.6579314734819124E-2</v>
      </c>
      <c r="AW29" s="217">
        <f t="shared" si="13"/>
        <v>3.6553632944696129E-2</v>
      </c>
      <c r="AX29" s="217">
        <f t="shared" si="13"/>
        <v>3.6384879123698782E-2</v>
      </c>
      <c r="AY29" s="216">
        <f t="shared" si="13"/>
        <v>3.6638052116773526E-2</v>
      </c>
      <c r="AZ29" s="217">
        <f t="shared" si="13"/>
        <v>3.669520599692689E-2</v>
      </c>
      <c r="BA29" s="217">
        <f t="shared" si="13"/>
        <v>3.6602610154018805E-2</v>
      </c>
      <c r="BB29" s="217">
        <f t="shared" si="13"/>
        <v>3.6315384340837441E-2</v>
      </c>
      <c r="BC29" s="216">
        <f t="shared" si="13"/>
        <v>3.5704989592942889E-2</v>
      </c>
      <c r="BD29" s="217">
        <f t="shared" si="13"/>
        <v>3.4003665703855261E-2</v>
      </c>
      <c r="BE29" s="217">
        <f t="shared" si="13"/>
        <v>3.1995966510908386E-2</v>
      </c>
      <c r="BF29" s="217">
        <f t="shared" si="13"/>
        <v>3.0361151243656272E-2</v>
      </c>
      <c r="BG29" s="216">
        <f t="shared" si="13"/>
        <v>2.8492385583727468E-2</v>
      </c>
      <c r="BH29" s="217">
        <f t="shared" si="13"/>
        <v>2.7662476943884552E-2</v>
      </c>
      <c r="BI29" s="217">
        <f t="shared" si="13"/>
        <v>2.7518935951424312E-2</v>
      </c>
      <c r="BJ29" s="217">
        <f t="shared" si="13"/>
        <v>2.8320636904661359E-2</v>
      </c>
      <c r="BK29" s="216">
        <f t="shared" si="13"/>
        <v>3.0668673421981676E-2</v>
      </c>
      <c r="BL29" s="217">
        <f t="shared" si="13"/>
        <v>3.570392494214062E-2</v>
      </c>
      <c r="BM29" s="217">
        <f t="shared" si="13"/>
        <v>3.3636583683034869E-2</v>
      </c>
      <c r="BN29" s="217">
        <f t="shared" si="13"/>
        <v>3.9729320100119904E-2</v>
      </c>
      <c r="BO29" s="216">
        <f t="shared" si="13"/>
        <v>4.413720580727825E-2</v>
      </c>
      <c r="BP29" s="217">
        <f t="shared" si="13"/>
        <v>4.6930416156291503E-2</v>
      </c>
      <c r="BQ29" s="217">
        <f t="shared" si="13"/>
        <v>5.5813984668981353E-2</v>
      </c>
      <c r="BR29" s="217">
        <f t="shared" si="13"/>
        <v>5.5183166399326189E-2</v>
      </c>
      <c r="BS29" s="216">
        <f t="shared" si="13"/>
        <v>5.45148855166303E-2</v>
      </c>
    </row>
    <row r="30" spans="1:71" s="164" customFormat="1" ht="10.8">
      <c r="A30" s="203"/>
      <c r="B30" s="203"/>
      <c r="C30" s="217"/>
      <c r="D30" s="217"/>
      <c r="E30" s="217"/>
      <c r="F30" s="217"/>
      <c r="G30" s="216"/>
      <c r="H30" s="217"/>
      <c r="I30" s="217"/>
      <c r="J30" s="217"/>
      <c r="K30" s="216"/>
      <c r="L30" s="217"/>
      <c r="M30" s="217"/>
      <c r="N30" s="217"/>
      <c r="O30" s="216"/>
      <c r="P30" s="217"/>
      <c r="Q30" s="217"/>
      <c r="R30" s="217"/>
      <c r="S30" s="216"/>
      <c r="T30" s="217"/>
      <c r="U30" s="217"/>
      <c r="V30" s="217"/>
      <c r="W30" s="216"/>
      <c r="X30" s="217"/>
      <c r="Y30" s="217"/>
      <c r="Z30" s="217"/>
      <c r="AA30" s="216"/>
      <c r="AB30" s="217"/>
      <c r="AC30" s="217"/>
      <c r="AD30" s="217"/>
      <c r="AE30" s="216"/>
      <c r="AF30" s="217"/>
      <c r="AG30" s="217"/>
      <c r="AH30" s="217"/>
      <c r="AI30" s="216"/>
      <c r="AJ30" s="217"/>
      <c r="AK30" s="217"/>
      <c r="AL30" s="217"/>
      <c r="AM30" s="216"/>
      <c r="AN30" s="217"/>
      <c r="AO30" s="217"/>
      <c r="AP30" s="217"/>
      <c r="AQ30" s="216"/>
      <c r="AR30" s="217"/>
      <c r="AS30" s="217"/>
      <c r="AT30" s="217"/>
      <c r="AU30" s="216"/>
      <c r="AV30" s="217"/>
      <c r="AW30" s="217"/>
      <c r="AX30" s="217"/>
      <c r="AY30" s="216"/>
      <c r="AZ30" s="217"/>
      <c r="BA30" s="217"/>
      <c r="BB30" s="217"/>
      <c r="BC30" s="216"/>
      <c r="BD30" s="217"/>
      <c r="BE30" s="217"/>
      <c r="BF30" s="217"/>
      <c r="BG30" s="216"/>
      <c r="BH30" s="217"/>
      <c r="BI30" s="217"/>
      <c r="BJ30" s="217"/>
      <c r="BK30" s="216"/>
      <c r="BL30" s="217"/>
      <c r="BM30" s="217"/>
      <c r="BN30" s="217"/>
      <c r="BO30" s="216"/>
      <c r="BP30" s="217"/>
      <c r="BQ30" s="217"/>
      <c r="BR30" s="217"/>
      <c r="BS30" s="216"/>
    </row>
    <row r="31" spans="1:71" s="164" customFormat="1" ht="10.8">
      <c r="A31" s="165" t="s">
        <v>748</v>
      </c>
      <c r="B31" s="165" t="s">
        <v>749</v>
      </c>
      <c r="C31" s="217"/>
      <c r="D31" s="217">
        <f t="shared" ref="D31:AS31" si="14">-D23*4/AVERAGE(C14:D14)</f>
        <v>2.9977346814741148E-2</v>
      </c>
      <c r="E31" s="217">
        <f t="shared" si="14"/>
        <v>3.2195777236558622E-2</v>
      </c>
      <c r="F31" s="217">
        <f t="shared" si="14"/>
        <v>3.5444235936228898E-2</v>
      </c>
      <c r="G31" s="216">
        <f t="shared" si="14"/>
        <v>3.8566054482498821E-2</v>
      </c>
      <c r="H31" s="217">
        <f t="shared" si="14"/>
        <v>4.1387696078525382E-2</v>
      </c>
      <c r="I31" s="217">
        <f t="shared" si="14"/>
        <v>4.2746568603000849E-2</v>
      </c>
      <c r="J31" s="217">
        <f t="shared" si="14"/>
        <v>4.7244895364507836E-2</v>
      </c>
      <c r="K31" s="216">
        <f t="shared" si="14"/>
        <v>4.0413471647343387E-2</v>
      </c>
      <c r="L31" s="217">
        <f t="shared" si="14"/>
        <v>2.9829173442819761E-2</v>
      </c>
      <c r="M31" s="217">
        <f t="shared" si="14"/>
        <v>2.593785280213597E-2</v>
      </c>
      <c r="N31" s="217">
        <f t="shared" si="14"/>
        <v>2.7101613024104763E-2</v>
      </c>
      <c r="O31" s="216">
        <f t="shared" si="14"/>
        <v>2.5838537941231539E-2</v>
      </c>
      <c r="P31" s="217">
        <f t="shared" si="14"/>
        <v>2.4464714095597528E-2</v>
      </c>
      <c r="Q31" s="217">
        <f t="shared" si="14"/>
        <v>2.6081010900291975E-2</v>
      </c>
      <c r="R31" s="217">
        <f t="shared" si="14"/>
        <v>2.5459121050478227E-2</v>
      </c>
      <c r="S31" s="216">
        <f t="shared" si="14"/>
        <v>2.4704227773418991E-2</v>
      </c>
      <c r="T31" s="217">
        <f t="shared" si="14"/>
        <v>2.6031161199583538E-2</v>
      </c>
      <c r="U31" s="217">
        <f t="shared" si="14"/>
        <v>2.7727986331177894E-2</v>
      </c>
      <c r="V31" s="217">
        <f t="shared" si="14"/>
        <v>2.8300279323689108E-2</v>
      </c>
      <c r="W31" s="216">
        <f t="shared" si="14"/>
        <v>2.9394091562901618E-2</v>
      </c>
      <c r="X31" s="217">
        <f t="shared" si="14"/>
        <v>2.9267944946934455E-2</v>
      </c>
      <c r="Y31" s="217">
        <f t="shared" si="14"/>
        <v>2.9837988784928385E-2</v>
      </c>
      <c r="Z31" s="217">
        <f t="shared" si="14"/>
        <v>3.0156234654598216E-2</v>
      </c>
      <c r="AA31" s="216">
        <f t="shared" si="14"/>
        <v>2.7845067269263755E-2</v>
      </c>
      <c r="AB31" s="217">
        <f t="shared" si="14"/>
        <v>2.4203745046956007E-2</v>
      </c>
      <c r="AC31" s="217">
        <f t="shared" si="14"/>
        <v>2.0656138636082389E-2</v>
      </c>
      <c r="AD31" s="217">
        <f t="shared" si="14"/>
        <v>1.8784912078060542E-2</v>
      </c>
      <c r="AE31" s="216">
        <f t="shared" si="14"/>
        <v>1.7501115311847702E-2</v>
      </c>
      <c r="AF31" s="217">
        <f t="shared" si="14"/>
        <v>1.7100461551413024E-2</v>
      </c>
      <c r="AG31" s="217">
        <f t="shared" si="14"/>
        <v>1.7617002601799315E-2</v>
      </c>
      <c r="AH31" s="217">
        <f t="shared" si="14"/>
        <v>1.6521275903379221E-2</v>
      </c>
      <c r="AI31" s="216">
        <f t="shared" si="14"/>
        <v>1.4867151134759855E-2</v>
      </c>
      <c r="AJ31" s="217">
        <f t="shared" si="14"/>
        <v>1.2729578839933618E-2</v>
      </c>
      <c r="AK31" s="217">
        <f t="shared" si="14"/>
        <v>1.1986691774401932E-2</v>
      </c>
      <c r="AL31" s="217">
        <f t="shared" si="14"/>
        <v>1.1491174781935475E-2</v>
      </c>
      <c r="AM31" s="216">
        <f t="shared" si="14"/>
        <v>1.1094385935195109E-2</v>
      </c>
      <c r="AN31" s="217">
        <f t="shared" si="14"/>
        <v>1.0821885792671607E-2</v>
      </c>
      <c r="AO31" s="217">
        <f t="shared" si="14"/>
        <v>8.8337346071636052E-3</v>
      </c>
      <c r="AP31" s="217">
        <f t="shared" si="14"/>
        <v>8.0139886168018488E-3</v>
      </c>
      <c r="AQ31" s="216">
        <f t="shared" si="14"/>
        <v>8.0265239260812696E-3</v>
      </c>
      <c r="AR31" s="217">
        <f t="shared" si="14"/>
        <v>7.954348626492979E-3</v>
      </c>
      <c r="AS31" s="217">
        <f t="shared" si="14"/>
        <v>7.9968719334985085E-3</v>
      </c>
      <c r="AT31" s="217">
        <f>-AT23*4/AVERAGE(AS14:AT14)</f>
        <v>7.9683922900819718E-3</v>
      </c>
      <c r="AU31" s="216">
        <f t="shared" ref="AU31:BS31" si="15">-AU23*4/AVERAGE(AT14:AU14)</f>
        <v>7.7253635069055989E-3</v>
      </c>
      <c r="AV31" s="217">
        <f t="shared" si="15"/>
        <v>8.0701952736596371E-3</v>
      </c>
      <c r="AW31" s="217">
        <f t="shared" si="15"/>
        <v>7.9728581373303478E-3</v>
      </c>
      <c r="AX31" s="217">
        <f t="shared" si="15"/>
        <v>7.7446086335793037E-3</v>
      </c>
      <c r="AY31" s="216">
        <f t="shared" si="15"/>
        <v>7.6991224775389425E-3</v>
      </c>
      <c r="AZ31" s="217">
        <f t="shared" si="15"/>
        <v>8.0355238528627537E-3</v>
      </c>
      <c r="BA31" s="217">
        <f t="shared" si="15"/>
        <v>7.1376062442888178E-3</v>
      </c>
      <c r="BB31" s="217">
        <f t="shared" si="15"/>
        <v>7.0285078828176582E-3</v>
      </c>
      <c r="BC31" s="216">
        <f t="shared" si="15"/>
        <v>6.485391448340711E-3</v>
      </c>
      <c r="BD31" s="217">
        <f t="shared" si="15"/>
        <v>5.316987749899073E-3</v>
      </c>
      <c r="BE31" s="217">
        <f t="shared" si="15"/>
        <v>3.5131387652438451E-3</v>
      </c>
      <c r="BF31" s="217">
        <f t="shared" si="15"/>
        <v>3.0636123008452552E-3</v>
      </c>
      <c r="BG31" s="216">
        <f t="shared" si="15"/>
        <v>2.9978800705215605E-3</v>
      </c>
      <c r="BH31" s="217">
        <f t="shared" si="15"/>
        <v>2.8115339669454792E-3</v>
      </c>
      <c r="BI31" s="217">
        <f t="shared" si="15"/>
        <v>2.6209667705738662E-3</v>
      </c>
      <c r="BJ31" s="217">
        <f t="shared" si="15"/>
        <v>2.1900062713815951E-3</v>
      </c>
      <c r="BK31" s="216">
        <f t="shared" si="15"/>
        <v>2.527172810294145E-3</v>
      </c>
      <c r="BL31" s="217">
        <f t="shared" si="15"/>
        <v>9.8512280241836395E-3</v>
      </c>
      <c r="BM31" s="217">
        <f t="shared" si="15"/>
        <v>1.7079244947381615E-2</v>
      </c>
      <c r="BN31" s="217">
        <f t="shared" si="15"/>
        <v>2.1085611608401205E-2</v>
      </c>
      <c r="BO31" s="216">
        <f t="shared" si="15"/>
        <v>2.1777564323002808E-2</v>
      </c>
      <c r="BP31" s="217">
        <f t="shared" si="15"/>
        <v>2.0537981002367572E-2</v>
      </c>
      <c r="BQ31" s="217">
        <f t="shared" si="15"/>
        <v>2.0630286570243326E-2</v>
      </c>
      <c r="BR31" s="217">
        <f t="shared" si="15"/>
        <v>1.7537907167082357E-2</v>
      </c>
      <c r="BS31" s="216">
        <f t="shared" si="15"/>
        <v>1.896438769548825E-2</v>
      </c>
    </row>
    <row r="32" spans="1:71" s="164" customFormat="1" ht="10.8">
      <c r="A32" s="163" t="s">
        <v>750</v>
      </c>
      <c r="B32" s="163" t="s">
        <v>751</v>
      </c>
      <c r="C32" s="217"/>
      <c r="D32" s="217"/>
      <c r="E32" s="217"/>
      <c r="F32" s="217"/>
      <c r="G32" s="216">
        <f t="shared" ref="G32:AS32" si="16">-SUM(D23:G23)/AVERAGE(C14:G14)</f>
        <v>3.381287697077711E-2</v>
      </c>
      <c r="H32" s="217">
        <f t="shared" si="16"/>
        <v>3.6942925214023696E-2</v>
      </c>
      <c r="I32" s="217">
        <f t="shared" si="16"/>
        <v>3.9577794763711149E-2</v>
      </c>
      <c r="J32" s="217">
        <f t="shared" si="16"/>
        <v>4.307663156505815E-2</v>
      </c>
      <c r="K32" s="216">
        <f t="shared" si="16"/>
        <v>4.3177614315825695E-2</v>
      </c>
      <c r="L32" s="217">
        <f t="shared" si="16"/>
        <v>4.0073982737361277E-2</v>
      </c>
      <c r="M32" s="217">
        <f t="shared" si="16"/>
        <v>3.5841497695357466E-2</v>
      </c>
      <c r="N32" s="217">
        <f t="shared" si="16"/>
        <v>3.1014043704030634E-2</v>
      </c>
      <c r="O32" s="216">
        <f t="shared" si="16"/>
        <v>2.7209600471714963E-2</v>
      </c>
      <c r="P32" s="217">
        <f t="shared" si="16"/>
        <v>2.57450586796522E-2</v>
      </c>
      <c r="Q32" s="217">
        <f t="shared" si="16"/>
        <v>2.5838842579285239E-2</v>
      </c>
      <c r="R32" s="217">
        <f t="shared" si="16"/>
        <v>2.5445405342938036E-2</v>
      </c>
      <c r="S32" s="216">
        <f t="shared" si="16"/>
        <v>2.4962991572158793E-2</v>
      </c>
      <c r="T32" s="217">
        <f t="shared" si="16"/>
        <v>2.5492732528038863E-2</v>
      </c>
      <c r="U32" s="217">
        <f t="shared" si="16"/>
        <v>2.6037579075758641E-2</v>
      </c>
      <c r="V32" s="217">
        <f t="shared" si="16"/>
        <v>2.6914830527804388E-2</v>
      </c>
      <c r="W32" s="216">
        <f t="shared" si="16"/>
        <v>2.7911908097813746E-2</v>
      </c>
      <c r="X32" s="217">
        <f t="shared" si="16"/>
        <v>2.8710113388761171E-2</v>
      </c>
      <c r="Y32" s="217">
        <f t="shared" si="16"/>
        <v>2.9117267189939358E-2</v>
      </c>
      <c r="Z32" s="217">
        <f t="shared" si="16"/>
        <v>2.9525847290449467E-2</v>
      </c>
      <c r="AA32" s="216">
        <f t="shared" si="16"/>
        <v>2.9241209931810584E-2</v>
      </c>
      <c r="AB32" s="217">
        <f t="shared" si="16"/>
        <v>2.7840460340742411E-2</v>
      </c>
      <c r="AC32" s="217">
        <f t="shared" si="16"/>
        <v>2.5497633263495877E-2</v>
      </c>
      <c r="AD32" s="217">
        <f t="shared" si="16"/>
        <v>2.269293105309866E-2</v>
      </c>
      <c r="AE32" s="216">
        <f t="shared" si="16"/>
        <v>2.0186004056851274E-2</v>
      </c>
      <c r="AF32" s="217">
        <f t="shared" si="16"/>
        <v>1.8382839954661962E-2</v>
      </c>
      <c r="AG32" s="217">
        <f t="shared" si="16"/>
        <v>1.7803368067055615E-2</v>
      </c>
      <c r="AH32" s="217">
        <f t="shared" si="16"/>
        <v>1.7250167639511954E-2</v>
      </c>
      <c r="AI32" s="216">
        <f t="shared" si="16"/>
        <v>1.6532411887193316E-2</v>
      </c>
      <c r="AJ32" s="217">
        <f t="shared" si="16"/>
        <v>1.5266344627095148E-2</v>
      </c>
      <c r="AK32" s="217">
        <f t="shared" si="16"/>
        <v>1.3902575818548807E-2</v>
      </c>
      <c r="AL32" s="217">
        <f t="shared" si="16"/>
        <v>1.2761800957656968E-2</v>
      </c>
      <c r="AM32" s="216">
        <f t="shared" si="16"/>
        <v>1.1854668426931194E-2</v>
      </c>
      <c r="AN32" s="217">
        <f t="shared" si="16"/>
        <v>1.1335946692111222E-2</v>
      </c>
      <c r="AO32" s="217">
        <f t="shared" si="16"/>
        <v>1.050629942943257E-2</v>
      </c>
      <c r="AP32" s="217">
        <f t="shared" si="16"/>
        <v>9.6827377808743013E-3</v>
      </c>
      <c r="AQ32" s="216">
        <f t="shared" si="16"/>
        <v>8.9229742177796591E-3</v>
      </c>
      <c r="AR32" s="217">
        <f t="shared" si="16"/>
        <v>8.1995251802134163E-3</v>
      </c>
      <c r="AS32" s="217">
        <f t="shared" si="16"/>
        <v>8.0047734782677567E-3</v>
      </c>
      <c r="AT32" s="217">
        <f>-SUM(AQ23:AT23)/AVERAGE(AP14:AT14)</f>
        <v>7.9734185536119075E-3</v>
      </c>
      <c r="AU32" s="216">
        <f t="shared" ref="AU32:BS32" si="17">-SUM(AR23:AU23)/AVERAGE(AQ14:AU14)</f>
        <v>7.8977571183890156E-3</v>
      </c>
      <c r="AV32" s="217">
        <f t="shared" si="17"/>
        <v>7.926060684344316E-3</v>
      </c>
      <c r="AW32" s="217">
        <f t="shared" si="17"/>
        <v>7.9384657978663915E-3</v>
      </c>
      <c r="AX32" s="217">
        <f t="shared" si="17"/>
        <v>7.8577578281140183E-3</v>
      </c>
      <c r="AY32" s="216">
        <f t="shared" si="17"/>
        <v>7.8630443424632431E-3</v>
      </c>
      <c r="AZ32" s="217">
        <f t="shared" si="17"/>
        <v>7.8606088651510531E-3</v>
      </c>
      <c r="BA32" s="217">
        <f t="shared" si="17"/>
        <v>7.6540757953610303E-3</v>
      </c>
      <c r="BB32" s="217">
        <f t="shared" si="17"/>
        <v>7.4614861870201622E-3</v>
      </c>
      <c r="BC32" s="216">
        <f t="shared" si="17"/>
        <v>7.132518814954393E-3</v>
      </c>
      <c r="BD32" s="217">
        <f t="shared" si="17"/>
        <v>6.4309529713626173E-3</v>
      </c>
      <c r="BE32" s="217">
        <f t="shared" si="17"/>
        <v>5.5102807913218503E-3</v>
      </c>
      <c r="BF32" s="217">
        <f t="shared" si="17"/>
        <v>4.5558478063828641E-3</v>
      </c>
      <c r="BG32" s="216">
        <f t="shared" si="17"/>
        <v>3.697427703389202E-3</v>
      </c>
      <c r="BH32" s="217">
        <f t="shared" si="17"/>
        <v>3.0883372630156375E-3</v>
      </c>
      <c r="BI32" s="217">
        <f t="shared" si="17"/>
        <v>2.8685361340424365E-3</v>
      </c>
      <c r="BJ32" s="217">
        <f t="shared" si="17"/>
        <v>2.6513829652512395E-3</v>
      </c>
      <c r="BK32" s="216">
        <f t="shared" si="17"/>
        <v>2.5248946972668985E-3</v>
      </c>
      <c r="BL32" s="217">
        <f t="shared" si="17"/>
        <v>4.394580818914251E-3</v>
      </c>
      <c r="BM32" s="217">
        <f t="shared" si="17"/>
        <v>8.1182735713074133E-3</v>
      </c>
      <c r="BN32" s="217">
        <f t="shared" si="17"/>
        <v>1.2828606246066012E-2</v>
      </c>
      <c r="BO32" s="216">
        <f t="shared" si="17"/>
        <v>1.7478809221980529E-2</v>
      </c>
      <c r="BP32" s="217">
        <f t="shared" si="17"/>
        <v>2.0150343831370012E-2</v>
      </c>
      <c r="BQ32" s="217">
        <f t="shared" si="17"/>
        <v>2.1029577420581088E-2</v>
      </c>
      <c r="BR32" s="217">
        <f t="shared" si="17"/>
        <v>2.0092840918647433E-2</v>
      </c>
      <c r="BS32" s="216">
        <f t="shared" si="17"/>
        <v>1.9310180428229917E-2</v>
      </c>
    </row>
    <row r="33" spans="1:70" ht="13.5" hidden="1" customHeight="1">
      <c r="A33" s="2"/>
      <c r="B33" s="2"/>
      <c r="C33" s="439"/>
      <c r="D33" s="439"/>
      <c r="E33" s="439"/>
      <c r="F33" s="439"/>
      <c r="G33" s="439"/>
      <c r="H33" s="439"/>
      <c r="I33" s="439"/>
      <c r="J33" s="439"/>
      <c r="K33" s="439"/>
      <c r="L33" s="439"/>
      <c r="M33" s="439"/>
      <c r="N33" s="439"/>
      <c r="O33" s="439"/>
      <c r="P33" s="439"/>
      <c r="Q33" s="439"/>
      <c r="R33" s="439"/>
      <c r="S33" s="439"/>
      <c r="T33" s="439"/>
      <c r="U33" s="439"/>
      <c r="V33" s="439"/>
      <c r="W33" s="439"/>
      <c r="X33" s="439"/>
      <c r="Y33" s="439"/>
      <c r="Z33" s="439"/>
      <c r="AA33" s="439"/>
      <c r="AB33" s="439"/>
      <c r="AC33" s="439"/>
      <c r="AD33" s="439"/>
      <c r="AE33" s="439"/>
      <c r="AF33" s="439"/>
      <c r="AG33" s="439"/>
      <c r="AJ33" s="439"/>
      <c r="AX33" s="151"/>
      <c r="BB33" s="151"/>
      <c r="BF33" s="151"/>
      <c r="BJ33" s="151"/>
      <c r="BN33" s="151"/>
      <c r="BR33" s="151"/>
    </row>
    <row r="34" spans="1:70" ht="13.5" hidden="1" customHeight="1">
      <c r="A34" s="2"/>
      <c r="B34" s="2"/>
    </row>
    <row r="35" spans="1:70" ht="13.5" hidden="1" customHeight="1">
      <c r="A35" s="2"/>
      <c r="B35" s="2"/>
    </row>
    <row r="36" spans="1:70" ht="13.5" hidden="1" customHeight="1">
      <c r="A36" s="2"/>
      <c r="B36" s="2"/>
    </row>
    <row r="37" spans="1:70" s="151" customFormat="1" ht="13.5" hidden="1" customHeight="1">
      <c r="A37" s="2"/>
      <c r="B37" s="2"/>
      <c r="AX37" s="2"/>
      <c r="BB37" s="2"/>
      <c r="BF37" s="2"/>
      <c r="BJ37" s="2"/>
      <c r="BN37" s="2"/>
      <c r="BR37" s="2"/>
    </row>
    <row r="38" spans="1:70" s="151" customFormat="1" ht="13.5" hidden="1" customHeight="1">
      <c r="A38" s="2"/>
      <c r="B38" s="2"/>
      <c r="AX38" s="2"/>
      <c r="BB38" s="2"/>
      <c r="BF38" s="2"/>
      <c r="BJ38" s="2"/>
      <c r="BN38" s="2"/>
      <c r="BR38" s="2"/>
    </row>
    <row r="39" spans="1:70" s="151" customFormat="1" ht="13.5" hidden="1" customHeight="1">
      <c r="A39" s="2"/>
      <c r="B39" s="2"/>
      <c r="AX39" s="2"/>
      <c r="BB39" s="2"/>
      <c r="BF39" s="2"/>
      <c r="BJ39" s="2"/>
      <c r="BN39" s="2"/>
      <c r="BR39" s="2"/>
    </row>
    <row r="40" spans="1:70" s="151" customFormat="1" ht="13.5" hidden="1" customHeight="1">
      <c r="A40" s="2"/>
      <c r="B40" s="2"/>
      <c r="AX40" s="2"/>
      <c r="BB40" s="2"/>
      <c r="BF40" s="2"/>
      <c r="BJ40" s="2"/>
      <c r="BN40" s="2"/>
      <c r="BR40" s="2"/>
    </row>
    <row r="41" spans="1:70" s="151" customFormat="1" ht="13.5" hidden="1" customHeight="1">
      <c r="A41" s="2"/>
      <c r="B41" s="2"/>
      <c r="AX41" s="2"/>
      <c r="BB41" s="2"/>
      <c r="BF41" s="2"/>
      <c r="BJ41" s="2"/>
      <c r="BN41" s="2"/>
      <c r="BR41" s="2"/>
    </row>
    <row r="42" spans="1:70" s="151" customFormat="1" ht="13.5" hidden="1" customHeight="1">
      <c r="A42" s="2"/>
      <c r="B42" s="2"/>
      <c r="AX42" s="2"/>
      <c r="BB42" s="2"/>
      <c r="BF42" s="2"/>
      <c r="BJ42" s="2"/>
      <c r="BN42" s="2"/>
      <c r="BR42" s="2"/>
    </row>
    <row r="43" spans="1:70" s="151" customFormat="1" ht="13.5" hidden="1" customHeight="1">
      <c r="A43" s="2"/>
      <c r="B43" s="2"/>
      <c r="AX43" s="2"/>
      <c r="BB43" s="2"/>
      <c r="BF43" s="2"/>
      <c r="BJ43" s="2"/>
      <c r="BN43" s="2"/>
      <c r="BR43" s="2"/>
    </row>
    <row r="44" spans="1:70" s="151" customFormat="1" ht="13.5" hidden="1" customHeight="1">
      <c r="A44" s="2"/>
      <c r="B44" s="2"/>
      <c r="AX44" s="2"/>
      <c r="BB44" s="2"/>
      <c r="BF44" s="2"/>
      <c r="BJ44" s="2"/>
      <c r="BN44" s="2"/>
      <c r="BR44" s="2"/>
    </row>
    <row r="45" spans="1:70" s="151" customFormat="1" ht="13.5" hidden="1" customHeight="1">
      <c r="A45" s="2"/>
      <c r="B45" s="2"/>
      <c r="AX45" s="2"/>
      <c r="BB45" s="2"/>
      <c r="BF45" s="2"/>
      <c r="BJ45" s="2"/>
      <c r="BN45" s="2"/>
      <c r="BR45" s="2"/>
    </row>
    <row r="46" spans="1:70" s="151" customFormat="1" ht="13.5" hidden="1" customHeight="1">
      <c r="A46" s="2"/>
      <c r="B46" s="2"/>
      <c r="AX46" s="2"/>
      <c r="BB46" s="2"/>
      <c r="BF46" s="2"/>
      <c r="BJ46" s="2"/>
      <c r="BN46" s="2"/>
      <c r="BR46" s="2"/>
    </row>
    <row r="47" spans="1:70" s="151" customFormat="1" ht="13.5" hidden="1" customHeight="1">
      <c r="A47" s="2"/>
      <c r="B47" s="2"/>
      <c r="AX47" s="2"/>
      <c r="BB47" s="2"/>
      <c r="BF47" s="2"/>
      <c r="BJ47" s="2"/>
      <c r="BN47" s="2"/>
      <c r="BR47" s="2"/>
    </row>
    <row r="48" spans="1:70" s="151" customFormat="1" ht="13.5" hidden="1" customHeight="1">
      <c r="A48" s="2"/>
      <c r="B48" s="2"/>
      <c r="AX48" s="2"/>
      <c r="BB48" s="2"/>
      <c r="BF48" s="2"/>
      <c r="BJ48" s="2"/>
      <c r="BN48" s="2"/>
      <c r="BR48" s="2"/>
    </row>
    <row r="49" spans="1:70" s="151" customFormat="1" ht="13.5" hidden="1" customHeight="1">
      <c r="A49" s="2"/>
      <c r="B49" s="2"/>
      <c r="AX49" s="2"/>
      <c r="BB49" s="2"/>
      <c r="BF49" s="2"/>
      <c r="BJ49" s="2"/>
      <c r="BN49" s="2"/>
      <c r="BR49" s="2"/>
    </row>
    <row r="50" spans="1:70" s="151" customFormat="1" ht="13.5" hidden="1" customHeight="1">
      <c r="A50" s="2"/>
      <c r="B50" s="2"/>
      <c r="AX50" s="2"/>
      <c r="BB50" s="2"/>
      <c r="BF50" s="2"/>
      <c r="BJ50" s="2"/>
      <c r="BN50" s="2"/>
      <c r="BR50" s="2"/>
    </row>
    <row r="51" spans="1:70" s="151" customFormat="1" ht="13.5" hidden="1" customHeight="1">
      <c r="A51" s="2"/>
      <c r="B51" s="2"/>
      <c r="AX51" s="2"/>
      <c r="BB51" s="2"/>
      <c r="BF51" s="2"/>
      <c r="BJ51" s="2"/>
      <c r="BN51" s="2"/>
      <c r="BR51" s="2"/>
    </row>
    <row r="52" spans="1:70" s="151" customFormat="1" ht="13.5" hidden="1" customHeight="1">
      <c r="A52" s="2"/>
      <c r="B52" s="2"/>
      <c r="AX52" s="2"/>
      <c r="BB52" s="2"/>
      <c r="BF52" s="2"/>
      <c r="BJ52" s="2"/>
      <c r="BN52" s="2"/>
      <c r="BR52" s="2"/>
    </row>
    <row r="53" spans="1:70" s="151" customFormat="1" ht="13.5" hidden="1" customHeight="1">
      <c r="A53" s="2"/>
      <c r="B53" s="2"/>
      <c r="AX53" s="2"/>
      <c r="BB53" s="2"/>
      <c r="BF53" s="2"/>
      <c r="BJ53" s="2"/>
      <c r="BN53" s="2"/>
      <c r="BR53" s="2"/>
    </row>
    <row r="54" spans="1:70" s="151" customFormat="1" ht="13.5" hidden="1" customHeight="1">
      <c r="A54" s="2"/>
      <c r="B54" s="2"/>
      <c r="AX54" s="2"/>
      <c r="BB54" s="2"/>
      <c r="BF54" s="2"/>
      <c r="BJ54" s="2"/>
      <c r="BN54" s="2"/>
      <c r="BR54" s="2"/>
    </row>
    <row r="55" spans="1:70" s="151" customFormat="1" ht="13.5" hidden="1" customHeight="1">
      <c r="A55" s="2"/>
      <c r="B55" s="2"/>
      <c r="AX55" s="2"/>
      <c r="BB55" s="2"/>
      <c r="BF55" s="2"/>
      <c r="BJ55" s="2"/>
      <c r="BN55" s="2"/>
      <c r="BR55" s="2"/>
    </row>
    <row r="56" spans="1:70" s="151" customFormat="1" ht="13.5" hidden="1" customHeight="1">
      <c r="A56" s="2"/>
      <c r="B56" s="2"/>
      <c r="AX56" s="2"/>
      <c r="BB56" s="2"/>
      <c r="BF56" s="2"/>
      <c r="BJ56" s="2"/>
      <c r="BN56" s="2"/>
      <c r="BR56" s="2"/>
    </row>
    <row r="57" spans="1:70" s="151" customFormat="1" ht="13.5" hidden="1" customHeight="1">
      <c r="A57" s="2"/>
      <c r="B57" s="2"/>
      <c r="AX57" s="2"/>
      <c r="BB57" s="2"/>
      <c r="BF57" s="2"/>
      <c r="BJ57" s="2"/>
      <c r="BN57" s="2"/>
      <c r="BR57" s="2"/>
    </row>
    <row r="58" spans="1:70" s="151" customFormat="1" ht="13.5" hidden="1" customHeight="1">
      <c r="A58" s="2"/>
      <c r="B58" s="2"/>
      <c r="AX58" s="2"/>
      <c r="BB58" s="2"/>
      <c r="BF58" s="2"/>
      <c r="BJ58" s="2"/>
      <c r="BN58" s="2"/>
      <c r="BR58" s="2"/>
    </row>
    <row r="59" spans="1:70" s="151" customFormat="1" ht="13.5" hidden="1" customHeight="1">
      <c r="A59" s="2"/>
      <c r="B59" s="2"/>
      <c r="AX59" s="2"/>
      <c r="BB59" s="2"/>
      <c r="BF59" s="2"/>
      <c r="BJ59" s="2"/>
      <c r="BN59" s="2"/>
      <c r="BR59" s="2"/>
    </row>
    <row r="60" spans="1:70" s="151" customFormat="1" ht="13.5" hidden="1" customHeight="1">
      <c r="A60" s="2"/>
      <c r="B60" s="2"/>
      <c r="AX60" s="2"/>
      <c r="BB60" s="2"/>
      <c r="BF60" s="2"/>
      <c r="BJ60" s="2"/>
      <c r="BN60" s="2"/>
      <c r="BR60" s="2"/>
    </row>
    <row r="61" spans="1:70" s="151" customFormat="1" ht="13.5" hidden="1" customHeight="1">
      <c r="A61" s="2"/>
      <c r="B61" s="2"/>
      <c r="AX61" s="2"/>
      <c r="BB61" s="2"/>
      <c r="BF61" s="2"/>
      <c r="BJ61" s="2"/>
      <c r="BN61" s="2"/>
      <c r="BR61" s="2"/>
    </row>
    <row r="62" spans="1:70"/>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C5F8C804-9E2A-4BC0-935D-458EF3E4290E}"/>
    <hyperlink ref="A1" location="'Spis tresci_Table of content'!A1" display="Go back to Table of content" xr:uid="{2F18F365-B002-4331-B75A-29A406E29224}"/>
    <hyperlink ref="B1" location="'Spis tresci_Table of content'!A1" display="Powrót do spisu treści" xr:uid="{70802D6A-0F5A-4E82-8AB0-C2D7DABB65A0}"/>
  </hyperlinks>
  <printOptions horizontalCentered="1"/>
  <pageMargins left="0.23622047244094491" right="0.23622047244094491" top="0.74803149606299213" bottom="0.74803149606299213" header="0.31496062992125984" footer="0.31496062992125984"/>
  <pageSetup paperSize="9" scale="24" fitToHeight="0" orientation="landscape" r:id="rId1"/>
  <headerFooter alignWithMargins="0">
    <oddHeader xml:space="preserve">&amp;C&amp;"Times New Roman,Kursywa"&amp;12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901D8-D7F7-48D3-9945-1C334C311498}">
  <dimension ref="A1:BV42"/>
  <sheetViews>
    <sheetView showGridLines="0" zoomScaleNormal="100" zoomScaleSheetLayoutView="100" zoomScalePageLayoutView="80" workbookViewId="0">
      <pane xSplit="2" ySplit="5" topLeftCell="BJ9" activePane="bottomRight" state="frozen"/>
      <selection pane="topRight" activeCell="C1" sqref="C1"/>
      <selection pane="bottomLeft" activeCell="A5" sqref="A5"/>
      <selection pane="bottomRight" sqref="A1:BN29"/>
    </sheetView>
  </sheetViews>
  <sheetFormatPr defaultColWidth="0" defaultRowHeight="13.8" customHeight="1" zeroHeight="1" outlineLevelCol="1"/>
  <cols>
    <col min="1" max="1" width="44" style="4" customWidth="1" outlineLevel="1"/>
    <col min="2" max="2" width="39.44140625" style="4" bestFit="1" customWidth="1"/>
    <col min="3" max="62" width="6" style="2" customWidth="1"/>
    <col min="63" max="63" width="8" style="2" customWidth="1"/>
    <col min="64" max="64" width="8.44140625" style="2" customWidth="1"/>
    <col min="65" max="65" width="9" style="2" customWidth="1"/>
    <col min="66" max="66" width="8.88671875" style="2" customWidth="1"/>
    <col min="67" max="67" width="9.6640625" style="2" customWidth="1"/>
    <col min="68" max="68" width="9.88671875" style="2" customWidth="1"/>
    <col min="69" max="69" width="9.6640625" style="2" customWidth="1"/>
    <col min="70" max="70" width="10.33203125" style="2" customWidth="1"/>
    <col min="71" max="73" width="9.6640625" style="2" customWidth="1"/>
    <col min="74" max="74" width="10.6640625" style="2" customWidth="1"/>
    <col min="75" max="16384" width="3.664062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74">
      <c r="A2" s="152" t="s">
        <v>4</v>
      </c>
      <c r="B2" s="152" t="s">
        <v>5</v>
      </c>
    </row>
    <row r="3" spans="1:74">
      <c r="A3" s="536" t="s">
        <v>693</v>
      </c>
      <c r="B3" s="536" t="s">
        <v>694</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5"/>
      <c r="AI3" s="533">
        <v>2015</v>
      </c>
      <c r="AJ3" s="534"/>
      <c r="AK3" s="534"/>
      <c r="AL3" s="535"/>
      <c r="AM3" s="533">
        <v>2016</v>
      </c>
      <c r="AN3" s="534"/>
      <c r="AO3" s="534"/>
      <c r="AP3" s="535"/>
      <c r="AQ3" s="533">
        <v>2017</v>
      </c>
      <c r="AR3" s="538"/>
      <c r="AS3" s="538"/>
      <c r="AT3" s="546"/>
      <c r="AU3" s="533">
        <v>2018</v>
      </c>
      <c r="AV3" s="538"/>
      <c r="AW3" s="538"/>
      <c r="AX3" s="546"/>
      <c r="AY3" s="533">
        <v>2019</v>
      </c>
      <c r="AZ3" s="538"/>
      <c r="BA3" s="538"/>
      <c r="BB3" s="539"/>
      <c r="BC3" s="533">
        <v>2020</v>
      </c>
      <c r="BD3" s="538"/>
      <c r="BE3" s="538"/>
      <c r="BF3" s="539"/>
      <c r="BG3" s="533">
        <v>2021</v>
      </c>
      <c r="BH3" s="538"/>
      <c r="BI3" s="538"/>
      <c r="BJ3" s="546"/>
      <c r="BK3" s="533">
        <v>2022</v>
      </c>
      <c r="BL3" s="538"/>
      <c r="BM3" s="538"/>
      <c r="BN3" s="546"/>
      <c r="BO3" s="533">
        <v>2023</v>
      </c>
      <c r="BP3" s="538"/>
      <c r="BQ3" s="538"/>
      <c r="BR3" s="546"/>
      <c r="BS3" s="533">
        <v>2024</v>
      </c>
      <c r="BT3" s="538"/>
      <c r="BU3" s="538"/>
      <c r="BV3" s="546"/>
    </row>
    <row r="4" spans="1:74">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1" t="s">
        <v>8</v>
      </c>
      <c r="AB4" s="12" t="s">
        <v>9</v>
      </c>
      <c r="AC4" s="12" t="s">
        <v>10</v>
      </c>
      <c r="AD4" s="13" t="s">
        <v>11</v>
      </c>
      <c r="AE4" s="11" t="s">
        <v>8</v>
      </c>
      <c r="AF4" s="12" t="s">
        <v>9</v>
      </c>
      <c r="AG4" s="12" t="s">
        <v>10</v>
      </c>
      <c r="AH4" s="13" t="s">
        <v>11</v>
      </c>
      <c r="AI4" s="11" t="s">
        <v>8</v>
      </c>
      <c r="AJ4" s="12" t="s">
        <v>9</v>
      </c>
      <c r="AK4" s="12" t="s">
        <v>10</v>
      </c>
      <c r="AL4" s="13" t="s">
        <v>11</v>
      </c>
      <c r="AM4" s="452" t="s">
        <v>8</v>
      </c>
      <c r="AN4" s="12" t="s">
        <v>9</v>
      </c>
      <c r="AO4" s="12" t="s">
        <v>10</v>
      </c>
      <c r="AP4" s="13" t="s">
        <v>11</v>
      </c>
      <c r="AQ4" s="11" t="s">
        <v>8</v>
      </c>
      <c r="AR4" s="12" t="s">
        <v>9</v>
      </c>
      <c r="AS4" s="12" t="s">
        <v>10</v>
      </c>
      <c r="AT4" s="13" t="s">
        <v>11</v>
      </c>
      <c r="AU4" s="11" t="s">
        <v>8</v>
      </c>
      <c r="AV4" s="12" t="s">
        <v>695</v>
      </c>
      <c r="AW4" s="12" t="s">
        <v>696</v>
      </c>
      <c r="AX4" s="13" t="s">
        <v>697</v>
      </c>
      <c r="AY4" s="11" t="s">
        <v>8</v>
      </c>
      <c r="AZ4" s="12" t="s">
        <v>695</v>
      </c>
      <c r="BA4" s="12" t="s">
        <v>696</v>
      </c>
      <c r="BB4" s="12" t="s">
        <v>697</v>
      </c>
      <c r="BC4" s="11" t="s">
        <v>8</v>
      </c>
      <c r="BD4" s="12" t="s">
        <v>695</v>
      </c>
      <c r="BE4" s="12" t="s">
        <v>696</v>
      </c>
      <c r="BF4" s="12" t="s">
        <v>697</v>
      </c>
      <c r="BG4" s="11" t="s">
        <v>8</v>
      </c>
      <c r="BH4" s="12" t="s">
        <v>695</v>
      </c>
      <c r="BI4" s="12" t="s">
        <v>696</v>
      </c>
      <c r="BJ4" s="13" t="s">
        <v>697</v>
      </c>
      <c r="BK4" s="11" t="s">
        <v>8</v>
      </c>
      <c r="BL4" s="12" t="s">
        <v>695</v>
      </c>
      <c r="BM4" s="12" t="s">
        <v>696</v>
      </c>
      <c r="BN4" s="13" t="s">
        <v>697</v>
      </c>
      <c r="BO4" s="11" t="s">
        <v>8</v>
      </c>
      <c r="BP4" s="12" t="s">
        <v>695</v>
      </c>
      <c r="BQ4" s="12" t="s">
        <v>696</v>
      </c>
      <c r="BR4" s="13" t="s">
        <v>697</v>
      </c>
      <c r="BS4" s="11" t="s">
        <v>8</v>
      </c>
      <c r="BT4" s="12" t="s">
        <v>695</v>
      </c>
      <c r="BU4" s="12" t="s">
        <v>696</v>
      </c>
      <c r="BV4" s="13" t="s">
        <v>697</v>
      </c>
    </row>
    <row r="5" spans="1:74" s="150" customFormat="1" ht="12.75" customHeight="1">
      <c r="A5" s="17" t="s">
        <v>12</v>
      </c>
      <c r="B5" s="17" t="s">
        <v>13</v>
      </c>
      <c r="C5" s="18"/>
      <c r="D5" s="19"/>
      <c r="E5" s="20"/>
      <c r="F5" s="19"/>
      <c r="G5" s="18"/>
      <c r="H5" s="19"/>
      <c r="I5" s="20"/>
      <c r="J5" s="21"/>
      <c r="K5" s="18"/>
      <c r="L5" s="19"/>
      <c r="M5" s="20"/>
      <c r="N5" s="21"/>
      <c r="O5" s="18"/>
      <c r="P5" s="19"/>
      <c r="Q5" s="20"/>
      <c r="R5" s="21"/>
      <c r="S5" s="18"/>
      <c r="T5" s="19"/>
      <c r="U5" s="20"/>
      <c r="V5" s="21"/>
      <c r="W5" s="18"/>
      <c r="X5" s="20"/>
      <c r="Y5" s="20"/>
      <c r="Z5" s="154"/>
      <c r="AA5" s="18"/>
      <c r="AB5" s="20"/>
      <c r="AC5" s="20"/>
      <c r="AD5" s="154"/>
      <c r="AE5" s="18"/>
      <c r="AF5" s="20"/>
      <c r="AG5" s="20"/>
      <c r="AH5" s="154"/>
      <c r="AI5" s="18"/>
      <c r="AJ5" s="20"/>
      <c r="AK5" s="20"/>
      <c r="AL5" s="154"/>
      <c r="AM5" s="20"/>
      <c r="AN5" s="20"/>
      <c r="AO5" s="20"/>
      <c r="AP5" s="154"/>
      <c r="AQ5" s="18"/>
      <c r="AR5" s="20"/>
      <c r="AS5" s="20"/>
      <c r="AT5" s="154"/>
      <c r="AU5" s="18"/>
      <c r="AV5" s="20"/>
      <c r="AW5" s="20"/>
      <c r="AX5" s="154"/>
      <c r="AY5" s="20"/>
      <c r="AZ5" s="20"/>
      <c r="BA5" s="20"/>
      <c r="BB5" s="154"/>
      <c r="BC5" s="20"/>
      <c r="BD5" s="20"/>
      <c r="BE5" s="20"/>
      <c r="BF5" s="154"/>
      <c r="BG5" s="18"/>
      <c r="BH5" s="20"/>
      <c r="BI5" s="20"/>
      <c r="BJ5" s="154"/>
      <c r="BK5" s="18"/>
      <c r="BL5" s="20"/>
      <c r="BM5" s="20"/>
      <c r="BN5" s="154"/>
      <c r="BO5" s="18"/>
      <c r="BP5" s="20"/>
      <c r="BQ5" s="20"/>
      <c r="BR5" s="20"/>
      <c r="BS5" s="270"/>
    </row>
    <row r="6" spans="1:74" s="6" customFormat="1" ht="10.8">
      <c r="A6" s="175" t="s">
        <v>698</v>
      </c>
      <c r="B6" s="175" t="s">
        <v>699</v>
      </c>
      <c r="C6" s="160"/>
      <c r="D6" s="161"/>
      <c r="E6" s="161"/>
      <c r="F6" s="161"/>
      <c r="G6" s="160"/>
      <c r="H6" s="161"/>
      <c r="I6" s="161"/>
      <c r="J6" s="162"/>
      <c r="K6" s="160"/>
      <c r="L6" s="161"/>
      <c r="M6" s="161"/>
      <c r="N6" s="162"/>
      <c r="O6" s="160"/>
      <c r="P6" s="161"/>
      <c r="Q6" s="161"/>
      <c r="R6" s="162"/>
      <c r="S6" s="160"/>
      <c r="T6" s="161"/>
      <c r="U6" s="161"/>
      <c r="V6" s="162"/>
      <c r="W6" s="160"/>
      <c r="X6" s="161"/>
      <c r="Y6" s="161"/>
      <c r="Z6" s="162"/>
      <c r="AA6" s="160"/>
      <c r="AB6" s="161"/>
      <c r="AC6" s="161"/>
      <c r="AD6" s="162"/>
      <c r="AE6" s="160"/>
      <c r="AF6" s="161"/>
      <c r="AG6" s="161"/>
      <c r="AH6" s="162"/>
      <c r="AI6" s="160"/>
      <c r="AJ6" s="161"/>
      <c r="AK6" s="161"/>
      <c r="AL6" s="162"/>
      <c r="AM6" s="20"/>
      <c r="AN6" s="20"/>
      <c r="AO6" s="607"/>
      <c r="AP6" s="46"/>
      <c r="AQ6" s="44"/>
      <c r="AR6" s="45"/>
      <c r="AS6" s="45"/>
      <c r="AT6" s="46"/>
      <c r="AU6" s="44"/>
      <c r="AV6" s="45"/>
      <c r="AW6" s="45"/>
      <c r="AX6" s="46"/>
      <c r="AY6" s="607"/>
      <c r="AZ6" s="45"/>
      <c r="BA6" s="45"/>
      <c r="BB6" s="46"/>
      <c r="BC6" s="607"/>
      <c r="BD6" s="45"/>
      <c r="BE6" s="45"/>
      <c r="BF6" s="46"/>
      <c r="BG6" s="606"/>
      <c r="BH6" s="45"/>
      <c r="BI6" s="45"/>
      <c r="BJ6" s="46"/>
      <c r="BK6" s="606"/>
      <c r="BL6" s="45"/>
      <c r="BM6" s="45"/>
      <c r="BN6" s="46"/>
      <c r="BO6" s="606"/>
      <c r="BP6" s="45"/>
      <c r="BQ6" s="45"/>
      <c r="BR6" s="45"/>
      <c r="BS6" s="786"/>
      <c r="BT6" s="787"/>
    </row>
    <row r="7" spans="1:74" s="6" customFormat="1" ht="10.8">
      <c r="A7" s="20" t="s">
        <v>700</v>
      </c>
      <c r="B7" s="20" t="s">
        <v>701</v>
      </c>
      <c r="C7" s="160">
        <v>24.6</v>
      </c>
      <c r="D7" s="161">
        <v>27.4</v>
      </c>
      <c r="E7" s="161">
        <v>23.1</v>
      </c>
      <c r="F7" s="161">
        <v>23.7</v>
      </c>
      <c r="G7" s="160">
        <v>22.4</v>
      </c>
      <c r="H7" s="161">
        <v>23.4</v>
      </c>
      <c r="I7" s="161">
        <v>36.9</v>
      </c>
      <c r="J7" s="162">
        <v>56.8</v>
      </c>
      <c r="K7" s="160">
        <v>59.5</v>
      </c>
      <c r="L7" s="161">
        <v>55.1</v>
      </c>
      <c r="M7" s="161">
        <v>50.8</v>
      </c>
      <c r="N7" s="162">
        <v>45.1</v>
      </c>
      <c r="O7" s="160">
        <v>60.6</v>
      </c>
      <c r="P7" s="161">
        <v>59.6</v>
      </c>
      <c r="Q7" s="161">
        <v>61</v>
      </c>
      <c r="R7" s="162">
        <v>62.8</v>
      </c>
      <c r="S7" s="160">
        <v>59.7</v>
      </c>
      <c r="T7" s="161">
        <v>64.400000000000006</v>
      </c>
      <c r="U7" s="161">
        <v>70.3</v>
      </c>
      <c r="V7" s="162">
        <v>69.400000000000006</v>
      </c>
      <c r="W7" s="160">
        <v>65.5</v>
      </c>
      <c r="X7" s="161">
        <v>66.2</v>
      </c>
      <c r="Y7" s="161">
        <v>72</v>
      </c>
      <c r="Z7" s="162">
        <v>67.400000000000006</v>
      </c>
      <c r="AA7" s="160">
        <v>64.3</v>
      </c>
      <c r="AB7" s="161">
        <f>75.1-10.3</f>
        <v>64.8</v>
      </c>
      <c r="AC7" s="161">
        <f>56.8+5.1</f>
        <v>61.9</v>
      </c>
      <c r="AD7" s="162">
        <v>69.2</v>
      </c>
      <c r="AE7" s="160">
        <v>64.5</v>
      </c>
      <c r="AF7" s="161">
        <v>68.2</v>
      </c>
      <c r="AG7" s="161">
        <v>75.900000000000006</v>
      </c>
      <c r="AH7" s="162">
        <v>73.5</v>
      </c>
      <c r="AI7" s="160">
        <v>69.900000000000006</v>
      </c>
      <c r="AJ7" s="161">
        <v>75</v>
      </c>
      <c r="AK7" s="161">
        <v>69.599999999999994</v>
      </c>
      <c r="AL7" s="162">
        <v>69.599999999999994</v>
      </c>
      <c r="AM7" s="160">
        <v>63.9</v>
      </c>
      <c r="AN7" s="161">
        <v>67.599999999999994</v>
      </c>
      <c r="AO7" s="45">
        <v>72.099999999999994</v>
      </c>
      <c r="AP7" s="46">
        <v>77.899999999999991</v>
      </c>
      <c r="AQ7" s="44">
        <v>80.599999999999994</v>
      </c>
      <c r="AR7" s="45">
        <v>80.900000000000006</v>
      </c>
      <c r="AS7" s="45">
        <v>91</v>
      </c>
      <c r="AT7" s="46">
        <v>90.600000000000009</v>
      </c>
      <c r="AU7" s="44">
        <v>84.4</v>
      </c>
      <c r="AV7" s="45">
        <v>91.6</v>
      </c>
      <c r="AW7" s="45">
        <v>90.7</v>
      </c>
      <c r="AX7" s="46">
        <v>96.5</v>
      </c>
      <c r="AY7" s="44">
        <v>90.9</v>
      </c>
      <c r="AZ7" s="45">
        <v>96</v>
      </c>
      <c r="BA7" s="45">
        <v>100.5</v>
      </c>
      <c r="BB7" s="46">
        <v>102.30000000000001</v>
      </c>
      <c r="BC7" s="44">
        <v>105.5</v>
      </c>
      <c r="BD7" s="45">
        <v>98.6</v>
      </c>
      <c r="BE7" s="45">
        <v>109.8</v>
      </c>
      <c r="BF7" s="46">
        <v>121.2</v>
      </c>
      <c r="BG7" s="44">
        <v>115.2</v>
      </c>
      <c r="BH7" s="45">
        <v>132</v>
      </c>
      <c r="BI7" s="45">
        <v>146.1</v>
      </c>
      <c r="BJ7" s="46">
        <v>151</v>
      </c>
      <c r="BK7" s="44">
        <v>169.8</v>
      </c>
      <c r="BL7" s="45">
        <v>170.3</v>
      </c>
      <c r="BM7" s="45">
        <v>180.6</v>
      </c>
      <c r="BN7" s="46">
        <v>181</v>
      </c>
      <c r="BO7" s="44">
        <v>166.8</v>
      </c>
      <c r="BP7" s="45">
        <v>179.5</v>
      </c>
      <c r="BQ7" s="45">
        <v>180.6</v>
      </c>
      <c r="BR7" s="45">
        <v>181.6</v>
      </c>
      <c r="BS7" s="44">
        <v>176</v>
      </c>
      <c r="BT7" s="787"/>
    </row>
    <row r="8" spans="1:74" s="6" customFormat="1" ht="10.8">
      <c r="A8" s="453" t="s">
        <v>702</v>
      </c>
      <c r="B8" s="453" t="s">
        <v>703</v>
      </c>
      <c r="C8" s="160">
        <v>62.5</v>
      </c>
      <c r="D8" s="161">
        <v>69.099999999999994</v>
      </c>
      <c r="E8" s="161">
        <v>66.599999999999994</v>
      </c>
      <c r="F8" s="161">
        <v>68.3</v>
      </c>
      <c r="G8" s="160">
        <v>68.7</v>
      </c>
      <c r="H8" s="161">
        <v>71.400000000000006</v>
      </c>
      <c r="I8" s="161">
        <v>71.5</v>
      </c>
      <c r="J8" s="162">
        <v>76.099999999999994</v>
      </c>
      <c r="K8" s="160">
        <v>71.2</v>
      </c>
      <c r="L8" s="161">
        <f>71.7-0.7</f>
        <v>71</v>
      </c>
      <c r="M8" s="161">
        <v>73.400000000000006</v>
      </c>
      <c r="N8" s="162">
        <v>72.2</v>
      </c>
      <c r="O8" s="160">
        <v>69.8</v>
      </c>
      <c r="P8" s="161">
        <f>66.3-0.1</f>
        <v>66.2</v>
      </c>
      <c r="Q8" s="161">
        <f>64.8-0.1</f>
        <v>64.7</v>
      </c>
      <c r="R8" s="162">
        <f>65.2-0.2</f>
        <v>65</v>
      </c>
      <c r="S8" s="160">
        <f>62.1-0.1</f>
        <v>62</v>
      </c>
      <c r="T8" s="161">
        <f>64.7-0.5</f>
        <v>64.2</v>
      </c>
      <c r="U8" s="161">
        <f>63.9-0.3</f>
        <v>63.6</v>
      </c>
      <c r="V8" s="162">
        <f>65-0.7</f>
        <v>64.3</v>
      </c>
      <c r="W8" s="160">
        <f>61.7-0.4</f>
        <v>61.300000000000004</v>
      </c>
      <c r="X8" s="161">
        <f>63.6-0.4</f>
        <v>63.2</v>
      </c>
      <c r="Y8" s="161">
        <f>61.4-0.4</f>
        <v>61</v>
      </c>
      <c r="Z8" s="162">
        <f>62.8-1.6</f>
        <v>61.199999999999996</v>
      </c>
      <c r="AA8" s="160">
        <f>63.6-0.1</f>
        <v>63.5</v>
      </c>
      <c r="AB8" s="161">
        <f>64.6-0.1</f>
        <v>64.5</v>
      </c>
      <c r="AC8" s="161">
        <f>65.3-1</f>
        <v>64.3</v>
      </c>
      <c r="AD8" s="162">
        <f>64.2-1.8</f>
        <v>62.400000000000006</v>
      </c>
      <c r="AE8" s="160">
        <v>62.5</v>
      </c>
      <c r="AF8" s="161">
        <f>62.8-0.2</f>
        <v>62.599999999999994</v>
      </c>
      <c r="AG8" s="161">
        <f>61.8-0.6</f>
        <v>61.199999999999996</v>
      </c>
      <c r="AH8" s="162">
        <v>60.1</v>
      </c>
      <c r="AI8" s="160">
        <v>59.1</v>
      </c>
      <c r="AJ8" s="161">
        <v>62.9</v>
      </c>
      <c r="AK8" s="161">
        <v>61.8</v>
      </c>
      <c r="AL8" s="162">
        <v>62.8</v>
      </c>
      <c r="AM8" s="160">
        <v>60.8</v>
      </c>
      <c r="AN8" s="161">
        <v>63.8</v>
      </c>
      <c r="AO8" s="45">
        <v>63.1</v>
      </c>
      <c r="AP8" s="46">
        <v>64.3</v>
      </c>
      <c r="AQ8" s="44">
        <v>66.2</v>
      </c>
      <c r="AR8" s="45">
        <v>70.2</v>
      </c>
      <c r="AS8" s="45">
        <v>69.5</v>
      </c>
      <c r="AT8" s="46">
        <v>72</v>
      </c>
      <c r="AU8" s="44">
        <v>70.2</v>
      </c>
      <c r="AV8" s="45">
        <v>72.599999999999994</v>
      </c>
      <c r="AW8" s="45">
        <v>72.099999999999994</v>
      </c>
      <c r="AX8" s="46">
        <v>71.900000000000006</v>
      </c>
      <c r="AY8" s="44">
        <v>70.5</v>
      </c>
      <c r="AZ8" s="45">
        <v>73.7</v>
      </c>
      <c r="BA8" s="45">
        <v>75.099999999999994</v>
      </c>
      <c r="BB8" s="46">
        <v>74.2</v>
      </c>
      <c r="BC8" s="44">
        <v>80.100000000000009</v>
      </c>
      <c r="BD8" s="45">
        <v>76.2</v>
      </c>
      <c r="BE8" s="45">
        <v>91.7</v>
      </c>
      <c r="BF8" s="46">
        <v>112.9</v>
      </c>
      <c r="BG8" s="44">
        <v>103.6</v>
      </c>
      <c r="BH8" s="45">
        <v>100.4</v>
      </c>
      <c r="BI8" s="45">
        <v>107.5</v>
      </c>
      <c r="BJ8" s="46">
        <v>129.69999999999999</v>
      </c>
      <c r="BK8" s="44">
        <v>117.2</v>
      </c>
      <c r="BL8" s="45">
        <v>111.8</v>
      </c>
      <c r="BM8" s="45">
        <v>106</v>
      </c>
      <c r="BN8" s="46">
        <v>111.6</v>
      </c>
      <c r="BO8" s="44">
        <v>108.8</v>
      </c>
      <c r="BP8" s="45">
        <v>104</v>
      </c>
      <c r="BQ8" s="45">
        <v>108.7</v>
      </c>
      <c r="BR8" s="45">
        <v>109.7</v>
      </c>
      <c r="BS8" s="44">
        <v>105.4</v>
      </c>
      <c r="BT8" s="787"/>
    </row>
    <row r="9" spans="1:74" s="150" customFormat="1" ht="10.8">
      <c r="A9" s="171" t="s">
        <v>704</v>
      </c>
      <c r="B9" s="171" t="s">
        <v>705</v>
      </c>
      <c r="C9" s="160">
        <v>25.2</v>
      </c>
      <c r="D9" s="161">
        <v>25.1</v>
      </c>
      <c r="E9" s="161">
        <v>24.8</v>
      </c>
      <c r="F9" s="161">
        <v>28.4</v>
      </c>
      <c r="G9" s="160">
        <v>30.5</v>
      </c>
      <c r="H9" s="161">
        <v>34.700000000000003</v>
      </c>
      <c r="I9" s="161">
        <v>36.9</v>
      </c>
      <c r="J9" s="162">
        <v>35.299999999999997</v>
      </c>
      <c r="K9" s="160">
        <f>33.9-0.1</f>
        <v>33.799999999999997</v>
      </c>
      <c r="L9" s="161">
        <v>41.4</v>
      </c>
      <c r="M9" s="161">
        <v>43.6</v>
      </c>
      <c r="N9" s="162">
        <f>43-0.2</f>
        <v>42.8</v>
      </c>
      <c r="O9" s="160">
        <f>39.2-0.1</f>
        <v>39.1</v>
      </c>
      <c r="P9" s="161">
        <v>43.9</v>
      </c>
      <c r="Q9" s="161">
        <f>48.9-0.3</f>
        <v>48.6</v>
      </c>
      <c r="R9" s="162">
        <f>53-0.2</f>
        <v>52.8</v>
      </c>
      <c r="S9" s="160">
        <f>50.8-0.2</f>
        <v>50.599999999999994</v>
      </c>
      <c r="T9" s="161">
        <f>51.1-0.2</f>
        <v>50.9</v>
      </c>
      <c r="U9" s="161">
        <f>52.2-0.2</f>
        <v>52</v>
      </c>
      <c r="V9" s="162">
        <f>54.3-0.2</f>
        <v>54.099999999999994</v>
      </c>
      <c r="W9" s="160">
        <f>49.6-0.3-0.3</f>
        <v>49.000000000000007</v>
      </c>
      <c r="X9" s="161">
        <f>51.1-0.4-0.4</f>
        <v>50.300000000000004</v>
      </c>
      <c r="Y9" s="161">
        <f>51.9-0.4-0.7</f>
        <v>50.8</v>
      </c>
      <c r="Z9" s="162">
        <f>54.4-0.6</f>
        <v>53.8</v>
      </c>
      <c r="AA9" s="161">
        <f>42.5-0.3-0.8</f>
        <v>41.400000000000006</v>
      </c>
      <c r="AB9" s="161">
        <f>46.3-0.2-1.1</f>
        <v>44.999999999999993</v>
      </c>
      <c r="AC9" s="161">
        <f>49.4-0.3-1.1</f>
        <v>48</v>
      </c>
      <c r="AD9" s="162">
        <f>52-0.5-1.4</f>
        <v>50.1</v>
      </c>
      <c r="AE9" s="161">
        <f>48.6-0.9-1.6</f>
        <v>46.1</v>
      </c>
      <c r="AF9" s="161">
        <f>51.8-1.9</f>
        <v>49.9</v>
      </c>
      <c r="AG9" s="161">
        <f>25.6-1.9</f>
        <v>23.700000000000003</v>
      </c>
      <c r="AH9" s="162">
        <f>25.2-2</f>
        <v>23.2</v>
      </c>
      <c r="AI9" s="161">
        <f>18.2-2.1</f>
        <v>16.099999999999998</v>
      </c>
      <c r="AJ9" s="161">
        <f>16.4-2.2</f>
        <v>14.2</v>
      </c>
      <c r="AK9" s="161">
        <f>17.6-2.6</f>
        <v>15.000000000000002</v>
      </c>
      <c r="AL9" s="162">
        <f>14.7-2.4</f>
        <v>12.299999999999999</v>
      </c>
      <c r="AM9" s="160">
        <v>21.9</v>
      </c>
      <c r="AN9" s="161">
        <v>32</v>
      </c>
      <c r="AO9" s="45">
        <v>34.6</v>
      </c>
      <c r="AP9" s="46">
        <v>27.099999999999998</v>
      </c>
      <c r="AQ9" s="45">
        <v>31.499999999999996</v>
      </c>
      <c r="AR9" s="45">
        <v>27.100000000000005</v>
      </c>
      <c r="AS9" s="45">
        <v>29.1</v>
      </c>
      <c r="AT9" s="46">
        <v>25.200000000000003</v>
      </c>
      <c r="AU9" s="45">
        <f t="shared" ref="AU9:BP9" si="0">+AU10+AU11</f>
        <v>25.299999999999997</v>
      </c>
      <c r="AV9" s="45">
        <f t="shared" si="0"/>
        <v>45.800000000000004</v>
      </c>
      <c r="AW9" s="45">
        <f t="shared" si="0"/>
        <v>21.099999999999994</v>
      </c>
      <c r="AX9" s="46">
        <f t="shared" si="0"/>
        <v>23.9</v>
      </c>
      <c r="AY9" s="45">
        <f t="shared" si="0"/>
        <v>31.799999999999997</v>
      </c>
      <c r="AZ9" s="45">
        <f t="shared" si="0"/>
        <v>55.400000000000006</v>
      </c>
      <c r="BA9" s="45">
        <f t="shared" si="0"/>
        <v>33.099999999999994</v>
      </c>
      <c r="BB9" s="46">
        <f t="shared" si="0"/>
        <v>26.900000000000006</v>
      </c>
      <c r="BC9" s="45">
        <f t="shared" si="0"/>
        <v>28.5</v>
      </c>
      <c r="BD9" s="45">
        <f t="shared" si="0"/>
        <v>22.299999999999997</v>
      </c>
      <c r="BE9" s="45">
        <f t="shared" si="0"/>
        <v>34.399999999999984</v>
      </c>
      <c r="BF9" s="46">
        <f t="shared" si="0"/>
        <v>55.089999999999989</v>
      </c>
      <c r="BG9" s="44">
        <f t="shared" si="0"/>
        <v>33.599999999999994</v>
      </c>
      <c r="BH9" s="45">
        <f t="shared" si="0"/>
        <v>45.500000000000007</v>
      </c>
      <c r="BI9" s="45">
        <f t="shared" si="0"/>
        <v>47.7</v>
      </c>
      <c r="BJ9" s="46">
        <f t="shared" si="0"/>
        <v>44</v>
      </c>
      <c r="BK9" s="44">
        <f t="shared" si="0"/>
        <v>46.999999999999986</v>
      </c>
      <c r="BL9" s="45">
        <f t="shared" si="0"/>
        <v>55.600000000000023</v>
      </c>
      <c r="BM9" s="45">
        <f t="shared" si="0"/>
        <v>58.999999999999972</v>
      </c>
      <c r="BN9" s="46">
        <f t="shared" si="0"/>
        <v>55.100000000000009</v>
      </c>
      <c r="BO9" s="44">
        <f t="shared" si="0"/>
        <v>46.2</v>
      </c>
      <c r="BP9" s="45">
        <f t="shared" si="0"/>
        <v>58</v>
      </c>
      <c r="BQ9" s="45">
        <f>+BQ10+BQ11</f>
        <v>65.700000000000017</v>
      </c>
      <c r="BR9" s="45">
        <f>+BR10+BR11</f>
        <v>81.599999999999994</v>
      </c>
      <c r="BS9" s="44">
        <f>+BS10+BS11</f>
        <v>72.599999999999994</v>
      </c>
      <c r="BT9" s="610"/>
    </row>
    <row r="10" spans="1:74" s="150" customFormat="1" ht="10.8">
      <c r="A10" s="454" t="s">
        <v>706</v>
      </c>
      <c r="B10" s="454" t="s">
        <v>707</v>
      </c>
      <c r="C10" s="160"/>
      <c r="D10" s="161"/>
      <c r="E10" s="161"/>
      <c r="F10" s="161"/>
      <c r="G10" s="160"/>
      <c r="H10" s="161"/>
      <c r="I10" s="161"/>
      <c r="J10" s="162"/>
      <c r="K10" s="160"/>
      <c r="L10" s="161"/>
      <c r="M10" s="161"/>
      <c r="N10" s="162"/>
      <c r="O10" s="160"/>
      <c r="P10" s="161"/>
      <c r="Q10" s="161"/>
      <c r="R10" s="162"/>
      <c r="S10" s="160"/>
      <c r="T10" s="161"/>
      <c r="U10" s="161"/>
      <c r="V10" s="162"/>
      <c r="W10" s="160"/>
      <c r="X10" s="161"/>
      <c r="Y10" s="161"/>
      <c r="Z10" s="162"/>
      <c r="AA10" s="161"/>
      <c r="AB10" s="161"/>
      <c r="AC10" s="161"/>
      <c r="AD10" s="162"/>
      <c r="AE10" s="161"/>
      <c r="AF10" s="161"/>
      <c r="AG10" s="161"/>
      <c r="AH10" s="162"/>
      <c r="AI10" s="161"/>
      <c r="AJ10" s="161"/>
      <c r="AK10" s="161"/>
      <c r="AL10" s="162"/>
      <c r="AM10" s="160"/>
      <c r="AN10" s="161"/>
      <c r="AO10" s="45"/>
      <c r="AP10" s="46"/>
      <c r="AQ10" s="45"/>
      <c r="AR10" s="45"/>
      <c r="AS10" s="45"/>
      <c r="AT10" s="46"/>
      <c r="AU10" s="45">
        <v>59.5</v>
      </c>
      <c r="AV10" s="45">
        <v>82.5</v>
      </c>
      <c r="AW10" s="45">
        <v>61</v>
      </c>
      <c r="AX10" s="46">
        <v>68.3</v>
      </c>
      <c r="AY10" s="45">
        <v>73.2</v>
      </c>
      <c r="AZ10" s="45">
        <v>101.7</v>
      </c>
      <c r="BA10" s="45">
        <v>89.5</v>
      </c>
      <c r="BB10" s="46">
        <v>87.5</v>
      </c>
      <c r="BC10" s="45">
        <v>84.4</v>
      </c>
      <c r="BD10" s="45">
        <v>79.3</v>
      </c>
      <c r="BE10" s="45">
        <v>95.799999999999983</v>
      </c>
      <c r="BF10" s="46">
        <v>115.19999999999999</v>
      </c>
      <c r="BG10" s="44">
        <v>91.1</v>
      </c>
      <c r="BH10" s="45">
        <v>103.4</v>
      </c>
      <c r="BI10" s="45">
        <v>115.10000000000001</v>
      </c>
      <c r="BJ10" s="46">
        <v>116.3</v>
      </c>
      <c r="BK10" s="44">
        <v>113.69999999999999</v>
      </c>
      <c r="BL10" s="45">
        <v>127.30000000000001</v>
      </c>
      <c r="BM10" s="45">
        <v>136.89999999999998</v>
      </c>
      <c r="BN10" s="46">
        <v>134.9</v>
      </c>
      <c r="BO10" s="44">
        <v>122.5</v>
      </c>
      <c r="BP10" s="45">
        <v>138.4</v>
      </c>
      <c r="BQ10" s="45">
        <v>150.20000000000002</v>
      </c>
      <c r="BR10" s="45">
        <v>155.69999999999999</v>
      </c>
      <c r="BS10" s="44">
        <v>152</v>
      </c>
      <c r="BT10" s="610"/>
    </row>
    <row r="11" spans="1:74" s="150" customFormat="1" ht="10.8">
      <c r="A11" s="454" t="s">
        <v>708</v>
      </c>
      <c r="B11" s="454" t="s">
        <v>709</v>
      </c>
      <c r="C11" s="160"/>
      <c r="D11" s="161"/>
      <c r="E11" s="161"/>
      <c r="F11" s="161"/>
      <c r="G11" s="160"/>
      <c r="H11" s="161"/>
      <c r="I11" s="161"/>
      <c r="J11" s="162"/>
      <c r="K11" s="160"/>
      <c r="L11" s="161"/>
      <c r="M11" s="161"/>
      <c r="N11" s="162"/>
      <c r="O11" s="160"/>
      <c r="P11" s="161"/>
      <c r="Q11" s="161"/>
      <c r="R11" s="162"/>
      <c r="S11" s="160"/>
      <c r="T11" s="161"/>
      <c r="U11" s="161"/>
      <c r="V11" s="162"/>
      <c r="W11" s="160"/>
      <c r="X11" s="161"/>
      <c r="Y11" s="161"/>
      <c r="Z11" s="162"/>
      <c r="AA11" s="161"/>
      <c r="AB11" s="161"/>
      <c r="AC11" s="161"/>
      <c r="AD11" s="162"/>
      <c r="AE11" s="161"/>
      <c r="AF11" s="161"/>
      <c r="AG11" s="161"/>
      <c r="AH11" s="162"/>
      <c r="AI11" s="161"/>
      <c r="AJ11" s="161"/>
      <c r="AK11" s="161"/>
      <c r="AL11" s="162"/>
      <c r="AM11" s="160"/>
      <c r="AN11" s="161"/>
      <c r="AO11" s="45"/>
      <c r="AP11" s="46"/>
      <c r="AQ11" s="45"/>
      <c r="AR11" s="45"/>
      <c r="AS11" s="45"/>
      <c r="AT11" s="46"/>
      <c r="AU11" s="45">
        <v>-34.200000000000003</v>
      </c>
      <c r="AV11" s="45">
        <v>-36.699999999999996</v>
      </c>
      <c r="AW11" s="45">
        <v>-39.900000000000006</v>
      </c>
      <c r="AX11" s="46">
        <v>-44.4</v>
      </c>
      <c r="AY11" s="45">
        <v>-41.400000000000006</v>
      </c>
      <c r="AZ11" s="45">
        <v>-46.3</v>
      </c>
      <c r="BA11" s="45">
        <v>-56.400000000000006</v>
      </c>
      <c r="BB11" s="46">
        <v>-60.599999999999994</v>
      </c>
      <c r="BC11" s="45">
        <v>-55.900000000000006</v>
      </c>
      <c r="BD11" s="45">
        <v>-57</v>
      </c>
      <c r="BE11" s="45">
        <v>-61.4</v>
      </c>
      <c r="BF11" s="46">
        <v>-60.11</v>
      </c>
      <c r="BG11" s="44">
        <v>-57.5</v>
      </c>
      <c r="BH11" s="45">
        <v>-57.9</v>
      </c>
      <c r="BI11" s="45">
        <v>-67.400000000000006</v>
      </c>
      <c r="BJ11" s="46">
        <v>-72.3</v>
      </c>
      <c r="BK11" s="44">
        <v>-66.7</v>
      </c>
      <c r="BL11" s="45">
        <v>-71.699999999999989</v>
      </c>
      <c r="BM11" s="45">
        <v>-77.900000000000006</v>
      </c>
      <c r="BN11" s="46">
        <v>-79.8</v>
      </c>
      <c r="BO11" s="44">
        <v>-76.3</v>
      </c>
      <c r="BP11" s="45">
        <v>-80.400000000000006</v>
      </c>
      <c r="BQ11" s="45">
        <v>-84.5</v>
      </c>
      <c r="BR11" s="45">
        <v>-74.099999999999994</v>
      </c>
      <c r="BS11" s="44">
        <v>-79.400000000000006</v>
      </c>
      <c r="BT11" s="610"/>
    </row>
    <row r="12" spans="1:74" s="164" customFormat="1" ht="10.8">
      <c r="A12" s="20" t="s">
        <v>710</v>
      </c>
      <c r="B12" s="20" t="s">
        <v>711</v>
      </c>
      <c r="C12" s="160">
        <v>27.6</v>
      </c>
      <c r="D12" s="161">
        <v>21.9</v>
      </c>
      <c r="E12" s="161">
        <v>30.7</v>
      </c>
      <c r="F12" s="161">
        <v>29.7</v>
      </c>
      <c r="G12" s="160">
        <v>33.6</v>
      </c>
      <c r="H12" s="161">
        <v>25.8</v>
      </c>
      <c r="I12" s="161">
        <v>30.7</v>
      </c>
      <c r="J12" s="162">
        <v>32.700000000000003</v>
      </c>
      <c r="K12" s="160">
        <v>34.200000000000003</v>
      </c>
      <c r="L12" s="161">
        <v>33.200000000000003</v>
      </c>
      <c r="M12" s="161">
        <v>36.5</v>
      </c>
      <c r="N12" s="162">
        <v>37.9</v>
      </c>
      <c r="O12" s="160">
        <v>36.6</v>
      </c>
      <c r="P12" s="161">
        <v>38.6</v>
      </c>
      <c r="Q12" s="161">
        <v>40.1</v>
      </c>
      <c r="R12" s="162">
        <v>39.5</v>
      </c>
      <c r="S12" s="160">
        <v>42.8</v>
      </c>
      <c r="T12" s="161">
        <v>42.6</v>
      </c>
      <c r="U12" s="161">
        <v>49.1</v>
      </c>
      <c r="V12" s="162">
        <v>44.1</v>
      </c>
      <c r="W12" s="160">
        <v>43.9</v>
      </c>
      <c r="X12" s="161">
        <v>45.1</v>
      </c>
      <c r="Y12" s="161">
        <v>43</v>
      </c>
      <c r="Z12" s="162">
        <v>46.5</v>
      </c>
      <c r="AA12" s="161">
        <f>47.2+1.8</f>
        <v>49</v>
      </c>
      <c r="AB12" s="161">
        <v>51.6</v>
      </c>
      <c r="AC12" s="161">
        <v>49.1</v>
      </c>
      <c r="AD12" s="162">
        <v>44.5</v>
      </c>
      <c r="AE12" s="161">
        <v>54.6</v>
      </c>
      <c r="AF12" s="161">
        <v>54</v>
      </c>
      <c r="AG12" s="161">
        <v>51.4</v>
      </c>
      <c r="AH12" s="162">
        <v>50</v>
      </c>
      <c r="AI12" s="161">
        <v>57.1</v>
      </c>
      <c r="AJ12" s="161">
        <v>58.5</v>
      </c>
      <c r="AK12" s="161">
        <v>54</v>
      </c>
      <c r="AL12" s="162">
        <v>51.5</v>
      </c>
      <c r="AM12" s="160">
        <v>64</v>
      </c>
      <c r="AN12" s="161">
        <v>58.8</v>
      </c>
      <c r="AO12" s="45">
        <v>60.4</v>
      </c>
      <c r="AP12" s="46">
        <v>67.2</v>
      </c>
      <c r="AQ12" s="45">
        <v>67.099999999999994</v>
      </c>
      <c r="AR12" s="45">
        <v>64.5</v>
      </c>
      <c r="AS12" s="45">
        <v>65.400000000000006</v>
      </c>
      <c r="AT12" s="46">
        <v>66.400000000000006</v>
      </c>
      <c r="AU12" s="45">
        <v>77.400000000000006</v>
      </c>
      <c r="AV12" s="45">
        <v>74.400000000000006</v>
      </c>
      <c r="AW12" s="45">
        <v>72.7</v>
      </c>
      <c r="AX12" s="46">
        <v>73</v>
      </c>
      <c r="AY12" s="45">
        <v>82.5</v>
      </c>
      <c r="AZ12" s="45">
        <v>81.400000000000006</v>
      </c>
      <c r="BA12" s="45">
        <v>78.5</v>
      </c>
      <c r="BB12" s="46">
        <v>84.7</v>
      </c>
      <c r="BC12" s="45">
        <v>92.9</v>
      </c>
      <c r="BD12" s="45">
        <v>86.199999999999989</v>
      </c>
      <c r="BE12" s="45">
        <v>86.4</v>
      </c>
      <c r="BF12" s="46">
        <v>85.5</v>
      </c>
      <c r="BG12" s="44">
        <v>102</v>
      </c>
      <c r="BH12" s="45">
        <v>100</v>
      </c>
      <c r="BI12" s="45">
        <v>100</v>
      </c>
      <c r="BJ12" s="46">
        <v>100.8</v>
      </c>
      <c r="BK12" s="44">
        <v>117.3</v>
      </c>
      <c r="BL12" s="45">
        <v>114.4</v>
      </c>
      <c r="BM12" s="45">
        <v>118.5</v>
      </c>
      <c r="BN12" s="46">
        <v>108.2</v>
      </c>
      <c r="BO12" s="44">
        <v>127.9</v>
      </c>
      <c r="BP12" s="45">
        <v>125.5</v>
      </c>
      <c r="BQ12" s="45">
        <v>122.6</v>
      </c>
      <c r="BR12" s="45">
        <v>114.8</v>
      </c>
      <c r="BS12" s="44">
        <v>138.1</v>
      </c>
      <c r="BT12" s="615"/>
    </row>
    <row r="13" spans="1:74" s="164" customFormat="1" ht="10.8">
      <c r="A13" s="171" t="s">
        <v>712</v>
      </c>
      <c r="B13" s="171" t="s">
        <v>713</v>
      </c>
      <c r="C13" s="160">
        <v>50</v>
      </c>
      <c r="D13" s="161">
        <v>54.9</v>
      </c>
      <c r="E13" s="161">
        <v>58.2</v>
      </c>
      <c r="F13" s="161">
        <v>50.1</v>
      </c>
      <c r="G13" s="160">
        <v>33.700000000000003</v>
      </c>
      <c r="H13" s="161">
        <v>27.9</v>
      </c>
      <c r="I13" s="161">
        <v>21.8</v>
      </c>
      <c r="J13" s="162">
        <v>15.2</v>
      </c>
      <c r="K13" s="160">
        <v>12.2</v>
      </c>
      <c r="L13" s="161">
        <v>14.3</v>
      </c>
      <c r="M13" s="161">
        <v>13.5</v>
      </c>
      <c r="N13" s="162">
        <v>23.2</v>
      </c>
      <c r="O13" s="160">
        <v>16.399999999999999</v>
      </c>
      <c r="P13" s="161">
        <v>20.5</v>
      </c>
      <c r="Q13" s="161">
        <v>21.3</v>
      </c>
      <c r="R13" s="162">
        <v>23.1</v>
      </c>
      <c r="S13" s="160">
        <v>22.6</v>
      </c>
      <c r="T13" s="161">
        <v>23</v>
      </c>
      <c r="U13" s="161">
        <v>18.899999999999999</v>
      </c>
      <c r="V13" s="162">
        <v>15.9</v>
      </c>
      <c r="W13" s="160">
        <v>15.2</v>
      </c>
      <c r="X13" s="161">
        <v>14.8</v>
      </c>
      <c r="Y13" s="161">
        <v>14.7</v>
      </c>
      <c r="Z13" s="162">
        <v>16.899999999999999</v>
      </c>
      <c r="AA13" s="161">
        <v>16.3</v>
      </c>
      <c r="AB13" s="161">
        <v>17.8</v>
      </c>
      <c r="AC13" s="161">
        <v>19.3</v>
      </c>
      <c r="AD13" s="162">
        <v>22</v>
      </c>
      <c r="AE13" s="161">
        <v>20.5</v>
      </c>
      <c r="AF13" s="161">
        <v>21.2</v>
      </c>
      <c r="AG13" s="161">
        <v>21.1</v>
      </c>
      <c r="AH13" s="162">
        <v>22.8</v>
      </c>
      <c r="AI13" s="161">
        <v>23</v>
      </c>
      <c r="AJ13" s="161">
        <v>26.4</v>
      </c>
      <c r="AK13" s="161">
        <v>26.1</v>
      </c>
      <c r="AL13" s="162">
        <v>24.9</v>
      </c>
      <c r="AM13" s="160">
        <v>21.8</v>
      </c>
      <c r="AN13" s="161">
        <v>21.9</v>
      </c>
      <c r="AO13" s="45">
        <v>22.1</v>
      </c>
      <c r="AP13" s="46">
        <v>23.1</v>
      </c>
      <c r="AQ13" s="45">
        <v>23.5</v>
      </c>
      <c r="AR13" s="45">
        <v>24.6</v>
      </c>
      <c r="AS13" s="45">
        <v>26.2</v>
      </c>
      <c r="AT13" s="46">
        <v>27.1</v>
      </c>
      <c r="AU13" s="45">
        <v>25.8</v>
      </c>
      <c r="AV13" s="45">
        <v>26</v>
      </c>
      <c r="AW13" s="45">
        <v>27.7</v>
      </c>
      <c r="AX13" s="46">
        <v>20.100000000000001</v>
      </c>
      <c r="AY13" s="45">
        <v>16</v>
      </c>
      <c r="AZ13" s="45">
        <v>18.5</v>
      </c>
      <c r="BA13" s="45">
        <v>19</v>
      </c>
      <c r="BB13" s="46">
        <v>21</v>
      </c>
      <c r="BC13" s="45">
        <v>20.100000000000001</v>
      </c>
      <c r="BD13" s="45">
        <v>17.699999999999996</v>
      </c>
      <c r="BE13" s="45">
        <v>19.8</v>
      </c>
      <c r="BF13" s="46">
        <v>21.1</v>
      </c>
      <c r="BG13" s="44">
        <v>20.8</v>
      </c>
      <c r="BH13" s="45">
        <v>22.3</v>
      </c>
      <c r="BI13" s="45">
        <v>23.9</v>
      </c>
      <c r="BJ13" s="46">
        <v>23.4</v>
      </c>
      <c r="BK13" s="44">
        <v>19.399999999999999</v>
      </c>
      <c r="BL13" s="45">
        <v>14.6</v>
      </c>
      <c r="BM13" s="45">
        <v>14.3</v>
      </c>
      <c r="BN13" s="46">
        <v>12.9</v>
      </c>
      <c r="BO13" s="44">
        <v>14</v>
      </c>
      <c r="BP13" s="45">
        <v>14.9</v>
      </c>
      <c r="BQ13" s="45">
        <v>16.899999999999999</v>
      </c>
      <c r="BR13" s="45">
        <v>17.899999999999999</v>
      </c>
      <c r="BS13" s="44">
        <v>20.5</v>
      </c>
      <c r="BT13" s="615"/>
    </row>
    <row r="14" spans="1:74" s="164" customFormat="1" ht="10.8">
      <c r="A14" s="453" t="s">
        <v>714</v>
      </c>
      <c r="B14" s="453" t="s">
        <v>715</v>
      </c>
      <c r="C14" s="160">
        <v>33.1</v>
      </c>
      <c r="D14" s="161">
        <v>32.4</v>
      </c>
      <c r="E14" s="161">
        <v>28.2</v>
      </c>
      <c r="F14" s="161">
        <v>31.1</v>
      </c>
      <c r="G14" s="160">
        <v>25.7</v>
      </c>
      <c r="H14" s="161">
        <v>16.3</v>
      </c>
      <c r="I14" s="161">
        <v>16.2</v>
      </c>
      <c r="J14" s="162">
        <v>17.2</v>
      </c>
      <c r="K14" s="160">
        <v>15.2</v>
      </c>
      <c r="L14" s="161">
        <v>17.3</v>
      </c>
      <c r="M14" s="161">
        <v>20</v>
      </c>
      <c r="N14" s="162">
        <v>21.4</v>
      </c>
      <c r="O14" s="160">
        <v>21.3</v>
      </c>
      <c r="P14" s="161">
        <v>17.399999999999999</v>
      </c>
      <c r="Q14" s="161">
        <v>20.3</v>
      </c>
      <c r="R14" s="162">
        <v>15.9</v>
      </c>
      <c r="S14" s="160">
        <v>19.899999999999999</v>
      </c>
      <c r="T14" s="161">
        <v>23.2</v>
      </c>
      <c r="U14" s="161">
        <v>17.600000000000001</v>
      </c>
      <c r="V14" s="162">
        <v>16.100000000000001</v>
      </c>
      <c r="W14" s="160">
        <v>19.100000000000001</v>
      </c>
      <c r="X14" s="161">
        <v>12.3</v>
      </c>
      <c r="Y14" s="161">
        <v>10.8</v>
      </c>
      <c r="Z14" s="162">
        <v>14.5</v>
      </c>
      <c r="AA14" s="161">
        <v>10.9</v>
      </c>
      <c r="AB14" s="161">
        <v>14.3</v>
      </c>
      <c r="AC14" s="161">
        <v>10.5</v>
      </c>
      <c r="AD14" s="162">
        <v>10.6</v>
      </c>
      <c r="AE14" s="161">
        <v>15.4</v>
      </c>
      <c r="AF14" s="161">
        <v>9.1</v>
      </c>
      <c r="AG14" s="161">
        <v>9.1</v>
      </c>
      <c r="AH14" s="162">
        <v>9.5</v>
      </c>
      <c r="AI14" s="161">
        <v>10.3</v>
      </c>
      <c r="AJ14" s="161">
        <v>11.2</v>
      </c>
      <c r="AK14" s="161">
        <v>9.3000000000000007</v>
      </c>
      <c r="AL14" s="162">
        <v>15.4</v>
      </c>
      <c r="AM14" s="160">
        <v>8.8000000000000007</v>
      </c>
      <c r="AN14" s="161">
        <v>8</v>
      </c>
      <c r="AO14" s="45">
        <v>7.6</v>
      </c>
      <c r="AP14" s="46">
        <v>4.7</v>
      </c>
      <c r="AQ14" s="45">
        <v>7.4</v>
      </c>
      <c r="AR14" s="45">
        <v>5.9</v>
      </c>
      <c r="AS14" s="45">
        <v>5.7</v>
      </c>
      <c r="AT14" s="46">
        <v>5.0999999999999996</v>
      </c>
      <c r="AU14" s="45">
        <v>5.5</v>
      </c>
      <c r="AV14" s="45">
        <v>5</v>
      </c>
      <c r="AW14" s="45">
        <v>5.6</v>
      </c>
      <c r="AX14" s="46">
        <v>5.3</v>
      </c>
      <c r="AY14" s="45">
        <v>5.8</v>
      </c>
      <c r="AZ14" s="45">
        <v>4.7</v>
      </c>
      <c r="BA14" s="45">
        <v>5.0999999999999996</v>
      </c>
      <c r="BB14" s="46">
        <v>4.5000000000000018</v>
      </c>
      <c r="BC14" s="45">
        <v>10.7</v>
      </c>
      <c r="BD14" s="45">
        <v>20.6</v>
      </c>
      <c r="BE14" s="45">
        <v>23</v>
      </c>
      <c r="BF14" s="46">
        <v>8.8000000000000007</v>
      </c>
      <c r="BG14" s="44">
        <v>24.3</v>
      </c>
      <c r="BH14" s="45">
        <v>14.6</v>
      </c>
      <c r="BI14" s="45">
        <v>13.7</v>
      </c>
      <c r="BJ14" s="46">
        <v>16.8</v>
      </c>
      <c r="BK14" s="44">
        <v>20.9</v>
      </c>
      <c r="BL14" s="45">
        <v>12.8</v>
      </c>
      <c r="BM14" s="45">
        <v>12.5</v>
      </c>
      <c r="BN14" s="46">
        <v>11.8</v>
      </c>
      <c r="BO14" s="44">
        <v>13.3</v>
      </c>
      <c r="BP14" s="45">
        <v>12.4</v>
      </c>
      <c r="BQ14" s="45">
        <v>11.6</v>
      </c>
      <c r="BR14" s="45">
        <v>13.2</v>
      </c>
      <c r="BS14" s="44">
        <v>12.8</v>
      </c>
      <c r="BT14" s="615"/>
    </row>
    <row r="15" spans="1:74" s="6" customFormat="1" ht="10.8">
      <c r="A15" s="20" t="s">
        <v>716</v>
      </c>
      <c r="B15" s="20" t="s">
        <v>717</v>
      </c>
      <c r="C15" s="160">
        <v>8.5</v>
      </c>
      <c r="D15" s="161">
        <v>7.4</v>
      </c>
      <c r="E15" s="161">
        <v>9.1999999999999993</v>
      </c>
      <c r="F15" s="161">
        <v>1.8</v>
      </c>
      <c r="G15" s="160">
        <v>7.2</v>
      </c>
      <c r="H15" s="161">
        <v>8</v>
      </c>
      <c r="I15" s="161">
        <v>7.4</v>
      </c>
      <c r="J15" s="162">
        <v>6.6</v>
      </c>
      <c r="K15" s="160">
        <v>6.3</v>
      </c>
      <c r="L15" s="161">
        <v>6.4</v>
      </c>
      <c r="M15" s="161">
        <v>6.4</v>
      </c>
      <c r="N15" s="162">
        <v>6.8</v>
      </c>
      <c r="O15" s="160">
        <v>6.8</v>
      </c>
      <c r="P15" s="161">
        <v>6.9</v>
      </c>
      <c r="Q15" s="161">
        <v>7.5</v>
      </c>
      <c r="R15" s="162">
        <v>7.3</v>
      </c>
      <c r="S15" s="160">
        <v>7.3</v>
      </c>
      <c r="T15" s="161">
        <v>8.1999999999999993</v>
      </c>
      <c r="U15" s="161">
        <v>9</v>
      </c>
      <c r="V15" s="162">
        <v>6.9</v>
      </c>
      <c r="W15" s="160">
        <v>6.5</v>
      </c>
      <c r="X15" s="161">
        <v>7.1</v>
      </c>
      <c r="Y15" s="161">
        <v>6.8</v>
      </c>
      <c r="Z15" s="162">
        <v>7.1</v>
      </c>
      <c r="AA15" s="161">
        <v>7.8</v>
      </c>
      <c r="AB15" s="161">
        <v>7.6</v>
      </c>
      <c r="AC15" s="161">
        <v>8</v>
      </c>
      <c r="AD15" s="162">
        <v>7.5</v>
      </c>
      <c r="AE15" s="161">
        <v>7.1</v>
      </c>
      <c r="AF15" s="161">
        <v>7.9</v>
      </c>
      <c r="AG15" s="161">
        <v>7.8</v>
      </c>
      <c r="AH15" s="162">
        <v>7.3</v>
      </c>
      <c r="AI15" s="161">
        <v>8.3000000000000007</v>
      </c>
      <c r="AJ15" s="161">
        <v>6.4</v>
      </c>
      <c r="AK15" s="161">
        <v>6</v>
      </c>
      <c r="AL15" s="162">
        <v>5.7</v>
      </c>
      <c r="AM15" s="160">
        <v>6</v>
      </c>
      <c r="AN15" s="161">
        <v>6.4</v>
      </c>
      <c r="AO15" s="45">
        <v>6.1</v>
      </c>
      <c r="AP15" s="46">
        <v>6.1</v>
      </c>
      <c r="AQ15" s="45">
        <v>7.6</v>
      </c>
      <c r="AR15" s="45">
        <v>6.9</v>
      </c>
      <c r="AS15" s="45">
        <v>7</v>
      </c>
      <c r="AT15" s="46">
        <v>7</v>
      </c>
      <c r="AU15" s="45">
        <v>7.3</v>
      </c>
      <c r="AV15" s="45">
        <v>7.1</v>
      </c>
      <c r="AW15" s="45">
        <v>6.7</v>
      </c>
      <c r="AX15" s="46">
        <v>8.1999999999999993</v>
      </c>
      <c r="AY15" s="45">
        <v>6.8</v>
      </c>
      <c r="AZ15" s="45">
        <v>7.4</v>
      </c>
      <c r="BA15" s="45">
        <v>7</v>
      </c>
      <c r="BB15" s="46">
        <v>7</v>
      </c>
      <c r="BC15" s="45">
        <v>8</v>
      </c>
      <c r="BD15" s="45">
        <v>7.5</v>
      </c>
      <c r="BE15" s="45">
        <v>9</v>
      </c>
      <c r="BF15" s="46">
        <v>7.7</v>
      </c>
      <c r="BG15" s="44">
        <v>3.9</v>
      </c>
      <c r="BH15" s="45">
        <v>7.1</v>
      </c>
      <c r="BI15" s="45">
        <v>7.2</v>
      </c>
      <c r="BJ15" s="46">
        <v>8.1</v>
      </c>
      <c r="BK15" s="44">
        <v>6.7</v>
      </c>
      <c r="BL15" s="45">
        <v>6.2</v>
      </c>
      <c r="BM15" s="45">
        <v>5.8</v>
      </c>
      <c r="BN15" s="46">
        <v>6.5</v>
      </c>
      <c r="BO15" s="44">
        <v>5.9</v>
      </c>
      <c r="BP15" s="45">
        <v>6</v>
      </c>
      <c r="BQ15" s="45">
        <v>6</v>
      </c>
      <c r="BR15" s="45">
        <v>8</v>
      </c>
      <c r="BS15" s="44">
        <v>7.4</v>
      </c>
      <c r="BT15" s="787"/>
    </row>
    <row r="16" spans="1:74" s="164" customFormat="1" ht="10.8">
      <c r="A16" s="171" t="s">
        <v>718</v>
      </c>
      <c r="B16" s="171" t="s">
        <v>719</v>
      </c>
      <c r="C16" s="160">
        <v>0.1</v>
      </c>
      <c r="D16" s="161">
        <v>0.1</v>
      </c>
      <c r="E16" s="161">
        <v>0.2</v>
      </c>
      <c r="F16" s="161">
        <v>0.2</v>
      </c>
      <c r="G16" s="160">
        <v>0.1</v>
      </c>
      <c r="H16" s="161">
        <v>0.2</v>
      </c>
      <c r="I16" s="161">
        <v>0.2</v>
      </c>
      <c r="J16" s="162">
        <v>0.2</v>
      </c>
      <c r="K16" s="160">
        <v>0.1</v>
      </c>
      <c r="L16" s="161">
        <v>0.1</v>
      </c>
      <c r="M16" s="161">
        <v>0.1</v>
      </c>
      <c r="N16" s="162">
        <v>0.1</v>
      </c>
      <c r="O16" s="160">
        <v>0.1</v>
      </c>
      <c r="P16" s="161">
        <v>0.2</v>
      </c>
      <c r="Q16" s="161">
        <v>0.2</v>
      </c>
      <c r="R16" s="162">
        <v>0.2</v>
      </c>
      <c r="S16" s="160">
        <v>0</v>
      </c>
      <c r="T16" s="161">
        <v>0.2</v>
      </c>
      <c r="U16" s="161">
        <v>0.2</v>
      </c>
      <c r="V16" s="162">
        <v>0.2</v>
      </c>
      <c r="W16" s="160">
        <f>5.5+0.4</f>
        <v>5.9</v>
      </c>
      <c r="X16" s="161">
        <f>5.1+0.8</f>
        <v>5.8999999999999995</v>
      </c>
      <c r="Y16" s="161">
        <f>4.5+0.5</f>
        <v>5</v>
      </c>
      <c r="Z16" s="162">
        <f>5+0.5</f>
        <v>5.5</v>
      </c>
      <c r="AA16" s="161">
        <v>6.4</v>
      </c>
      <c r="AB16" s="161">
        <v>6.8</v>
      </c>
      <c r="AC16" s="161">
        <v>5.8</v>
      </c>
      <c r="AD16" s="162">
        <v>7.3</v>
      </c>
      <c r="AE16" s="161">
        <v>6.4</v>
      </c>
      <c r="AF16" s="161">
        <v>7.9</v>
      </c>
      <c r="AG16" s="161">
        <v>8.1999999999999993</v>
      </c>
      <c r="AH16" s="162">
        <v>8.3000000000000007</v>
      </c>
      <c r="AI16" s="161">
        <v>7.6</v>
      </c>
      <c r="AJ16" s="161">
        <v>8.6999999999999993</v>
      </c>
      <c r="AK16" s="161">
        <v>7.9</v>
      </c>
      <c r="AL16" s="162">
        <v>10</v>
      </c>
      <c r="AM16" s="160">
        <v>9</v>
      </c>
      <c r="AN16" s="161">
        <v>11</v>
      </c>
      <c r="AO16" s="45">
        <v>11.1</v>
      </c>
      <c r="AP16" s="46">
        <v>12.3</v>
      </c>
      <c r="AQ16" s="45">
        <v>10.9</v>
      </c>
      <c r="AR16" s="45">
        <v>11.8</v>
      </c>
      <c r="AS16" s="45">
        <v>13.2</v>
      </c>
      <c r="AT16" s="46">
        <v>13.2</v>
      </c>
      <c r="AU16" s="45">
        <v>12.8</v>
      </c>
      <c r="AV16" s="45">
        <v>15.3</v>
      </c>
      <c r="AW16" s="45">
        <v>14.8</v>
      </c>
      <c r="AX16" s="46">
        <v>14.6</v>
      </c>
      <c r="AY16" s="45">
        <v>7.1000000000000014</v>
      </c>
      <c r="AZ16" s="45">
        <v>6.1</v>
      </c>
      <c r="BA16" s="45">
        <v>6.5</v>
      </c>
      <c r="BB16" s="46">
        <v>4.9000000000000004</v>
      </c>
      <c r="BC16" s="45">
        <v>7.8</v>
      </c>
      <c r="BD16" s="45">
        <v>8</v>
      </c>
      <c r="BE16" s="45">
        <v>10.799999999999999</v>
      </c>
      <c r="BF16" s="46">
        <v>6.9</v>
      </c>
      <c r="BG16" s="44">
        <v>8.6</v>
      </c>
      <c r="BH16" s="45">
        <v>9.6</v>
      </c>
      <c r="BI16" s="45">
        <v>13.8</v>
      </c>
      <c r="BJ16" s="46">
        <v>9.1999999999999993</v>
      </c>
      <c r="BK16" s="44">
        <v>11.100000000000001</v>
      </c>
      <c r="BL16" s="45">
        <v>12.1</v>
      </c>
      <c r="BM16" s="45">
        <v>14.8</v>
      </c>
      <c r="BN16" s="46">
        <v>13.3</v>
      </c>
      <c r="BO16" s="44">
        <v>12.2</v>
      </c>
      <c r="BP16" s="45">
        <v>13.5</v>
      </c>
      <c r="BQ16" s="45">
        <v>19.8</v>
      </c>
      <c r="BR16" s="45">
        <v>11.9</v>
      </c>
      <c r="BS16" s="44">
        <v>13.6</v>
      </c>
      <c r="BT16" s="615"/>
    </row>
    <row r="17" spans="1:72" s="164" customFormat="1" ht="10.8">
      <c r="A17" s="171" t="s">
        <v>720</v>
      </c>
      <c r="B17" s="171" t="s">
        <v>721</v>
      </c>
      <c r="C17" s="160">
        <v>5.5</v>
      </c>
      <c r="D17" s="161">
        <v>5.8</v>
      </c>
      <c r="E17" s="161">
        <v>5.7</v>
      </c>
      <c r="F17" s="161">
        <v>4.7</v>
      </c>
      <c r="G17" s="160">
        <v>3.9</v>
      </c>
      <c r="H17" s="161">
        <v>4.0999999999999996</v>
      </c>
      <c r="I17" s="161">
        <v>4</v>
      </c>
      <c r="J17" s="162">
        <v>3.8</v>
      </c>
      <c r="K17" s="160">
        <v>3.2</v>
      </c>
      <c r="L17" s="161">
        <v>3.5</v>
      </c>
      <c r="M17" s="161">
        <v>3.9</v>
      </c>
      <c r="N17" s="162">
        <v>3.7</v>
      </c>
      <c r="O17" s="160">
        <v>3.1</v>
      </c>
      <c r="P17" s="161">
        <v>3.2</v>
      </c>
      <c r="Q17" s="161">
        <v>3.2</v>
      </c>
      <c r="R17" s="162">
        <v>3.5</v>
      </c>
      <c r="S17" s="160">
        <v>3.4</v>
      </c>
      <c r="T17" s="161">
        <v>3.7</v>
      </c>
      <c r="U17" s="161">
        <v>3.7</v>
      </c>
      <c r="V17" s="162">
        <v>3.5</v>
      </c>
      <c r="W17" s="160">
        <v>3.3</v>
      </c>
      <c r="X17" s="161">
        <v>3.5</v>
      </c>
      <c r="Y17" s="161">
        <v>3.5</v>
      </c>
      <c r="Z17" s="162">
        <v>3.8</v>
      </c>
      <c r="AA17" s="161">
        <v>3.9</v>
      </c>
      <c r="AB17" s="161">
        <v>3.9</v>
      </c>
      <c r="AC17" s="161">
        <v>4</v>
      </c>
      <c r="AD17" s="162">
        <v>4.2</v>
      </c>
      <c r="AE17" s="161">
        <v>4.2</v>
      </c>
      <c r="AF17" s="161">
        <v>4.4000000000000004</v>
      </c>
      <c r="AG17" s="161">
        <v>4.5</v>
      </c>
      <c r="AH17" s="162">
        <v>4.5999999999999996</v>
      </c>
      <c r="AI17" s="161">
        <v>4.5999999999999996</v>
      </c>
      <c r="AJ17" s="161">
        <v>4.9000000000000004</v>
      </c>
      <c r="AK17" s="161">
        <v>5.0999999999999996</v>
      </c>
      <c r="AL17" s="162">
        <v>5.3</v>
      </c>
      <c r="AM17" s="160">
        <v>5.2</v>
      </c>
      <c r="AN17" s="161">
        <v>6</v>
      </c>
      <c r="AO17" s="45">
        <v>6.3</v>
      </c>
      <c r="AP17" s="46">
        <v>6.5</v>
      </c>
      <c r="AQ17" s="45">
        <v>6.7</v>
      </c>
      <c r="AR17" s="45">
        <v>7.2</v>
      </c>
      <c r="AS17" s="45">
        <v>7.7</v>
      </c>
      <c r="AT17" s="46">
        <v>8.1</v>
      </c>
      <c r="AU17" s="45">
        <v>8.1</v>
      </c>
      <c r="AV17" s="45">
        <v>8.6</v>
      </c>
      <c r="AW17" s="45">
        <v>9.1</v>
      </c>
      <c r="AX17" s="46">
        <v>9.3000000000000007</v>
      </c>
      <c r="AY17" s="45">
        <v>9</v>
      </c>
      <c r="AZ17" s="45">
        <v>9.5</v>
      </c>
      <c r="BA17" s="45">
        <v>10</v>
      </c>
      <c r="BB17" s="46">
        <v>9.6</v>
      </c>
      <c r="BC17" s="45">
        <v>6.5</v>
      </c>
      <c r="BD17" s="45">
        <v>6.6</v>
      </c>
      <c r="BE17" s="45">
        <v>10</v>
      </c>
      <c r="BF17" s="46">
        <v>10.9</v>
      </c>
      <c r="BG17" s="44">
        <v>10.4</v>
      </c>
      <c r="BH17" s="45">
        <v>10.9</v>
      </c>
      <c r="BI17" s="45">
        <v>10.9</v>
      </c>
      <c r="BJ17" s="46">
        <v>11.4</v>
      </c>
      <c r="BK17" s="44">
        <v>10.6</v>
      </c>
      <c r="BL17" s="45">
        <v>10.9</v>
      </c>
      <c r="BM17" s="45">
        <v>10.8</v>
      </c>
      <c r="BN17" s="46">
        <v>11.1</v>
      </c>
      <c r="BO17" s="44">
        <v>10.8</v>
      </c>
      <c r="BP17" s="45">
        <v>11</v>
      </c>
      <c r="BQ17" s="45">
        <v>11.1</v>
      </c>
      <c r="BR17" s="45">
        <v>11.5</v>
      </c>
      <c r="BS17" s="44">
        <v>11.7</v>
      </c>
      <c r="BT17" s="615"/>
    </row>
    <row r="18" spans="1:72" s="164" customFormat="1" ht="10.8">
      <c r="A18" s="171" t="s">
        <v>722</v>
      </c>
      <c r="B18" s="171" t="s">
        <v>723</v>
      </c>
      <c r="C18" s="160">
        <v>0.6</v>
      </c>
      <c r="D18" s="161">
        <v>0.8</v>
      </c>
      <c r="E18" s="161">
        <v>0.8</v>
      </c>
      <c r="F18" s="161">
        <v>2</v>
      </c>
      <c r="G18" s="160">
        <v>1.1000000000000001</v>
      </c>
      <c r="H18" s="161">
        <v>1.6</v>
      </c>
      <c r="I18" s="161">
        <v>9.5</v>
      </c>
      <c r="J18" s="162">
        <v>16.2</v>
      </c>
      <c r="K18" s="160">
        <v>14.5</v>
      </c>
      <c r="L18" s="161">
        <v>20.8</v>
      </c>
      <c r="M18" s="161">
        <v>22.700000000000003</v>
      </c>
      <c r="N18" s="162">
        <v>18.899999999999999</v>
      </c>
      <c r="O18" s="160">
        <v>4</v>
      </c>
      <c r="P18" s="161">
        <v>15.200000000000001</v>
      </c>
      <c r="Q18" s="161">
        <v>11.600000000000001</v>
      </c>
      <c r="R18" s="162">
        <v>16.899999999999999</v>
      </c>
      <c r="S18" s="160">
        <v>8.4</v>
      </c>
      <c r="T18" s="161">
        <v>7.3</v>
      </c>
      <c r="U18" s="161">
        <v>6.9</v>
      </c>
      <c r="V18" s="162">
        <v>7.3</v>
      </c>
      <c r="W18" s="160">
        <f>5.5+0.3-0.3</f>
        <v>5.5</v>
      </c>
      <c r="X18" s="161">
        <f>8.5+0.4-0.3</f>
        <v>8.6</v>
      </c>
      <c r="Y18" s="161">
        <f>9.6+0.7-0.3</f>
        <v>9.9999999999999982</v>
      </c>
      <c r="Z18" s="162">
        <f>8+0.6-0.3</f>
        <v>8.2999999999999989</v>
      </c>
      <c r="AA18" s="161">
        <f>2.6+0.8-0.3</f>
        <v>3.1000000000000005</v>
      </c>
      <c r="AB18" s="161">
        <f>3.6-0.5+1.1-0.3</f>
        <v>3.9000000000000004</v>
      </c>
      <c r="AC18" s="161">
        <f>-8-1.2+1.1-0.3</f>
        <v>-8.4</v>
      </c>
      <c r="AD18" s="162">
        <f>4.4+1.4-0.3</f>
        <v>5.5000000000000009</v>
      </c>
      <c r="AE18" s="161">
        <f>10.4+1.6-0.3</f>
        <v>11.7</v>
      </c>
      <c r="AF18" s="161">
        <f>10.5+1.9-0.3</f>
        <v>12.1</v>
      </c>
      <c r="AG18" s="161">
        <f>11.5+1.9-0.3</f>
        <v>13.1</v>
      </c>
      <c r="AH18" s="162">
        <f>12.5+2-0.3</f>
        <v>14.2</v>
      </c>
      <c r="AI18" s="161">
        <f>13.7+2.1-0.3</f>
        <v>15.499999999999998</v>
      </c>
      <c r="AJ18" s="161">
        <f>15.6+2.2-0.3</f>
        <v>17.5</v>
      </c>
      <c r="AK18" s="161">
        <f>12.7+2.6-0.3</f>
        <v>14.999999999999998</v>
      </c>
      <c r="AL18" s="162">
        <f>12.8+2.4-0.3</f>
        <v>14.9</v>
      </c>
      <c r="AM18" s="160">
        <f>12+2.1-0.3</f>
        <v>13.799999999999999</v>
      </c>
      <c r="AN18" s="161">
        <f>9.9-0.3</f>
        <v>9.6</v>
      </c>
      <c r="AO18" s="45">
        <f>8.2-0.3</f>
        <v>7.8999999999999995</v>
      </c>
      <c r="AP18" s="46">
        <v>18.600000000000001</v>
      </c>
      <c r="AQ18" s="45">
        <v>16.099999999999998</v>
      </c>
      <c r="AR18" s="45">
        <v>21.5</v>
      </c>
      <c r="AS18" s="45">
        <v>21.8</v>
      </c>
      <c r="AT18" s="46">
        <v>20.500000000000004</v>
      </c>
      <c r="AU18" s="45">
        <v>23.400000000000002</v>
      </c>
      <c r="AV18" s="45">
        <v>26.6</v>
      </c>
      <c r="AW18" s="45">
        <v>27.4</v>
      </c>
      <c r="AX18" s="46">
        <v>32</v>
      </c>
      <c r="AY18" s="45">
        <v>29.8</v>
      </c>
      <c r="AZ18" s="45">
        <v>33.1</v>
      </c>
      <c r="BA18" s="45">
        <v>35</v>
      </c>
      <c r="BB18" s="46">
        <v>37.6</v>
      </c>
      <c r="BC18" s="45">
        <v>38.400000000000006</v>
      </c>
      <c r="BD18" s="45">
        <v>40.300000000000004</v>
      </c>
      <c r="BE18" s="45">
        <v>40.6</v>
      </c>
      <c r="BF18" s="46">
        <v>43.2</v>
      </c>
      <c r="BG18" s="44">
        <v>43.5</v>
      </c>
      <c r="BH18" s="45">
        <v>49.900000000000006</v>
      </c>
      <c r="BI18" s="45">
        <v>51.4</v>
      </c>
      <c r="BJ18" s="46">
        <v>54.3</v>
      </c>
      <c r="BK18" s="44">
        <v>54.9</v>
      </c>
      <c r="BL18" s="45">
        <v>54.499999999999993</v>
      </c>
      <c r="BM18" s="45">
        <v>58.1</v>
      </c>
      <c r="BN18" s="46">
        <v>55.099999999999994</v>
      </c>
      <c r="BO18" s="44">
        <v>55.5</v>
      </c>
      <c r="BP18" s="45">
        <v>57.3</v>
      </c>
      <c r="BQ18" s="45">
        <v>57.300000000000004</v>
      </c>
      <c r="BR18" s="45">
        <v>60.199999999999996</v>
      </c>
      <c r="BS18" s="44">
        <v>60</v>
      </c>
      <c r="BT18" s="615"/>
    </row>
    <row r="19" spans="1:72" s="150" customFormat="1" ht="10.8">
      <c r="A19" s="20" t="s">
        <v>724</v>
      </c>
      <c r="B19" s="20" t="s">
        <v>725</v>
      </c>
      <c r="C19" s="160">
        <v>0</v>
      </c>
      <c r="D19" s="161">
        <v>0</v>
      </c>
      <c r="E19" s="161">
        <v>0</v>
      </c>
      <c r="F19" s="161">
        <v>0</v>
      </c>
      <c r="G19" s="160">
        <v>0</v>
      </c>
      <c r="H19" s="161">
        <v>14.5</v>
      </c>
      <c r="I19" s="161">
        <v>4.4000000000000004</v>
      </c>
      <c r="J19" s="162">
        <v>4.7</v>
      </c>
      <c r="K19" s="160">
        <v>1.9</v>
      </c>
      <c r="L19" s="161">
        <v>2.4</v>
      </c>
      <c r="M19" s="161">
        <v>0.2</v>
      </c>
      <c r="N19" s="162">
        <v>0.4</v>
      </c>
      <c r="O19" s="160">
        <v>0.4</v>
      </c>
      <c r="P19" s="161">
        <v>1.9</v>
      </c>
      <c r="Q19" s="161">
        <v>0.1</v>
      </c>
      <c r="R19" s="162">
        <v>0.1</v>
      </c>
      <c r="S19" s="160">
        <v>4.3</v>
      </c>
      <c r="T19" s="161">
        <v>2.9</v>
      </c>
      <c r="U19" s="161">
        <v>0.2</v>
      </c>
      <c r="V19" s="162">
        <v>3.4</v>
      </c>
      <c r="W19" s="160">
        <v>1.1000000000000001</v>
      </c>
      <c r="X19" s="161">
        <v>0</v>
      </c>
      <c r="Y19" s="161">
        <v>0</v>
      </c>
      <c r="Z19" s="162">
        <v>0.4</v>
      </c>
      <c r="AA19" s="161">
        <v>0</v>
      </c>
      <c r="AB19" s="161">
        <v>0</v>
      </c>
      <c r="AC19" s="161">
        <v>0</v>
      </c>
      <c r="AD19" s="162">
        <v>0</v>
      </c>
      <c r="AE19" s="161">
        <v>0</v>
      </c>
      <c r="AF19" s="161">
        <v>0</v>
      </c>
      <c r="AG19" s="161">
        <v>0</v>
      </c>
      <c r="AH19" s="162">
        <v>0</v>
      </c>
      <c r="AI19" s="161">
        <v>0</v>
      </c>
      <c r="AJ19" s="161">
        <v>0</v>
      </c>
      <c r="AK19" s="161">
        <v>0</v>
      </c>
      <c r="AL19" s="162">
        <v>0</v>
      </c>
      <c r="AM19" s="160">
        <v>0</v>
      </c>
      <c r="AN19" s="161">
        <v>0</v>
      </c>
      <c r="AO19" s="45">
        <v>0</v>
      </c>
      <c r="AP19" s="46">
        <v>0</v>
      </c>
      <c r="AQ19" s="45">
        <v>0</v>
      </c>
      <c r="AR19" s="45">
        <v>0</v>
      </c>
      <c r="AS19" s="45">
        <v>0</v>
      </c>
      <c r="AT19" s="46">
        <v>0</v>
      </c>
      <c r="AU19" s="45">
        <v>0</v>
      </c>
      <c r="AV19" s="45">
        <v>0</v>
      </c>
      <c r="AW19" s="45">
        <v>0</v>
      </c>
      <c r="AX19" s="46">
        <v>0</v>
      </c>
      <c r="AY19" s="45">
        <v>0</v>
      </c>
      <c r="AZ19" s="45">
        <v>0</v>
      </c>
      <c r="BA19" s="45">
        <v>0</v>
      </c>
      <c r="BB19" s="46">
        <v>0</v>
      </c>
      <c r="BC19" s="45">
        <v>0</v>
      </c>
      <c r="BD19" s="45">
        <v>0</v>
      </c>
      <c r="BE19" s="45">
        <v>0</v>
      </c>
      <c r="BF19" s="46">
        <v>0</v>
      </c>
      <c r="BG19" s="44">
        <v>0</v>
      </c>
      <c r="BH19" s="45">
        <v>0</v>
      </c>
      <c r="BI19" s="45">
        <v>0</v>
      </c>
      <c r="BJ19" s="46">
        <v>0</v>
      </c>
      <c r="BK19" s="44">
        <v>0</v>
      </c>
      <c r="BL19" s="45">
        <v>0</v>
      </c>
      <c r="BM19" s="45">
        <v>0</v>
      </c>
      <c r="BN19" s="46">
        <v>0</v>
      </c>
      <c r="BO19" s="44">
        <v>0</v>
      </c>
      <c r="BP19" s="45">
        <v>0</v>
      </c>
      <c r="BQ19" s="45">
        <v>0</v>
      </c>
      <c r="BR19" s="45">
        <v>0</v>
      </c>
      <c r="BS19" s="44">
        <v>0</v>
      </c>
      <c r="BT19" s="610"/>
    </row>
    <row r="20" spans="1:72" s="726" customFormat="1" ht="11.25" hidden="1" customHeight="1">
      <c r="A20" s="207"/>
      <c r="B20" s="207"/>
      <c r="C20" s="727"/>
      <c r="D20" s="467"/>
      <c r="E20" s="467"/>
      <c r="F20" s="467"/>
      <c r="G20" s="727"/>
      <c r="H20" s="467"/>
      <c r="I20" s="467"/>
      <c r="J20" s="468"/>
      <c r="K20" s="727"/>
      <c r="L20" s="467"/>
      <c r="M20" s="467"/>
      <c r="N20" s="468"/>
      <c r="O20" s="727"/>
      <c r="P20" s="467"/>
      <c r="Q20" s="467"/>
      <c r="R20" s="468"/>
      <c r="S20" s="727"/>
      <c r="T20" s="467"/>
      <c r="U20" s="467"/>
      <c r="V20" s="468"/>
      <c r="W20" s="727"/>
      <c r="X20" s="467"/>
      <c r="Y20" s="467"/>
      <c r="Z20" s="468"/>
      <c r="AA20" s="467"/>
      <c r="AB20" s="467"/>
      <c r="AC20" s="467"/>
      <c r="AD20" s="468"/>
      <c r="AE20" s="467"/>
      <c r="AF20" s="467"/>
      <c r="AG20" s="467"/>
      <c r="AH20" s="468"/>
      <c r="AI20" s="467"/>
      <c r="AJ20" s="467"/>
      <c r="AK20" s="467"/>
      <c r="AL20" s="468"/>
      <c r="AM20" s="727"/>
      <c r="AN20" s="467"/>
      <c r="AO20" s="626"/>
      <c r="AP20" s="627"/>
      <c r="AQ20" s="626"/>
      <c r="AR20" s="626"/>
      <c r="AS20" s="626"/>
      <c r="AT20" s="627"/>
      <c r="AU20" s="626"/>
      <c r="AV20" s="626"/>
      <c r="AW20" s="626"/>
      <c r="AX20" s="627"/>
      <c r="AY20" s="626"/>
      <c r="AZ20" s="626"/>
      <c r="BA20" s="626"/>
      <c r="BB20" s="627"/>
      <c r="BC20" s="626"/>
      <c r="BD20" s="626"/>
      <c r="BE20" s="626"/>
      <c r="BF20" s="627"/>
      <c r="BG20" s="625"/>
      <c r="BH20" s="626"/>
      <c r="BI20" s="626"/>
      <c r="BJ20" s="627"/>
      <c r="BK20" s="625"/>
      <c r="BL20" s="626"/>
      <c r="BM20" s="626"/>
      <c r="BN20" s="627"/>
      <c r="BO20" s="625"/>
      <c r="BP20" s="626"/>
      <c r="BQ20" s="626"/>
      <c r="BR20" s="626"/>
      <c r="BS20" s="625"/>
      <c r="BT20" s="620"/>
    </row>
    <row r="21" spans="1:72" s="726" customFormat="1" ht="11.25" hidden="1" customHeight="1">
      <c r="A21" s="207"/>
      <c r="B21" s="207"/>
      <c r="C21" s="727"/>
      <c r="D21" s="467"/>
      <c r="E21" s="467"/>
      <c r="F21" s="467"/>
      <c r="G21" s="727"/>
      <c r="H21" s="467"/>
      <c r="I21" s="467"/>
      <c r="J21" s="468"/>
      <c r="K21" s="727"/>
      <c r="L21" s="467"/>
      <c r="M21" s="467"/>
      <c r="N21" s="468"/>
      <c r="O21" s="727"/>
      <c r="P21" s="467"/>
      <c r="Q21" s="467"/>
      <c r="R21" s="468"/>
      <c r="S21" s="727"/>
      <c r="T21" s="467"/>
      <c r="U21" s="467"/>
      <c r="V21" s="468"/>
      <c r="W21" s="727"/>
      <c r="X21" s="467"/>
      <c r="Y21" s="467"/>
      <c r="Z21" s="468"/>
      <c r="AA21" s="467"/>
      <c r="AB21" s="467"/>
      <c r="AC21" s="467"/>
      <c r="AD21" s="468"/>
      <c r="AE21" s="467"/>
      <c r="AF21" s="467"/>
      <c r="AG21" s="467"/>
      <c r="AH21" s="468"/>
      <c r="AI21" s="467"/>
      <c r="AJ21" s="467"/>
      <c r="AK21" s="467"/>
      <c r="AL21" s="468"/>
      <c r="AM21" s="727"/>
      <c r="AN21" s="467"/>
      <c r="AO21" s="626"/>
      <c r="AP21" s="627"/>
      <c r="AQ21" s="626"/>
      <c r="AR21" s="626"/>
      <c r="AS21" s="626"/>
      <c r="AT21" s="627"/>
      <c r="AU21" s="626"/>
      <c r="AV21" s="626"/>
      <c r="AW21" s="626"/>
      <c r="AX21" s="627"/>
      <c r="AY21" s="626"/>
      <c r="AZ21" s="626"/>
      <c r="BA21" s="626"/>
      <c r="BB21" s="627"/>
      <c r="BC21" s="626"/>
      <c r="BD21" s="626"/>
      <c r="BE21" s="626"/>
      <c r="BF21" s="627"/>
      <c r="BG21" s="625"/>
      <c r="BH21" s="626"/>
      <c r="BI21" s="626"/>
      <c r="BJ21" s="627"/>
      <c r="BK21" s="625"/>
      <c r="BL21" s="626"/>
      <c r="BM21" s="626"/>
      <c r="BN21" s="627"/>
      <c r="BO21" s="625"/>
      <c r="BP21" s="626"/>
      <c r="BQ21" s="626"/>
      <c r="BR21" s="626"/>
      <c r="BS21" s="625"/>
      <c r="BT21" s="620"/>
    </row>
    <row r="22" spans="1:72" s="726" customFormat="1" ht="11.25" hidden="1" customHeight="1">
      <c r="A22" s="207"/>
      <c r="B22" s="207"/>
      <c r="C22" s="727"/>
      <c r="D22" s="467"/>
      <c r="E22" s="467"/>
      <c r="F22" s="467"/>
      <c r="G22" s="727"/>
      <c r="H22" s="467"/>
      <c r="I22" s="467"/>
      <c r="J22" s="468"/>
      <c r="K22" s="727"/>
      <c r="L22" s="467"/>
      <c r="M22" s="467"/>
      <c r="N22" s="468"/>
      <c r="O22" s="727"/>
      <c r="P22" s="467"/>
      <c r="Q22" s="467"/>
      <c r="R22" s="468"/>
      <c r="S22" s="727"/>
      <c r="T22" s="467"/>
      <c r="U22" s="467"/>
      <c r="V22" s="468"/>
      <c r="W22" s="727"/>
      <c r="X22" s="467"/>
      <c r="Y22" s="467"/>
      <c r="Z22" s="468"/>
      <c r="AA22" s="467"/>
      <c r="AB22" s="467"/>
      <c r="AC22" s="467"/>
      <c r="AD22" s="468"/>
      <c r="AE22" s="467"/>
      <c r="AF22" s="467"/>
      <c r="AG22" s="467"/>
      <c r="AH22" s="468"/>
      <c r="AI22" s="467"/>
      <c r="AJ22" s="467"/>
      <c r="AK22" s="467"/>
      <c r="AL22" s="468"/>
      <c r="AM22" s="727"/>
      <c r="AN22" s="467"/>
      <c r="AO22" s="626"/>
      <c r="AP22" s="627"/>
      <c r="AQ22" s="626"/>
      <c r="AR22" s="626"/>
      <c r="AS22" s="626"/>
      <c r="AT22" s="627"/>
      <c r="AU22" s="626"/>
      <c r="AV22" s="626"/>
      <c r="AW22" s="626"/>
      <c r="AX22" s="627"/>
      <c r="AY22" s="626"/>
      <c r="AZ22" s="626"/>
      <c r="BA22" s="626"/>
      <c r="BB22" s="627"/>
      <c r="BC22" s="626"/>
      <c r="BD22" s="626"/>
      <c r="BE22" s="626"/>
      <c r="BF22" s="627"/>
      <c r="BG22" s="625"/>
      <c r="BH22" s="626"/>
      <c r="BI22" s="626"/>
      <c r="BJ22" s="627"/>
      <c r="BK22" s="625"/>
      <c r="BL22" s="626"/>
      <c r="BM22" s="626"/>
      <c r="BN22" s="627"/>
      <c r="BO22" s="625"/>
      <c r="BP22" s="626"/>
      <c r="BQ22" s="626"/>
      <c r="BR22" s="626"/>
      <c r="BS22" s="625"/>
      <c r="BT22" s="620"/>
    </row>
    <row r="23" spans="1:72" s="164" customFormat="1" ht="10.8">
      <c r="A23" s="171" t="s">
        <v>726</v>
      </c>
      <c r="B23" s="171" t="s">
        <v>727</v>
      </c>
      <c r="C23" s="160">
        <v>1.3</v>
      </c>
      <c r="D23" s="161">
        <v>3.6</v>
      </c>
      <c r="E23" s="161">
        <f>4.4-0.1</f>
        <v>4.3000000000000007</v>
      </c>
      <c r="F23" s="161">
        <v>1.5</v>
      </c>
      <c r="G23" s="160">
        <v>1.9</v>
      </c>
      <c r="H23" s="161">
        <v>7.8000000000000007</v>
      </c>
      <c r="I23" s="161">
        <v>5.2</v>
      </c>
      <c r="J23" s="162">
        <v>3.6999999999999997</v>
      </c>
      <c r="K23" s="160">
        <v>3.9</v>
      </c>
      <c r="L23" s="161">
        <v>9.1</v>
      </c>
      <c r="M23" s="161">
        <v>6.9</v>
      </c>
      <c r="N23" s="162">
        <v>3</v>
      </c>
      <c r="O23" s="160">
        <v>5.8</v>
      </c>
      <c r="P23" s="161">
        <v>3.9</v>
      </c>
      <c r="Q23" s="161">
        <v>8.1999999999999993</v>
      </c>
      <c r="R23" s="162">
        <v>0.7</v>
      </c>
      <c r="S23" s="160">
        <v>4.5999999999999996</v>
      </c>
      <c r="T23" s="161">
        <v>4.4000000000000004</v>
      </c>
      <c r="U23" s="161">
        <v>5.7</v>
      </c>
      <c r="V23" s="162">
        <v>4.7</v>
      </c>
      <c r="W23" s="160">
        <f>3.8-0.4</f>
        <v>3.4</v>
      </c>
      <c r="X23" s="161">
        <f>7.2-0.3+1.2-0.8</f>
        <v>7.3</v>
      </c>
      <c r="Y23" s="161">
        <f>5.1</f>
        <v>5.0999999999999996</v>
      </c>
      <c r="Z23" s="162">
        <f>5.3</f>
        <v>5.3</v>
      </c>
      <c r="AA23" s="161">
        <f>5.8-1.8</f>
        <v>4</v>
      </c>
      <c r="AB23" s="161">
        <v>2.6</v>
      </c>
      <c r="AC23" s="161">
        <v>3.2</v>
      </c>
      <c r="AD23" s="162">
        <v>6.3</v>
      </c>
      <c r="AE23" s="161">
        <v>3.5</v>
      </c>
      <c r="AF23" s="161">
        <v>8</v>
      </c>
      <c r="AG23" s="161">
        <v>9.5</v>
      </c>
      <c r="AH23" s="162">
        <v>6.2</v>
      </c>
      <c r="AI23" s="161">
        <f>5.2-1</f>
        <v>4.2</v>
      </c>
      <c r="AJ23" s="161">
        <v>5.3</v>
      </c>
      <c r="AK23" s="161">
        <v>9.6999999999999993</v>
      </c>
      <c r="AL23" s="162">
        <v>13.9</v>
      </c>
      <c r="AM23" s="160">
        <f>10.1-1.4</f>
        <v>8.6999999999999993</v>
      </c>
      <c r="AN23" s="161">
        <f>9.3</f>
        <v>9.3000000000000007</v>
      </c>
      <c r="AO23" s="45">
        <f>11.5</f>
        <v>11.5</v>
      </c>
      <c r="AP23" s="46">
        <v>12.4</v>
      </c>
      <c r="AQ23" s="45">
        <v>5.6</v>
      </c>
      <c r="AR23" s="45">
        <v>6.9</v>
      </c>
      <c r="AS23" s="45">
        <v>6.6999999999999993</v>
      </c>
      <c r="AT23" s="46">
        <v>13.8</v>
      </c>
      <c r="AU23" s="45">
        <v>10.6</v>
      </c>
      <c r="AV23" s="45">
        <v>8.5</v>
      </c>
      <c r="AW23" s="45">
        <v>7.5</v>
      </c>
      <c r="AX23" s="46">
        <v>17.8</v>
      </c>
      <c r="AY23" s="45">
        <v>7.9999999999999991</v>
      </c>
      <c r="AZ23" s="45">
        <v>11.8</v>
      </c>
      <c r="BA23" s="45">
        <v>7.7000000000000011</v>
      </c>
      <c r="BB23" s="46">
        <v>13.399999999999999</v>
      </c>
      <c r="BC23" s="45">
        <v>6.2</v>
      </c>
      <c r="BD23" s="45">
        <v>7.6</v>
      </c>
      <c r="BE23" s="45">
        <v>9.5</v>
      </c>
      <c r="BF23" s="46">
        <v>14.5</v>
      </c>
      <c r="BG23" s="44">
        <v>8.2999999999999989</v>
      </c>
      <c r="BH23" s="45">
        <v>10</v>
      </c>
      <c r="BI23" s="45">
        <v>12.900000000000002</v>
      </c>
      <c r="BJ23" s="46">
        <v>9.6</v>
      </c>
      <c r="BK23" s="44">
        <v>14.6</v>
      </c>
      <c r="BL23" s="45">
        <v>15.200000000000001</v>
      </c>
      <c r="BM23" s="45">
        <v>11.9</v>
      </c>
      <c r="BN23" s="46">
        <v>13.8</v>
      </c>
      <c r="BO23" s="44">
        <v>13.9</v>
      </c>
      <c r="BP23" s="45">
        <v>13.799999999999999</v>
      </c>
      <c r="BQ23" s="45">
        <v>10.5</v>
      </c>
      <c r="BR23" s="45">
        <v>14.6</v>
      </c>
      <c r="BS23" s="44">
        <v>16.7</v>
      </c>
      <c r="BT23" s="615"/>
    </row>
    <row r="24" spans="1:72" s="150" customFormat="1" ht="10.8">
      <c r="A24" s="175" t="s">
        <v>728</v>
      </c>
      <c r="B24" s="175" t="s">
        <v>729</v>
      </c>
      <c r="C24" s="156">
        <f t="shared" ref="C24:AP24" si="1">SUM(C7:C23)</f>
        <v>239</v>
      </c>
      <c r="D24" s="157">
        <f t="shared" si="1"/>
        <v>248.50000000000003</v>
      </c>
      <c r="E24" s="157">
        <f t="shared" si="1"/>
        <v>251.79999999999995</v>
      </c>
      <c r="F24" s="157">
        <f t="shared" si="1"/>
        <v>241.49999999999997</v>
      </c>
      <c r="G24" s="156">
        <f t="shared" si="1"/>
        <v>228.79999999999995</v>
      </c>
      <c r="H24" s="157">
        <f t="shared" si="1"/>
        <v>235.70000000000002</v>
      </c>
      <c r="I24" s="157">
        <f t="shared" si="1"/>
        <v>244.7</v>
      </c>
      <c r="J24" s="158">
        <f t="shared" si="1"/>
        <v>268.49999999999994</v>
      </c>
      <c r="K24" s="156">
        <f t="shared" si="1"/>
        <v>255.99999999999997</v>
      </c>
      <c r="L24" s="157">
        <f t="shared" si="1"/>
        <v>274.60000000000002</v>
      </c>
      <c r="M24" s="157">
        <f t="shared" si="1"/>
        <v>278</v>
      </c>
      <c r="N24" s="158">
        <f t="shared" si="1"/>
        <v>275.5</v>
      </c>
      <c r="O24" s="156">
        <f t="shared" si="1"/>
        <v>264</v>
      </c>
      <c r="P24" s="157">
        <f t="shared" si="1"/>
        <v>277.49999999999994</v>
      </c>
      <c r="Q24" s="157">
        <f t="shared" si="1"/>
        <v>286.8</v>
      </c>
      <c r="R24" s="158">
        <f t="shared" si="1"/>
        <v>287.79999999999995</v>
      </c>
      <c r="S24" s="156">
        <f t="shared" si="1"/>
        <v>285.60000000000002</v>
      </c>
      <c r="T24" s="157">
        <f t="shared" si="1"/>
        <v>294.99999999999994</v>
      </c>
      <c r="U24" s="157">
        <f t="shared" si="1"/>
        <v>297.19999999999993</v>
      </c>
      <c r="V24" s="158">
        <f t="shared" si="1"/>
        <v>289.89999999999992</v>
      </c>
      <c r="W24" s="156">
        <f t="shared" si="1"/>
        <v>279.7</v>
      </c>
      <c r="X24" s="157">
        <f t="shared" si="1"/>
        <v>284.30000000000007</v>
      </c>
      <c r="Y24" s="157">
        <f t="shared" si="1"/>
        <v>282.70000000000005</v>
      </c>
      <c r="Z24" s="158">
        <f t="shared" si="1"/>
        <v>290.7</v>
      </c>
      <c r="AA24" s="157">
        <f t="shared" si="1"/>
        <v>270.60000000000002</v>
      </c>
      <c r="AB24" s="157">
        <f t="shared" si="1"/>
        <v>282.8</v>
      </c>
      <c r="AC24" s="157">
        <f t="shared" si="1"/>
        <v>265.70000000000005</v>
      </c>
      <c r="AD24" s="158">
        <f t="shared" si="1"/>
        <v>289.60000000000002</v>
      </c>
      <c r="AE24" s="157">
        <f t="shared" si="1"/>
        <v>296.49999999999994</v>
      </c>
      <c r="AF24" s="157">
        <f t="shared" si="1"/>
        <v>305.29999999999995</v>
      </c>
      <c r="AG24" s="157">
        <f t="shared" si="1"/>
        <v>285.50000000000006</v>
      </c>
      <c r="AH24" s="158">
        <f t="shared" si="1"/>
        <v>279.7</v>
      </c>
      <c r="AI24" s="157">
        <f t="shared" si="1"/>
        <v>275.7</v>
      </c>
      <c r="AJ24" s="157">
        <f t="shared" si="1"/>
        <v>291</v>
      </c>
      <c r="AK24" s="157">
        <f t="shared" si="1"/>
        <v>279.49999999999994</v>
      </c>
      <c r="AL24" s="158">
        <f t="shared" si="1"/>
        <v>286.29999999999995</v>
      </c>
      <c r="AM24" s="157">
        <f t="shared" si="1"/>
        <v>283.90000000000003</v>
      </c>
      <c r="AN24" s="157">
        <f t="shared" si="1"/>
        <v>294.40000000000003</v>
      </c>
      <c r="AO24" s="36">
        <f t="shared" si="1"/>
        <v>302.8</v>
      </c>
      <c r="AP24" s="37">
        <f t="shared" si="1"/>
        <v>320.20000000000005</v>
      </c>
      <c r="AQ24" s="36">
        <f t="shared" ref="AQ24:BB24" si="2">SUM(AQ7:AQ9,AQ12:AQ23)</f>
        <v>323.2</v>
      </c>
      <c r="AR24" s="36">
        <f t="shared" si="2"/>
        <v>327.49999999999994</v>
      </c>
      <c r="AS24" s="36">
        <f t="shared" si="2"/>
        <v>343.29999999999995</v>
      </c>
      <c r="AT24" s="37">
        <f t="shared" si="2"/>
        <v>349.00000000000006</v>
      </c>
      <c r="AU24" s="36">
        <f t="shared" si="2"/>
        <v>350.80000000000013</v>
      </c>
      <c r="AV24" s="36">
        <f t="shared" si="2"/>
        <v>381.50000000000006</v>
      </c>
      <c r="AW24" s="36">
        <f t="shared" si="2"/>
        <v>355.40000000000003</v>
      </c>
      <c r="AX24" s="37">
        <f t="shared" si="2"/>
        <v>372.60000000000008</v>
      </c>
      <c r="AY24" s="36">
        <f t="shared" si="2"/>
        <v>358.20000000000005</v>
      </c>
      <c r="AZ24" s="36">
        <f t="shared" si="2"/>
        <v>397.6</v>
      </c>
      <c r="BA24" s="36">
        <f t="shared" si="2"/>
        <v>377.5</v>
      </c>
      <c r="BB24" s="37">
        <f t="shared" si="2"/>
        <v>386.1</v>
      </c>
      <c r="BC24" s="36">
        <f>SUM(BC7:BC9,BC12:BC23)</f>
        <v>404.7</v>
      </c>
      <c r="BD24" s="36">
        <f>SUM(BD7:BD9,BD12:BD23)</f>
        <v>391.60000000000008</v>
      </c>
      <c r="BE24" s="36">
        <f>SUM(BE7:BE9,BE12:BE23)</f>
        <v>445</v>
      </c>
      <c r="BF24" s="37">
        <f>SUM(BF7:BF9,BF12:BF23)</f>
        <v>487.78999999999996</v>
      </c>
      <c r="BG24" s="35">
        <f>SUM(BG7:BG9,BG12:BG23)</f>
        <v>474.2</v>
      </c>
      <c r="BH24" s="36">
        <f>SUM(BH7:BH9,BH12:BH23)</f>
        <v>502.30000000000007</v>
      </c>
      <c r="BI24" s="36">
        <f>SUM(BI7:BI9,BI12:BI23)</f>
        <v>535.09999999999991</v>
      </c>
      <c r="BJ24" s="37">
        <f>SUM(BJ7:BJ9,BJ12:BJ23)</f>
        <v>558.29999999999995</v>
      </c>
      <c r="BK24" s="35">
        <f>SUM(BK7:BK9,BK12:BK23)</f>
        <v>589.5</v>
      </c>
      <c r="BL24" s="36">
        <f>SUM(BL7:BL9,BL12:BL23)</f>
        <v>578.40000000000009</v>
      </c>
      <c r="BM24" s="36">
        <f>SUM(BM7:BM9,BM12:BM23)</f>
        <v>592.30000000000007</v>
      </c>
      <c r="BN24" s="37">
        <f>SUM(BN7:BN9,BN12:BN23)</f>
        <v>580.4</v>
      </c>
      <c r="BO24" s="35">
        <f>SUM(BO7:BO9,BO12:BO23)</f>
        <v>575.30000000000007</v>
      </c>
      <c r="BP24" s="36">
        <f>SUM(BP7:BP9,BP12:BP23)</f>
        <v>595.89999999999986</v>
      </c>
      <c r="BQ24" s="36">
        <f>SUM(BQ7:BQ9,BQ12:BQ23)</f>
        <v>610.79999999999995</v>
      </c>
      <c r="BR24" s="36">
        <f>SUM(BR7:BR9,BR12:BR23)</f>
        <v>625</v>
      </c>
      <c r="BS24" s="35">
        <f>SUM(BS7:BS9,BS12:BS23)</f>
        <v>634.80000000000007</v>
      </c>
      <c r="BT24" s="610"/>
    </row>
    <row r="25" spans="1:72" s="150" customFormat="1" ht="10.8">
      <c r="A25" s="171"/>
      <c r="B25" s="171"/>
      <c r="C25" s="160"/>
      <c r="D25" s="161"/>
      <c r="E25" s="161"/>
      <c r="F25" s="161"/>
      <c r="G25" s="160"/>
      <c r="H25" s="161"/>
      <c r="I25" s="161"/>
      <c r="J25" s="162"/>
      <c r="K25" s="160"/>
      <c r="L25" s="161"/>
      <c r="M25" s="161"/>
      <c r="N25" s="162"/>
      <c r="O25" s="160"/>
      <c r="P25" s="161"/>
      <c r="Q25" s="161"/>
      <c r="R25" s="162"/>
      <c r="S25" s="160"/>
      <c r="T25" s="161"/>
      <c r="U25" s="161"/>
      <c r="V25" s="162"/>
      <c r="W25" s="160"/>
      <c r="X25" s="161"/>
      <c r="Y25" s="161"/>
      <c r="Z25" s="162"/>
      <c r="AA25" s="161"/>
      <c r="AB25" s="161"/>
      <c r="AC25" s="161"/>
      <c r="AD25" s="162"/>
      <c r="AE25" s="161"/>
      <c r="AF25" s="161"/>
      <c r="AG25" s="161"/>
      <c r="AH25" s="162"/>
      <c r="AI25" s="161"/>
      <c r="AJ25" s="161"/>
      <c r="AK25" s="161"/>
      <c r="AL25" s="162"/>
      <c r="AM25" s="156"/>
      <c r="AN25" s="161"/>
      <c r="AO25" s="45"/>
      <c r="AP25" s="46"/>
      <c r="AQ25" s="45"/>
      <c r="AR25" s="45"/>
      <c r="AS25" s="45"/>
      <c r="AT25" s="46"/>
      <c r="AU25" s="45"/>
      <c r="AV25" s="45"/>
      <c r="AW25" s="45"/>
      <c r="AX25" s="46"/>
      <c r="AY25" s="45"/>
      <c r="AZ25" s="45"/>
      <c r="BA25" s="45"/>
      <c r="BB25" s="46"/>
      <c r="BC25" s="45"/>
      <c r="BD25" s="45"/>
      <c r="BE25" s="45"/>
      <c r="BF25" s="46"/>
      <c r="BG25" s="44"/>
      <c r="BH25" s="45"/>
      <c r="BI25" s="45"/>
      <c r="BJ25" s="46"/>
      <c r="BK25" s="44"/>
      <c r="BL25" s="45"/>
      <c r="BM25" s="45"/>
      <c r="BN25" s="46"/>
      <c r="BO25" s="44"/>
      <c r="BP25" s="45"/>
      <c r="BQ25" s="45"/>
      <c r="BR25" s="45"/>
      <c r="BS25" s="44"/>
      <c r="BT25" s="610"/>
    </row>
    <row r="26" spans="1:72" s="150" customFormat="1" ht="10.8">
      <c r="A26" s="175" t="s">
        <v>730</v>
      </c>
      <c r="B26" s="175" t="s">
        <v>731</v>
      </c>
      <c r="C26" s="156">
        <f>(16.7-1)*-1</f>
        <v>-15.7</v>
      </c>
      <c r="D26" s="157">
        <f>(15.2-1)*-1</f>
        <v>-14.2</v>
      </c>
      <c r="E26" s="157">
        <f>(21.1-1)*-1</f>
        <v>-20.100000000000001</v>
      </c>
      <c r="F26" s="157">
        <f>(29-1)*-1</f>
        <v>-28</v>
      </c>
      <c r="G26" s="156">
        <f>(22.1-1.2)*-1</f>
        <v>-20.900000000000002</v>
      </c>
      <c r="H26" s="157">
        <f>(19.9-1.2)*-1</f>
        <v>-18.7</v>
      </c>
      <c r="I26" s="157">
        <f>(16.4-1.2)*-1</f>
        <v>-15.2</v>
      </c>
      <c r="J26" s="158">
        <f>(29.6-1.2)*-1</f>
        <v>-28.400000000000002</v>
      </c>
      <c r="K26" s="156">
        <f>(22.1-4.1-0.1)*-1</f>
        <v>-17.899999999999999</v>
      </c>
      <c r="L26" s="157">
        <f>(25.4-4.1-0.7)*-1</f>
        <v>-20.599999999999998</v>
      </c>
      <c r="M26" s="157">
        <f>(25-4.1)*-1</f>
        <v>-20.9</v>
      </c>
      <c r="N26" s="158">
        <f>(48.2-4.1-0.2)*-1</f>
        <v>-43.9</v>
      </c>
      <c r="O26" s="156">
        <f>(35.6-3.9-0.1)*-1</f>
        <v>-31.6</v>
      </c>
      <c r="P26" s="157">
        <f>(30.7-3.9-0.1)*-1</f>
        <v>-26.7</v>
      </c>
      <c r="Q26" s="157">
        <f>(31.6-3.9-0.3-0.1)*-1</f>
        <v>-27.3</v>
      </c>
      <c r="R26" s="158">
        <f>(31.9-3.9-0.2-0.2)*-1</f>
        <v>-27.6</v>
      </c>
      <c r="S26" s="156">
        <f>(34.5-9.1-0.1-0.2)*-1</f>
        <v>-25.099999999999998</v>
      </c>
      <c r="T26" s="157">
        <f>(37.3-9.1-0.5-0.2)*-1</f>
        <v>-27.499999999999996</v>
      </c>
      <c r="U26" s="157">
        <f>(36.3-9.1-0.3-0.2)*-1</f>
        <v>-26.699999999999996</v>
      </c>
      <c r="V26" s="158">
        <f>(40.8-9.1-0.7-0.2)*-1</f>
        <v>-30.799999999999997</v>
      </c>
      <c r="W26" s="156">
        <f>(33.7-11-0.4-0.3-0.3)*-1</f>
        <v>-21.700000000000003</v>
      </c>
      <c r="X26" s="157">
        <f>(35-11-0.4-0.4-0.3)*-1</f>
        <v>-22.900000000000002</v>
      </c>
      <c r="Y26" s="157">
        <f>(32.6-11-0.4-0.4-0.3)*-1</f>
        <v>-20.500000000000004</v>
      </c>
      <c r="Z26" s="158">
        <f>(36.9-11-1.6-0.3)*-1</f>
        <v>-23.999999999999996</v>
      </c>
      <c r="AA26" s="157">
        <f>(31.5-11.3-0.3-0.1-0.3)*-1</f>
        <v>-19.499999999999996</v>
      </c>
      <c r="AB26" s="157">
        <f>(33.8-11.4-0.2-0.1-0.3)*-1</f>
        <v>-21.799999999999997</v>
      </c>
      <c r="AC26" s="157">
        <f>(33.6-11.3-0.3-1-0.3)*-1</f>
        <v>-20.7</v>
      </c>
      <c r="AD26" s="158">
        <f>(38.7-11.3-0.5-1.8-0.3)*-1</f>
        <v>-24.8</v>
      </c>
      <c r="AE26" s="157">
        <f>(21.6-0.9-0.3)*-1</f>
        <v>-20.400000000000002</v>
      </c>
      <c r="AF26" s="157">
        <f>(26.2-0.2-0.3)*-1</f>
        <v>-25.7</v>
      </c>
      <c r="AG26" s="157">
        <f>(28.1-0.6-0.3)*-1</f>
        <v>-27.2</v>
      </c>
      <c r="AH26" s="158">
        <f>(31.1-0.3)*-1</f>
        <v>-30.8</v>
      </c>
      <c r="AI26" s="157">
        <f>(27-0.3-1)*-1</f>
        <v>-25.7</v>
      </c>
      <c r="AJ26" s="157">
        <f>(27.8-0.3)*-1</f>
        <v>-27.5</v>
      </c>
      <c r="AK26" s="157">
        <f>(30.9-0.3)*-1</f>
        <v>-30.599999999999998</v>
      </c>
      <c r="AL26" s="158">
        <f>(31.8-0.3)*-1</f>
        <v>-31.5</v>
      </c>
      <c r="AM26" s="157">
        <f>(31.7-0.3-1.4)*-1</f>
        <v>-30</v>
      </c>
      <c r="AN26" s="157">
        <f>(36.6-0.3)*-1</f>
        <v>-36.300000000000004</v>
      </c>
      <c r="AO26" s="36">
        <f>(33.8-0.3)*-1</f>
        <v>-33.5</v>
      </c>
      <c r="AP26" s="37">
        <v>-36.700000000000003</v>
      </c>
      <c r="AQ26" s="36">
        <v>-32.399999999999991</v>
      </c>
      <c r="AR26" s="36">
        <v>-34.399999999999991</v>
      </c>
      <c r="AS26" s="36">
        <v>-33.4</v>
      </c>
      <c r="AT26" s="37">
        <v>-46.79999999999999</v>
      </c>
      <c r="AU26" s="36">
        <v>-32.700000000000003</v>
      </c>
      <c r="AV26" s="36">
        <v>-41.9</v>
      </c>
      <c r="AW26" s="36">
        <v>-38.900000000000006</v>
      </c>
      <c r="AX26" s="37">
        <v>-41.9</v>
      </c>
      <c r="AY26" s="36">
        <v>-40.400000000000006</v>
      </c>
      <c r="AZ26" s="36">
        <v>-43.900000000000006</v>
      </c>
      <c r="BA26" s="36">
        <v>-44.900000000000006</v>
      </c>
      <c r="BB26" s="37">
        <v>-49.7</v>
      </c>
      <c r="BC26" s="36">
        <v>-45.599999999999994</v>
      </c>
      <c r="BD26" s="36">
        <v>-47.599999999999994</v>
      </c>
      <c r="BE26" s="36">
        <v>-51.4</v>
      </c>
      <c r="BF26" s="37">
        <v>-56.09</v>
      </c>
      <c r="BG26" s="35">
        <v>-45.900000000000006</v>
      </c>
      <c r="BH26" s="36">
        <v>-46.000000000000007</v>
      </c>
      <c r="BI26" s="36">
        <v>-50.900000000000006</v>
      </c>
      <c r="BJ26" s="37">
        <v>-82.300000000000026</v>
      </c>
      <c r="BK26" s="35">
        <v>-55.5</v>
      </c>
      <c r="BL26" s="36">
        <v>-59.600000000000023</v>
      </c>
      <c r="BM26" s="36">
        <v>-61.699999999999989</v>
      </c>
      <c r="BN26" s="37">
        <v>-69.000000000000014</v>
      </c>
      <c r="BO26" s="35">
        <v>-53.899999999999991</v>
      </c>
      <c r="BP26" s="36">
        <v>-61.599999999999994</v>
      </c>
      <c r="BQ26" s="36">
        <v>-58.699999999999989</v>
      </c>
      <c r="BR26" s="36">
        <v>-68.299999999999983</v>
      </c>
      <c r="BS26" s="35">
        <v>-58.799999999999983</v>
      </c>
      <c r="BT26" s="610"/>
    </row>
    <row r="27" spans="1:72" s="150" customFormat="1" ht="10.8">
      <c r="A27" s="171"/>
      <c r="B27" s="171"/>
      <c r="C27" s="160"/>
      <c r="D27" s="161"/>
      <c r="E27" s="161"/>
      <c r="F27" s="161"/>
      <c r="G27" s="160"/>
      <c r="H27" s="161"/>
      <c r="I27" s="161"/>
      <c r="J27" s="162"/>
      <c r="K27" s="160"/>
      <c r="L27" s="161"/>
      <c r="M27" s="161"/>
      <c r="N27" s="162"/>
      <c r="O27" s="160"/>
      <c r="P27" s="161"/>
      <c r="Q27" s="161"/>
      <c r="R27" s="162"/>
      <c r="S27" s="160"/>
      <c r="T27" s="161"/>
      <c r="U27" s="161"/>
      <c r="V27" s="162"/>
      <c r="W27" s="160"/>
      <c r="X27" s="161"/>
      <c r="Y27" s="161"/>
      <c r="Z27" s="162"/>
      <c r="AA27" s="161"/>
      <c r="AB27" s="161"/>
      <c r="AC27" s="161"/>
      <c r="AD27" s="162"/>
      <c r="AE27" s="161"/>
      <c r="AF27" s="161"/>
      <c r="AG27" s="161"/>
      <c r="AH27" s="162"/>
      <c r="AI27" s="161"/>
      <c r="AJ27" s="161"/>
      <c r="AK27" s="161"/>
      <c r="AL27" s="162"/>
      <c r="AM27" s="161"/>
      <c r="AN27" s="161"/>
      <c r="AO27" s="161"/>
      <c r="AP27" s="162"/>
      <c r="AQ27" s="161"/>
      <c r="AR27" s="161"/>
      <c r="AS27" s="161"/>
      <c r="AT27" s="162"/>
      <c r="AU27" s="161"/>
      <c r="AV27" s="161"/>
      <c r="AW27" s="161"/>
      <c r="AX27" s="162"/>
      <c r="AY27" s="161"/>
      <c r="AZ27" s="161"/>
      <c r="BA27" s="161"/>
      <c r="BB27" s="162"/>
      <c r="BC27" s="161"/>
      <c r="BD27" s="161"/>
      <c r="BE27" s="161"/>
      <c r="BF27" s="162"/>
      <c r="BG27" s="160"/>
      <c r="BH27" s="161"/>
      <c r="BI27" s="161"/>
      <c r="BJ27" s="162"/>
      <c r="BK27" s="160"/>
      <c r="BL27" s="161"/>
      <c r="BM27" s="161"/>
      <c r="BN27" s="162"/>
      <c r="BO27" s="160"/>
      <c r="BP27" s="161"/>
      <c r="BQ27" s="161"/>
      <c r="BR27" s="161"/>
      <c r="BS27" s="160"/>
    </row>
    <row r="28" spans="1:72" s="164" customFormat="1" ht="10.8">
      <c r="A28" s="111" t="s">
        <v>732</v>
      </c>
      <c r="B28" s="111" t="s">
        <v>733</v>
      </c>
      <c r="C28" s="172">
        <f t="shared" ref="C28:AO28" si="3">C24+C26</f>
        <v>223.3</v>
      </c>
      <c r="D28" s="173">
        <f t="shared" si="3"/>
        <v>234.30000000000004</v>
      </c>
      <c r="E28" s="173">
        <f t="shared" si="3"/>
        <v>231.69999999999996</v>
      </c>
      <c r="F28" s="173">
        <f t="shared" si="3"/>
        <v>213.49999999999997</v>
      </c>
      <c r="G28" s="172">
        <f t="shared" si="3"/>
        <v>207.89999999999995</v>
      </c>
      <c r="H28" s="173">
        <f t="shared" si="3"/>
        <v>217.00000000000003</v>
      </c>
      <c r="I28" s="173">
        <f t="shared" si="3"/>
        <v>229.5</v>
      </c>
      <c r="J28" s="174">
        <f t="shared" si="3"/>
        <v>240.09999999999994</v>
      </c>
      <c r="K28" s="172">
        <f t="shared" si="3"/>
        <v>238.09999999999997</v>
      </c>
      <c r="L28" s="173">
        <f t="shared" si="3"/>
        <v>254.00000000000003</v>
      </c>
      <c r="M28" s="173">
        <f t="shared" si="3"/>
        <v>257.10000000000002</v>
      </c>
      <c r="N28" s="174">
        <f t="shared" si="3"/>
        <v>231.6</v>
      </c>
      <c r="O28" s="172">
        <f t="shared" si="3"/>
        <v>232.4</v>
      </c>
      <c r="P28" s="173">
        <f t="shared" si="3"/>
        <v>250.79999999999995</v>
      </c>
      <c r="Q28" s="173">
        <f t="shared" si="3"/>
        <v>259.5</v>
      </c>
      <c r="R28" s="174">
        <f t="shared" si="3"/>
        <v>260.19999999999993</v>
      </c>
      <c r="S28" s="172">
        <f t="shared" si="3"/>
        <v>260.5</v>
      </c>
      <c r="T28" s="173">
        <f t="shared" si="3"/>
        <v>267.49999999999994</v>
      </c>
      <c r="U28" s="173">
        <f t="shared" si="3"/>
        <v>270.49999999999994</v>
      </c>
      <c r="V28" s="174">
        <f t="shared" si="3"/>
        <v>259.09999999999991</v>
      </c>
      <c r="W28" s="172">
        <f t="shared" si="3"/>
        <v>258</v>
      </c>
      <c r="X28" s="173">
        <f t="shared" si="3"/>
        <v>261.40000000000009</v>
      </c>
      <c r="Y28" s="173">
        <f t="shared" si="3"/>
        <v>262.20000000000005</v>
      </c>
      <c r="Z28" s="174">
        <f t="shared" si="3"/>
        <v>266.7</v>
      </c>
      <c r="AA28" s="172">
        <f t="shared" si="3"/>
        <v>251.10000000000002</v>
      </c>
      <c r="AB28" s="173">
        <f t="shared" si="3"/>
        <v>261</v>
      </c>
      <c r="AC28" s="173">
        <f t="shared" si="3"/>
        <v>245.00000000000006</v>
      </c>
      <c r="AD28" s="174">
        <f t="shared" si="3"/>
        <v>264.8</v>
      </c>
      <c r="AE28" s="172">
        <f t="shared" si="3"/>
        <v>276.09999999999997</v>
      </c>
      <c r="AF28" s="173">
        <f t="shared" si="3"/>
        <v>279.59999999999997</v>
      </c>
      <c r="AG28" s="173">
        <f t="shared" si="3"/>
        <v>258.30000000000007</v>
      </c>
      <c r="AH28" s="174">
        <f t="shared" si="3"/>
        <v>248.89999999999998</v>
      </c>
      <c r="AI28" s="172">
        <f t="shared" si="3"/>
        <v>250</v>
      </c>
      <c r="AJ28" s="173">
        <f t="shared" si="3"/>
        <v>263.5</v>
      </c>
      <c r="AK28" s="173">
        <f t="shared" si="3"/>
        <v>248.89999999999995</v>
      </c>
      <c r="AL28" s="174">
        <f t="shared" si="3"/>
        <v>254.79999999999995</v>
      </c>
      <c r="AM28" s="173">
        <f t="shared" si="3"/>
        <v>253.90000000000003</v>
      </c>
      <c r="AN28" s="173">
        <f t="shared" si="3"/>
        <v>258.10000000000002</v>
      </c>
      <c r="AO28" s="173">
        <f t="shared" si="3"/>
        <v>269.3</v>
      </c>
      <c r="AP28" s="174">
        <f>AP24+AP26</f>
        <v>283.50000000000006</v>
      </c>
      <c r="AQ28" s="172">
        <f t="shared" ref="AQ28:BP28" si="4">AQ24+AQ26</f>
        <v>290.8</v>
      </c>
      <c r="AR28" s="173">
        <f t="shared" si="4"/>
        <v>293.09999999999997</v>
      </c>
      <c r="AS28" s="173">
        <f t="shared" si="4"/>
        <v>309.89999999999998</v>
      </c>
      <c r="AT28" s="174">
        <f t="shared" si="4"/>
        <v>302.20000000000005</v>
      </c>
      <c r="AU28" s="172">
        <f t="shared" si="4"/>
        <v>318.10000000000014</v>
      </c>
      <c r="AV28" s="173">
        <f t="shared" si="4"/>
        <v>339.60000000000008</v>
      </c>
      <c r="AW28" s="173">
        <f t="shared" si="4"/>
        <v>316.5</v>
      </c>
      <c r="AX28" s="174">
        <f t="shared" si="4"/>
        <v>330.7000000000001</v>
      </c>
      <c r="AY28" s="172">
        <f t="shared" si="4"/>
        <v>317.80000000000007</v>
      </c>
      <c r="AZ28" s="173">
        <f t="shared" si="4"/>
        <v>353.70000000000005</v>
      </c>
      <c r="BA28" s="173">
        <f t="shared" si="4"/>
        <v>332.6</v>
      </c>
      <c r="BB28" s="174">
        <f t="shared" si="4"/>
        <v>336.40000000000003</v>
      </c>
      <c r="BC28" s="172">
        <f t="shared" si="4"/>
        <v>359.1</v>
      </c>
      <c r="BD28" s="173">
        <f t="shared" si="4"/>
        <v>344.00000000000011</v>
      </c>
      <c r="BE28" s="173">
        <f t="shared" si="4"/>
        <v>393.6</v>
      </c>
      <c r="BF28" s="174">
        <f t="shared" si="4"/>
        <v>431.69999999999993</v>
      </c>
      <c r="BG28" s="172">
        <f t="shared" si="4"/>
        <v>428.29999999999995</v>
      </c>
      <c r="BH28" s="173">
        <f t="shared" si="4"/>
        <v>456.30000000000007</v>
      </c>
      <c r="BI28" s="173">
        <f t="shared" si="4"/>
        <v>484.19999999999993</v>
      </c>
      <c r="BJ28" s="174">
        <f t="shared" si="4"/>
        <v>475.99999999999994</v>
      </c>
      <c r="BK28" s="172">
        <f t="shared" si="4"/>
        <v>534</v>
      </c>
      <c r="BL28" s="173">
        <f t="shared" si="4"/>
        <v>518.80000000000007</v>
      </c>
      <c r="BM28" s="173">
        <f t="shared" si="4"/>
        <v>530.60000000000014</v>
      </c>
      <c r="BN28" s="174">
        <f t="shared" si="4"/>
        <v>511.4</v>
      </c>
      <c r="BO28" s="172">
        <f t="shared" si="4"/>
        <v>521.40000000000009</v>
      </c>
      <c r="BP28" s="173">
        <f t="shared" si="4"/>
        <v>534.29999999999984</v>
      </c>
      <c r="BQ28" s="173">
        <f>BQ24+BQ26</f>
        <v>552.09999999999991</v>
      </c>
      <c r="BR28" s="173">
        <f>BR24+BR26</f>
        <v>556.70000000000005</v>
      </c>
      <c r="BS28" s="172">
        <f>BS24+BS26</f>
        <v>576.00000000000011</v>
      </c>
    </row>
    <row r="29" spans="1:72">
      <c r="A29" s="2"/>
      <c r="B29" s="2"/>
      <c r="C29" s="201"/>
      <c r="D29" s="201"/>
      <c r="E29" s="201"/>
      <c r="F29" s="201"/>
      <c r="G29" s="201"/>
      <c r="H29" s="201"/>
      <c r="I29" s="201"/>
      <c r="J29" s="201"/>
      <c r="K29" s="201"/>
      <c r="L29" s="201"/>
      <c r="M29" s="201"/>
      <c r="N29" s="201"/>
      <c r="O29" s="201"/>
      <c r="P29" s="201"/>
      <c r="Q29" s="201"/>
      <c r="R29" s="201"/>
      <c r="S29" s="201"/>
      <c r="T29" s="201"/>
      <c r="U29" s="201"/>
      <c r="V29" s="201"/>
      <c r="W29" s="201"/>
      <c r="X29" s="201"/>
      <c r="Y29" s="201"/>
      <c r="Z29" s="201"/>
      <c r="AA29" s="201"/>
      <c r="AB29" s="201"/>
      <c r="AC29" s="201"/>
      <c r="AD29" s="201"/>
      <c r="AE29" s="201"/>
      <c r="AF29" s="201"/>
      <c r="AG29" s="201"/>
      <c r="AH29" s="201"/>
      <c r="AI29" s="201"/>
      <c r="AJ29" s="201"/>
      <c r="AK29" s="201"/>
      <c r="AL29" s="201"/>
      <c r="AM29" s="201"/>
      <c r="AN29" s="201"/>
      <c r="AO29" s="201"/>
      <c r="AP29" s="201"/>
      <c r="AQ29" s="201"/>
      <c r="AR29" s="201"/>
      <c r="AS29" s="201"/>
      <c r="AT29" s="201"/>
      <c r="AU29" s="201"/>
      <c r="AV29" s="201"/>
      <c r="AW29" s="201"/>
      <c r="AX29" s="201"/>
      <c r="AY29" s="201"/>
      <c r="AZ29" s="201"/>
      <c r="BA29" s="201"/>
      <c r="BB29" s="201"/>
      <c r="BC29" s="201"/>
      <c r="BD29" s="201"/>
      <c r="BE29" s="201"/>
      <c r="BF29" s="201"/>
      <c r="BG29" s="201"/>
      <c r="BH29" s="201"/>
      <c r="BI29" s="201"/>
      <c r="BJ29" s="201"/>
      <c r="BK29" s="201"/>
      <c r="BL29" s="201"/>
      <c r="BM29" s="201"/>
      <c r="BN29" s="201"/>
      <c r="BO29" s="201"/>
      <c r="BP29" s="201"/>
      <c r="BQ29" s="201"/>
      <c r="BR29" s="201"/>
      <c r="BS29" s="201"/>
    </row>
    <row r="30" spans="1:72" ht="13.5" hidden="1" customHeight="1">
      <c r="A30" s="2"/>
      <c r="B30" s="2"/>
      <c r="AA30" s="201"/>
      <c r="AB30" s="201"/>
      <c r="AC30" s="201"/>
      <c r="AD30" s="201"/>
      <c r="AE30" s="201"/>
      <c r="AF30" s="201"/>
      <c r="AG30" s="201"/>
      <c r="AH30" s="201"/>
      <c r="AI30" s="201"/>
      <c r="AJ30" s="201"/>
      <c r="AK30" s="201"/>
      <c r="AL30" s="201"/>
      <c r="AM30" s="201"/>
      <c r="AN30" s="201"/>
      <c r="AO30" s="201"/>
      <c r="AP30" s="201"/>
      <c r="AQ30" s="201"/>
      <c r="AR30" s="201"/>
      <c r="AS30" s="201"/>
      <c r="AT30" s="201"/>
      <c r="AU30" s="201"/>
      <c r="AV30" s="201"/>
      <c r="AW30" s="201"/>
      <c r="AX30" s="201"/>
      <c r="AZ30" s="201"/>
      <c r="BA30" s="201"/>
      <c r="BB30" s="201"/>
      <c r="BD30" s="201"/>
      <c r="BE30" s="201"/>
      <c r="BF30" s="201"/>
      <c r="BH30" s="201"/>
      <c r="BI30" s="201"/>
      <c r="BJ30" s="201"/>
      <c r="BL30" s="201"/>
      <c r="BM30" s="201"/>
      <c r="BN30" s="201"/>
      <c r="BP30" s="201"/>
      <c r="BQ30" s="201"/>
      <c r="BR30" s="201"/>
    </row>
    <row r="31" spans="1:72" ht="13.5" hidden="1" customHeight="1">
      <c r="A31" s="2"/>
      <c r="B31" s="2"/>
      <c r="AA31" s="201"/>
      <c r="AB31" s="201"/>
      <c r="AC31" s="201"/>
      <c r="AD31" s="201"/>
      <c r="AE31" s="201"/>
      <c r="AF31" s="201"/>
      <c r="AG31" s="201"/>
      <c r="AH31" s="201"/>
      <c r="AI31" s="201"/>
      <c r="AJ31" s="201"/>
      <c r="AK31" s="201"/>
      <c r="AL31" s="201"/>
      <c r="AM31" s="201"/>
      <c r="AN31" s="201"/>
      <c r="AO31" s="201"/>
      <c r="AP31" s="201"/>
      <c r="AQ31" s="201"/>
      <c r="AR31" s="201"/>
      <c r="AS31" s="201"/>
      <c r="AT31" s="201"/>
      <c r="AU31" s="201"/>
      <c r="AV31" s="201"/>
      <c r="AW31" s="201"/>
      <c r="AX31" s="201"/>
      <c r="AZ31" s="201"/>
      <c r="BA31" s="201"/>
      <c r="BB31" s="201"/>
      <c r="BD31" s="201"/>
      <c r="BE31" s="201"/>
      <c r="BF31" s="201"/>
      <c r="BH31" s="201"/>
      <c r="BI31" s="201"/>
      <c r="BJ31" s="201"/>
      <c r="BL31" s="201"/>
      <c r="BM31" s="201"/>
      <c r="BN31" s="201"/>
      <c r="BP31" s="201"/>
      <c r="BQ31" s="201"/>
      <c r="BR31" s="201"/>
    </row>
    <row r="32" spans="1:72" s="150" customFormat="1" ht="11.25" hidden="1" customHeight="1">
      <c r="C32" s="455"/>
      <c r="D32" s="455"/>
      <c r="E32" s="455"/>
      <c r="F32" s="455"/>
      <c r="G32" s="455"/>
      <c r="H32" s="455"/>
      <c r="I32" s="455"/>
      <c r="J32" s="455"/>
      <c r="K32" s="455"/>
      <c r="L32" s="455"/>
      <c r="M32" s="455"/>
      <c r="N32" s="455"/>
      <c r="O32" s="455"/>
      <c r="P32" s="455"/>
      <c r="Q32" s="455"/>
      <c r="R32" s="455"/>
      <c r="S32" s="455"/>
      <c r="T32" s="455"/>
      <c r="U32" s="455"/>
      <c r="V32" s="455"/>
      <c r="W32" s="455"/>
      <c r="X32" s="455"/>
      <c r="Y32" s="455"/>
      <c r="Z32" s="455"/>
      <c r="AA32" s="446"/>
      <c r="AB32" s="446"/>
      <c r="AC32" s="446"/>
      <c r="AD32" s="446"/>
      <c r="AE32" s="446"/>
      <c r="AF32" s="446"/>
      <c r="AG32" s="446"/>
      <c r="AH32" s="446"/>
      <c r="AI32" s="446"/>
      <c r="AJ32" s="446"/>
      <c r="AK32" s="446"/>
      <c r="AL32" s="446"/>
      <c r="AM32" s="446"/>
      <c r="AN32" s="446"/>
      <c r="AO32" s="446"/>
      <c r="AP32" s="446"/>
      <c r="AQ32" s="446"/>
      <c r="AR32" s="446"/>
      <c r="AS32" s="446"/>
      <c r="AT32" s="446"/>
      <c r="AU32" s="446"/>
      <c r="AV32" s="446"/>
      <c r="AW32" s="446"/>
      <c r="AX32" s="446"/>
      <c r="AZ32" s="446"/>
      <c r="BA32" s="446"/>
      <c r="BB32" s="446"/>
      <c r="BD32" s="446"/>
      <c r="BE32" s="446"/>
      <c r="BF32" s="446"/>
      <c r="BH32" s="446"/>
      <c r="BI32" s="446"/>
      <c r="BJ32" s="446"/>
      <c r="BL32" s="446"/>
      <c r="BM32" s="446"/>
      <c r="BN32" s="446"/>
      <c r="BP32" s="446"/>
      <c r="BQ32" s="446"/>
      <c r="BR32" s="446"/>
    </row>
    <row r="33" spans="1:70" ht="13.5" hidden="1" customHeight="1">
      <c r="A33" s="2"/>
      <c r="B33" s="2"/>
      <c r="W33" s="456"/>
      <c r="X33" s="456"/>
      <c r="Y33" s="456"/>
      <c r="Z33" s="456"/>
      <c r="AA33" s="456"/>
      <c r="AB33" s="456"/>
      <c r="AC33" s="456"/>
      <c r="AD33" s="456"/>
      <c r="AE33" s="456"/>
      <c r="AF33" s="456"/>
      <c r="AG33" s="456"/>
      <c r="AH33" s="456"/>
      <c r="AI33" s="456"/>
      <c r="AJ33" s="456"/>
      <c r="AK33" s="456"/>
      <c r="AL33" s="456"/>
      <c r="AM33" s="456"/>
      <c r="AN33" s="456"/>
      <c r="AO33" s="456"/>
      <c r="AP33" s="456"/>
      <c r="AQ33" s="456"/>
      <c r="AR33" s="456"/>
      <c r="AS33" s="456"/>
      <c r="AT33" s="456"/>
      <c r="AU33" s="456"/>
      <c r="AV33" s="456"/>
      <c r="AW33" s="456"/>
      <c r="AX33" s="456"/>
      <c r="AZ33" s="456"/>
      <c r="BA33" s="456"/>
      <c r="BB33" s="456"/>
      <c r="BD33" s="456"/>
      <c r="BE33" s="456"/>
      <c r="BF33" s="456"/>
      <c r="BH33" s="456"/>
      <c r="BI33" s="456"/>
      <c r="BJ33" s="456"/>
      <c r="BL33" s="456"/>
      <c r="BM33" s="456"/>
      <c r="BN33" s="456"/>
      <c r="BP33" s="456"/>
      <c r="BQ33" s="456"/>
      <c r="BR33" s="456"/>
    </row>
    <row r="34" spans="1:70" ht="13.5" hidden="1" customHeight="1">
      <c r="A34" s="2"/>
      <c r="B34" s="2"/>
    </row>
    <row r="35" spans="1:70" ht="13.5" hidden="1" customHeight="1">
      <c r="A35" s="2"/>
      <c r="B35" s="2"/>
      <c r="AA35" s="172"/>
      <c r="AB35" s="173"/>
      <c r="AC35" s="173"/>
      <c r="AD35" s="174"/>
    </row>
    <row r="36" spans="1:70" ht="13.5" hidden="1" customHeight="1">
      <c r="A36" s="2"/>
      <c r="B36" s="2"/>
      <c r="AA36" s="201"/>
      <c r="AB36" s="201"/>
      <c r="AC36" s="201"/>
      <c r="AD36" s="201"/>
    </row>
    <row r="37" spans="1:70" ht="13.5" hidden="1" customHeight="1">
      <c r="A37" s="2"/>
      <c r="B37" s="2"/>
    </row>
    <row r="38" spans="1:70" ht="13.5" hidden="1" customHeight="1">
      <c r="A38" s="2"/>
      <c r="B38" s="2"/>
    </row>
    <row r="39" spans="1:70" ht="13.5" hidden="1" customHeight="1">
      <c r="A39" s="2"/>
      <c r="B39" s="2"/>
    </row>
    <row r="40" spans="1:70" ht="13.5" hidden="1" customHeight="1">
      <c r="A40" s="2"/>
      <c r="B40" s="2"/>
    </row>
    <row r="41" spans="1:70" ht="13.5" hidden="1" customHeight="1">
      <c r="A41" s="2"/>
      <c r="B41" s="2"/>
    </row>
    <row r="42" spans="1:70" ht="13.5" hidden="1" customHeight="1">
      <c r="A42" s="2"/>
      <c r="B42" s="2"/>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EA4BD89B-3FBA-4B07-9D9F-C8C1530CEC9F}"/>
    <hyperlink ref="A1" location="'Spis tresci_Table of content'!A1" display="Go back to Table of content" xr:uid="{D9B01467-77C4-4A16-97FB-685F2B1EE0D4}"/>
    <hyperlink ref="B1" location="'Spis tresci_Table of content'!A1" display="Powrót do spisu treści" xr:uid="{21F14A8C-7A7B-484E-8872-ED0583CE7C27}"/>
  </hyperlink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oddHeader xml:space="preserve">&amp;C&amp;"Times New Roman,Kursywa"&amp;12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6D98B-12E4-45A8-9020-3B5D202992F1}">
  <dimension ref="A1:BV44"/>
  <sheetViews>
    <sheetView showGridLines="0" zoomScaleNormal="100" zoomScaleSheetLayoutView="100" zoomScalePageLayoutView="80" workbookViewId="0">
      <pane xSplit="2" ySplit="5" topLeftCell="BG27" activePane="bottomRight" state="frozen"/>
      <selection pane="topRight" activeCell="C1" sqref="C1"/>
      <selection pane="bottomLeft" activeCell="A5" sqref="A5"/>
      <selection pane="bottomRight" activeCell="BK1" sqref="BK1"/>
    </sheetView>
  </sheetViews>
  <sheetFormatPr defaultColWidth="0" defaultRowHeight="13.8" outlineLevelCol="1"/>
  <cols>
    <col min="1" max="1" width="54.109375" style="4" hidden="1" customWidth="1" outlineLevel="1"/>
    <col min="2" max="2" width="54.109375" style="4" bestFit="1" customWidth="1" collapsed="1"/>
    <col min="3" max="10" width="6" style="2" customWidth="1"/>
    <col min="11" max="11" width="6.6640625" style="2" customWidth="1"/>
    <col min="12" max="46" width="6" style="2" customWidth="1"/>
    <col min="47" max="47" width="6" style="151" customWidth="1"/>
    <col min="48" max="49" width="6" style="2" customWidth="1"/>
    <col min="50" max="50" width="9.6640625" style="2" customWidth="1"/>
    <col min="51" max="51" width="8.33203125" style="151" customWidth="1"/>
    <col min="52" max="54" width="8.33203125" style="2" customWidth="1"/>
    <col min="55" max="55" width="8.33203125" style="151" customWidth="1"/>
    <col min="56" max="58" width="8.33203125" style="2" customWidth="1"/>
    <col min="59" max="59" width="8.33203125" style="151" customWidth="1"/>
    <col min="60" max="62" width="8.33203125" style="2" customWidth="1"/>
    <col min="63" max="63" width="8.33203125" style="151" customWidth="1"/>
    <col min="64" max="66" width="8.33203125" style="2" customWidth="1"/>
    <col min="67" max="67" width="8.33203125" style="151" customWidth="1"/>
    <col min="68" max="68" width="8.33203125" style="2" customWidth="1"/>
    <col min="69" max="69" width="11.44140625" style="2" customWidth="1"/>
    <col min="70" max="70" width="8.33203125" style="2" customWidth="1"/>
    <col min="71"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U1" s="2"/>
      <c r="BC1" s="2"/>
      <c r="BG1" s="2"/>
      <c r="BK1" s="2"/>
      <c r="BO1" s="2"/>
      <c r="BQ1" s="209"/>
    </row>
    <row r="2" spans="1:74">
      <c r="A2" s="152" t="s">
        <v>4</v>
      </c>
      <c r="B2" s="152" t="s">
        <v>5</v>
      </c>
    </row>
    <row r="3" spans="1:74">
      <c r="A3" s="536" t="s">
        <v>635</v>
      </c>
      <c r="B3" s="536" t="s">
        <v>636</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5"/>
      <c r="AI3" s="533">
        <v>2015</v>
      </c>
      <c r="AJ3" s="534"/>
      <c r="AK3" s="534"/>
      <c r="AL3" s="535"/>
      <c r="AM3" s="533">
        <v>2016</v>
      </c>
      <c r="AN3" s="534"/>
      <c r="AO3" s="534"/>
      <c r="AP3" s="534"/>
      <c r="AQ3" s="533">
        <v>2017</v>
      </c>
      <c r="AR3" s="534"/>
      <c r="AS3" s="534"/>
      <c r="AT3" s="534"/>
      <c r="AU3" s="533">
        <v>2018</v>
      </c>
      <c r="AV3" s="538"/>
      <c r="AW3" s="538"/>
      <c r="AX3" s="547"/>
      <c r="AY3" s="533">
        <v>2019</v>
      </c>
      <c r="AZ3" s="538"/>
      <c r="BA3" s="538"/>
      <c r="BB3" s="547"/>
      <c r="BC3" s="533">
        <v>2020</v>
      </c>
      <c r="BD3" s="538"/>
      <c r="BE3" s="538"/>
      <c r="BF3" s="547"/>
      <c r="BG3" s="533">
        <v>2021</v>
      </c>
      <c r="BH3" s="538"/>
      <c r="BI3" s="538"/>
      <c r="BJ3" s="547"/>
      <c r="BK3" s="533">
        <v>2022</v>
      </c>
      <c r="BL3" s="538"/>
      <c r="BM3" s="538"/>
      <c r="BN3" s="547"/>
      <c r="BO3" s="533">
        <v>2023</v>
      </c>
      <c r="BP3" s="538"/>
      <c r="BQ3" s="538"/>
      <c r="BR3" s="547"/>
      <c r="BS3" s="533">
        <v>2024</v>
      </c>
      <c r="BT3" s="538"/>
      <c r="BU3" s="538"/>
      <c r="BV3" s="547"/>
    </row>
    <row r="4" spans="1:74">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2" t="s">
        <v>8</v>
      </c>
      <c r="AB4" s="12" t="s">
        <v>9</v>
      </c>
      <c r="AC4" s="12" t="s">
        <v>10</v>
      </c>
      <c r="AD4" s="13" t="s">
        <v>11</v>
      </c>
      <c r="AE4" s="12" t="s">
        <v>8</v>
      </c>
      <c r="AF4" s="12" t="s">
        <v>9</v>
      </c>
      <c r="AG4" s="12" t="s">
        <v>10</v>
      </c>
      <c r="AH4" s="13" t="s">
        <v>11</v>
      </c>
      <c r="AI4" s="12" t="s">
        <v>8</v>
      </c>
      <c r="AJ4" s="12" t="s">
        <v>9</v>
      </c>
      <c r="AK4" s="12" t="s">
        <v>10</v>
      </c>
      <c r="AL4" s="13" t="s">
        <v>11</v>
      </c>
      <c r="AM4" s="12" t="s">
        <v>8</v>
      </c>
      <c r="AN4" s="12" t="s">
        <v>9</v>
      </c>
      <c r="AO4" s="12" t="s">
        <v>10</v>
      </c>
      <c r="AP4" s="12" t="s">
        <v>11</v>
      </c>
      <c r="AQ4" s="11" t="s">
        <v>8</v>
      </c>
      <c r="AR4" s="12" t="s">
        <v>9</v>
      </c>
      <c r="AS4" s="12" t="s">
        <v>10</v>
      </c>
      <c r="AT4" s="12" t="s">
        <v>11</v>
      </c>
      <c r="AU4" s="11" t="s">
        <v>8</v>
      </c>
      <c r="AV4" s="12" t="s">
        <v>9</v>
      </c>
      <c r="AW4" s="12" t="s">
        <v>10</v>
      </c>
      <c r="AX4" s="12" t="s">
        <v>11</v>
      </c>
      <c r="AY4" s="11"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s="150" customFormat="1" ht="12.75" customHeight="1">
      <c r="A5" s="17" t="s">
        <v>12</v>
      </c>
      <c r="B5" s="17" t="s">
        <v>13</v>
      </c>
      <c r="C5" s="18"/>
      <c r="D5" s="19"/>
      <c r="E5" s="20"/>
      <c r="F5" s="19"/>
      <c r="G5" s="18"/>
      <c r="H5" s="19"/>
      <c r="I5" s="20"/>
      <c r="J5" s="21"/>
      <c r="K5" s="18"/>
      <c r="L5" s="19"/>
      <c r="M5" s="20"/>
      <c r="N5" s="21"/>
      <c r="O5" s="18"/>
      <c r="P5" s="19"/>
      <c r="Q5" s="20"/>
      <c r="R5" s="21"/>
      <c r="S5" s="18"/>
      <c r="T5" s="19"/>
      <c r="U5" s="20"/>
      <c r="V5" s="21"/>
      <c r="W5" s="20"/>
      <c r="X5" s="20"/>
      <c r="Y5" s="20"/>
      <c r="Z5" s="154"/>
      <c r="AA5" s="20"/>
      <c r="AB5" s="20"/>
      <c r="AC5" s="20"/>
      <c r="AD5" s="154"/>
      <c r="AE5" s="20"/>
      <c r="AF5" s="20"/>
      <c r="AG5" s="20"/>
      <c r="AH5" s="154"/>
      <c r="AI5" s="20"/>
      <c r="AJ5" s="20"/>
      <c r="AK5" s="20"/>
      <c r="AL5" s="154"/>
      <c r="AM5" s="20"/>
      <c r="AN5" s="20"/>
      <c r="AO5" s="20"/>
      <c r="AP5" s="20"/>
      <c r="AQ5" s="18"/>
      <c r="AR5" s="20"/>
      <c r="AS5" s="20"/>
      <c r="AT5" s="20"/>
      <c r="AU5" s="22"/>
      <c r="AV5" s="17"/>
      <c r="AW5" s="20"/>
      <c r="AX5" s="20"/>
      <c r="AY5" s="22"/>
      <c r="AZ5" s="17"/>
      <c r="BA5" s="20"/>
      <c r="BB5" s="20"/>
      <c r="BC5" s="22"/>
      <c r="BD5" s="17"/>
      <c r="BE5" s="20"/>
      <c r="BF5" s="20"/>
      <c r="BG5" s="22"/>
      <c r="BH5" s="17"/>
      <c r="BI5" s="20"/>
      <c r="BJ5" s="20"/>
      <c r="BK5" s="22"/>
      <c r="BL5" s="17"/>
      <c r="BM5" s="20"/>
      <c r="BN5" s="20"/>
      <c r="BO5" s="22"/>
      <c r="BP5" s="17"/>
      <c r="BQ5" s="20"/>
      <c r="BR5" s="20"/>
      <c r="BS5" s="270"/>
    </row>
    <row r="6" spans="1:74" s="6" customFormat="1" ht="21.6">
      <c r="A6" s="155" t="s">
        <v>637</v>
      </c>
      <c r="B6" s="155" t="s">
        <v>638</v>
      </c>
      <c r="C6" s="156">
        <f t="shared" ref="C6:BN6" si="0">C7+C8</f>
        <v>30.099999999999998</v>
      </c>
      <c r="D6" s="157">
        <f t="shared" si="0"/>
        <v>40.4</v>
      </c>
      <c r="E6" s="157">
        <f t="shared" si="0"/>
        <v>42.400000000000006</v>
      </c>
      <c r="F6" s="157">
        <f t="shared" si="0"/>
        <v>49.700000000000017</v>
      </c>
      <c r="G6" s="156">
        <f t="shared" si="0"/>
        <v>37.800000000000011</v>
      </c>
      <c r="H6" s="157">
        <f t="shared" si="0"/>
        <v>91.4</v>
      </c>
      <c r="I6" s="157">
        <f t="shared" si="0"/>
        <v>17</v>
      </c>
      <c r="J6" s="158">
        <f t="shared" si="0"/>
        <v>84.200000000000045</v>
      </c>
      <c r="K6" s="156">
        <f t="shared" si="0"/>
        <v>-58.199999999999818</v>
      </c>
      <c r="L6" s="157">
        <f t="shared" si="0"/>
        <v>-46.399999999999977</v>
      </c>
      <c r="M6" s="157">
        <f t="shared" si="0"/>
        <v>-18</v>
      </c>
      <c r="N6" s="158">
        <f t="shared" si="0"/>
        <v>-60.899999999999977</v>
      </c>
      <c r="O6" s="156">
        <f t="shared" si="0"/>
        <v>-5.7999999999999829</v>
      </c>
      <c r="P6" s="157">
        <f t="shared" si="0"/>
        <v>-4</v>
      </c>
      <c r="Q6" s="157">
        <f t="shared" si="0"/>
        <v>10.199999999999989</v>
      </c>
      <c r="R6" s="158">
        <f t="shared" si="0"/>
        <v>-6.0999999999999943</v>
      </c>
      <c r="S6" s="156">
        <f t="shared" si="0"/>
        <v>17</v>
      </c>
      <c r="T6" s="157">
        <f t="shared" si="0"/>
        <v>-3.7000000000000028</v>
      </c>
      <c r="U6" s="36">
        <f t="shared" si="0"/>
        <v>-30.599999999999994</v>
      </c>
      <c r="V6" s="37">
        <f t="shared" si="0"/>
        <v>4</v>
      </c>
      <c r="W6" s="36">
        <f t="shared" si="0"/>
        <v>34.699999999999989</v>
      </c>
      <c r="X6" s="36">
        <f t="shared" si="0"/>
        <v>8.5999999999999943</v>
      </c>
      <c r="Y6" s="36">
        <f t="shared" si="0"/>
        <v>4.8000000000000043</v>
      </c>
      <c r="Z6" s="37">
        <f t="shared" si="0"/>
        <v>-6.1999999999999993</v>
      </c>
      <c r="AA6" s="36">
        <f t="shared" si="0"/>
        <v>12.900000000000006</v>
      </c>
      <c r="AB6" s="36">
        <f t="shared" si="0"/>
        <v>6.1999999999999993</v>
      </c>
      <c r="AC6" s="36">
        <f t="shared" si="0"/>
        <v>13.899999999999999</v>
      </c>
      <c r="AD6" s="37">
        <f t="shared" si="0"/>
        <v>7.5</v>
      </c>
      <c r="AE6" s="36">
        <f t="shared" si="0"/>
        <v>15</v>
      </c>
      <c r="AF6" s="36">
        <f t="shared" si="0"/>
        <v>17.799999999999997</v>
      </c>
      <c r="AG6" s="36">
        <f t="shared" si="0"/>
        <v>18.399999999999999</v>
      </c>
      <c r="AH6" s="37">
        <f t="shared" si="0"/>
        <v>8.2000000000000011</v>
      </c>
      <c r="AI6" s="36">
        <f t="shared" si="0"/>
        <v>3.7999999999999989</v>
      </c>
      <c r="AJ6" s="36">
        <f t="shared" si="0"/>
        <v>15.499999999999998</v>
      </c>
      <c r="AK6" s="36">
        <f t="shared" si="0"/>
        <v>14.600000000000001</v>
      </c>
      <c r="AL6" s="37">
        <f t="shared" si="0"/>
        <v>12</v>
      </c>
      <c r="AM6" s="36">
        <f t="shared" si="0"/>
        <v>14.200000000000003</v>
      </c>
      <c r="AN6" s="36">
        <f t="shared" si="0"/>
        <v>1.6999999999999957</v>
      </c>
      <c r="AO6" s="36">
        <f t="shared" si="0"/>
        <v>11.100000000000009</v>
      </c>
      <c r="AP6" s="37">
        <f t="shared" si="0"/>
        <v>10.600000000000009</v>
      </c>
      <c r="AQ6" s="35">
        <f t="shared" si="0"/>
        <v>23.799999999999997</v>
      </c>
      <c r="AR6" s="36">
        <f t="shared" si="0"/>
        <v>17.499999999999996</v>
      </c>
      <c r="AS6" s="36">
        <f t="shared" si="0"/>
        <v>21.6</v>
      </c>
      <c r="AT6" s="36">
        <f t="shared" si="0"/>
        <v>16</v>
      </c>
      <c r="AU6" s="39">
        <f t="shared" si="0"/>
        <v>8.3000000000000007</v>
      </c>
      <c r="AV6" s="38">
        <f t="shared" si="0"/>
        <v>7.7000000000000028</v>
      </c>
      <c r="AW6" s="36">
        <f t="shared" si="0"/>
        <v>8.3999999999999986</v>
      </c>
      <c r="AX6" s="36">
        <f t="shared" si="0"/>
        <v>11.3</v>
      </c>
      <c r="AY6" s="39">
        <f t="shared" si="0"/>
        <v>15.099999999999998</v>
      </c>
      <c r="AZ6" s="38">
        <f t="shared" si="0"/>
        <v>12.9</v>
      </c>
      <c r="BA6" s="38">
        <f t="shared" si="0"/>
        <v>12.900000000000006</v>
      </c>
      <c r="BB6" s="38">
        <f t="shared" si="0"/>
        <v>5.5</v>
      </c>
      <c r="BC6" s="39">
        <f t="shared" si="0"/>
        <v>23.6</v>
      </c>
      <c r="BD6" s="38">
        <f t="shared" si="0"/>
        <v>14.900000000000006</v>
      </c>
      <c r="BE6" s="38">
        <f t="shared" si="0"/>
        <v>14.2</v>
      </c>
      <c r="BF6" s="38">
        <f t="shared" si="0"/>
        <v>8.3999999999999915</v>
      </c>
      <c r="BG6" s="39">
        <f t="shared" si="0"/>
        <v>19.900000000000006</v>
      </c>
      <c r="BH6" s="38">
        <f t="shared" si="0"/>
        <v>7.8999999999999986</v>
      </c>
      <c r="BI6" s="38">
        <f t="shared" si="0"/>
        <v>5.3000000000000114</v>
      </c>
      <c r="BJ6" s="38">
        <f t="shared" si="0"/>
        <v>-16.299999999999983</v>
      </c>
      <c r="BK6" s="39">
        <f t="shared" si="0"/>
        <v>-31.900000000000006</v>
      </c>
      <c r="BL6" s="38">
        <f t="shared" si="0"/>
        <v>-89.100000000000009</v>
      </c>
      <c r="BM6" s="38">
        <f t="shared" si="0"/>
        <v>-6.1999999999999886</v>
      </c>
      <c r="BN6" s="38">
        <f t="shared" si="0"/>
        <v>21.199999999999989</v>
      </c>
      <c r="BO6" s="39">
        <f t="shared" ref="BO6:BS6" si="1">BO7+BO8</f>
        <v>60.300000000000011</v>
      </c>
      <c r="BP6" s="38">
        <f t="shared" si="1"/>
        <v>33.400000000000006</v>
      </c>
      <c r="BQ6" s="38">
        <f t="shared" si="1"/>
        <v>78.799999999999983</v>
      </c>
      <c r="BR6" s="38">
        <f t="shared" si="1"/>
        <v>45.5</v>
      </c>
      <c r="BS6" s="39">
        <f t="shared" si="1"/>
        <v>36</v>
      </c>
    </row>
    <row r="7" spans="1:74" s="150" customFormat="1" ht="10.8">
      <c r="A7" s="171" t="s">
        <v>639</v>
      </c>
      <c r="B7" s="171" t="s">
        <v>640</v>
      </c>
      <c r="C7" s="160">
        <v>-2.2999999999999998</v>
      </c>
      <c r="D7" s="161">
        <v>27.3</v>
      </c>
      <c r="E7" s="161">
        <v>-148.19999999999999</v>
      </c>
      <c r="F7" s="161">
        <v>-218.9</v>
      </c>
      <c r="G7" s="160">
        <v>-160.19999999999999</v>
      </c>
      <c r="H7" s="161">
        <v>180.3</v>
      </c>
      <c r="I7" s="161">
        <v>474.8</v>
      </c>
      <c r="J7" s="162">
        <v>-543.79999999999995</v>
      </c>
      <c r="K7" s="160">
        <v>-2835.6</v>
      </c>
      <c r="L7" s="161">
        <v>686.1</v>
      </c>
      <c r="M7" s="161">
        <v>477.8</v>
      </c>
      <c r="N7" s="162">
        <v>296.3</v>
      </c>
      <c r="O7" s="160">
        <v>235.9</v>
      </c>
      <c r="P7" s="161">
        <v>-183.2</v>
      </c>
      <c r="Q7" s="161">
        <v>161</v>
      </c>
      <c r="R7" s="162">
        <v>204</v>
      </c>
      <c r="S7" s="160">
        <v>184.3</v>
      </c>
      <c r="T7" s="161">
        <v>-102.3</v>
      </c>
      <c r="U7" s="45">
        <v>112.4</v>
      </c>
      <c r="V7" s="46">
        <v>-46.2</v>
      </c>
      <c r="W7" s="45">
        <v>135.69999999999999</v>
      </c>
      <c r="X7" s="45">
        <v>222.5</v>
      </c>
      <c r="Y7" s="45">
        <v>58.2</v>
      </c>
      <c r="Z7" s="46">
        <v>-18.399999999999999</v>
      </c>
      <c r="AA7" s="45">
        <v>91.4</v>
      </c>
      <c r="AB7" s="45">
        <f>-41.9+10.3</f>
        <v>-31.599999999999998</v>
      </c>
      <c r="AC7" s="45">
        <f>-44.9-5.1</f>
        <v>-50</v>
      </c>
      <c r="AD7" s="46">
        <v>-22.4</v>
      </c>
      <c r="AE7" s="45">
        <v>9.1</v>
      </c>
      <c r="AF7" s="45">
        <v>-38.700000000000003</v>
      </c>
      <c r="AG7" s="45">
        <v>57.9</v>
      </c>
      <c r="AH7" s="46">
        <v>-10.6</v>
      </c>
      <c r="AI7" s="45">
        <v>19.399999999999999</v>
      </c>
      <c r="AJ7" s="45">
        <v>-1.9</v>
      </c>
      <c r="AK7" s="45">
        <v>16.100000000000001</v>
      </c>
      <c r="AL7" s="46">
        <v>53.9</v>
      </c>
      <c r="AM7" s="45">
        <v>-94</v>
      </c>
      <c r="AN7" s="45">
        <v>-44.1</v>
      </c>
      <c r="AO7" s="45">
        <v>68.400000000000006</v>
      </c>
      <c r="AP7" s="46">
        <v>99.4</v>
      </c>
      <c r="AQ7" s="44">
        <v>-41.8</v>
      </c>
      <c r="AR7" s="45">
        <v>38.799999999999997</v>
      </c>
      <c r="AS7" s="45">
        <v>4.5</v>
      </c>
      <c r="AT7" s="45">
        <v>56.4</v>
      </c>
      <c r="AU7" s="48">
        <v>19.100000000000001</v>
      </c>
      <c r="AV7" s="47">
        <v>84.9</v>
      </c>
      <c r="AW7" s="45">
        <v>22.9</v>
      </c>
      <c r="AX7" s="45">
        <v>-12.3</v>
      </c>
      <c r="AY7" s="48">
        <v>-29.8</v>
      </c>
      <c r="AZ7" s="47">
        <v>7.2</v>
      </c>
      <c r="BA7" s="47">
        <v>101.7</v>
      </c>
      <c r="BB7" s="47">
        <v>-10.7</v>
      </c>
      <c r="BC7" s="48">
        <v>-6.7</v>
      </c>
      <c r="BD7" s="47">
        <v>142.5</v>
      </c>
      <c r="BE7" s="47">
        <v>4.0999999999999996</v>
      </c>
      <c r="BF7" s="47">
        <v>-86.9</v>
      </c>
      <c r="BG7" s="48">
        <v>189</v>
      </c>
      <c r="BH7" s="47">
        <v>50</v>
      </c>
      <c r="BI7" s="47">
        <v>208.9</v>
      </c>
      <c r="BJ7" s="47">
        <v>226.4</v>
      </c>
      <c r="BK7" s="48">
        <v>37.299999999999997</v>
      </c>
      <c r="BL7" s="47">
        <v>88.3</v>
      </c>
      <c r="BM7" s="47">
        <v>337.2</v>
      </c>
      <c r="BN7" s="47">
        <v>-269.7</v>
      </c>
      <c r="BO7" s="48">
        <v>-92.5</v>
      </c>
      <c r="BP7" s="47">
        <v>-79.5</v>
      </c>
      <c r="BQ7" s="47">
        <v>135.19999999999999</v>
      </c>
      <c r="BR7" s="47">
        <v>-184</v>
      </c>
      <c r="BS7" s="48">
        <v>-182.5</v>
      </c>
    </row>
    <row r="8" spans="1:74" s="150" customFormat="1" ht="10.8">
      <c r="A8" s="171" t="s">
        <v>641</v>
      </c>
      <c r="B8" s="171" t="s">
        <v>642</v>
      </c>
      <c r="C8" s="160">
        <v>32.4</v>
      </c>
      <c r="D8" s="161">
        <v>13.1</v>
      </c>
      <c r="E8" s="161">
        <v>190.6</v>
      </c>
      <c r="F8" s="161">
        <v>268.60000000000002</v>
      </c>
      <c r="G8" s="160">
        <v>198</v>
      </c>
      <c r="H8" s="161">
        <v>-88.9</v>
      </c>
      <c r="I8" s="161">
        <v>-457.8</v>
      </c>
      <c r="J8" s="162">
        <v>628</v>
      </c>
      <c r="K8" s="160">
        <v>2777.4</v>
      </c>
      <c r="L8" s="161">
        <v>-732.5</v>
      </c>
      <c r="M8" s="161">
        <v>-495.8</v>
      </c>
      <c r="N8" s="162">
        <v>-357.2</v>
      </c>
      <c r="O8" s="160">
        <v>-241.7</v>
      </c>
      <c r="P8" s="161">
        <v>179.2</v>
      </c>
      <c r="Q8" s="161">
        <v>-150.80000000000001</v>
      </c>
      <c r="R8" s="162">
        <v>-210.1</v>
      </c>
      <c r="S8" s="160">
        <v>-167.3</v>
      </c>
      <c r="T8" s="161">
        <v>98.6</v>
      </c>
      <c r="U8" s="45">
        <v>-143</v>
      </c>
      <c r="V8" s="46">
        <v>50.2</v>
      </c>
      <c r="W8" s="45">
        <v>-101</v>
      </c>
      <c r="X8" s="45">
        <v>-213.9</v>
      </c>
      <c r="Y8" s="45">
        <v>-53.4</v>
      </c>
      <c r="Z8" s="46">
        <v>12.2</v>
      </c>
      <c r="AA8" s="45">
        <v>-78.5</v>
      </c>
      <c r="AB8" s="45">
        <v>37.799999999999997</v>
      </c>
      <c r="AC8" s="45">
        <v>63.9</v>
      </c>
      <c r="AD8" s="46">
        <v>29.9</v>
      </c>
      <c r="AE8" s="45">
        <v>5.9</v>
      </c>
      <c r="AF8" s="45">
        <v>56.5</v>
      </c>
      <c r="AG8" s="45">
        <v>-39.5</v>
      </c>
      <c r="AH8" s="46">
        <v>18.8</v>
      </c>
      <c r="AI8" s="45">
        <v>-15.6</v>
      </c>
      <c r="AJ8" s="45">
        <v>17.399999999999999</v>
      </c>
      <c r="AK8" s="45">
        <v>-1.5</v>
      </c>
      <c r="AL8" s="46">
        <v>-41.9</v>
      </c>
      <c r="AM8" s="45">
        <v>108.2</v>
      </c>
      <c r="AN8" s="45">
        <v>45.8</v>
      </c>
      <c r="AO8" s="45">
        <v>-57.3</v>
      </c>
      <c r="AP8" s="46">
        <v>-88.8</v>
      </c>
      <c r="AQ8" s="44">
        <v>65.599999999999994</v>
      </c>
      <c r="AR8" s="45">
        <v>-21.3</v>
      </c>
      <c r="AS8" s="45">
        <v>17.100000000000001</v>
      </c>
      <c r="AT8" s="45">
        <v>-40.4</v>
      </c>
      <c r="AU8" s="48">
        <v>-10.8</v>
      </c>
      <c r="AV8" s="47">
        <v>-77.2</v>
      </c>
      <c r="AW8" s="45">
        <v>-14.5</v>
      </c>
      <c r="AX8" s="45">
        <v>23.6</v>
      </c>
      <c r="AY8" s="48">
        <v>44.9</v>
      </c>
      <c r="AZ8" s="47">
        <v>5.7</v>
      </c>
      <c r="BA8" s="47">
        <v>-88.8</v>
      </c>
      <c r="BB8" s="47">
        <v>16.2</v>
      </c>
      <c r="BC8" s="48">
        <v>30.3</v>
      </c>
      <c r="BD8" s="47">
        <v>-127.6</v>
      </c>
      <c r="BE8" s="47">
        <v>10.1</v>
      </c>
      <c r="BF8" s="47">
        <v>95.3</v>
      </c>
      <c r="BG8" s="48">
        <v>-169.1</v>
      </c>
      <c r="BH8" s="47">
        <v>-42.1</v>
      </c>
      <c r="BI8" s="47">
        <v>-203.6</v>
      </c>
      <c r="BJ8" s="47">
        <v>-242.7</v>
      </c>
      <c r="BK8" s="48">
        <v>-69.2</v>
      </c>
      <c r="BL8" s="47">
        <v>-177.4</v>
      </c>
      <c r="BM8" s="47">
        <v>-343.4</v>
      </c>
      <c r="BN8" s="47">
        <v>290.89999999999998</v>
      </c>
      <c r="BO8" s="48">
        <v>152.80000000000001</v>
      </c>
      <c r="BP8" s="47">
        <v>112.9</v>
      </c>
      <c r="BQ8" s="47">
        <v>-56.4</v>
      </c>
      <c r="BR8" s="47">
        <v>229.5</v>
      </c>
      <c r="BS8" s="48">
        <v>218.5</v>
      </c>
    </row>
    <row r="9" spans="1:74" s="150" customFormat="1" ht="10.8">
      <c r="A9" s="159" t="s">
        <v>643</v>
      </c>
      <c r="B9" s="159" t="s">
        <v>644</v>
      </c>
      <c r="C9" s="160">
        <v>8.6</v>
      </c>
      <c r="D9" s="161">
        <v>4.7</v>
      </c>
      <c r="E9" s="161">
        <v>-15.9</v>
      </c>
      <c r="F9" s="161">
        <v>-48.7</v>
      </c>
      <c r="G9" s="160">
        <v>-27.8</v>
      </c>
      <c r="H9" s="161">
        <v>62.6</v>
      </c>
      <c r="I9" s="161">
        <v>-35.9</v>
      </c>
      <c r="J9" s="162">
        <v>-279.8</v>
      </c>
      <c r="K9" s="160">
        <v>38.299999999999997</v>
      </c>
      <c r="L9" s="161">
        <v>94.2</v>
      </c>
      <c r="M9" s="161">
        <v>21.7</v>
      </c>
      <c r="N9" s="162">
        <v>57.1</v>
      </c>
      <c r="O9" s="160">
        <v>-2.5</v>
      </c>
      <c r="P9" s="161">
        <v>19.7</v>
      </c>
      <c r="Q9" s="161">
        <v>10.5</v>
      </c>
      <c r="R9" s="162">
        <v>2.7</v>
      </c>
      <c r="S9" s="160">
        <v>0</v>
      </c>
      <c r="T9" s="161">
        <v>9.6999999999999993</v>
      </c>
      <c r="U9" s="45">
        <v>17.2</v>
      </c>
      <c r="V9" s="46">
        <v>-27</v>
      </c>
      <c r="W9" s="45">
        <v>6.3</v>
      </c>
      <c r="X9" s="45">
        <v>1.2</v>
      </c>
      <c r="Y9" s="45">
        <v>13.2</v>
      </c>
      <c r="Z9" s="46">
        <v>6.3</v>
      </c>
      <c r="AA9" s="45">
        <f>-2.9-1</f>
        <v>-3.9</v>
      </c>
      <c r="AB9" s="45">
        <f>16-5.2</f>
        <v>10.8</v>
      </c>
      <c r="AC9" s="45">
        <f>15.9-16.2</f>
        <v>-0.29999999999999893</v>
      </c>
      <c r="AD9" s="46">
        <v>-1.5</v>
      </c>
      <c r="AE9" s="45">
        <f>9.6-0.4</f>
        <v>9.1999999999999993</v>
      </c>
      <c r="AF9" s="45">
        <v>3.2</v>
      </c>
      <c r="AG9" s="45">
        <v>3.5</v>
      </c>
      <c r="AH9" s="46">
        <v>12.3</v>
      </c>
      <c r="AI9" s="45">
        <v>10.5</v>
      </c>
      <c r="AJ9" s="45">
        <v>10.9</v>
      </c>
      <c r="AK9" s="45">
        <v>8</v>
      </c>
      <c r="AL9" s="46">
        <v>4.5999999999999996</v>
      </c>
      <c r="AM9" s="45">
        <v>2.7</v>
      </c>
      <c r="AN9" s="45">
        <v>-2.7</v>
      </c>
      <c r="AO9" s="45">
        <v>-1</v>
      </c>
      <c r="AP9" s="46">
        <v>-4.4000000000000004</v>
      </c>
      <c r="AQ9" s="44">
        <v>3.2</v>
      </c>
      <c r="AR9" s="45">
        <v>-1.8</v>
      </c>
      <c r="AS9" s="45">
        <v>-0.4</v>
      </c>
      <c r="AT9" s="45">
        <v>2.4</v>
      </c>
      <c r="AU9" s="48">
        <v>1.4</v>
      </c>
      <c r="AV9" s="47">
        <v>14.1</v>
      </c>
      <c r="AW9" s="45">
        <v>15.6</v>
      </c>
      <c r="AX9" s="45">
        <v>5</v>
      </c>
      <c r="AY9" s="48">
        <v>10.9</v>
      </c>
      <c r="AZ9" s="47">
        <v>1.5</v>
      </c>
      <c r="BA9" s="47">
        <v>10.199999999999999</v>
      </c>
      <c r="BB9" s="47">
        <v>16.8</v>
      </c>
      <c r="BC9" s="48">
        <v>-33</v>
      </c>
      <c r="BD9" s="47">
        <v>20.6</v>
      </c>
      <c r="BE9" s="47">
        <v>6.3</v>
      </c>
      <c r="BF9" s="47">
        <v>11.6</v>
      </c>
      <c r="BG9" s="48">
        <v>13.2</v>
      </c>
      <c r="BH9" s="47">
        <v>5.2</v>
      </c>
      <c r="BI9" s="47">
        <v>14.2</v>
      </c>
      <c r="BJ9" s="47">
        <v>11.4</v>
      </c>
      <c r="BK9" s="48">
        <v>72.5</v>
      </c>
      <c r="BL9" s="47">
        <v>38.200000000000003</v>
      </c>
      <c r="BM9" s="47">
        <v>21.9</v>
      </c>
      <c r="BN9" s="47">
        <v>-38.700000000000003</v>
      </c>
      <c r="BO9" s="48">
        <v>3.4</v>
      </c>
      <c r="BP9" s="47">
        <v>-4.7</v>
      </c>
      <c r="BQ9" s="47">
        <v>14.2</v>
      </c>
      <c r="BR9" s="47">
        <v>40.6</v>
      </c>
      <c r="BS9" s="48">
        <v>-28.1</v>
      </c>
    </row>
    <row r="10" spans="1:74" s="6" customFormat="1" ht="10.8">
      <c r="A10" s="163" t="s">
        <v>645</v>
      </c>
      <c r="B10" s="163" t="s">
        <v>646</v>
      </c>
      <c r="C10" s="160">
        <v>8</v>
      </c>
      <c r="D10" s="161">
        <v>-46.4</v>
      </c>
      <c r="E10" s="161">
        <v>5.7</v>
      </c>
      <c r="F10" s="161">
        <v>-16.399999999999999</v>
      </c>
      <c r="G10" s="160">
        <v>39.5</v>
      </c>
      <c r="H10" s="161">
        <v>-79.599999999999994</v>
      </c>
      <c r="I10" s="161">
        <v>71.5</v>
      </c>
      <c r="J10" s="162">
        <v>-113.9</v>
      </c>
      <c r="K10" s="160">
        <v>-5.5</v>
      </c>
      <c r="L10" s="161">
        <v>-8</v>
      </c>
      <c r="M10" s="161">
        <v>51.2</v>
      </c>
      <c r="N10" s="162">
        <v>20.6</v>
      </c>
      <c r="O10" s="160">
        <v>35.200000000000003</v>
      </c>
      <c r="P10" s="161">
        <v>7.3</v>
      </c>
      <c r="Q10" s="161">
        <v>3.3</v>
      </c>
      <c r="R10" s="162">
        <v>4.2</v>
      </c>
      <c r="S10" s="160">
        <v>8.9</v>
      </c>
      <c r="T10" s="161">
        <v>5</v>
      </c>
      <c r="U10" s="45">
        <v>4.4000000000000004</v>
      </c>
      <c r="V10" s="46">
        <v>10.8</v>
      </c>
      <c r="W10" s="45">
        <v>11.6</v>
      </c>
      <c r="X10" s="45">
        <v>3.1</v>
      </c>
      <c r="Y10" s="45">
        <v>0.4</v>
      </c>
      <c r="Z10" s="46">
        <v>-0.2</v>
      </c>
      <c r="AA10" s="45">
        <v>6.4</v>
      </c>
      <c r="AB10" s="45">
        <v>11.4</v>
      </c>
      <c r="AC10" s="45">
        <v>5.9</v>
      </c>
      <c r="AD10" s="46">
        <v>3.4</v>
      </c>
      <c r="AE10" s="45">
        <v>0.1</v>
      </c>
      <c r="AF10" s="45">
        <v>1.5</v>
      </c>
      <c r="AG10" s="45">
        <v>1.4</v>
      </c>
      <c r="AH10" s="46">
        <v>2.5</v>
      </c>
      <c r="AI10" s="45">
        <v>0.8</v>
      </c>
      <c r="AJ10" s="45">
        <v>1.1000000000000001</v>
      </c>
      <c r="AK10" s="45">
        <v>-3.1</v>
      </c>
      <c r="AL10" s="46">
        <v>6.3</v>
      </c>
      <c r="AM10" s="45">
        <v>6.1</v>
      </c>
      <c r="AN10" s="45">
        <v>6.1</v>
      </c>
      <c r="AO10" s="45">
        <v>6.3</v>
      </c>
      <c r="AP10" s="46">
        <v>6.5</v>
      </c>
      <c r="AQ10" s="44">
        <v>9.6999999999999993</v>
      </c>
      <c r="AR10" s="45">
        <v>11.9</v>
      </c>
      <c r="AS10" s="45">
        <v>10.1</v>
      </c>
      <c r="AT10" s="45">
        <v>4.8</v>
      </c>
      <c r="AU10" s="48">
        <v>8.3000000000000007</v>
      </c>
      <c r="AV10" s="47">
        <v>2.5</v>
      </c>
      <c r="AW10" s="45">
        <v>3.1</v>
      </c>
      <c r="AX10" s="45">
        <v>5.0999999999999996</v>
      </c>
      <c r="AY10" s="48">
        <v>5.4</v>
      </c>
      <c r="AZ10" s="47">
        <v>10.7</v>
      </c>
      <c r="BA10" s="47">
        <v>3.4</v>
      </c>
      <c r="BB10" s="47">
        <v>2.9</v>
      </c>
      <c r="BC10" s="48">
        <v>23.1</v>
      </c>
      <c r="BD10" s="47">
        <v>8.7999999999999972</v>
      </c>
      <c r="BE10" s="47">
        <v>4.2</v>
      </c>
      <c r="BF10" s="47">
        <v>0.7</v>
      </c>
      <c r="BG10" s="48">
        <v>1.4</v>
      </c>
      <c r="BH10" s="47">
        <v>2.1</v>
      </c>
      <c r="BI10" s="47">
        <v>1.6</v>
      </c>
      <c r="BJ10" s="47">
        <v>1.8</v>
      </c>
      <c r="BK10" s="48">
        <v>9.6999999999999993</v>
      </c>
      <c r="BL10" s="47">
        <v>9.6999999999999993</v>
      </c>
      <c r="BM10" s="47">
        <v>9.4</v>
      </c>
      <c r="BN10" s="47">
        <v>20.100000000000001</v>
      </c>
      <c r="BO10" s="48">
        <v>9.9</v>
      </c>
      <c r="BP10" s="47">
        <v>8.6999999999999993</v>
      </c>
      <c r="BQ10" s="47">
        <v>15.9</v>
      </c>
      <c r="BR10" s="47">
        <v>25.7</v>
      </c>
      <c r="BS10" s="48">
        <v>11</v>
      </c>
    </row>
    <row r="11" spans="1:74" s="6" customFormat="1" ht="10.8">
      <c r="A11" s="163" t="s">
        <v>647</v>
      </c>
      <c r="B11" s="163" t="s">
        <v>648</v>
      </c>
      <c r="C11" s="160">
        <v>-9</v>
      </c>
      <c r="D11" s="161">
        <v>14.3</v>
      </c>
      <c r="E11" s="161">
        <v>3.5</v>
      </c>
      <c r="F11" s="161">
        <v>8.6</v>
      </c>
      <c r="G11" s="160">
        <v>14.3</v>
      </c>
      <c r="H11" s="161">
        <v>5.9</v>
      </c>
      <c r="I11" s="161">
        <v>8.6999999999999993</v>
      </c>
      <c r="J11" s="162">
        <v>3.1</v>
      </c>
      <c r="K11" s="160">
        <v>3.8</v>
      </c>
      <c r="L11" s="161">
        <v>1.2</v>
      </c>
      <c r="M11" s="161">
        <v>-1</v>
      </c>
      <c r="N11" s="162">
        <v>4</v>
      </c>
      <c r="O11" s="160">
        <v>1.8</v>
      </c>
      <c r="P11" s="161">
        <v>1.5</v>
      </c>
      <c r="Q11" s="161">
        <v>-0.1</v>
      </c>
      <c r="R11" s="162">
        <v>2</v>
      </c>
      <c r="S11" s="160">
        <v>2.2000000000000002</v>
      </c>
      <c r="T11" s="161">
        <v>1.1000000000000001</v>
      </c>
      <c r="U11" s="45">
        <v>4.4000000000000004</v>
      </c>
      <c r="V11" s="46">
        <v>-0.2</v>
      </c>
      <c r="W11" s="45">
        <v>0.5</v>
      </c>
      <c r="X11" s="45">
        <v>0.6</v>
      </c>
      <c r="Y11" s="45">
        <v>0.5</v>
      </c>
      <c r="Z11" s="46">
        <v>0.7</v>
      </c>
      <c r="AA11" s="45">
        <v>0.7</v>
      </c>
      <c r="AB11" s="45">
        <v>0.7</v>
      </c>
      <c r="AC11" s="45">
        <v>0.7</v>
      </c>
      <c r="AD11" s="46">
        <v>0.7</v>
      </c>
      <c r="AE11" s="45">
        <v>0.6</v>
      </c>
      <c r="AF11" s="45">
        <v>0.3</v>
      </c>
      <c r="AG11" s="45">
        <v>0.3</v>
      </c>
      <c r="AH11" s="46">
        <v>0.1</v>
      </c>
      <c r="AI11" s="45">
        <v>0.1</v>
      </c>
      <c r="AJ11" s="45">
        <v>0</v>
      </c>
      <c r="AK11" s="45">
        <v>0</v>
      </c>
      <c r="AL11" s="46">
        <v>0</v>
      </c>
      <c r="AM11" s="45">
        <v>0</v>
      </c>
      <c r="AN11" s="45">
        <v>0</v>
      </c>
      <c r="AO11" s="45">
        <v>0</v>
      </c>
      <c r="AP11" s="46">
        <v>0</v>
      </c>
      <c r="AQ11" s="44">
        <v>0</v>
      </c>
      <c r="AR11" s="45">
        <v>0</v>
      </c>
      <c r="AS11" s="45">
        <v>0</v>
      </c>
      <c r="AT11" s="45">
        <v>0</v>
      </c>
      <c r="AU11" s="48">
        <v>0</v>
      </c>
      <c r="AV11" s="47">
        <v>0</v>
      </c>
      <c r="AW11" s="45">
        <v>0</v>
      </c>
      <c r="AX11" s="45">
        <v>0</v>
      </c>
      <c r="AY11" s="48">
        <v>0</v>
      </c>
      <c r="AZ11" s="47">
        <v>0</v>
      </c>
      <c r="BA11" s="47">
        <v>0</v>
      </c>
      <c r="BB11" s="47">
        <v>0</v>
      </c>
      <c r="BC11" s="48">
        <v>0</v>
      </c>
      <c r="BD11" s="47">
        <v>0</v>
      </c>
      <c r="BE11" s="47">
        <v>0</v>
      </c>
      <c r="BF11" s="47">
        <v>0</v>
      </c>
      <c r="BG11" s="48">
        <v>0</v>
      </c>
      <c r="BH11" s="47">
        <v>0</v>
      </c>
      <c r="BI11" s="47">
        <v>0</v>
      </c>
      <c r="BJ11" s="47">
        <v>0</v>
      </c>
      <c r="BK11" s="48">
        <v>0</v>
      </c>
      <c r="BL11" s="47">
        <v>0</v>
      </c>
      <c r="BM11" s="47">
        <v>0</v>
      </c>
      <c r="BN11" s="47">
        <v>0</v>
      </c>
      <c r="BO11" s="48">
        <v>0</v>
      </c>
      <c r="BP11" s="47">
        <v>0</v>
      </c>
      <c r="BQ11" s="47">
        <v>0</v>
      </c>
      <c r="BR11" s="47">
        <v>0</v>
      </c>
      <c r="BS11" s="48">
        <v>0</v>
      </c>
    </row>
    <row r="12" spans="1:74" s="6" customFormat="1" ht="10.8">
      <c r="A12" s="163" t="s">
        <v>649</v>
      </c>
      <c r="B12" s="163" t="s">
        <v>650</v>
      </c>
      <c r="C12" s="160">
        <v>-0.7</v>
      </c>
      <c r="D12" s="161">
        <v>2.1</v>
      </c>
      <c r="E12" s="161">
        <v>0.2</v>
      </c>
      <c r="F12" s="161">
        <v>-4.5999999999999996</v>
      </c>
      <c r="G12" s="160">
        <v>-9.1999999999999993</v>
      </c>
      <c r="H12" s="161">
        <v>-1.3</v>
      </c>
      <c r="I12" s="161">
        <v>-1.8</v>
      </c>
      <c r="J12" s="162">
        <v>-6.7</v>
      </c>
      <c r="K12" s="160">
        <v>-0.7</v>
      </c>
      <c r="L12" s="161">
        <v>2.8</v>
      </c>
      <c r="M12" s="161">
        <v>4.9000000000000004</v>
      </c>
      <c r="N12" s="162">
        <v>-0.5</v>
      </c>
      <c r="O12" s="160">
        <v>0</v>
      </c>
      <c r="P12" s="161">
        <v>-0.3</v>
      </c>
      <c r="Q12" s="161">
        <v>1.9</v>
      </c>
      <c r="R12" s="162">
        <v>0</v>
      </c>
      <c r="S12" s="160">
        <v>-1</v>
      </c>
      <c r="T12" s="161">
        <v>-0.2</v>
      </c>
      <c r="U12" s="45">
        <v>-3.5</v>
      </c>
      <c r="V12" s="46">
        <v>0.6</v>
      </c>
      <c r="W12" s="48" t="s">
        <v>28</v>
      </c>
      <c r="X12" s="47" t="s">
        <v>28</v>
      </c>
      <c r="Y12" s="47" t="s">
        <v>28</v>
      </c>
      <c r="Z12" s="47" t="s">
        <v>28</v>
      </c>
      <c r="AA12" s="48" t="s">
        <v>28</v>
      </c>
      <c r="AB12" s="47" t="s">
        <v>28</v>
      </c>
      <c r="AC12" s="47" t="s">
        <v>28</v>
      </c>
      <c r="AD12" s="47" t="s">
        <v>28</v>
      </c>
      <c r="AE12" s="48" t="s">
        <v>28</v>
      </c>
      <c r="AF12" s="47" t="s">
        <v>28</v>
      </c>
      <c r="AG12" s="47" t="s">
        <v>28</v>
      </c>
      <c r="AH12" s="47" t="s">
        <v>28</v>
      </c>
      <c r="AI12" s="48" t="s">
        <v>28</v>
      </c>
      <c r="AJ12" s="47" t="s">
        <v>28</v>
      </c>
      <c r="AK12" s="47" t="s">
        <v>28</v>
      </c>
      <c r="AL12" s="47" t="s">
        <v>28</v>
      </c>
      <c r="AM12" s="48" t="s">
        <v>28</v>
      </c>
      <c r="AN12" s="47" t="s">
        <v>28</v>
      </c>
      <c r="AO12" s="47" t="s">
        <v>28</v>
      </c>
      <c r="AP12" s="47" t="s">
        <v>28</v>
      </c>
      <c r="AQ12" s="48" t="s">
        <v>28</v>
      </c>
      <c r="AR12" s="47" t="s">
        <v>28</v>
      </c>
      <c r="AS12" s="47" t="s">
        <v>28</v>
      </c>
      <c r="AT12" s="47" t="s">
        <v>28</v>
      </c>
      <c r="AU12" s="48" t="s">
        <v>28</v>
      </c>
      <c r="AV12" s="47" t="s">
        <v>28</v>
      </c>
      <c r="AW12" s="47" t="s">
        <v>28</v>
      </c>
      <c r="AX12" s="47" t="s">
        <v>28</v>
      </c>
      <c r="AY12" s="48" t="s">
        <v>28</v>
      </c>
      <c r="AZ12" s="47" t="s">
        <v>28</v>
      </c>
      <c r="BA12" s="47" t="s">
        <v>28</v>
      </c>
      <c r="BB12" s="47" t="s">
        <v>28</v>
      </c>
      <c r="BC12" s="48" t="s">
        <v>28</v>
      </c>
      <c r="BD12" s="47" t="s">
        <v>28</v>
      </c>
      <c r="BE12" s="47" t="s">
        <v>28</v>
      </c>
      <c r="BF12" s="47" t="s">
        <v>28</v>
      </c>
      <c r="BG12" s="48" t="s">
        <v>28</v>
      </c>
      <c r="BH12" s="47" t="s">
        <v>28</v>
      </c>
      <c r="BI12" s="47" t="s">
        <v>28</v>
      </c>
      <c r="BJ12" s="47" t="s">
        <v>28</v>
      </c>
      <c r="BK12" s="48" t="s">
        <v>28</v>
      </c>
      <c r="BL12" s="47" t="s">
        <v>28</v>
      </c>
      <c r="BM12" s="47" t="s">
        <v>28</v>
      </c>
      <c r="BN12" s="47" t="s">
        <v>28</v>
      </c>
      <c r="BO12" s="48" t="s">
        <v>28</v>
      </c>
      <c r="BP12" s="47" t="s">
        <v>28</v>
      </c>
      <c r="BQ12" s="47">
        <v>-0.1</v>
      </c>
      <c r="BR12" s="47">
        <v>0</v>
      </c>
      <c r="BS12" s="48">
        <v>0</v>
      </c>
    </row>
    <row r="13" spans="1:74" s="164" customFormat="1" ht="22.5" customHeight="1">
      <c r="A13" s="155" t="s">
        <v>651</v>
      </c>
      <c r="B13" s="155" t="s">
        <v>652</v>
      </c>
      <c r="C13" s="183" t="s">
        <v>28</v>
      </c>
      <c r="D13" s="184" t="s">
        <v>28</v>
      </c>
      <c r="E13" s="184" t="s">
        <v>28</v>
      </c>
      <c r="F13" s="184" t="s">
        <v>28</v>
      </c>
      <c r="G13" s="183" t="s">
        <v>28</v>
      </c>
      <c r="H13" s="184" t="s">
        <v>28</v>
      </c>
      <c r="I13" s="184" t="s">
        <v>28</v>
      </c>
      <c r="J13" s="184" t="s">
        <v>28</v>
      </c>
      <c r="K13" s="183" t="s">
        <v>28</v>
      </c>
      <c r="L13" s="184" t="s">
        <v>28</v>
      </c>
      <c r="M13" s="184" t="s">
        <v>28</v>
      </c>
      <c r="N13" s="184" t="s">
        <v>28</v>
      </c>
      <c r="O13" s="183" t="s">
        <v>28</v>
      </c>
      <c r="P13" s="184" t="s">
        <v>28</v>
      </c>
      <c r="Q13" s="184" t="s">
        <v>28</v>
      </c>
      <c r="R13" s="184" t="s">
        <v>28</v>
      </c>
      <c r="S13" s="183" t="s">
        <v>28</v>
      </c>
      <c r="T13" s="184" t="s">
        <v>28</v>
      </c>
      <c r="U13" s="47" t="s">
        <v>28</v>
      </c>
      <c r="V13" s="47" t="s">
        <v>28</v>
      </c>
      <c r="W13" s="48" t="s">
        <v>28</v>
      </c>
      <c r="X13" s="47" t="s">
        <v>28</v>
      </c>
      <c r="Y13" s="47" t="s">
        <v>28</v>
      </c>
      <c r="Z13" s="47" t="s">
        <v>28</v>
      </c>
      <c r="AA13" s="48" t="s">
        <v>28</v>
      </c>
      <c r="AB13" s="47" t="s">
        <v>28</v>
      </c>
      <c r="AC13" s="47" t="s">
        <v>28</v>
      </c>
      <c r="AD13" s="47" t="s">
        <v>28</v>
      </c>
      <c r="AE13" s="48" t="s">
        <v>28</v>
      </c>
      <c r="AF13" s="47" t="s">
        <v>28</v>
      </c>
      <c r="AG13" s="47" t="s">
        <v>28</v>
      </c>
      <c r="AH13" s="47" t="s">
        <v>28</v>
      </c>
      <c r="AI13" s="48" t="s">
        <v>28</v>
      </c>
      <c r="AJ13" s="47" t="s">
        <v>28</v>
      </c>
      <c r="AK13" s="47" t="s">
        <v>28</v>
      </c>
      <c r="AL13" s="47" t="s">
        <v>28</v>
      </c>
      <c r="AM13" s="48" t="s">
        <v>28</v>
      </c>
      <c r="AN13" s="47" t="s">
        <v>28</v>
      </c>
      <c r="AO13" s="47" t="s">
        <v>28</v>
      </c>
      <c r="AP13" s="47" t="s">
        <v>28</v>
      </c>
      <c r="AQ13" s="48" t="s">
        <v>28</v>
      </c>
      <c r="AR13" s="47" t="s">
        <v>28</v>
      </c>
      <c r="AS13" s="47" t="s">
        <v>28</v>
      </c>
      <c r="AT13" s="47" t="s">
        <v>28</v>
      </c>
      <c r="AU13" s="48">
        <v>0</v>
      </c>
      <c r="AV13" s="47">
        <v>0.1</v>
      </c>
      <c r="AW13" s="45">
        <v>0</v>
      </c>
      <c r="AX13" s="45">
        <v>0</v>
      </c>
      <c r="AY13" s="48">
        <v>0</v>
      </c>
      <c r="AZ13" s="47">
        <v>0</v>
      </c>
      <c r="BA13" s="47">
        <v>0.1</v>
      </c>
      <c r="BB13" s="47">
        <v>0</v>
      </c>
      <c r="BC13" s="48">
        <v>0.2</v>
      </c>
      <c r="BD13" s="47">
        <v>0</v>
      </c>
      <c r="BE13" s="47">
        <v>-0.3</v>
      </c>
      <c r="BF13" s="47">
        <v>0.2</v>
      </c>
      <c r="BG13" s="48">
        <v>-0.2</v>
      </c>
      <c r="BH13" s="47">
        <v>0.2</v>
      </c>
      <c r="BI13" s="47">
        <v>0.2</v>
      </c>
      <c r="BJ13" s="47">
        <v>0</v>
      </c>
      <c r="BK13" s="48">
        <v>-0.1</v>
      </c>
      <c r="BL13" s="47">
        <v>0.1</v>
      </c>
      <c r="BM13" s="47">
        <v>0</v>
      </c>
      <c r="BN13" s="47">
        <v>0</v>
      </c>
      <c r="BO13" s="48">
        <v>0</v>
      </c>
      <c r="BP13" s="47">
        <v>0</v>
      </c>
      <c r="BQ13" s="47">
        <v>0</v>
      </c>
      <c r="BR13" s="47">
        <v>0.5</v>
      </c>
      <c r="BS13" s="48">
        <v>0</v>
      </c>
    </row>
    <row r="14" spans="1:74" s="164" customFormat="1" ht="21.6">
      <c r="A14" s="203" t="s">
        <v>653</v>
      </c>
      <c r="B14" s="203" t="s">
        <v>654</v>
      </c>
      <c r="C14" s="160" t="s">
        <v>28</v>
      </c>
      <c r="D14" s="161" t="s">
        <v>28</v>
      </c>
      <c r="E14" s="161" t="s">
        <v>28</v>
      </c>
      <c r="F14" s="161" t="s">
        <v>28</v>
      </c>
      <c r="G14" s="160" t="s">
        <v>28</v>
      </c>
      <c r="H14" s="161" t="s">
        <v>28</v>
      </c>
      <c r="I14" s="161" t="s">
        <v>28</v>
      </c>
      <c r="J14" s="162" t="s">
        <v>28</v>
      </c>
      <c r="K14" s="160" t="s">
        <v>28</v>
      </c>
      <c r="L14" s="161" t="s">
        <v>28</v>
      </c>
      <c r="M14" s="161" t="s">
        <v>28</v>
      </c>
      <c r="N14" s="162" t="s">
        <v>28</v>
      </c>
      <c r="O14" s="160" t="s">
        <v>28</v>
      </c>
      <c r="P14" s="161" t="s">
        <v>28</v>
      </c>
      <c r="Q14" s="161" t="s">
        <v>28</v>
      </c>
      <c r="R14" s="162" t="s">
        <v>28</v>
      </c>
      <c r="S14" s="160" t="s">
        <v>28</v>
      </c>
      <c r="T14" s="161" t="s">
        <v>28</v>
      </c>
      <c r="U14" s="45" t="s">
        <v>28</v>
      </c>
      <c r="V14" s="46" t="s">
        <v>28</v>
      </c>
      <c r="W14" s="45" t="s">
        <v>28</v>
      </c>
      <c r="X14" s="45" t="s">
        <v>28</v>
      </c>
      <c r="Y14" s="45" t="s">
        <v>28</v>
      </c>
      <c r="Z14" s="46" t="s">
        <v>28</v>
      </c>
      <c r="AA14" s="45" t="s">
        <v>28</v>
      </c>
      <c r="AB14" s="45" t="s">
        <v>28</v>
      </c>
      <c r="AC14" s="45" t="s">
        <v>28</v>
      </c>
      <c r="AD14" s="46" t="s">
        <v>28</v>
      </c>
      <c r="AE14" s="45" t="s">
        <v>28</v>
      </c>
      <c r="AF14" s="45" t="s">
        <v>28</v>
      </c>
      <c r="AG14" s="45" t="s">
        <v>28</v>
      </c>
      <c r="AH14" s="46" t="s">
        <v>28</v>
      </c>
      <c r="AI14" s="45" t="s">
        <v>28</v>
      </c>
      <c r="AJ14" s="45" t="s">
        <v>28</v>
      </c>
      <c r="AK14" s="45" t="s">
        <v>28</v>
      </c>
      <c r="AL14" s="46" t="s">
        <v>28</v>
      </c>
      <c r="AM14" s="45" t="s">
        <v>28</v>
      </c>
      <c r="AN14" s="45" t="s">
        <v>28</v>
      </c>
      <c r="AO14" s="45" t="s">
        <v>28</v>
      </c>
      <c r="AP14" s="46" t="s">
        <v>28</v>
      </c>
      <c r="AQ14" s="48" t="s">
        <v>28</v>
      </c>
      <c r="AR14" s="47" t="s">
        <v>28</v>
      </c>
      <c r="AS14" s="47" t="s">
        <v>28</v>
      </c>
      <c r="AT14" s="47" t="s">
        <v>28</v>
      </c>
      <c r="AU14" s="48">
        <v>0</v>
      </c>
      <c r="AV14" s="47">
        <v>0</v>
      </c>
      <c r="AW14" s="45">
        <v>0</v>
      </c>
      <c r="AX14" s="45">
        <v>0</v>
      </c>
      <c r="AY14" s="48">
        <v>0</v>
      </c>
      <c r="AZ14" s="47">
        <v>0</v>
      </c>
      <c r="BA14" s="47">
        <v>0</v>
      </c>
      <c r="BB14" s="47">
        <v>0</v>
      </c>
      <c r="BC14" s="48">
        <v>0</v>
      </c>
      <c r="BD14" s="47">
        <v>0</v>
      </c>
      <c r="BE14" s="47">
        <v>0</v>
      </c>
      <c r="BF14" s="47">
        <v>0</v>
      </c>
      <c r="BG14" s="48">
        <v>0</v>
      </c>
      <c r="BH14" s="47">
        <v>0</v>
      </c>
      <c r="BI14" s="47">
        <v>1.1000000000000001</v>
      </c>
      <c r="BJ14" s="47">
        <v>-4.7</v>
      </c>
      <c r="BK14" s="48">
        <v>-3.1</v>
      </c>
      <c r="BL14" s="47">
        <v>-1.2</v>
      </c>
      <c r="BM14" s="47">
        <v>0.3</v>
      </c>
      <c r="BN14" s="47">
        <v>-0.7</v>
      </c>
      <c r="BO14" s="48">
        <v>0</v>
      </c>
      <c r="BP14" s="47">
        <v>0</v>
      </c>
      <c r="BQ14" s="47">
        <v>0</v>
      </c>
      <c r="BR14" s="47">
        <v>0</v>
      </c>
      <c r="BS14" s="48">
        <v>0</v>
      </c>
    </row>
    <row r="15" spans="1:74" s="170" customFormat="1" ht="21.6">
      <c r="A15" s="155" t="s">
        <v>655</v>
      </c>
      <c r="B15" s="155" t="s">
        <v>656</v>
      </c>
      <c r="C15" s="156">
        <f t="shared" ref="C15:X15" si="2">C16+C17</f>
        <v>0.8</v>
      </c>
      <c r="D15" s="157">
        <f t="shared" si="2"/>
        <v>2.2999999999999998</v>
      </c>
      <c r="E15" s="157">
        <f t="shared" si="2"/>
        <v>0.4</v>
      </c>
      <c r="F15" s="158">
        <f t="shared" si="2"/>
        <v>2.9</v>
      </c>
      <c r="G15" s="157">
        <f t="shared" si="2"/>
        <v>17.899999999999999</v>
      </c>
      <c r="H15" s="157">
        <f t="shared" si="2"/>
        <v>-14.200000000000001</v>
      </c>
      <c r="I15" s="157">
        <f t="shared" si="2"/>
        <v>-6.1000000000000005</v>
      </c>
      <c r="J15" s="157">
        <f t="shared" si="2"/>
        <v>5.2</v>
      </c>
      <c r="K15" s="156">
        <f t="shared" si="2"/>
        <v>-1.7000000000000002</v>
      </c>
      <c r="L15" s="157">
        <f t="shared" si="2"/>
        <v>-0.2</v>
      </c>
      <c r="M15" s="157">
        <f t="shared" si="2"/>
        <v>0</v>
      </c>
      <c r="N15" s="158">
        <f t="shared" si="2"/>
        <v>-0.8</v>
      </c>
      <c r="O15" s="157">
        <f t="shared" si="2"/>
        <v>-0.2</v>
      </c>
      <c r="P15" s="157">
        <f t="shared" si="2"/>
        <v>-1.4</v>
      </c>
      <c r="Q15" s="157">
        <f t="shared" si="2"/>
        <v>-1.4</v>
      </c>
      <c r="R15" s="157">
        <f t="shared" si="2"/>
        <v>-1</v>
      </c>
      <c r="S15" s="156">
        <f t="shared" si="2"/>
        <v>-0.3</v>
      </c>
      <c r="T15" s="157">
        <f t="shared" si="2"/>
        <v>-0.5</v>
      </c>
      <c r="U15" s="36">
        <f t="shared" si="2"/>
        <v>0</v>
      </c>
      <c r="V15" s="37">
        <f t="shared" si="2"/>
        <v>0</v>
      </c>
      <c r="W15" s="36">
        <f t="shared" si="2"/>
        <v>0.6</v>
      </c>
      <c r="X15" s="36">
        <f t="shared" si="2"/>
        <v>-1.2</v>
      </c>
      <c r="Y15" s="36">
        <f>Y16+Y17</f>
        <v>0</v>
      </c>
      <c r="Z15" s="37">
        <f>Z16+Z17</f>
        <v>0</v>
      </c>
      <c r="AA15" s="36">
        <f>AA16+AA17</f>
        <v>0</v>
      </c>
      <c r="AB15" s="36">
        <f>AB16+AB17</f>
        <v>0</v>
      </c>
      <c r="AC15" s="36">
        <f>AC16+AC17</f>
        <v>0</v>
      </c>
      <c r="AD15" s="37">
        <v>0</v>
      </c>
      <c r="AE15" s="36">
        <v>0</v>
      </c>
      <c r="AF15" s="36">
        <v>0</v>
      </c>
      <c r="AG15" s="36">
        <v>0</v>
      </c>
      <c r="AH15" s="37">
        <v>0</v>
      </c>
      <c r="AI15" s="36">
        <v>0</v>
      </c>
      <c r="AJ15" s="36">
        <v>0</v>
      </c>
      <c r="AK15" s="36">
        <v>0</v>
      </c>
      <c r="AL15" s="37">
        <v>0</v>
      </c>
      <c r="AM15" s="36">
        <v>0</v>
      </c>
      <c r="AN15" s="36">
        <v>0</v>
      </c>
      <c r="AO15" s="36">
        <v>0</v>
      </c>
      <c r="AP15" s="37">
        <v>0</v>
      </c>
      <c r="AQ15" s="35">
        <f>+AQ16+AQ17</f>
        <v>0</v>
      </c>
      <c r="AR15" s="36">
        <f>+AR16+AR17</f>
        <v>0</v>
      </c>
      <c r="AS15" s="36">
        <f>+AS16+AS17</f>
        <v>0</v>
      </c>
      <c r="AT15" s="36">
        <f>+AT16+AT17</f>
        <v>0</v>
      </c>
      <c r="AU15" s="39" t="s">
        <v>28</v>
      </c>
      <c r="AV15" s="38" t="s">
        <v>28</v>
      </c>
      <c r="AW15" s="38" t="s">
        <v>28</v>
      </c>
      <c r="AX15" s="38" t="s">
        <v>28</v>
      </c>
      <c r="AY15" s="39" t="s">
        <v>28</v>
      </c>
      <c r="AZ15" s="38" t="s">
        <v>28</v>
      </c>
      <c r="BA15" s="38" t="s">
        <v>28</v>
      </c>
      <c r="BB15" s="38" t="s">
        <v>28</v>
      </c>
      <c r="BC15" s="39" t="s">
        <v>28</v>
      </c>
      <c r="BD15" s="38" t="s">
        <v>28</v>
      </c>
      <c r="BE15" s="38" t="s">
        <v>28</v>
      </c>
      <c r="BF15" s="38" t="s">
        <v>28</v>
      </c>
      <c r="BG15" s="39" t="s">
        <v>28</v>
      </c>
      <c r="BH15" s="38" t="s">
        <v>28</v>
      </c>
      <c r="BI15" s="38" t="s">
        <v>28</v>
      </c>
      <c r="BJ15" s="38" t="s">
        <v>28</v>
      </c>
      <c r="BK15" s="39" t="s">
        <v>28</v>
      </c>
      <c r="BL15" s="38" t="s">
        <v>28</v>
      </c>
      <c r="BM15" s="38" t="s">
        <v>28</v>
      </c>
      <c r="BN15" s="38" t="s">
        <v>28</v>
      </c>
      <c r="BO15" s="39" t="s">
        <v>28</v>
      </c>
      <c r="BP15" s="38" t="s">
        <v>28</v>
      </c>
      <c r="BQ15" s="38" t="s">
        <v>28</v>
      </c>
      <c r="BR15" s="38" t="s">
        <v>28</v>
      </c>
      <c r="BS15" s="39" t="s">
        <v>28</v>
      </c>
    </row>
    <row r="16" spans="1:74" s="164" customFormat="1" ht="10.8">
      <c r="A16" s="159" t="s">
        <v>657</v>
      </c>
      <c r="B16" s="159" t="s">
        <v>658</v>
      </c>
      <c r="C16" s="160">
        <v>0.8</v>
      </c>
      <c r="D16" s="161">
        <v>2.2999999999999998</v>
      </c>
      <c r="E16" s="161">
        <v>0.4</v>
      </c>
      <c r="F16" s="161">
        <v>2.9</v>
      </c>
      <c r="G16" s="160">
        <v>-0.1</v>
      </c>
      <c r="H16" s="161">
        <v>-1.9</v>
      </c>
      <c r="I16" s="161">
        <v>1.8</v>
      </c>
      <c r="J16" s="162">
        <v>0.8</v>
      </c>
      <c r="K16" s="160">
        <v>0.4</v>
      </c>
      <c r="L16" s="161">
        <v>-0.2</v>
      </c>
      <c r="M16" s="161">
        <v>0</v>
      </c>
      <c r="N16" s="162">
        <v>-0.8</v>
      </c>
      <c r="O16" s="160">
        <v>-0.2</v>
      </c>
      <c r="P16" s="161">
        <v>-1.4</v>
      </c>
      <c r="Q16" s="161">
        <v>-1.4</v>
      </c>
      <c r="R16" s="162">
        <v>-1</v>
      </c>
      <c r="S16" s="160">
        <v>-0.3</v>
      </c>
      <c r="T16" s="161">
        <v>-0.5</v>
      </c>
      <c r="U16" s="45">
        <v>0</v>
      </c>
      <c r="V16" s="46">
        <v>0</v>
      </c>
      <c r="W16" s="45">
        <v>0.6</v>
      </c>
      <c r="X16" s="45">
        <v>-1.2</v>
      </c>
      <c r="Y16" s="45">
        <v>0</v>
      </c>
      <c r="Z16" s="46">
        <v>0</v>
      </c>
      <c r="AA16" s="45">
        <v>0</v>
      </c>
      <c r="AB16" s="45">
        <v>0</v>
      </c>
      <c r="AC16" s="45">
        <v>0</v>
      </c>
      <c r="AD16" s="46">
        <v>0</v>
      </c>
      <c r="AE16" s="45">
        <v>0</v>
      </c>
      <c r="AF16" s="45">
        <v>0</v>
      </c>
      <c r="AG16" s="45">
        <v>0</v>
      </c>
      <c r="AH16" s="46">
        <v>0</v>
      </c>
      <c r="AI16" s="45">
        <v>0</v>
      </c>
      <c r="AJ16" s="45">
        <v>0</v>
      </c>
      <c r="AK16" s="45">
        <v>0</v>
      </c>
      <c r="AL16" s="46">
        <v>0</v>
      </c>
      <c r="AM16" s="45">
        <v>0</v>
      </c>
      <c r="AN16" s="45">
        <v>0</v>
      </c>
      <c r="AO16" s="45">
        <v>0</v>
      </c>
      <c r="AP16" s="46">
        <v>0</v>
      </c>
      <c r="AQ16" s="44">
        <v>0</v>
      </c>
      <c r="AR16" s="45">
        <v>0</v>
      </c>
      <c r="AS16" s="45">
        <v>0</v>
      </c>
      <c r="AT16" s="45">
        <v>0</v>
      </c>
      <c r="AU16" s="48" t="s">
        <v>28</v>
      </c>
      <c r="AV16" s="47" t="s">
        <v>28</v>
      </c>
      <c r="AW16" s="47" t="s">
        <v>28</v>
      </c>
      <c r="AX16" s="47" t="s">
        <v>28</v>
      </c>
      <c r="AY16" s="48" t="s">
        <v>28</v>
      </c>
      <c r="AZ16" s="47" t="s">
        <v>28</v>
      </c>
      <c r="BA16" s="47" t="s">
        <v>28</v>
      </c>
      <c r="BB16" s="47" t="s">
        <v>28</v>
      </c>
      <c r="BC16" s="48" t="s">
        <v>28</v>
      </c>
      <c r="BD16" s="47" t="s">
        <v>28</v>
      </c>
      <c r="BE16" s="47" t="s">
        <v>28</v>
      </c>
      <c r="BF16" s="47" t="s">
        <v>28</v>
      </c>
      <c r="BG16" s="48" t="s">
        <v>28</v>
      </c>
      <c r="BH16" s="47" t="s">
        <v>28</v>
      </c>
      <c r="BI16" s="47" t="s">
        <v>28</v>
      </c>
      <c r="BJ16" s="47" t="s">
        <v>28</v>
      </c>
      <c r="BK16" s="48" t="s">
        <v>28</v>
      </c>
      <c r="BL16" s="47" t="s">
        <v>28</v>
      </c>
      <c r="BM16" s="47" t="s">
        <v>28</v>
      </c>
      <c r="BN16" s="47" t="s">
        <v>28</v>
      </c>
      <c r="BO16" s="48" t="s">
        <v>28</v>
      </c>
      <c r="BP16" s="47" t="s">
        <v>28</v>
      </c>
      <c r="BQ16" s="47" t="s">
        <v>28</v>
      </c>
      <c r="BR16" s="47" t="s">
        <v>28</v>
      </c>
      <c r="BS16" s="48" t="s">
        <v>28</v>
      </c>
    </row>
    <row r="17" spans="1:72" s="164" customFormat="1" ht="21.6">
      <c r="A17" s="159" t="s">
        <v>659</v>
      </c>
      <c r="B17" s="159" t="s">
        <v>660</v>
      </c>
      <c r="C17" s="160">
        <v>0</v>
      </c>
      <c r="D17" s="161">
        <v>0</v>
      </c>
      <c r="E17" s="161">
        <v>0</v>
      </c>
      <c r="F17" s="161">
        <v>0</v>
      </c>
      <c r="G17" s="160">
        <v>18</v>
      </c>
      <c r="H17" s="161">
        <v>-12.3</v>
      </c>
      <c r="I17" s="161">
        <v>-7.9</v>
      </c>
      <c r="J17" s="162">
        <f>2.3+2.1</f>
        <v>4.4000000000000004</v>
      </c>
      <c r="K17" s="160">
        <v>-2.1</v>
      </c>
      <c r="L17" s="161">
        <v>0</v>
      </c>
      <c r="M17" s="161">
        <v>0</v>
      </c>
      <c r="N17" s="162">
        <v>0</v>
      </c>
      <c r="O17" s="160">
        <v>0</v>
      </c>
      <c r="P17" s="161">
        <v>0</v>
      </c>
      <c r="Q17" s="161">
        <v>0</v>
      </c>
      <c r="R17" s="162">
        <v>0</v>
      </c>
      <c r="S17" s="160">
        <v>0</v>
      </c>
      <c r="T17" s="161">
        <v>0</v>
      </c>
      <c r="U17" s="45">
        <v>0</v>
      </c>
      <c r="V17" s="46">
        <v>0</v>
      </c>
      <c r="W17" s="45">
        <v>0</v>
      </c>
      <c r="X17" s="45">
        <v>0</v>
      </c>
      <c r="Y17" s="45">
        <v>0</v>
      </c>
      <c r="Z17" s="46">
        <v>0</v>
      </c>
      <c r="AA17" s="45">
        <v>0</v>
      </c>
      <c r="AB17" s="45">
        <v>0</v>
      </c>
      <c r="AC17" s="45">
        <v>0</v>
      </c>
      <c r="AD17" s="46">
        <v>0</v>
      </c>
      <c r="AE17" s="45">
        <v>0</v>
      </c>
      <c r="AF17" s="45">
        <v>0</v>
      </c>
      <c r="AG17" s="45">
        <v>0</v>
      </c>
      <c r="AH17" s="46">
        <v>0</v>
      </c>
      <c r="AI17" s="45">
        <v>0</v>
      </c>
      <c r="AJ17" s="45">
        <v>0</v>
      </c>
      <c r="AK17" s="45">
        <v>0</v>
      </c>
      <c r="AL17" s="46">
        <v>0</v>
      </c>
      <c r="AM17" s="45">
        <v>0</v>
      </c>
      <c r="AN17" s="45">
        <v>0</v>
      </c>
      <c r="AO17" s="45">
        <v>0</v>
      </c>
      <c r="AP17" s="46">
        <v>0</v>
      </c>
      <c r="AQ17" s="44">
        <v>0</v>
      </c>
      <c r="AR17" s="45">
        <v>0</v>
      </c>
      <c r="AS17" s="45">
        <v>0</v>
      </c>
      <c r="AT17" s="45">
        <v>0</v>
      </c>
      <c r="AU17" s="48" t="s">
        <v>28</v>
      </c>
      <c r="AV17" s="47" t="s">
        <v>28</v>
      </c>
      <c r="AW17" s="47" t="s">
        <v>28</v>
      </c>
      <c r="AX17" s="47" t="s">
        <v>28</v>
      </c>
      <c r="AY17" s="48" t="s">
        <v>28</v>
      </c>
      <c r="AZ17" s="47" t="s">
        <v>28</v>
      </c>
      <c r="BA17" s="47" t="s">
        <v>28</v>
      </c>
      <c r="BB17" s="47" t="s">
        <v>28</v>
      </c>
      <c r="BC17" s="48" t="s">
        <v>28</v>
      </c>
      <c r="BD17" s="47" t="s">
        <v>28</v>
      </c>
      <c r="BE17" s="47" t="s">
        <v>28</v>
      </c>
      <c r="BF17" s="47" t="s">
        <v>28</v>
      </c>
      <c r="BG17" s="48" t="s">
        <v>28</v>
      </c>
      <c r="BH17" s="47" t="s">
        <v>28</v>
      </c>
      <c r="BI17" s="47" t="s">
        <v>28</v>
      </c>
      <c r="BJ17" s="47" t="s">
        <v>28</v>
      </c>
      <c r="BK17" s="48" t="s">
        <v>28</v>
      </c>
      <c r="BL17" s="47" t="s">
        <v>28</v>
      </c>
      <c r="BM17" s="47" t="s">
        <v>28</v>
      </c>
      <c r="BN17" s="47" t="s">
        <v>28</v>
      </c>
      <c r="BO17" s="48" t="s">
        <v>28</v>
      </c>
      <c r="BP17" s="47" t="s">
        <v>28</v>
      </c>
      <c r="BQ17" s="47" t="s">
        <v>28</v>
      </c>
      <c r="BR17" s="47" t="s">
        <v>28</v>
      </c>
      <c r="BS17" s="48" t="s">
        <v>28</v>
      </c>
    </row>
    <row r="18" spans="1:72">
      <c r="B18" s="448" t="s">
        <v>661</v>
      </c>
      <c r="BS18" s="449"/>
    </row>
    <row r="19" spans="1:72" s="179" customFormat="1" ht="21.6">
      <c r="A19" s="143" t="s">
        <v>662</v>
      </c>
      <c r="B19" s="143" t="s">
        <v>663</v>
      </c>
      <c r="C19" s="172">
        <f t="shared" ref="C19:V19" si="3">C6+C9+C10+C11+C12+C15</f>
        <v>37.79999999999999</v>
      </c>
      <c r="D19" s="173">
        <f t="shared" si="3"/>
        <v>17.400000000000002</v>
      </c>
      <c r="E19" s="173">
        <f t="shared" si="3"/>
        <v>36.300000000000011</v>
      </c>
      <c r="F19" s="173">
        <f t="shared" si="3"/>
        <v>-8.499999999999984</v>
      </c>
      <c r="G19" s="172">
        <f t="shared" si="3"/>
        <v>72.5</v>
      </c>
      <c r="H19" s="173">
        <f t="shared" si="3"/>
        <v>64.800000000000011</v>
      </c>
      <c r="I19" s="173">
        <f t="shared" si="3"/>
        <v>53.4</v>
      </c>
      <c r="J19" s="174">
        <f t="shared" si="3"/>
        <v>-307.89999999999998</v>
      </c>
      <c r="K19" s="172">
        <f t="shared" si="3"/>
        <v>-23.999999999999819</v>
      </c>
      <c r="L19" s="173">
        <f t="shared" si="3"/>
        <v>43.600000000000023</v>
      </c>
      <c r="M19" s="173">
        <f t="shared" si="3"/>
        <v>58.800000000000004</v>
      </c>
      <c r="N19" s="174">
        <f t="shared" si="3"/>
        <v>19.500000000000025</v>
      </c>
      <c r="O19" s="172">
        <f t="shared" si="3"/>
        <v>28.500000000000021</v>
      </c>
      <c r="P19" s="173">
        <f t="shared" si="3"/>
        <v>22.8</v>
      </c>
      <c r="Q19" s="173">
        <f t="shared" si="3"/>
        <v>24.399999999999988</v>
      </c>
      <c r="R19" s="174">
        <f t="shared" si="3"/>
        <v>1.800000000000006</v>
      </c>
      <c r="S19" s="172">
        <f t="shared" si="3"/>
        <v>26.799999999999997</v>
      </c>
      <c r="T19" s="173">
        <f t="shared" si="3"/>
        <v>11.399999999999997</v>
      </c>
      <c r="U19" s="173">
        <f t="shared" si="3"/>
        <v>-8.0999999999999943</v>
      </c>
      <c r="V19" s="174">
        <f t="shared" si="3"/>
        <v>-11.799999999999999</v>
      </c>
      <c r="W19" s="173">
        <f>W6+W9+W10+W11+W15</f>
        <v>53.699999999999989</v>
      </c>
      <c r="X19" s="173">
        <f t="shared" ref="X19:AP19" si="4">X6+X9+X10+X11+X15</f>
        <v>12.299999999999994</v>
      </c>
      <c r="Y19" s="173">
        <f t="shared" si="4"/>
        <v>18.900000000000002</v>
      </c>
      <c r="Z19" s="174">
        <f t="shared" si="4"/>
        <v>0.60000000000000053</v>
      </c>
      <c r="AA19" s="173">
        <f t="shared" si="4"/>
        <v>16.100000000000005</v>
      </c>
      <c r="AB19" s="173">
        <f t="shared" si="4"/>
        <v>29.099999999999998</v>
      </c>
      <c r="AC19" s="173">
        <f t="shared" si="4"/>
        <v>20.2</v>
      </c>
      <c r="AD19" s="174">
        <f t="shared" si="4"/>
        <v>10.1</v>
      </c>
      <c r="AE19" s="173">
        <f t="shared" si="4"/>
        <v>24.900000000000002</v>
      </c>
      <c r="AF19" s="173">
        <f t="shared" si="4"/>
        <v>22.799999999999997</v>
      </c>
      <c r="AG19" s="173">
        <f t="shared" si="4"/>
        <v>23.599999999999998</v>
      </c>
      <c r="AH19" s="174">
        <f t="shared" si="4"/>
        <v>23.1</v>
      </c>
      <c r="AI19" s="173">
        <f t="shared" si="4"/>
        <v>15.2</v>
      </c>
      <c r="AJ19" s="173">
        <f t="shared" si="4"/>
        <v>27.5</v>
      </c>
      <c r="AK19" s="173">
        <f t="shared" si="4"/>
        <v>19.5</v>
      </c>
      <c r="AL19" s="174">
        <f t="shared" si="4"/>
        <v>22.900000000000002</v>
      </c>
      <c r="AM19" s="173">
        <f t="shared" si="4"/>
        <v>23</v>
      </c>
      <c r="AN19" s="173">
        <f t="shared" si="4"/>
        <v>5.0999999999999952</v>
      </c>
      <c r="AO19" s="173">
        <f t="shared" si="4"/>
        <v>16.400000000000009</v>
      </c>
      <c r="AP19" s="174">
        <f t="shared" si="4"/>
        <v>12.700000000000008</v>
      </c>
      <c r="AQ19" s="173">
        <f>AQ6+AQ9+AQ10+AQ11+AQ15</f>
        <v>36.699999999999996</v>
      </c>
      <c r="AR19" s="173">
        <f>AR6+AR9+AR10+AR11+AR15</f>
        <v>27.599999999999994</v>
      </c>
      <c r="AS19" s="173">
        <f>AS6+AS9+AS10+AS11+AS15</f>
        <v>31.300000000000004</v>
      </c>
      <c r="AT19" s="173">
        <f>AT6+AT9+AT10+AT11+AT15</f>
        <v>23.2</v>
      </c>
      <c r="AU19" s="173">
        <f t="shared" ref="AU19:BP19" si="5">AU6+AU9+AU10+AU11++AU13+AU14</f>
        <v>18</v>
      </c>
      <c r="AV19" s="173">
        <f t="shared" si="5"/>
        <v>24.400000000000006</v>
      </c>
      <c r="AW19" s="173">
        <f t="shared" si="5"/>
        <v>27.1</v>
      </c>
      <c r="AX19" s="173">
        <f t="shared" si="5"/>
        <v>21.4</v>
      </c>
      <c r="AY19" s="173">
        <f t="shared" si="5"/>
        <v>31.4</v>
      </c>
      <c r="AZ19" s="173">
        <f t="shared" si="5"/>
        <v>25.1</v>
      </c>
      <c r="BA19" s="173">
        <f t="shared" si="5"/>
        <v>26.600000000000005</v>
      </c>
      <c r="BB19" s="173">
        <f t="shared" si="5"/>
        <v>25.2</v>
      </c>
      <c r="BC19" s="173">
        <f t="shared" si="5"/>
        <v>13.900000000000002</v>
      </c>
      <c r="BD19" s="173">
        <f t="shared" si="5"/>
        <v>44.300000000000004</v>
      </c>
      <c r="BE19" s="173">
        <f t="shared" si="5"/>
        <v>24.4</v>
      </c>
      <c r="BF19" s="173">
        <f t="shared" si="5"/>
        <v>20.899999999999991</v>
      </c>
      <c r="BG19" s="173">
        <f t="shared" si="5"/>
        <v>34.300000000000004</v>
      </c>
      <c r="BH19" s="173">
        <f t="shared" si="5"/>
        <v>15.399999999999997</v>
      </c>
      <c r="BI19" s="173">
        <f t="shared" si="5"/>
        <v>22.400000000000013</v>
      </c>
      <c r="BJ19" s="173">
        <f t="shared" si="5"/>
        <v>-7.7999999999999829</v>
      </c>
      <c r="BK19" s="173">
        <f t="shared" si="5"/>
        <v>47.099999999999994</v>
      </c>
      <c r="BL19" s="173">
        <f t="shared" si="5"/>
        <v>-42.300000000000004</v>
      </c>
      <c r="BM19" s="173">
        <f t="shared" si="5"/>
        <v>25.400000000000009</v>
      </c>
      <c r="BN19" s="173">
        <f t="shared" si="5"/>
        <v>1.8999999999999873</v>
      </c>
      <c r="BO19" s="173">
        <f t="shared" si="5"/>
        <v>73.600000000000009</v>
      </c>
      <c r="BP19" s="173">
        <f t="shared" si="5"/>
        <v>37.400000000000006</v>
      </c>
      <c r="BQ19" s="173">
        <f>BQ6+BQ9+BQ10+BQ11++BQ13+BQ14+BQ12</f>
        <v>108.8</v>
      </c>
      <c r="BR19" s="173">
        <f>BR6+BR9+BR10+BR11++BR13+BR14+BR12</f>
        <v>112.3</v>
      </c>
      <c r="BS19" s="172">
        <f>BS6+BS9+BS10+BS11++BS13+BS14+BS12</f>
        <v>18.899999999999999</v>
      </c>
    </row>
    <row r="20" spans="1:72" s="164" customFormat="1" ht="10.8">
      <c r="A20" s="165"/>
      <c r="B20" s="165"/>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c r="AR20" s="161"/>
      <c r="AS20" s="161"/>
      <c r="AT20" s="161"/>
      <c r="AU20" s="161"/>
      <c r="AV20" s="161"/>
      <c r="AW20" s="161"/>
      <c r="AX20" s="161"/>
      <c r="AY20" s="161"/>
      <c r="AZ20" s="161"/>
      <c r="BA20" s="161"/>
      <c r="BB20" s="161"/>
      <c r="BC20" s="161"/>
      <c r="BD20" s="161"/>
      <c r="BE20" s="161"/>
      <c r="BF20" s="161"/>
      <c r="BG20" s="161"/>
      <c r="BH20" s="161"/>
      <c r="BI20" s="161"/>
      <c r="BJ20" s="161"/>
      <c r="BK20" s="161"/>
      <c r="BL20" s="161"/>
      <c r="BM20" s="161"/>
      <c r="BN20" s="161"/>
      <c r="BO20" s="161"/>
      <c r="BP20" s="161"/>
      <c r="BQ20" s="161"/>
      <c r="BR20" s="161"/>
      <c r="BS20" s="160"/>
    </row>
    <row r="21" spans="1:72" s="164" customFormat="1" ht="21.6">
      <c r="A21" s="165" t="s">
        <v>664</v>
      </c>
      <c r="B21" s="165" t="s">
        <v>665</v>
      </c>
      <c r="C21" s="160" t="s">
        <v>28</v>
      </c>
      <c r="D21" s="161" t="s">
        <v>28</v>
      </c>
      <c r="E21" s="161" t="s">
        <v>28</v>
      </c>
      <c r="F21" s="161" t="s">
        <v>28</v>
      </c>
      <c r="G21" s="160" t="s">
        <v>28</v>
      </c>
      <c r="H21" s="161" t="s">
        <v>28</v>
      </c>
      <c r="I21" s="161" t="s">
        <v>28</v>
      </c>
      <c r="J21" s="162" t="s">
        <v>28</v>
      </c>
      <c r="K21" s="160" t="s">
        <v>28</v>
      </c>
      <c r="L21" s="161" t="s">
        <v>28</v>
      </c>
      <c r="M21" s="161" t="s">
        <v>28</v>
      </c>
      <c r="N21" s="162" t="s">
        <v>28</v>
      </c>
      <c r="O21" s="160" t="s">
        <v>28</v>
      </c>
      <c r="P21" s="161" t="s">
        <v>28</v>
      </c>
      <c r="Q21" s="161" t="s">
        <v>28</v>
      </c>
      <c r="R21" s="162" t="s">
        <v>28</v>
      </c>
      <c r="S21" s="160" t="s">
        <v>28</v>
      </c>
      <c r="T21" s="161" t="s">
        <v>28</v>
      </c>
      <c r="U21" s="161" t="s">
        <v>28</v>
      </c>
      <c r="V21" s="46" t="s">
        <v>28</v>
      </c>
      <c r="W21" s="45" t="s">
        <v>28</v>
      </c>
      <c r="X21" s="45" t="s">
        <v>28</v>
      </c>
      <c r="Y21" s="45" t="s">
        <v>28</v>
      </c>
      <c r="Z21" s="46" t="s">
        <v>28</v>
      </c>
      <c r="AA21" s="45" t="s">
        <v>28</v>
      </c>
      <c r="AB21" s="45" t="s">
        <v>28</v>
      </c>
      <c r="AC21" s="45" t="s">
        <v>28</v>
      </c>
      <c r="AD21" s="46" t="s">
        <v>28</v>
      </c>
      <c r="AE21" s="45" t="s">
        <v>28</v>
      </c>
      <c r="AF21" s="45" t="s">
        <v>28</v>
      </c>
      <c r="AG21" s="45" t="s">
        <v>28</v>
      </c>
      <c r="AH21" s="46" t="s">
        <v>28</v>
      </c>
      <c r="AI21" s="45" t="s">
        <v>28</v>
      </c>
      <c r="AJ21" s="45" t="s">
        <v>28</v>
      </c>
      <c r="AK21" s="45" t="s">
        <v>28</v>
      </c>
      <c r="AL21" s="46" t="s">
        <v>28</v>
      </c>
      <c r="AM21" s="45" t="s">
        <v>28</v>
      </c>
      <c r="AN21" s="45" t="s">
        <v>28</v>
      </c>
      <c r="AO21" s="45" t="s">
        <v>28</v>
      </c>
      <c r="AP21" s="46" t="s">
        <v>28</v>
      </c>
      <c r="AQ21" s="48" t="s">
        <v>28</v>
      </c>
      <c r="AR21" s="47" t="s">
        <v>28</v>
      </c>
      <c r="AS21" s="47" t="s">
        <v>28</v>
      </c>
      <c r="AT21" s="47" t="s">
        <v>28</v>
      </c>
      <c r="AU21" s="48">
        <v>1.1000000000000001</v>
      </c>
      <c r="AV21" s="47">
        <v>-0.1</v>
      </c>
      <c r="AW21" s="47">
        <v>0</v>
      </c>
      <c r="AX21" s="47">
        <v>0</v>
      </c>
      <c r="AY21" s="48">
        <v>0</v>
      </c>
      <c r="AZ21" s="47">
        <v>0</v>
      </c>
      <c r="BA21" s="47">
        <v>0</v>
      </c>
      <c r="BB21" s="47">
        <v>0</v>
      </c>
      <c r="BC21" s="48">
        <v>7.3</v>
      </c>
      <c r="BD21" s="47">
        <v>0</v>
      </c>
      <c r="BE21" s="47">
        <v>0</v>
      </c>
      <c r="BF21" s="47">
        <v>0</v>
      </c>
      <c r="BG21" s="48">
        <v>0</v>
      </c>
      <c r="BH21" s="47">
        <v>0</v>
      </c>
      <c r="BI21" s="47">
        <v>0</v>
      </c>
      <c r="BJ21" s="47">
        <v>2.8</v>
      </c>
      <c r="BK21" s="48">
        <v>-3.9</v>
      </c>
      <c r="BL21" s="47">
        <v>-11.8</v>
      </c>
      <c r="BM21" s="47">
        <v>-9.1</v>
      </c>
      <c r="BN21" s="47">
        <v>0</v>
      </c>
      <c r="BO21" s="48">
        <v>0</v>
      </c>
      <c r="BP21" s="47">
        <v>0</v>
      </c>
      <c r="BQ21" s="47">
        <v>0</v>
      </c>
      <c r="BR21" s="47">
        <v>0</v>
      </c>
      <c r="BS21" s="48">
        <v>-6.3</v>
      </c>
      <c r="BT21" s="615"/>
    </row>
    <row r="22" spans="1:72" s="164" customFormat="1" ht="21.6">
      <c r="A22" s="165" t="s">
        <v>666</v>
      </c>
      <c r="B22" s="165" t="s">
        <v>667</v>
      </c>
      <c r="C22" s="160" t="s">
        <v>28</v>
      </c>
      <c r="D22" s="161" t="s">
        <v>28</v>
      </c>
      <c r="E22" s="161" t="s">
        <v>28</v>
      </c>
      <c r="F22" s="161" t="s">
        <v>28</v>
      </c>
      <c r="G22" s="160" t="s">
        <v>28</v>
      </c>
      <c r="H22" s="161" t="s">
        <v>28</v>
      </c>
      <c r="I22" s="161" t="s">
        <v>28</v>
      </c>
      <c r="J22" s="162" t="s">
        <v>28</v>
      </c>
      <c r="K22" s="160" t="s">
        <v>28</v>
      </c>
      <c r="L22" s="161" t="s">
        <v>28</v>
      </c>
      <c r="M22" s="161" t="s">
        <v>28</v>
      </c>
      <c r="N22" s="162" t="s">
        <v>28</v>
      </c>
      <c r="O22" s="160" t="s">
        <v>28</v>
      </c>
      <c r="P22" s="161" t="s">
        <v>28</v>
      </c>
      <c r="Q22" s="161" t="s">
        <v>28</v>
      </c>
      <c r="R22" s="162" t="s">
        <v>28</v>
      </c>
      <c r="S22" s="160" t="s">
        <v>28</v>
      </c>
      <c r="T22" s="161" t="s">
        <v>28</v>
      </c>
      <c r="U22" s="161" t="s">
        <v>28</v>
      </c>
      <c r="V22" s="46" t="s">
        <v>28</v>
      </c>
      <c r="W22" s="45" t="s">
        <v>28</v>
      </c>
      <c r="X22" s="45" t="s">
        <v>28</v>
      </c>
      <c r="Y22" s="45" t="s">
        <v>28</v>
      </c>
      <c r="Z22" s="46" t="s">
        <v>28</v>
      </c>
      <c r="AA22" s="45" t="s">
        <v>28</v>
      </c>
      <c r="AB22" s="45" t="s">
        <v>28</v>
      </c>
      <c r="AC22" s="45" t="s">
        <v>28</v>
      </c>
      <c r="AD22" s="46" t="s">
        <v>28</v>
      </c>
      <c r="AE22" s="45" t="s">
        <v>28</v>
      </c>
      <c r="AF22" s="45" t="s">
        <v>28</v>
      </c>
      <c r="AG22" s="45" t="s">
        <v>28</v>
      </c>
      <c r="AH22" s="46" t="s">
        <v>28</v>
      </c>
      <c r="AI22" s="45" t="s">
        <v>28</v>
      </c>
      <c r="AJ22" s="45" t="s">
        <v>28</v>
      </c>
      <c r="AK22" s="45" t="s">
        <v>28</v>
      </c>
      <c r="AL22" s="46" t="s">
        <v>28</v>
      </c>
      <c r="AM22" s="45" t="s">
        <v>28</v>
      </c>
      <c r="AN22" s="45" t="s">
        <v>28</v>
      </c>
      <c r="AO22" s="45" t="s">
        <v>28</v>
      </c>
      <c r="AP22" s="46" t="s">
        <v>28</v>
      </c>
      <c r="AQ22" s="48" t="s">
        <v>28</v>
      </c>
      <c r="AR22" s="47" t="s">
        <v>28</v>
      </c>
      <c r="AS22" s="47" t="s">
        <v>28</v>
      </c>
      <c r="AT22" s="47" t="s">
        <v>28</v>
      </c>
      <c r="AU22" s="48">
        <v>32.200000000000003</v>
      </c>
      <c r="AV22" s="47">
        <v>12</v>
      </c>
      <c r="AW22" s="47">
        <v>0</v>
      </c>
      <c r="AX22" s="47">
        <v>3.8</v>
      </c>
      <c r="AY22" s="48">
        <v>15.8</v>
      </c>
      <c r="AZ22" s="47">
        <v>9.4</v>
      </c>
      <c r="BA22" s="47">
        <v>3.6</v>
      </c>
      <c r="BB22" s="47">
        <v>0.5</v>
      </c>
      <c r="BC22" s="48">
        <v>1.8</v>
      </c>
      <c r="BD22" s="47">
        <v>10.4</v>
      </c>
      <c r="BE22" s="47">
        <v>5.4</v>
      </c>
      <c r="BF22" s="47">
        <v>5.0999999999999996</v>
      </c>
      <c r="BG22" s="48">
        <v>0</v>
      </c>
      <c r="BH22" s="47">
        <v>1</v>
      </c>
      <c r="BI22" s="47">
        <v>3.9</v>
      </c>
      <c r="BJ22" s="47">
        <v>26.8</v>
      </c>
      <c r="BK22" s="48">
        <v>2.1</v>
      </c>
      <c r="BL22" s="47">
        <v>17.899999999999999</v>
      </c>
      <c r="BM22" s="47">
        <v>-0.2</v>
      </c>
      <c r="BN22" s="47">
        <v>-0.1</v>
      </c>
      <c r="BO22" s="48">
        <v>1.2</v>
      </c>
      <c r="BP22" s="47">
        <v>1.2</v>
      </c>
      <c r="BQ22" s="47">
        <v>3.6</v>
      </c>
      <c r="BR22" s="47">
        <v>-12.3</v>
      </c>
      <c r="BS22" s="48">
        <v>2.2000000000000002</v>
      </c>
      <c r="BT22" s="615"/>
    </row>
    <row r="23" spans="1:72" s="164" customFormat="1" ht="11.25" customHeight="1">
      <c r="A23" s="165" t="s">
        <v>668</v>
      </c>
      <c r="B23" s="165" t="s">
        <v>669</v>
      </c>
      <c r="C23" s="160">
        <v>14.6</v>
      </c>
      <c r="D23" s="161">
        <v>0</v>
      </c>
      <c r="E23" s="161">
        <v>0</v>
      </c>
      <c r="F23" s="161">
        <v>0</v>
      </c>
      <c r="G23" s="160">
        <v>0.1</v>
      </c>
      <c r="H23" s="161">
        <v>25.4</v>
      </c>
      <c r="I23" s="161">
        <v>0</v>
      </c>
      <c r="J23" s="162">
        <v>2.6</v>
      </c>
      <c r="K23" s="160">
        <v>0</v>
      </c>
      <c r="L23" s="161">
        <v>4.0999999999999996</v>
      </c>
      <c r="M23" s="161">
        <v>0.1</v>
      </c>
      <c r="N23" s="162">
        <v>-0.1</v>
      </c>
      <c r="O23" s="160">
        <v>0</v>
      </c>
      <c r="P23" s="161">
        <v>0</v>
      </c>
      <c r="Q23" s="161">
        <v>0.2</v>
      </c>
      <c r="R23" s="162">
        <v>0</v>
      </c>
      <c r="S23" s="160">
        <v>0</v>
      </c>
      <c r="T23" s="161">
        <v>0</v>
      </c>
      <c r="U23" s="161">
        <v>0</v>
      </c>
      <c r="V23" s="46">
        <v>1.4</v>
      </c>
      <c r="W23" s="45">
        <v>6.8</v>
      </c>
      <c r="X23" s="45">
        <f>S23+T23</f>
        <v>0</v>
      </c>
      <c r="Y23" s="45">
        <v>0</v>
      </c>
      <c r="Z23" s="46">
        <v>0</v>
      </c>
      <c r="AA23" s="45">
        <v>0</v>
      </c>
      <c r="AB23" s="45">
        <v>0</v>
      </c>
      <c r="AC23" s="45">
        <v>0</v>
      </c>
      <c r="AD23" s="46">
        <v>0.5</v>
      </c>
      <c r="AE23" s="45">
        <v>0</v>
      </c>
      <c r="AF23" s="45">
        <v>0</v>
      </c>
      <c r="AG23" s="45">
        <v>1.2</v>
      </c>
      <c r="AH23" s="46">
        <v>5.3</v>
      </c>
      <c r="AI23" s="45">
        <v>0</v>
      </c>
      <c r="AJ23" s="45">
        <v>0</v>
      </c>
      <c r="AK23" s="45">
        <v>23.1</v>
      </c>
      <c r="AL23" s="46">
        <v>0</v>
      </c>
      <c r="AM23" s="45">
        <v>0</v>
      </c>
      <c r="AN23" s="45">
        <v>189.6</v>
      </c>
      <c r="AO23" s="45">
        <v>0</v>
      </c>
      <c r="AP23" s="46">
        <v>0</v>
      </c>
      <c r="AQ23" s="48">
        <v>0</v>
      </c>
      <c r="AR23" s="47">
        <v>11.9</v>
      </c>
      <c r="AS23" s="47">
        <v>0.4</v>
      </c>
      <c r="AT23" s="47">
        <v>0</v>
      </c>
      <c r="AU23" s="48" t="s">
        <v>670</v>
      </c>
      <c r="AV23" s="47" t="s">
        <v>670</v>
      </c>
      <c r="AW23" s="47" t="s">
        <v>670</v>
      </c>
      <c r="AX23" s="47" t="s">
        <v>670</v>
      </c>
      <c r="AY23" s="48" t="s">
        <v>670</v>
      </c>
      <c r="AZ23" s="47" t="s">
        <v>670</v>
      </c>
      <c r="BA23" s="47" t="s">
        <v>670</v>
      </c>
      <c r="BB23" s="47" t="s">
        <v>670</v>
      </c>
      <c r="BC23" s="48" t="s">
        <v>670</v>
      </c>
      <c r="BD23" s="47" t="s">
        <v>670</v>
      </c>
      <c r="BE23" s="47" t="s">
        <v>670</v>
      </c>
      <c r="BF23" s="720" t="s">
        <v>28</v>
      </c>
      <c r="BG23" s="48" t="s">
        <v>28</v>
      </c>
      <c r="BH23" s="47" t="s">
        <v>28</v>
      </c>
      <c r="BI23" s="47" t="s">
        <v>28</v>
      </c>
      <c r="BJ23" s="47" t="s">
        <v>28</v>
      </c>
      <c r="BK23" s="48" t="s">
        <v>28</v>
      </c>
      <c r="BL23" s="47" t="s">
        <v>28</v>
      </c>
      <c r="BM23" s="47" t="s">
        <v>28</v>
      </c>
      <c r="BN23" s="47" t="s">
        <v>28</v>
      </c>
      <c r="BO23" s="48" t="s">
        <v>28</v>
      </c>
      <c r="BP23" s="47" t="s">
        <v>28</v>
      </c>
      <c r="BQ23" s="47" t="s">
        <v>28</v>
      </c>
      <c r="BR23" s="47" t="s">
        <v>28</v>
      </c>
      <c r="BS23" s="48" t="s">
        <v>28</v>
      </c>
      <c r="BT23" s="615"/>
    </row>
    <row r="24" spans="1:72" s="164" customFormat="1" ht="11.25" customHeight="1">
      <c r="A24" s="165" t="s">
        <v>671</v>
      </c>
      <c r="B24" s="165" t="s">
        <v>672</v>
      </c>
      <c r="C24" s="160">
        <v>2.2999999999999998</v>
      </c>
      <c r="D24" s="161">
        <v>4.7</v>
      </c>
      <c r="E24" s="161">
        <v>0.6</v>
      </c>
      <c r="F24" s="161">
        <v>0</v>
      </c>
      <c r="G24" s="160">
        <v>0</v>
      </c>
      <c r="H24" s="161">
        <v>-3.7</v>
      </c>
      <c r="I24" s="161">
        <v>-0.7</v>
      </c>
      <c r="J24" s="162">
        <v>0</v>
      </c>
      <c r="K24" s="160">
        <v>0.3</v>
      </c>
      <c r="L24" s="161">
        <v>0.2</v>
      </c>
      <c r="M24" s="161">
        <v>5.2</v>
      </c>
      <c r="N24" s="162">
        <v>-10.7</v>
      </c>
      <c r="O24" s="160">
        <v>3.8</v>
      </c>
      <c r="P24" s="161">
        <v>-0.5</v>
      </c>
      <c r="Q24" s="161">
        <v>-0.4</v>
      </c>
      <c r="R24" s="162">
        <v>-5.7</v>
      </c>
      <c r="S24" s="160">
        <v>18.2</v>
      </c>
      <c r="T24" s="161">
        <v>-0.2</v>
      </c>
      <c r="U24" s="161">
        <v>7.4</v>
      </c>
      <c r="V24" s="46">
        <v>4.3</v>
      </c>
      <c r="W24" s="45">
        <v>12.3</v>
      </c>
      <c r="X24" s="45">
        <v>2.5</v>
      </c>
      <c r="Y24" s="45">
        <v>0</v>
      </c>
      <c r="Z24" s="46">
        <v>3.7</v>
      </c>
      <c r="AA24" s="45">
        <f>120.3-20.9</f>
        <v>99.4</v>
      </c>
      <c r="AB24" s="45">
        <f>-3.7+6.8</f>
        <v>3.0999999999999996</v>
      </c>
      <c r="AC24" s="45">
        <f>-11.7+3</f>
        <v>-8.6999999999999993</v>
      </c>
      <c r="AD24" s="46">
        <v>0</v>
      </c>
      <c r="AE24" s="45">
        <f>0.1+0.2</f>
        <v>0.30000000000000004</v>
      </c>
      <c r="AF24" s="45">
        <v>4.9000000000000004</v>
      </c>
      <c r="AG24" s="45">
        <v>0</v>
      </c>
      <c r="AH24" s="46">
        <v>0.1</v>
      </c>
      <c r="AI24" s="45">
        <v>50.9</v>
      </c>
      <c r="AJ24" s="45">
        <v>3.1</v>
      </c>
      <c r="AK24" s="45">
        <v>0</v>
      </c>
      <c r="AL24" s="46">
        <v>0.3</v>
      </c>
      <c r="AM24" s="45">
        <v>28.7</v>
      </c>
      <c r="AN24" s="45">
        <v>1.6</v>
      </c>
      <c r="AO24" s="45">
        <v>3.9</v>
      </c>
      <c r="AP24" s="46">
        <v>2.9</v>
      </c>
      <c r="AQ24" s="48">
        <v>10.1</v>
      </c>
      <c r="AR24" s="47">
        <v>14.7</v>
      </c>
      <c r="AS24" s="47">
        <v>3.2</v>
      </c>
      <c r="AT24" s="47">
        <v>0</v>
      </c>
      <c r="AU24" s="48" t="s">
        <v>670</v>
      </c>
      <c r="AV24" s="47" t="s">
        <v>670</v>
      </c>
      <c r="AW24" s="47" t="s">
        <v>670</v>
      </c>
      <c r="AX24" s="47" t="s">
        <v>670</v>
      </c>
      <c r="AY24" s="48" t="s">
        <v>670</v>
      </c>
      <c r="AZ24" s="47" t="s">
        <v>670</v>
      </c>
      <c r="BA24" s="47" t="s">
        <v>670</v>
      </c>
      <c r="BB24" s="47" t="s">
        <v>670</v>
      </c>
      <c r="BC24" s="48" t="s">
        <v>670</v>
      </c>
      <c r="BD24" s="47" t="s">
        <v>670</v>
      </c>
      <c r="BE24" s="47" t="s">
        <v>670</v>
      </c>
      <c r="BF24" s="720" t="s">
        <v>28</v>
      </c>
      <c r="BG24" s="48" t="s">
        <v>28</v>
      </c>
      <c r="BH24" s="47" t="s">
        <v>28</v>
      </c>
      <c r="BI24" s="47" t="s">
        <v>28</v>
      </c>
      <c r="BJ24" s="47" t="s">
        <v>28</v>
      </c>
      <c r="BK24" s="48" t="s">
        <v>28</v>
      </c>
      <c r="BL24" s="47" t="s">
        <v>28</v>
      </c>
      <c r="BM24" s="47" t="s">
        <v>28</v>
      </c>
      <c r="BN24" s="47" t="s">
        <v>28</v>
      </c>
      <c r="BO24" s="48" t="s">
        <v>28</v>
      </c>
      <c r="BP24" s="47" t="s">
        <v>28</v>
      </c>
      <c r="BQ24" s="47" t="s">
        <v>28</v>
      </c>
      <c r="BR24" s="47" t="s">
        <v>28</v>
      </c>
      <c r="BS24" s="48" t="s">
        <v>28</v>
      </c>
      <c r="BT24" s="615"/>
    </row>
    <row r="25" spans="1:72" s="150" customFormat="1" ht="10.8">
      <c r="A25" s="171" t="s">
        <v>673</v>
      </c>
      <c r="B25" s="171" t="s">
        <v>674</v>
      </c>
      <c r="C25" s="160">
        <v>0</v>
      </c>
      <c r="D25" s="161">
        <v>1.4</v>
      </c>
      <c r="E25" s="161">
        <v>1.3</v>
      </c>
      <c r="F25" s="161">
        <v>0.1</v>
      </c>
      <c r="G25" s="160">
        <v>0</v>
      </c>
      <c r="H25" s="161">
        <v>2.4</v>
      </c>
      <c r="I25" s="161">
        <v>0.4</v>
      </c>
      <c r="J25" s="162">
        <v>4.3</v>
      </c>
      <c r="K25" s="160">
        <v>0</v>
      </c>
      <c r="L25" s="161">
        <v>4</v>
      </c>
      <c r="M25" s="161">
        <v>0.1</v>
      </c>
      <c r="N25" s="162">
        <v>0.1</v>
      </c>
      <c r="O25" s="160">
        <f>0.3-0.1</f>
        <v>0.19999999999999998</v>
      </c>
      <c r="P25" s="161">
        <v>3.5</v>
      </c>
      <c r="Q25" s="161">
        <v>1</v>
      </c>
      <c r="R25" s="162">
        <v>0.1</v>
      </c>
      <c r="S25" s="160">
        <v>0</v>
      </c>
      <c r="T25" s="161">
        <v>4.4000000000000004</v>
      </c>
      <c r="U25" s="161">
        <v>0.3</v>
      </c>
      <c r="V25" s="46">
        <v>0.2</v>
      </c>
      <c r="W25" s="45">
        <v>0</v>
      </c>
      <c r="X25" s="45">
        <v>4.0999999999999996</v>
      </c>
      <c r="Y25" s="45">
        <v>0</v>
      </c>
      <c r="Z25" s="46">
        <v>0</v>
      </c>
      <c r="AA25" s="45">
        <v>0</v>
      </c>
      <c r="AB25" s="45">
        <v>3.4</v>
      </c>
      <c r="AC25" s="45">
        <v>0</v>
      </c>
      <c r="AD25" s="46">
        <v>0</v>
      </c>
      <c r="AE25" s="45">
        <v>0</v>
      </c>
      <c r="AF25" s="45">
        <v>0</v>
      </c>
      <c r="AG25" s="45">
        <v>4</v>
      </c>
      <c r="AH25" s="46">
        <v>0</v>
      </c>
      <c r="AI25" s="45">
        <v>0</v>
      </c>
      <c r="AJ25" s="45">
        <v>87.5</v>
      </c>
      <c r="AK25" s="45">
        <v>0.1</v>
      </c>
      <c r="AL25" s="46">
        <v>0</v>
      </c>
      <c r="AM25" s="45">
        <v>0</v>
      </c>
      <c r="AN25" s="45">
        <v>5.4</v>
      </c>
      <c r="AO25" s="45">
        <v>0.1</v>
      </c>
      <c r="AP25" s="46">
        <v>0.1</v>
      </c>
      <c r="AQ25" s="48">
        <v>0.1</v>
      </c>
      <c r="AR25" s="47">
        <v>6.2</v>
      </c>
      <c r="AS25" s="47">
        <v>0</v>
      </c>
      <c r="AT25" s="47">
        <v>0</v>
      </c>
      <c r="AU25" s="48">
        <v>0</v>
      </c>
      <c r="AV25" s="47">
        <v>6.3</v>
      </c>
      <c r="AW25" s="47">
        <v>0</v>
      </c>
      <c r="AX25" s="47">
        <v>0</v>
      </c>
      <c r="AY25" s="48">
        <v>0</v>
      </c>
      <c r="AZ25" s="47">
        <v>7</v>
      </c>
      <c r="BA25" s="47">
        <v>0</v>
      </c>
      <c r="BB25" s="47">
        <v>0</v>
      </c>
      <c r="BC25" s="48">
        <v>0</v>
      </c>
      <c r="BD25" s="47">
        <v>8.4</v>
      </c>
      <c r="BE25" s="47">
        <v>0</v>
      </c>
      <c r="BF25" s="47">
        <v>0</v>
      </c>
      <c r="BG25" s="48">
        <v>0</v>
      </c>
      <c r="BH25" s="47">
        <v>6.7</v>
      </c>
      <c r="BI25" s="47">
        <v>0</v>
      </c>
      <c r="BJ25" s="47">
        <v>0</v>
      </c>
      <c r="BK25" s="48">
        <v>0</v>
      </c>
      <c r="BL25" s="47">
        <v>6.8</v>
      </c>
      <c r="BM25" s="47">
        <v>0</v>
      </c>
      <c r="BN25" s="47">
        <v>0</v>
      </c>
      <c r="BO25" s="48">
        <v>0</v>
      </c>
      <c r="BP25" s="47">
        <v>7.4</v>
      </c>
      <c r="BQ25" s="47">
        <v>0</v>
      </c>
      <c r="BR25" s="47">
        <v>0</v>
      </c>
      <c r="BS25" s="48">
        <v>0</v>
      </c>
      <c r="BT25" s="610"/>
    </row>
    <row r="26" spans="1:72" s="150" customFormat="1" ht="11.25" customHeight="1">
      <c r="A26" s="171" t="s">
        <v>675</v>
      </c>
      <c r="B26" s="171" t="s">
        <v>676</v>
      </c>
      <c r="C26" s="160">
        <v>0</v>
      </c>
      <c r="D26" s="161">
        <v>0</v>
      </c>
      <c r="E26" s="161">
        <v>0</v>
      </c>
      <c r="F26" s="161">
        <v>0</v>
      </c>
      <c r="G26" s="160">
        <v>0</v>
      </c>
      <c r="H26" s="161">
        <v>0</v>
      </c>
      <c r="I26" s="161">
        <v>0</v>
      </c>
      <c r="J26" s="161">
        <v>0</v>
      </c>
      <c r="K26" s="160">
        <v>0</v>
      </c>
      <c r="L26" s="161">
        <v>0</v>
      </c>
      <c r="M26" s="161">
        <v>0</v>
      </c>
      <c r="N26" s="161">
        <v>0</v>
      </c>
      <c r="O26" s="160">
        <v>0</v>
      </c>
      <c r="P26" s="161">
        <v>0</v>
      </c>
      <c r="Q26" s="161">
        <v>0</v>
      </c>
      <c r="R26" s="161">
        <v>0</v>
      </c>
      <c r="S26" s="160">
        <v>0</v>
      </c>
      <c r="T26" s="161">
        <v>0</v>
      </c>
      <c r="U26" s="161">
        <v>0</v>
      </c>
      <c r="V26" s="45">
        <v>0</v>
      </c>
      <c r="W26" s="45">
        <v>0</v>
      </c>
      <c r="X26" s="45">
        <v>0</v>
      </c>
      <c r="Y26" s="45">
        <v>-0.9</v>
      </c>
      <c r="Z26" s="46">
        <v>-3.9</v>
      </c>
      <c r="AA26" s="45">
        <v>0.1</v>
      </c>
      <c r="AB26" s="45">
        <v>0</v>
      </c>
      <c r="AC26" s="45">
        <v>0</v>
      </c>
      <c r="AD26" s="46">
        <v>-0.1</v>
      </c>
      <c r="AE26" s="45">
        <v>0</v>
      </c>
      <c r="AF26" s="45">
        <v>0</v>
      </c>
      <c r="AG26" s="45">
        <v>0</v>
      </c>
      <c r="AH26" s="46">
        <v>0</v>
      </c>
      <c r="AI26" s="45">
        <v>0</v>
      </c>
      <c r="AJ26" s="45">
        <v>0</v>
      </c>
      <c r="AK26" s="45">
        <v>0</v>
      </c>
      <c r="AL26" s="46">
        <v>0</v>
      </c>
      <c r="AM26" s="45">
        <v>0</v>
      </c>
      <c r="AN26" s="45">
        <v>0</v>
      </c>
      <c r="AO26" s="45">
        <v>0</v>
      </c>
      <c r="AP26" s="46">
        <v>0</v>
      </c>
      <c r="AQ26" s="48">
        <v>0</v>
      </c>
      <c r="AR26" s="47">
        <v>0</v>
      </c>
      <c r="AS26" s="47">
        <v>0</v>
      </c>
      <c r="AT26" s="47">
        <v>0</v>
      </c>
      <c r="AU26" s="48" t="s">
        <v>670</v>
      </c>
      <c r="AV26" s="47" t="s">
        <v>28</v>
      </c>
      <c r="AW26" s="47" t="s">
        <v>28</v>
      </c>
      <c r="AX26" s="47" t="s">
        <v>28</v>
      </c>
      <c r="AY26" s="48" t="s">
        <v>670</v>
      </c>
      <c r="AZ26" s="47" t="s">
        <v>670</v>
      </c>
      <c r="BA26" s="47" t="s">
        <v>670</v>
      </c>
      <c r="BB26" s="47" t="s">
        <v>670</v>
      </c>
      <c r="BC26" s="48" t="s">
        <v>670</v>
      </c>
      <c r="BD26" s="47" t="s">
        <v>670</v>
      </c>
      <c r="BE26" s="47" t="s">
        <v>670</v>
      </c>
      <c r="BF26" s="720" t="s">
        <v>28</v>
      </c>
      <c r="BG26" s="48" t="s">
        <v>28</v>
      </c>
      <c r="BH26" s="47" t="s">
        <v>28</v>
      </c>
      <c r="BI26" s="47" t="s">
        <v>28</v>
      </c>
      <c r="BJ26" s="47" t="s">
        <v>28</v>
      </c>
      <c r="BK26" s="48" t="s">
        <v>28</v>
      </c>
      <c r="BL26" s="47" t="s">
        <v>28</v>
      </c>
      <c r="BM26" s="47" t="s">
        <v>28</v>
      </c>
      <c r="BN26" s="47" t="s">
        <v>28</v>
      </c>
      <c r="BO26" s="48" t="s">
        <v>28</v>
      </c>
      <c r="BP26" s="47" t="s">
        <v>28</v>
      </c>
      <c r="BQ26" s="47" t="s">
        <v>28</v>
      </c>
      <c r="BR26" s="47" t="s">
        <v>28</v>
      </c>
      <c r="BS26" s="48" t="s">
        <v>28</v>
      </c>
      <c r="BT26" s="610"/>
    </row>
    <row r="27" spans="1:72" s="150" customFormat="1" ht="11.25" customHeight="1">
      <c r="A27" s="165" t="s">
        <v>677</v>
      </c>
      <c r="B27" s="165" t="s">
        <v>678</v>
      </c>
      <c r="C27" s="160">
        <v>0</v>
      </c>
      <c r="D27" s="161">
        <v>0</v>
      </c>
      <c r="E27" s="161">
        <v>0</v>
      </c>
      <c r="F27" s="161">
        <v>0</v>
      </c>
      <c r="G27" s="160">
        <v>0</v>
      </c>
      <c r="H27" s="161">
        <v>0</v>
      </c>
      <c r="I27" s="161">
        <v>0</v>
      </c>
      <c r="J27" s="162">
        <v>0</v>
      </c>
      <c r="K27" s="160">
        <v>0</v>
      </c>
      <c r="L27" s="161">
        <v>0</v>
      </c>
      <c r="M27" s="161">
        <v>0</v>
      </c>
      <c r="N27" s="162">
        <v>0</v>
      </c>
      <c r="O27" s="160">
        <v>0</v>
      </c>
      <c r="P27" s="161">
        <v>0</v>
      </c>
      <c r="Q27" s="161">
        <v>0</v>
      </c>
      <c r="R27" s="162">
        <v>0</v>
      </c>
      <c r="S27" s="160">
        <v>0</v>
      </c>
      <c r="T27" s="161">
        <v>2</v>
      </c>
      <c r="U27" s="161">
        <v>0</v>
      </c>
      <c r="V27" s="162">
        <v>0</v>
      </c>
      <c r="W27" s="161">
        <v>0</v>
      </c>
      <c r="X27" s="161">
        <v>0</v>
      </c>
      <c r="Y27" s="161">
        <v>0</v>
      </c>
      <c r="Z27" s="162">
        <v>0</v>
      </c>
      <c r="AA27" s="161">
        <v>0</v>
      </c>
      <c r="AB27" s="161">
        <v>0</v>
      </c>
      <c r="AC27" s="161">
        <v>0</v>
      </c>
      <c r="AD27" s="162">
        <v>0</v>
      </c>
      <c r="AE27" s="161">
        <v>0</v>
      </c>
      <c r="AF27" s="161">
        <v>0</v>
      </c>
      <c r="AG27" s="161">
        <v>0</v>
      </c>
      <c r="AH27" s="162">
        <v>0</v>
      </c>
      <c r="AI27" s="161">
        <v>0</v>
      </c>
      <c r="AJ27" s="161">
        <v>0</v>
      </c>
      <c r="AK27" s="161">
        <v>0</v>
      </c>
      <c r="AL27" s="162">
        <v>0</v>
      </c>
      <c r="AM27" s="161">
        <v>0</v>
      </c>
      <c r="AN27" s="161">
        <v>0</v>
      </c>
      <c r="AO27" s="161">
        <v>0</v>
      </c>
      <c r="AP27" s="162">
        <v>0</v>
      </c>
      <c r="AQ27" s="213">
        <v>0</v>
      </c>
      <c r="AR27" s="214">
        <v>0</v>
      </c>
      <c r="AS27" s="214">
        <v>0</v>
      </c>
      <c r="AT27" s="214">
        <v>0</v>
      </c>
      <c r="AU27" s="183" t="s">
        <v>670</v>
      </c>
      <c r="AV27" s="184" t="s">
        <v>28</v>
      </c>
      <c r="AW27" s="184" t="s">
        <v>28</v>
      </c>
      <c r="AX27" s="184" t="s">
        <v>28</v>
      </c>
      <c r="AY27" s="183" t="s">
        <v>670</v>
      </c>
      <c r="AZ27" s="184" t="s">
        <v>670</v>
      </c>
      <c r="BA27" s="184" t="s">
        <v>670</v>
      </c>
      <c r="BB27" s="184" t="s">
        <v>670</v>
      </c>
      <c r="BC27" s="183" t="s">
        <v>670</v>
      </c>
      <c r="BD27" s="184" t="s">
        <v>670</v>
      </c>
      <c r="BE27" s="184" t="s">
        <v>670</v>
      </c>
      <c r="BF27" s="450" t="s">
        <v>28</v>
      </c>
      <c r="BG27" s="183" t="s">
        <v>28</v>
      </c>
      <c r="BH27" s="184" t="s">
        <v>28</v>
      </c>
      <c r="BI27" s="184" t="s">
        <v>28</v>
      </c>
      <c r="BJ27" s="184" t="s">
        <v>28</v>
      </c>
      <c r="BK27" s="183" t="s">
        <v>28</v>
      </c>
      <c r="BL27" s="184" t="s">
        <v>28</v>
      </c>
      <c r="BM27" s="184" t="s">
        <v>28</v>
      </c>
      <c r="BN27" s="184" t="s">
        <v>28</v>
      </c>
      <c r="BO27" s="183" t="s">
        <v>28</v>
      </c>
      <c r="BP27" s="184" t="s">
        <v>28</v>
      </c>
      <c r="BQ27" s="184" t="s">
        <v>28</v>
      </c>
      <c r="BR27" s="184" t="s">
        <v>28</v>
      </c>
      <c r="BS27" s="183" t="s">
        <v>28</v>
      </c>
    </row>
    <row r="28" spans="1:72" s="164" customFormat="1" ht="10.8">
      <c r="A28" s="143" t="s">
        <v>679</v>
      </c>
      <c r="B28" s="143" t="s">
        <v>680</v>
      </c>
      <c r="C28" s="172">
        <f t="shared" ref="C28:V28" si="6">SUM(C23:C27)</f>
        <v>16.899999999999999</v>
      </c>
      <c r="D28" s="173">
        <f t="shared" si="6"/>
        <v>6.1</v>
      </c>
      <c r="E28" s="173">
        <f t="shared" si="6"/>
        <v>1.9</v>
      </c>
      <c r="F28" s="174">
        <f t="shared" si="6"/>
        <v>0.1</v>
      </c>
      <c r="G28" s="173">
        <f t="shared" si="6"/>
        <v>0.1</v>
      </c>
      <c r="H28" s="173">
        <f t="shared" si="6"/>
        <v>24.099999999999998</v>
      </c>
      <c r="I28" s="173">
        <f t="shared" si="6"/>
        <v>-0.29999999999999993</v>
      </c>
      <c r="J28" s="173">
        <f t="shared" si="6"/>
        <v>6.9</v>
      </c>
      <c r="K28" s="172">
        <f t="shared" si="6"/>
        <v>0.3</v>
      </c>
      <c r="L28" s="173">
        <f t="shared" si="6"/>
        <v>8.3000000000000007</v>
      </c>
      <c r="M28" s="173">
        <f t="shared" si="6"/>
        <v>5.3999999999999995</v>
      </c>
      <c r="N28" s="174">
        <f t="shared" si="6"/>
        <v>-10.7</v>
      </c>
      <c r="O28" s="173">
        <f t="shared" si="6"/>
        <v>4</v>
      </c>
      <c r="P28" s="173">
        <f t="shared" si="6"/>
        <v>3</v>
      </c>
      <c r="Q28" s="173">
        <f t="shared" si="6"/>
        <v>0.8</v>
      </c>
      <c r="R28" s="173">
        <f t="shared" si="6"/>
        <v>-5.6000000000000005</v>
      </c>
      <c r="S28" s="172">
        <f t="shared" si="6"/>
        <v>18.2</v>
      </c>
      <c r="T28" s="173">
        <f t="shared" si="6"/>
        <v>6.2</v>
      </c>
      <c r="U28" s="173">
        <f t="shared" si="6"/>
        <v>7.7</v>
      </c>
      <c r="V28" s="174">
        <f t="shared" si="6"/>
        <v>5.8999999999999995</v>
      </c>
      <c r="W28" s="173">
        <f t="shared" ref="W28:AT28" si="7">SUM(W23:W27)</f>
        <v>19.100000000000001</v>
      </c>
      <c r="X28" s="173">
        <f t="shared" si="7"/>
        <v>6.6</v>
      </c>
      <c r="Y28" s="173">
        <f t="shared" si="7"/>
        <v>-0.9</v>
      </c>
      <c r="Z28" s="174">
        <f t="shared" si="7"/>
        <v>-0.19999999999999973</v>
      </c>
      <c r="AA28" s="173">
        <f t="shared" si="7"/>
        <v>99.5</v>
      </c>
      <c r="AB28" s="173">
        <f t="shared" si="7"/>
        <v>6.5</v>
      </c>
      <c r="AC28" s="173">
        <f t="shared" si="7"/>
        <v>-8.6999999999999993</v>
      </c>
      <c r="AD28" s="174">
        <f t="shared" si="7"/>
        <v>0.4</v>
      </c>
      <c r="AE28" s="173">
        <f t="shared" si="7"/>
        <v>0.30000000000000004</v>
      </c>
      <c r="AF28" s="173">
        <f t="shared" si="7"/>
        <v>4.9000000000000004</v>
      </c>
      <c r="AG28" s="173">
        <f t="shared" si="7"/>
        <v>5.2</v>
      </c>
      <c r="AH28" s="174">
        <f t="shared" si="7"/>
        <v>5.3999999999999995</v>
      </c>
      <c r="AI28" s="173">
        <f t="shared" si="7"/>
        <v>50.9</v>
      </c>
      <c r="AJ28" s="173">
        <f t="shared" si="7"/>
        <v>90.6</v>
      </c>
      <c r="AK28" s="173">
        <f t="shared" si="7"/>
        <v>23.200000000000003</v>
      </c>
      <c r="AL28" s="174">
        <f t="shared" si="7"/>
        <v>0.3</v>
      </c>
      <c r="AM28" s="173">
        <f t="shared" si="7"/>
        <v>28.7</v>
      </c>
      <c r="AN28" s="173">
        <f t="shared" si="7"/>
        <v>196.6</v>
      </c>
      <c r="AO28" s="173">
        <f t="shared" si="7"/>
        <v>4</v>
      </c>
      <c r="AP28" s="174">
        <f t="shared" si="7"/>
        <v>3</v>
      </c>
      <c r="AQ28" s="172">
        <f t="shared" si="7"/>
        <v>10.199999999999999</v>
      </c>
      <c r="AR28" s="173">
        <f t="shared" si="7"/>
        <v>32.800000000000004</v>
      </c>
      <c r="AS28" s="173">
        <f t="shared" si="7"/>
        <v>3.6</v>
      </c>
      <c r="AT28" s="173">
        <f t="shared" si="7"/>
        <v>0</v>
      </c>
      <c r="AU28" s="193">
        <f t="shared" ref="AU28:BS28" si="8">SUM(AU21:AU27)</f>
        <v>33.300000000000004</v>
      </c>
      <c r="AV28" s="173">
        <f t="shared" si="8"/>
        <v>18.2</v>
      </c>
      <c r="AW28" s="173">
        <f t="shared" si="8"/>
        <v>0</v>
      </c>
      <c r="AX28" s="173">
        <f t="shared" si="8"/>
        <v>3.8</v>
      </c>
      <c r="AY28" s="173">
        <f t="shared" si="8"/>
        <v>15.8</v>
      </c>
      <c r="AZ28" s="173">
        <f t="shared" si="8"/>
        <v>16.399999999999999</v>
      </c>
      <c r="BA28" s="173">
        <f t="shared" si="8"/>
        <v>3.6</v>
      </c>
      <c r="BB28" s="173">
        <f t="shared" si="8"/>
        <v>0.5</v>
      </c>
      <c r="BC28" s="173">
        <f t="shared" si="8"/>
        <v>9.1</v>
      </c>
      <c r="BD28" s="173">
        <f t="shared" si="8"/>
        <v>18.8</v>
      </c>
      <c r="BE28" s="173">
        <f t="shared" si="8"/>
        <v>5.4</v>
      </c>
      <c r="BF28" s="173">
        <f t="shared" si="8"/>
        <v>5.0999999999999996</v>
      </c>
      <c r="BG28" s="173">
        <f t="shared" si="8"/>
        <v>0</v>
      </c>
      <c r="BH28" s="173">
        <f t="shared" si="8"/>
        <v>7.7</v>
      </c>
      <c r="BI28" s="173">
        <f t="shared" si="8"/>
        <v>3.9</v>
      </c>
      <c r="BJ28" s="173">
        <f t="shared" si="8"/>
        <v>29.6</v>
      </c>
      <c r="BK28" s="173">
        <f t="shared" si="8"/>
        <v>-1.7999999999999998</v>
      </c>
      <c r="BL28" s="173">
        <f t="shared" si="8"/>
        <v>12.899999999999999</v>
      </c>
      <c r="BM28" s="173">
        <f t="shared" si="8"/>
        <v>-9.2999999999999989</v>
      </c>
      <c r="BN28" s="173">
        <f t="shared" si="8"/>
        <v>-0.1</v>
      </c>
      <c r="BO28" s="173">
        <f t="shared" si="8"/>
        <v>1.2</v>
      </c>
      <c r="BP28" s="173">
        <f t="shared" si="8"/>
        <v>8.6</v>
      </c>
      <c r="BQ28" s="173">
        <f t="shared" si="8"/>
        <v>3.6</v>
      </c>
      <c r="BR28" s="173">
        <f t="shared" si="8"/>
        <v>-12.3</v>
      </c>
      <c r="BS28" s="172">
        <f t="shared" si="8"/>
        <v>-4.0999999999999996</v>
      </c>
    </row>
    <row r="29" spans="1:72" s="150" customFormat="1" ht="10.8">
      <c r="A29" s="179"/>
      <c r="B29" s="179"/>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4"/>
      <c r="BT29" s="610"/>
    </row>
    <row r="30" spans="1:72" s="150" customFormat="1" ht="10.8">
      <c r="A30" s="155" t="s">
        <v>681</v>
      </c>
      <c r="B30" s="155" t="s">
        <v>682</v>
      </c>
      <c r="C30" s="44">
        <f>C31+C32</f>
        <v>0</v>
      </c>
      <c r="D30" s="45">
        <f t="shared" ref="D30:BO30" si="9">D31+D32</f>
        <v>-0.19999999999999996</v>
      </c>
      <c r="E30" s="45">
        <f t="shared" si="9"/>
        <v>1.6</v>
      </c>
      <c r="F30" s="45">
        <f t="shared" si="9"/>
        <v>-0.59999999999999964</v>
      </c>
      <c r="G30" s="44">
        <f t="shared" si="9"/>
        <v>0.69999999999999973</v>
      </c>
      <c r="H30" s="45">
        <f t="shared" si="9"/>
        <v>-0.70000000000000284</v>
      </c>
      <c r="I30" s="45">
        <f t="shared" si="9"/>
        <v>2.5</v>
      </c>
      <c r="J30" s="46">
        <f t="shared" si="9"/>
        <v>2.0999999999999659</v>
      </c>
      <c r="K30" s="44">
        <f t="shared" si="9"/>
        <v>18</v>
      </c>
      <c r="L30" s="45">
        <f t="shared" si="9"/>
        <v>5.7999999999999972</v>
      </c>
      <c r="M30" s="45">
        <f t="shared" si="9"/>
        <v>-6.8000000000000043</v>
      </c>
      <c r="N30" s="46">
        <f t="shared" si="9"/>
        <v>3.2999999999999972</v>
      </c>
      <c r="O30" s="44">
        <f t="shared" si="9"/>
        <v>-7</v>
      </c>
      <c r="P30" s="45">
        <f t="shared" si="9"/>
        <v>-15.300000000000011</v>
      </c>
      <c r="Q30" s="45">
        <f t="shared" si="9"/>
        <v>-7.9000000000000057</v>
      </c>
      <c r="R30" s="46">
        <f t="shared" si="9"/>
        <v>18</v>
      </c>
      <c r="S30" s="44">
        <f t="shared" si="9"/>
        <v>-15.899999999999991</v>
      </c>
      <c r="T30" s="45">
        <f t="shared" si="9"/>
        <v>-5.6000000000000085</v>
      </c>
      <c r="U30" s="45">
        <f t="shared" si="9"/>
        <v>-21.900000000000006</v>
      </c>
      <c r="V30" s="46">
        <f t="shared" si="9"/>
        <v>7.6999999999999993</v>
      </c>
      <c r="W30" s="45">
        <f t="shared" si="9"/>
        <v>2.3999999999999986</v>
      </c>
      <c r="X30" s="45">
        <f t="shared" si="9"/>
        <v>-5.6000000000000014</v>
      </c>
      <c r="Y30" s="45">
        <f t="shared" si="9"/>
        <v>-2.1000000000000085</v>
      </c>
      <c r="Z30" s="46">
        <f t="shared" si="9"/>
        <v>-4.1999999999999957</v>
      </c>
      <c r="AA30" s="45">
        <f t="shared" si="9"/>
        <v>2.2000000000000028</v>
      </c>
      <c r="AB30" s="45">
        <f t="shared" si="9"/>
        <v>10.099999999999994</v>
      </c>
      <c r="AC30" s="45">
        <f t="shared" si="9"/>
        <v>15.999999999999998</v>
      </c>
      <c r="AD30" s="46">
        <f t="shared" si="9"/>
        <v>4.0999999999999996</v>
      </c>
      <c r="AE30" s="45">
        <f t="shared" si="9"/>
        <v>-0.30000000000000426</v>
      </c>
      <c r="AF30" s="45">
        <f t="shared" si="9"/>
        <v>3.9000000000000057</v>
      </c>
      <c r="AG30" s="45">
        <f t="shared" si="9"/>
        <v>6.9000000000000057</v>
      </c>
      <c r="AH30" s="46">
        <f t="shared" si="9"/>
        <v>-1.8999999999999986</v>
      </c>
      <c r="AI30" s="45">
        <f t="shared" si="9"/>
        <v>11.4</v>
      </c>
      <c r="AJ30" s="45">
        <f t="shared" si="9"/>
        <v>3.1000000000000085</v>
      </c>
      <c r="AK30" s="45">
        <f t="shared" si="9"/>
        <v>2.8999999999999986</v>
      </c>
      <c r="AL30" s="46">
        <f t="shared" si="9"/>
        <v>4.4000000000000021</v>
      </c>
      <c r="AM30" s="45">
        <f t="shared" si="9"/>
        <v>-2.6000000000000014</v>
      </c>
      <c r="AN30" s="45">
        <f t="shared" si="9"/>
        <v>0.59999999999999964</v>
      </c>
      <c r="AO30" s="45">
        <f t="shared" si="9"/>
        <v>0.90000000000000568</v>
      </c>
      <c r="AP30" s="46">
        <f t="shared" si="9"/>
        <v>-0.60000000000002274</v>
      </c>
      <c r="AQ30" s="44">
        <f t="shared" si="9"/>
        <v>1.6000000000000014</v>
      </c>
      <c r="AR30" s="45">
        <f t="shared" si="9"/>
        <v>8</v>
      </c>
      <c r="AS30" s="45">
        <f t="shared" si="9"/>
        <v>2.8999999999999986</v>
      </c>
      <c r="AT30" s="45">
        <f t="shared" si="9"/>
        <v>4.5000000000000036</v>
      </c>
      <c r="AU30" s="48">
        <f t="shared" si="9"/>
        <v>2.2999999999999972</v>
      </c>
      <c r="AV30" s="45">
        <f t="shared" si="9"/>
        <v>2.7999999999999989</v>
      </c>
      <c r="AW30" s="45">
        <f t="shared" si="9"/>
        <v>0</v>
      </c>
      <c r="AX30" s="45">
        <f t="shared" si="9"/>
        <v>5.7999999999999972</v>
      </c>
      <c r="AY30" s="48">
        <f t="shared" si="9"/>
        <v>2.3000000000000007</v>
      </c>
      <c r="AZ30" s="45">
        <f t="shared" si="9"/>
        <v>3.0999999999999979</v>
      </c>
      <c r="BA30" s="45">
        <f t="shared" si="9"/>
        <v>1.0999999999999943</v>
      </c>
      <c r="BB30" s="45">
        <f t="shared" si="9"/>
        <v>1.7000000000000028</v>
      </c>
      <c r="BC30" s="48">
        <f t="shared" si="9"/>
        <v>29.600000000000023</v>
      </c>
      <c r="BD30" s="45">
        <f t="shared" si="9"/>
        <v>7</v>
      </c>
      <c r="BE30" s="45">
        <f t="shared" si="9"/>
        <v>-13.7</v>
      </c>
      <c r="BF30" s="45">
        <f t="shared" si="9"/>
        <v>-3</v>
      </c>
      <c r="BG30" s="48">
        <f t="shared" si="9"/>
        <v>-10.899999999999977</v>
      </c>
      <c r="BH30" s="45">
        <f t="shared" si="9"/>
        <v>-4.3000000000000043</v>
      </c>
      <c r="BI30" s="45">
        <f t="shared" si="9"/>
        <v>-5.3999999999999773</v>
      </c>
      <c r="BJ30" s="45">
        <f t="shared" si="9"/>
        <v>-35.299999999999955</v>
      </c>
      <c r="BK30" s="48">
        <f t="shared" si="9"/>
        <v>-14.5</v>
      </c>
      <c r="BL30" s="45">
        <f t="shared" si="9"/>
        <v>-18.200000000000017</v>
      </c>
      <c r="BM30" s="45">
        <f t="shared" si="9"/>
        <v>-1.7000000000000028</v>
      </c>
      <c r="BN30" s="45">
        <f t="shared" si="9"/>
        <v>-1</v>
      </c>
      <c r="BO30" s="48">
        <f t="shared" si="9"/>
        <v>-7.7999999999999972</v>
      </c>
      <c r="BP30" s="45">
        <f t="shared" ref="BP30:BS30" si="10">BP31+BP32</f>
        <v>-4.2999999999999829</v>
      </c>
      <c r="BQ30" s="45">
        <f t="shared" si="10"/>
        <v>5.6999999999999886</v>
      </c>
      <c r="BR30" s="45">
        <f t="shared" si="10"/>
        <v>-2.4000000000000057</v>
      </c>
      <c r="BS30" s="44">
        <f t="shared" si="10"/>
        <v>-2.9000000000000057</v>
      </c>
      <c r="BT30" s="610"/>
    </row>
    <row r="31" spans="1:72" s="150" customFormat="1" ht="10.8">
      <c r="A31" s="163" t="s">
        <v>683</v>
      </c>
      <c r="B31" s="163" t="s">
        <v>684</v>
      </c>
      <c r="C31" s="44">
        <v>0</v>
      </c>
      <c r="D31" s="45">
        <v>-1.2</v>
      </c>
      <c r="E31" s="45">
        <v>1</v>
      </c>
      <c r="F31" s="45">
        <v>-5.0999999999999996</v>
      </c>
      <c r="G31" s="44">
        <v>3.8</v>
      </c>
      <c r="H31" s="45">
        <v>71.3</v>
      </c>
      <c r="I31" s="45">
        <v>-16.3</v>
      </c>
      <c r="J31" s="46">
        <v>268.2</v>
      </c>
      <c r="K31" s="44">
        <v>-24.6</v>
      </c>
      <c r="L31" s="45">
        <v>-112.4</v>
      </c>
      <c r="M31" s="45">
        <v>61.1</v>
      </c>
      <c r="N31" s="46">
        <v>-66.400000000000006</v>
      </c>
      <c r="O31" s="44">
        <v>133.1</v>
      </c>
      <c r="P31" s="45">
        <v>129.19999999999999</v>
      </c>
      <c r="Q31" s="45">
        <v>76.099999999999994</v>
      </c>
      <c r="R31" s="46">
        <v>-224.1</v>
      </c>
      <c r="S31" s="44">
        <v>-128.69999999999999</v>
      </c>
      <c r="T31" s="45">
        <v>76.3</v>
      </c>
      <c r="U31" s="45">
        <v>205.9</v>
      </c>
      <c r="V31" s="46">
        <v>20.399999999999999</v>
      </c>
      <c r="W31" s="45">
        <v>33.799999999999997</v>
      </c>
      <c r="X31" s="45">
        <v>57.8</v>
      </c>
      <c r="Y31" s="45">
        <v>70.099999999999994</v>
      </c>
      <c r="Z31" s="46">
        <v>42.2</v>
      </c>
      <c r="AA31" s="45">
        <f>-66.6+20.9</f>
        <v>-45.699999999999996</v>
      </c>
      <c r="AB31" s="45">
        <f>-123.2-6.8</f>
        <v>-130</v>
      </c>
      <c r="AC31" s="45">
        <f>-1.1-3</f>
        <v>-4.0999999999999996</v>
      </c>
      <c r="AD31" s="46">
        <v>-13.4</v>
      </c>
      <c r="AE31" s="45">
        <f>53.6-0.2</f>
        <v>53.4</v>
      </c>
      <c r="AF31" s="45">
        <v>93.7</v>
      </c>
      <c r="AG31" s="45">
        <v>65.400000000000006</v>
      </c>
      <c r="AH31" s="46">
        <v>22</v>
      </c>
      <c r="AI31" s="45">
        <v>1.3</v>
      </c>
      <c r="AJ31" s="45">
        <v>-112.8</v>
      </c>
      <c r="AK31" s="45">
        <v>22.2</v>
      </c>
      <c r="AL31" s="46">
        <v>-23.9</v>
      </c>
      <c r="AM31" s="45">
        <v>46.3</v>
      </c>
      <c r="AN31" s="45">
        <v>-15.1</v>
      </c>
      <c r="AO31" s="45">
        <v>-82.1</v>
      </c>
      <c r="AP31" s="46">
        <v>-225.8</v>
      </c>
      <c r="AQ31" s="44">
        <v>-25.9</v>
      </c>
      <c r="AR31" s="45">
        <v>-19</v>
      </c>
      <c r="AS31" s="45">
        <v>-25.6</v>
      </c>
      <c r="AT31" s="45">
        <v>-28.7</v>
      </c>
      <c r="AU31" s="48">
        <v>53.3</v>
      </c>
      <c r="AV31" s="45">
        <v>-14.9</v>
      </c>
      <c r="AW31" s="45">
        <v>-21.7</v>
      </c>
      <c r="AX31" s="45">
        <v>112.8</v>
      </c>
      <c r="AY31" s="48">
        <v>30.2</v>
      </c>
      <c r="AZ31" s="45">
        <v>21.599999999999998</v>
      </c>
      <c r="BA31" s="45">
        <v>50.3</v>
      </c>
      <c r="BB31" s="45">
        <v>-67.8</v>
      </c>
      <c r="BC31" s="48">
        <v>314.60000000000002</v>
      </c>
      <c r="BD31" s="45">
        <v>108.6</v>
      </c>
      <c r="BE31" s="45">
        <v>-25.2</v>
      </c>
      <c r="BF31" s="45">
        <v>-81.3</v>
      </c>
      <c r="BG31" s="48">
        <v>-343</v>
      </c>
      <c r="BH31" s="45">
        <v>-58.6</v>
      </c>
      <c r="BI31" s="45">
        <v>-173.2</v>
      </c>
      <c r="BJ31" s="45">
        <v>-515.4</v>
      </c>
      <c r="BK31" s="48">
        <v>-236.5</v>
      </c>
      <c r="BL31" s="45">
        <v>-214.3</v>
      </c>
      <c r="BM31" s="45">
        <v>-100.2</v>
      </c>
      <c r="BN31" s="45">
        <v>23.4</v>
      </c>
      <c r="BO31" s="48">
        <v>35.1</v>
      </c>
      <c r="BP31" s="45">
        <v>153.4</v>
      </c>
      <c r="BQ31" s="45">
        <v>161.69999999999999</v>
      </c>
      <c r="BR31" s="45">
        <v>50.8</v>
      </c>
      <c r="BS31" s="44">
        <v>-227.3</v>
      </c>
      <c r="BT31" s="610"/>
    </row>
    <row r="32" spans="1:72" s="150" customFormat="1" ht="10.8">
      <c r="A32" s="163" t="s">
        <v>685</v>
      </c>
      <c r="B32" s="163" t="s">
        <v>686</v>
      </c>
      <c r="C32" s="44">
        <v>0</v>
      </c>
      <c r="D32" s="45">
        <v>1</v>
      </c>
      <c r="E32" s="45">
        <v>0.6</v>
      </c>
      <c r="F32" s="45">
        <v>4.5</v>
      </c>
      <c r="G32" s="44">
        <v>-3.1</v>
      </c>
      <c r="H32" s="45">
        <v>-72</v>
      </c>
      <c r="I32" s="45">
        <v>18.8</v>
      </c>
      <c r="J32" s="46">
        <v>-266.10000000000002</v>
      </c>
      <c r="K32" s="44">
        <v>42.6</v>
      </c>
      <c r="L32" s="45">
        <v>118.2</v>
      </c>
      <c r="M32" s="45">
        <v>-67.900000000000006</v>
      </c>
      <c r="N32" s="46">
        <v>69.7</v>
      </c>
      <c r="O32" s="44">
        <v>-140.1</v>
      </c>
      <c r="P32" s="45">
        <v>-144.5</v>
      </c>
      <c r="Q32" s="45">
        <v>-84</v>
      </c>
      <c r="R32" s="46">
        <v>242.1</v>
      </c>
      <c r="S32" s="44">
        <v>112.8</v>
      </c>
      <c r="T32" s="45">
        <v>-81.900000000000006</v>
      </c>
      <c r="U32" s="45">
        <v>-227.8</v>
      </c>
      <c r="V32" s="46">
        <v>-12.7</v>
      </c>
      <c r="W32" s="45">
        <v>-31.4</v>
      </c>
      <c r="X32" s="45">
        <v>-63.4</v>
      </c>
      <c r="Y32" s="45">
        <v>-72.2</v>
      </c>
      <c r="Z32" s="46">
        <v>-46.4</v>
      </c>
      <c r="AA32" s="45">
        <f>46.9+1</f>
        <v>47.9</v>
      </c>
      <c r="AB32" s="45">
        <f>134.9+5.2</f>
        <v>140.1</v>
      </c>
      <c r="AC32" s="45">
        <f>3.9+16.2</f>
        <v>20.099999999999998</v>
      </c>
      <c r="AD32" s="46">
        <v>17.5</v>
      </c>
      <c r="AE32" s="45">
        <f>-54.1+0.4</f>
        <v>-53.7</v>
      </c>
      <c r="AF32" s="45">
        <v>-89.8</v>
      </c>
      <c r="AG32" s="45">
        <v>-58.5</v>
      </c>
      <c r="AH32" s="46">
        <v>-23.9</v>
      </c>
      <c r="AI32" s="45">
        <v>10.1</v>
      </c>
      <c r="AJ32" s="45">
        <v>115.9</v>
      </c>
      <c r="AK32" s="45">
        <v>-19.3</v>
      </c>
      <c r="AL32" s="46">
        <v>28.3</v>
      </c>
      <c r="AM32" s="45">
        <v>-48.9</v>
      </c>
      <c r="AN32" s="45">
        <v>15.7</v>
      </c>
      <c r="AO32" s="45">
        <v>83</v>
      </c>
      <c r="AP32" s="46">
        <v>225.2</v>
      </c>
      <c r="AQ32" s="44">
        <v>27.5</v>
      </c>
      <c r="AR32" s="45">
        <v>27</v>
      </c>
      <c r="AS32" s="45">
        <v>28.5</v>
      </c>
      <c r="AT32" s="45">
        <v>33.200000000000003</v>
      </c>
      <c r="AU32" s="48">
        <v>-51</v>
      </c>
      <c r="AV32" s="45">
        <v>17.7</v>
      </c>
      <c r="AW32" s="45">
        <v>21.7</v>
      </c>
      <c r="AX32" s="45">
        <v>-107</v>
      </c>
      <c r="AY32" s="48">
        <v>-27.9</v>
      </c>
      <c r="AZ32" s="45">
        <v>-18.5</v>
      </c>
      <c r="BA32" s="45">
        <v>-49.2</v>
      </c>
      <c r="BB32" s="45">
        <v>69.5</v>
      </c>
      <c r="BC32" s="48">
        <v>-285</v>
      </c>
      <c r="BD32" s="45">
        <v>-101.6</v>
      </c>
      <c r="BE32" s="45">
        <v>11.5</v>
      </c>
      <c r="BF32" s="45">
        <v>78.3</v>
      </c>
      <c r="BG32" s="48">
        <v>332.1</v>
      </c>
      <c r="BH32" s="45">
        <v>54.3</v>
      </c>
      <c r="BI32" s="45">
        <v>167.8</v>
      </c>
      <c r="BJ32" s="45">
        <v>480.1</v>
      </c>
      <c r="BK32" s="48">
        <v>222</v>
      </c>
      <c r="BL32" s="45">
        <v>196.1</v>
      </c>
      <c r="BM32" s="45">
        <v>98.5</v>
      </c>
      <c r="BN32" s="45">
        <v>-24.4</v>
      </c>
      <c r="BO32" s="48">
        <v>-42.9</v>
      </c>
      <c r="BP32" s="45">
        <v>-157.69999999999999</v>
      </c>
      <c r="BQ32" s="45">
        <v>-156</v>
      </c>
      <c r="BR32" s="45">
        <v>-53.2</v>
      </c>
      <c r="BS32" s="44">
        <v>224.4</v>
      </c>
      <c r="BT32" s="610"/>
    </row>
    <row r="33" spans="1:72" s="164" customFormat="1" ht="10.8">
      <c r="A33" s="155" t="s">
        <v>687</v>
      </c>
      <c r="B33" s="155" t="s">
        <v>688</v>
      </c>
      <c r="C33" s="44">
        <f>C34</f>
        <v>0</v>
      </c>
      <c r="D33" s="45">
        <f t="shared" ref="D33:W33" si="11">D34</f>
        <v>0</v>
      </c>
      <c r="E33" s="45">
        <f t="shared" si="11"/>
        <v>0</v>
      </c>
      <c r="F33" s="45">
        <f t="shared" si="11"/>
        <v>0</v>
      </c>
      <c r="G33" s="44">
        <f t="shared" si="11"/>
        <v>0</v>
      </c>
      <c r="H33" s="45">
        <f t="shared" si="11"/>
        <v>0</v>
      </c>
      <c r="I33" s="45">
        <f t="shared" si="11"/>
        <v>0.2</v>
      </c>
      <c r="J33" s="45">
        <f t="shared" si="11"/>
        <v>-0.2</v>
      </c>
      <c r="K33" s="44">
        <f t="shared" si="11"/>
        <v>-0.1</v>
      </c>
      <c r="L33" s="45">
        <f t="shared" si="11"/>
        <v>0.2</v>
      </c>
      <c r="M33" s="45">
        <f t="shared" si="11"/>
        <v>0.1</v>
      </c>
      <c r="N33" s="45">
        <f t="shared" si="11"/>
        <v>-0.4</v>
      </c>
      <c r="O33" s="44">
        <f t="shared" si="11"/>
        <v>0.1</v>
      </c>
      <c r="P33" s="45">
        <f t="shared" si="11"/>
        <v>0</v>
      </c>
      <c r="Q33" s="45">
        <f t="shared" si="11"/>
        <v>0</v>
      </c>
      <c r="R33" s="45">
        <f t="shared" si="11"/>
        <v>0</v>
      </c>
      <c r="S33" s="44">
        <f t="shared" si="11"/>
        <v>-0.4</v>
      </c>
      <c r="T33" s="45">
        <f t="shared" si="11"/>
        <v>2.4</v>
      </c>
      <c r="U33" s="45">
        <f t="shared" si="11"/>
        <v>-1.7</v>
      </c>
      <c r="V33" s="45">
        <f t="shared" si="11"/>
        <v>2</v>
      </c>
      <c r="W33" s="44">
        <f t="shared" si="11"/>
        <v>-0.7</v>
      </c>
      <c r="X33" s="45">
        <f t="shared" ref="X33:AG33" si="12">SUM(X34)</f>
        <v>0.4</v>
      </c>
      <c r="Y33" s="45">
        <f t="shared" si="12"/>
        <v>-3.4</v>
      </c>
      <c r="Z33" s="46">
        <f t="shared" si="12"/>
        <v>-0.1</v>
      </c>
      <c r="AA33" s="45">
        <f t="shared" si="12"/>
        <v>0.7</v>
      </c>
      <c r="AB33" s="45">
        <f t="shared" si="12"/>
        <v>-0.2</v>
      </c>
      <c r="AC33" s="45">
        <f t="shared" si="12"/>
        <v>-0.5</v>
      </c>
      <c r="AD33" s="46">
        <f t="shared" si="12"/>
        <v>-0.4</v>
      </c>
      <c r="AE33" s="45">
        <f t="shared" si="12"/>
        <v>1.1000000000000001</v>
      </c>
      <c r="AF33" s="45">
        <f t="shared" si="12"/>
        <v>-0.9</v>
      </c>
      <c r="AG33" s="45">
        <f t="shared" si="12"/>
        <v>0.3</v>
      </c>
      <c r="AH33" s="46">
        <v>-0.2</v>
      </c>
      <c r="AI33" s="45">
        <v>0</v>
      </c>
      <c r="AJ33" s="45">
        <f>SUM(AJ34)</f>
        <v>0.2</v>
      </c>
      <c r="AK33" s="45">
        <f>SUM(AK34)</f>
        <v>-0.3</v>
      </c>
      <c r="AL33" s="46">
        <f>SUM(AL34)</f>
        <v>1.2</v>
      </c>
      <c r="AM33" s="45">
        <v>0</v>
      </c>
      <c r="AN33" s="45">
        <v>-0.1</v>
      </c>
      <c r="AO33" s="45">
        <v>-0.7</v>
      </c>
      <c r="AP33" s="46">
        <v>-0.1</v>
      </c>
      <c r="AQ33" s="44">
        <f t="shared" ref="AQ33:BS33" si="13">AQ34</f>
        <v>0.4</v>
      </c>
      <c r="AR33" s="45">
        <f t="shared" si="13"/>
        <v>0.3</v>
      </c>
      <c r="AS33" s="45">
        <f t="shared" si="13"/>
        <v>-1.6</v>
      </c>
      <c r="AT33" s="45">
        <f t="shared" si="13"/>
        <v>-0.79999999999999993</v>
      </c>
      <c r="AU33" s="48">
        <f t="shared" si="13"/>
        <v>-0.1</v>
      </c>
      <c r="AV33" s="45">
        <f t="shared" si="13"/>
        <v>-0.8</v>
      </c>
      <c r="AW33" s="45">
        <f t="shared" si="13"/>
        <v>-0.7</v>
      </c>
      <c r="AX33" s="45">
        <f t="shared" si="13"/>
        <v>-1.4</v>
      </c>
      <c r="AY33" s="44">
        <f t="shared" si="13"/>
        <v>-3.5</v>
      </c>
      <c r="AZ33" s="45">
        <f t="shared" si="13"/>
        <v>-4</v>
      </c>
      <c r="BA33" s="45">
        <f t="shared" si="13"/>
        <v>-7.8</v>
      </c>
      <c r="BB33" s="45">
        <f t="shared" si="13"/>
        <v>-7.2</v>
      </c>
      <c r="BC33" s="44">
        <f t="shared" si="13"/>
        <v>-5.9</v>
      </c>
      <c r="BD33" s="45">
        <f t="shared" si="13"/>
        <v>-2.1</v>
      </c>
      <c r="BE33" s="45">
        <f t="shared" si="13"/>
        <v>-0.4</v>
      </c>
      <c r="BF33" s="45">
        <f t="shared" si="13"/>
        <v>0</v>
      </c>
      <c r="BG33" s="44">
        <f t="shared" si="13"/>
        <v>0</v>
      </c>
      <c r="BH33" s="45">
        <f t="shared" si="13"/>
        <v>1</v>
      </c>
      <c r="BI33" s="45">
        <f t="shared" si="13"/>
        <v>0.6</v>
      </c>
      <c r="BJ33" s="45">
        <f t="shared" si="13"/>
        <v>1.8</v>
      </c>
      <c r="BK33" s="44">
        <f t="shared" si="13"/>
        <v>0</v>
      </c>
      <c r="BL33" s="45">
        <f t="shared" si="13"/>
        <v>0</v>
      </c>
      <c r="BM33" s="45">
        <f t="shared" si="13"/>
        <v>0</v>
      </c>
      <c r="BN33" s="45">
        <f t="shared" si="13"/>
        <v>-4</v>
      </c>
      <c r="BO33" s="44">
        <f t="shared" si="13"/>
        <v>3.1</v>
      </c>
      <c r="BP33" s="45">
        <f t="shared" si="13"/>
        <v>0.8</v>
      </c>
      <c r="BQ33" s="45">
        <f t="shared" si="13"/>
        <v>-99.3</v>
      </c>
      <c r="BR33" s="45">
        <f t="shared" si="13"/>
        <v>99.4</v>
      </c>
      <c r="BS33" s="44">
        <f t="shared" si="13"/>
        <v>0</v>
      </c>
      <c r="BT33" s="615"/>
    </row>
    <row r="34" spans="1:72" s="150" customFormat="1" ht="10.8">
      <c r="A34" s="171" t="s">
        <v>689</v>
      </c>
      <c r="B34" s="171" t="s">
        <v>690</v>
      </c>
      <c r="C34" s="44">
        <v>0</v>
      </c>
      <c r="D34" s="45">
        <v>0</v>
      </c>
      <c r="E34" s="45">
        <v>0</v>
      </c>
      <c r="F34" s="45">
        <v>0</v>
      </c>
      <c r="G34" s="44">
        <v>0</v>
      </c>
      <c r="H34" s="45">
        <v>0</v>
      </c>
      <c r="I34" s="45">
        <v>0.2</v>
      </c>
      <c r="J34" s="46">
        <v>-0.2</v>
      </c>
      <c r="K34" s="44">
        <v>-0.1</v>
      </c>
      <c r="L34" s="45">
        <v>0.2</v>
      </c>
      <c r="M34" s="45">
        <v>0.1</v>
      </c>
      <c r="N34" s="46">
        <v>-0.4</v>
      </c>
      <c r="O34" s="44">
        <v>0.1</v>
      </c>
      <c r="P34" s="45">
        <v>0</v>
      </c>
      <c r="Q34" s="45">
        <v>0</v>
      </c>
      <c r="R34" s="46">
        <v>0</v>
      </c>
      <c r="S34" s="44">
        <v>-0.4</v>
      </c>
      <c r="T34" s="45">
        <v>2.4</v>
      </c>
      <c r="U34" s="45">
        <v>-1.7</v>
      </c>
      <c r="V34" s="46">
        <v>2</v>
      </c>
      <c r="W34" s="45">
        <v>-0.7</v>
      </c>
      <c r="X34" s="45">
        <v>0.4</v>
      </c>
      <c r="Y34" s="45">
        <v>-3.4</v>
      </c>
      <c r="Z34" s="46">
        <v>-0.1</v>
      </c>
      <c r="AA34" s="45">
        <v>0.7</v>
      </c>
      <c r="AB34" s="45">
        <v>-0.2</v>
      </c>
      <c r="AC34" s="45">
        <v>-0.5</v>
      </c>
      <c r="AD34" s="46">
        <v>-0.4</v>
      </c>
      <c r="AE34" s="45">
        <v>1.1000000000000001</v>
      </c>
      <c r="AF34" s="45">
        <v>-0.9</v>
      </c>
      <c r="AG34" s="45">
        <v>0.3</v>
      </c>
      <c r="AH34" s="46">
        <v>-0.2</v>
      </c>
      <c r="AI34" s="45">
        <v>0</v>
      </c>
      <c r="AJ34" s="45">
        <v>0.2</v>
      </c>
      <c r="AK34" s="45">
        <v>-0.3</v>
      </c>
      <c r="AL34" s="46">
        <v>1.2</v>
      </c>
      <c r="AM34" s="45">
        <v>0</v>
      </c>
      <c r="AN34" s="45">
        <v>-0.1</v>
      </c>
      <c r="AO34" s="45">
        <v>-0.7</v>
      </c>
      <c r="AP34" s="46">
        <v>-0.1</v>
      </c>
      <c r="AQ34" s="44">
        <v>0.4</v>
      </c>
      <c r="AR34" s="45">
        <v>0.3</v>
      </c>
      <c r="AS34" s="45">
        <v>-1.6</v>
      </c>
      <c r="AT34" s="45">
        <v>-0.79999999999999993</v>
      </c>
      <c r="AU34" s="48">
        <v>-0.1</v>
      </c>
      <c r="AV34" s="45">
        <v>-0.8</v>
      </c>
      <c r="AW34" s="45">
        <v>-0.7</v>
      </c>
      <c r="AX34" s="45">
        <v>-1.4</v>
      </c>
      <c r="AY34" s="48">
        <v>-3.5</v>
      </c>
      <c r="AZ34" s="45">
        <v>-4</v>
      </c>
      <c r="BA34" s="45">
        <v>-7.8</v>
      </c>
      <c r="BB34" s="45">
        <v>-7.2</v>
      </c>
      <c r="BC34" s="48">
        <v>-5.9</v>
      </c>
      <c r="BD34" s="45">
        <v>-2.1</v>
      </c>
      <c r="BE34" s="45">
        <v>-0.4</v>
      </c>
      <c r="BF34" s="45">
        <v>0</v>
      </c>
      <c r="BG34" s="48">
        <v>0</v>
      </c>
      <c r="BH34" s="45">
        <v>1</v>
      </c>
      <c r="BI34" s="45">
        <v>0.6</v>
      </c>
      <c r="BJ34" s="45">
        <v>1.8</v>
      </c>
      <c r="BK34" s="48">
        <v>0</v>
      </c>
      <c r="BL34" s="45">
        <v>0</v>
      </c>
      <c r="BM34" s="45">
        <v>0</v>
      </c>
      <c r="BN34" s="45">
        <v>-4</v>
      </c>
      <c r="BO34" s="48">
        <v>3.1</v>
      </c>
      <c r="BP34" s="45">
        <v>0.8</v>
      </c>
      <c r="BQ34" s="45">
        <v>-99.3</v>
      </c>
      <c r="BR34" s="45">
        <v>99.4</v>
      </c>
      <c r="BS34" s="44">
        <v>0</v>
      </c>
      <c r="BT34" s="610"/>
    </row>
    <row r="35" spans="1:72" s="164" customFormat="1" ht="10.8">
      <c r="A35" s="143" t="s">
        <v>691</v>
      </c>
      <c r="B35" s="143" t="s">
        <v>692</v>
      </c>
      <c r="C35" s="172">
        <f>C30+C33</f>
        <v>0</v>
      </c>
      <c r="D35" s="173">
        <f t="shared" ref="D35:AP35" si="14">D30+D33</f>
        <v>-0.19999999999999996</v>
      </c>
      <c r="E35" s="173">
        <f t="shared" si="14"/>
        <v>1.6</v>
      </c>
      <c r="F35" s="173">
        <f t="shared" si="14"/>
        <v>-0.59999999999999964</v>
      </c>
      <c r="G35" s="172">
        <f t="shared" si="14"/>
        <v>0.69999999999999973</v>
      </c>
      <c r="H35" s="173">
        <f t="shared" si="14"/>
        <v>-0.70000000000000284</v>
      </c>
      <c r="I35" s="173">
        <f t="shared" si="14"/>
        <v>2.7</v>
      </c>
      <c r="J35" s="174">
        <f t="shared" si="14"/>
        <v>1.8999999999999659</v>
      </c>
      <c r="K35" s="172">
        <f t="shared" si="14"/>
        <v>17.899999999999999</v>
      </c>
      <c r="L35" s="173">
        <f t="shared" si="14"/>
        <v>5.9999999999999973</v>
      </c>
      <c r="M35" s="173">
        <f t="shared" si="14"/>
        <v>-6.7000000000000046</v>
      </c>
      <c r="N35" s="174">
        <f t="shared" si="14"/>
        <v>2.8999999999999972</v>
      </c>
      <c r="O35" s="172">
        <f t="shared" si="14"/>
        <v>-6.9</v>
      </c>
      <c r="P35" s="173">
        <f t="shared" si="14"/>
        <v>-15.300000000000011</v>
      </c>
      <c r="Q35" s="173">
        <f t="shared" si="14"/>
        <v>-7.9000000000000057</v>
      </c>
      <c r="R35" s="174">
        <f t="shared" si="14"/>
        <v>18</v>
      </c>
      <c r="S35" s="172">
        <f t="shared" si="14"/>
        <v>-16.29999999999999</v>
      </c>
      <c r="T35" s="173">
        <f t="shared" si="14"/>
        <v>-3.2000000000000086</v>
      </c>
      <c r="U35" s="173">
        <f t="shared" si="14"/>
        <v>-23.600000000000005</v>
      </c>
      <c r="V35" s="174">
        <f t="shared" si="14"/>
        <v>9.6999999999999993</v>
      </c>
      <c r="W35" s="173">
        <f t="shared" si="14"/>
        <v>1.6999999999999986</v>
      </c>
      <c r="X35" s="173">
        <f t="shared" si="14"/>
        <v>-5.2000000000000011</v>
      </c>
      <c r="Y35" s="173">
        <f t="shared" si="14"/>
        <v>-5.5000000000000089</v>
      </c>
      <c r="Z35" s="174">
        <f t="shared" si="14"/>
        <v>-4.2999999999999954</v>
      </c>
      <c r="AA35" s="173">
        <f t="shared" si="14"/>
        <v>2.900000000000003</v>
      </c>
      <c r="AB35" s="173">
        <f t="shared" si="14"/>
        <v>9.899999999999995</v>
      </c>
      <c r="AC35" s="173">
        <f t="shared" si="14"/>
        <v>15.499999999999998</v>
      </c>
      <c r="AD35" s="174">
        <f t="shared" si="14"/>
        <v>3.6999999999999997</v>
      </c>
      <c r="AE35" s="173">
        <f t="shared" si="14"/>
        <v>0.79999999999999583</v>
      </c>
      <c r="AF35" s="173">
        <f t="shared" si="14"/>
        <v>3.0000000000000058</v>
      </c>
      <c r="AG35" s="173">
        <f t="shared" si="14"/>
        <v>7.2000000000000055</v>
      </c>
      <c r="AH35" s="174">
        <f t="shared" si="14"/>
        <v>-2.0999999999999988</v>
      </c>
      <c r="AI35" s="173">
        <f t="shared" si="14"/>
        <v>11.4</v>
      </c>
      <c r="AJ35" s="173">
        <f t="shared" si="14"/>
        <v>3.3000000000000087</v>
      </c>
      <c r="AK35" s="173">
        <f t="shared" si="14"/>
        <v>2.5999999999999988</v>
      </c>
      <c r="AL35" s="174">
        <f t="shared" si="14"/>
        <v>5.6000000000000023</v>
      </c>
      <c r="AM35" s="173">
        <f t="shared" si="14"/>
        <v>-2.6000000000000014</v>
      </c>
      <c r="AN35" s="173">
        <f t="shared" si="14"/>
        <v>0.49999999999999967</v>
      </c>
      <c r="AO35" s="173">
        <f t="shared" si="14"/>
        <v>0.20000000000000573</v>
      </c>
      <c r="AP35" s="174">
        <f t="shared" si="14"/>
        <v>-0.70000000000002272</v>
      </c>
      <c r="AQ35" s="172">
        <f t="shared" ref="AQ35:BS35" si="15">+AQ30+AQ33</f>
        <v>2.0000000000000013</v>
      </c>
      <c r="AR35" s="173">
        <f t="shared" si="15"/>
        <v>8.3000000000000007</v>
      </c>
      <c r="AS35" s="173">
        <f t="shared" si="15"/>
        <v>1.2999999999999985</v>
      </c>
      <c r="AT35" s="173">
        <f t="shared" si="15"/>
        <v>3.7000000000000037</v>
      </c>
      <c r="AU35" s="193">
        <f t="shared" si="15"/>
        <v>2.1999999999999971</v>
      </c>
      <c r="AV35" s="173">
        <f t="shared" si="15"/>
        <v>1.9999999999999989</v>
      </c>
      <c r="AW35" s="173">
        <f t="shared" si="15"/>
        <v>-0.7</v>
      </c>
      <c r="AX35" s="173">
        <f t="shared" si="15"/>
        <v>4.3999999999999968</v>
      </c>
      <c r="AY35" s="193">
        <f t="shared" si="15"/>
        <v>-1.1999999999999993</v>
      </c>
      <c r="AZ35" s="173">
        <f t="shared" si="15"/>
        <v>-0.90000000000000213</v>
      </c>
      <c r="BA35" s="173">
        <f t="shared" si="15"/>
        <v>-6.7000000000000055</v>
      </c>
      <c r="BB35" s="173">
        <f t="shared" si="15"/>
        <v>-5.4999999999999973</v>
      </c>
      <c r="BC35" s="193">
        <f t="shared" si="15"/>
        <v>23.700000000000024</v>
      </c>
      <c r="BD35" s="173">
        <f t="shared" si="15"/>
        <v>4.9000000000000004</v>
      </c>
      <c r="BE35" s="173">
        <f t="shared" si="15"/>
        <v>-14.1</v>
      </c>
      <c r="BF35" s="173">
        <f t="shared" si="15"/>
        <v>-3</v>
      </c>
      <c r="BG35" s="193">
        <f t="shared" si="15"/>
        <v>-10.899999999999977</v>
      </c>
      <c r="BH35" s="173">
        <f t="shared" si="15"/>
        <v>-3.3000000000000043</v>
      </c>
      <c r="BI35" s="173">
        <f t="shared" si="15"/>
        <v>-4.7999999999999776</v>
      </c>
      <c r="BJ35" s="173">
        <f t="shared" si="15"/>
        <v>-33.499999999999957</v>
      </c>
      <c r="BK35" s="193">
        <f t="shared" si="15"/>
        <v>-14.5</v>
      </c>
      <c r="BL35" s="173">
        <f t="shared" si="15"/>
        <v>-18.200000000000017</v>
      </c>
      <c r="BM35" s="173">
        <f t="shared" si="15"/>
        <v>-1.7000000000000028</v>
      </c>
      <c r="BN35" s="173">
        <f t="shared" si="15"/>
        <v>-5</v>
      </c>
      <c r="BO35" s="193">
        <f t="shared" si="15"/>
        <v>-4.6999999999999975</v>
      </c>
      <c r="BP35" s="173">
        <f t="shared" si="15"/>
        <v>-3.4999999999999831</v>
      </c>
      <c r="BQ35" s="173">
        <f t="shared" si="15"/>
        <v>-93.600000000000009</v>
      </c>
      <c r="BR35" s="173">
        <f t="shared" si="15"/>
        <v>97</v>
      </c>
      <c r="BS35" s="172">
        <f t="shared" si="15"/>
        <v>-2.9000000000000057</v>
      </c>
    </row>
    <row r="36" spans="1:72">
      <c r="A36" s="201"/>
      <c r="B36" s="201"/>
      <c r="C36" s="201"/>
      <c r="D36" s="201"/>
      <c r="E36" s="201"/>
      <c r="F36" s="201"/>
      <c r="G36" s="201"/>
      <c r="H36" s="201"/>
      <c r="I36" s="201"/>
      <c r="J36" s="201"/>
      <c r="K36" s="201"/>
      <c r="L36" s="201"/>
      <c r="M36" s="201"/>
      <c r="N36" s="201"/>
      <c r="O36" s="201"/>
      <c r="P36" s="201"/>
      <c r="Q36" s="201"/>
      <c r="R36" s="201"/>
      <c r="S36" s="201"/>
      <c r="T36" s="201"/>
      <c r="U36" s="201"/>
      <c r="V36" s="201"/>
      <c r="W36" s="201"/>
      <c r="X36" s="201"/>
      <c r="Y36" s="201"/>
      <c r="Z36" s="201"/>
      <c r="AD36" s="451"/>
      <c r="AU36" s="2"/>
      <c r="AY36" s="2"/>
      <c r="BC36" s="2"/>
      <c r="BG36" s="2"/>
      <c r="BK36" s="2"/>
      <c r="BO36" s="2"/>
      <c r="BS36" s="449"/>
    </row>
    <row r="37" spans="1:72" ht="13.5" customHeight="1">
      <c r="A37" s="2"/>
      <c r="B37" s="2"/>
      <c r="C37" s="201"/>
      <c r="D37" s="201"/>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1"/>
      <c r="AE37" s="201"/>
      <c r="AF37" s="201"/>
      <c r="AG37" s="201"/>
      <c r="AJ37" s="201"/>
    </row>
    <row r="38" spans="1:72" ht="13.5" customHeight="1">
      <c r="A38" s="2"/>
      <c r="B38" s="2"/>
      <c r="C38" s="201"/>
      <c r="D38" s="201"/>
      <c r="E38" s="201"/>
      <c r="F38" s="201"/>
      <c r="G38" s="201"/>
      <c r="H38" s="201"/>
      <c r="I38" s="201"/>
      <c r="J38" s="201"/>
      <c r="K38" s="201"/>
      <c r="L38" s="201"/>
      <c r="M38" s="201"/>
      <c r="N38" s="201"/>
      <c r="O38" s="201"/>
      <c r="P38" s="201"/>
      <c r="Q38" s="201"/>
      <c r="R38" s="201"/>
      <c r="S38" s="201"/>
      <c r="T38" s="201"/>
      <c r="U38" s="201"/>
      <c r="V38" s="201"/>
      <c r="W38" s="201"/>
      <c r="X38" s="201"/>
      <c r="Y38" s="201"/>
      <c r="Z38" s="201"/>
      <c r="AA38" s="201"/>
      <c r="AB38" s="201"/>
      <c r="AC38" s="201"/>
      <c r="AD38" s="201"/>
      <c r="AE38" s="201"/>
      <c r="AF38" s="201"/>
      <c r="AG38" s="201"/>
      <c r="AJ38" s="201"/>
      <c r="AZ38" s="151"/>
      <c r="BC38" s="439"/>
      <c r="BD38" s="439"/>
      <c r="BE38" s="439"/>
      <c r="BF38" s="439"/>
      <c r="BG38" s="439"/>
      <c r="BH38" s="151"/>
      <c r="BK38" s="439"/>
      <c r="BL38" s="151"/>
      <c r="BO38" s="439"/>
      <c r="BP38" s="151"/>
    </row>
    <row r="39" spans="1:72" ht="13.5" customHeight="1">
      <c r="A39" s="2"/>
      <c r="B39" s="2"/>
      <c r="AZ39" s="151"/>
      <c r="BD39" s="151"/>
      <c r="BH39" s="151"/>
      <c r="BL39" s="151"/>
      <c r="BP39" s="151"/>
    </row>
    <row r="40" spans="1:72" ht="13.5" customHeight="1">
      <c r="A40" s="2"/>
      <c r="B40" s="2"/>
      <c r="C40" s="201"/>
      <c r="D40" s="201"/>
      <c r="E40" s="201"/>
      <c r="F40" s="201"/>
      <c r="G40" s="201"/>
      <c r="H40" s="201"/>
      <c r="I40" s="201"/>
      <c r="J40" s="201"/>
      <c r="K40" s="201"/>
      <c r="L40" s="201"/>
      <c r="M40" s="201"/>
      <c r="N40" s="201"/>
      <c r="O40" s="201"/>
      <c r="P40" s="201"/>
      <c r="Q40" s="201"/>
      <c r="R40" s="201"/>
      <c r="S40" s="201"/>
      <c r="T40" s="201"/>
      <c r="U40" s="201"/>
      <c r="V40" s="201"/>
      <c r="W40" s="201"/>
      <c r="X40" s="201"/>
      <c r="Y40" s="201"/>
      <c r="Z40" s="201"/>
      <c r="AA40" s="201"/>
      <c r="AB40" s="201"/>
      <c r="AC40" s="201"/>
      <c r="AD40" s="201"/>
      <c r="AE40" s="201"/>
    </row>
    <row r="41" spans="1:72" ht="13.5" customHeight="1">
      <c r="A41" s="2"/>
      <c r="B41" s="2"/>
      <c r="C41" s="201"/>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1"/>
      <c r="AE41" s="201"/>
      <c r="AF41" s="201"/>
      <c r="AG41" s="201"/>
      <c r="AJ41" s="201"/>
    </row>
    <row r="42" spans="1:72" ht="13.5" customHeight="1">
      <c r="A42" s="2"/>
      <c r="B42" s="2"/>
      <c r="C42" s="201"/>
      <c r="D42" s="201"/>
      <c r="E42" s="201"/>
      <c r="F42" s="201"/>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1"/>
      <c r="AE42" s="201"/>
      <c r="AF42" s="201"/>
      <c r="AG42" s="201"/>
      <c r="AJ42" s="201"/>
    </row>
    <row r="43" spans="1:72" ht="13.5" customHeight="1">
      <c r="A43" s="2"/>
      <c r="B43" s="2"/>
      <c r="AA43" s="201"/>
      <c r="AB43" s="201"/>
      <c r="AC43" s="201"/>
      <c r="AD43" s="201"/>
      <c r="AE43" s="201"/>
      <c r="AF43" s="201"/>
      <c r="AG43" s="201"/>
      <c r="AJ43" s="201"/>
    </row>
    <row r="44" spans="1:72" ht="13.5" customHeight="1">
      <c r="A44" s="2"/>
      <c r="B44" s="2"/>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259B1DE5-2B85-463C-BD00-36FB89E3BC29}"/>
    <hyperlink ref="A1" location="'Spis tresci_Table of content'!A1" display="Go back to Table of content" xr:uid="{C3C968D6-751A-447C-9B26-124B79DA0351}"/>
    <hyperlink ref="B1" location="'Spis tresci_Table of content'!A1" display="Powrót do spisu treści" xr:uid="{14B67707-C53D-45B1-9003-A248B8713363}"/>
  </hyperlinks>
  <printOptions horizontalCentered="1"/>
  <pageMargins left="0.23622047244094491" right="0.23622047244094491" top="0.74803149606299213" bottom="0.74803149606299213" header="0.31496062992125984" footer="0.31496062992125984"/>
  <pageSetup paperSize="9" scale="28" orientation="landscape" r:id="rId1"/>
  <headerFooter alignWithMargins="0">
    <oddHeader xml:space="preserve">&amp;C&amp;"Times New Roman,Kursywa"&amp;12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3FCA5-A8E5-42EB-BDB8-2313079EB74C}">
  <dimension ref="A1:BV29"/>
  <sheetViews>
    <sheetView showGridLines="0" zoomScaleNormal="100" zoomScaleSheetLayoutView="100" zoomScalePageLayoutView="80" workbookViewId="0">
      <pane xSplit="2" ySplit="5" topLeftCell="BN6" activePane="bottomRight" state="frozen"/>
      <selection pane="topRight" activeCell="C1" sqref="C1"/>
      <selection pane="bottomLeft" activeCell="A5" sqref="A5"/>
      <selection pane="bottomRight" activeCell="BN1" sqref="BN1"/>
    </sheetView>
  </sheetViews>
  <sheetFormatPr defaultColWidth="0" defaultRowHeight="13.8" customHeight="1" zeroHeight="1" outlineLevelCol="1"/>
  <cols>
    <col min="1" max="1" width="51.5546875" style="4" customWidth="1" outlineLevel="1"/>
    <col min="2" max="2" width="63.6640625" style="4" customWidth="1"/>
    <col min="3" max="62" width="6" style="2" customWidth="1"/>
    <col min="63" max="63" width="9.6640625" style="2" customWidth="1"/>
    <col min="64" max="64" width="9.44140625" style="2" customWidth="1"/>
    <col min="65" max="65" width="8.88671875" style="2" customWidth="1"/>
    <col min="66" max="66" width="9.5546875" style="2" customWidth="1"/>
    <col min="67" max="67" width="10.6640625" style="2" customWidth="1"/>
    <col min="68" max="68" width="8.88671875" style="2" customWidth="1"/>
    <col min="69" max="69" width="8.44140625" style="2" customWidth="1"/>
    <col min="70" max="70" width="10.88671875" style="2" customWidth="1"/>
    <col min="71" max="71" width="11" style="2" customWidth="1"/>
    <col min="72"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74">
      <c r="A2" s="152" t="s">
        <v>4</v>
      </c>
      <c r="B2" s="152" t="s">
        <v>5</v>
      </c>
    </row>
    <row r="3" spans="1:74">
      <c r="A3" s="536" t="s">
        <v>609</v>
      </c>
      <c r="B3" s="536" t="s">
        <v>610</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5"/>
      <c r="AI3" s="533">
        <v>2015</v>
      </c>
      <c r="AJ3" s="534"/>
      <c r="AK3" s="534"/>
      <c r="AL3" s="535"/>
      <c r="AM3" s="533">
        <v>2016</v>
      </c>
      <c r="AN3" s="534"/>
      <c r="AO3" s="534"/>
      <c r="AP3" s="534"/>
      <c r="AQ3" s="533">
        <v>2017</v>
      </c>
      <c r="AR3" s="534"/>
      <c r="AS3" s="534"/>
      <c r="AT3" s="534"/>
      <c r="AU3" s="533">
        <v>2018</v>
      </c>
      <c r="AV3" s="538"/>
      <c r="AW3" s="538"/>
      <c r="AX3" s="547"/>
      <c r="AY3" s="533">
        <v>2019</v>
      </c>
      <c r="AZ3" s="538"/>
      <c r="BA3" s="538"/>
      <c r="BB3" s="547"/>
      <c r="BC3" s="533">
        <v>2020</v>
      </c>
      <c r="BD3" s="538"/>
      <c r="BE3" s="538"/>
      <c r="BF3" s="547"/>
      <c r="BG3" s="533">
        <v>2021</v>
      </c>
      <c r="BH3" s="538"/>
      <c r="BI3" s="538"/>
      <c r="BJ3" s="547"/>
      <c r="BK3" s="533">
        <v>2022</v>
      </c>
      <c r="BL3" s="538"/>
      <c r="BM3" s="538"/>
      <c r="BN3" s="547"/>
      <c r="BO3" s="533">
        <v>2023</v>
      </c>
      <c r="BP3" s="538"/>
      <c r="BQ3" s="538"/>
      <c r="BR3" s="547"/>
      <c r="BS3" s="533">
        <v>2024</v>
      </c>
      <c r="BT3" s="538"/>
      <c r="BU3" s="538"/>
      <c r="BV3" s="547"/>
    </row>
    <row r="4" spans="1:74">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2" t="s">
        <v>8</v>
      </c>
      <c r="AB4" s="12" t="s">
        <v>9</v>
      </c>
      <c r="AC4" s="12" t="s">
        <v>10</v>
      </c>
      <c r="AD4" s="13" t="s">
        <v>11</v>
      </c>
      <c r="AE4" s="12" t="s">
        <v>8</v>
      </c>
      <c r="AF4" s="12" t="s">
        <v>9</v>
      </c>
      <c r="AG4" s="12" t="s">
        <v>10</v>
      </c>
      <c r="AH4" s="13" t="s">
        <v>11</v>
      </c>
      <c r="AI4" s="12" t="s">
        <v>8</v>
      </c>
      <c r="AJ4" s="12" t="s">
        <v>9</v>
      </c>
      <c r="AK4" s="12" t="s">
        <v>10</v>
      </c>
      <c r="AL4" s="13" t="s">
        <v>11</v>
      </c>
      <c r="AM4" s="12" t="s">
        <v>8</v>
      </c>
      <c r="AN4" s="12" t="s">
        <v>9</v>
      </c>
      <c r="AO4" s="12" t="s">
        <v>10</v>
      </c>
      <c r="AP4" s="12" t="s">
        <v>11</v>
      </c>
      <c r="AQ4" s="11" t="s">
        <v>8</v>
      </c>
      <c r="AR4" s="12" t="s">
        <v>9</v>
      </c>
      <c r="AS4" s="12" t="s">
        <v>10</v>
      </c>
      <c r="AT4" s="12" t="s">
        <v>11</v>
      </c>
      <c r="AU4" s="11" t="s">
        <v>8</v>
      </c>
      <c r="AV4" s="12" t="s">
        <v>9</v>
      </c>
      <c r="AW4" s="12" t="s">
        <v>10</v>
      </c>
      <c r="AX4" s="12" t="s">
        <v>11</v>
      </c>
      <c r="AY4" s="11"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s="150" customFormat="1" ht="12.75" customHeight="1">
      <c r="A5" s="17" t="s">
        <v>12</v>
      </c>
      <c r="B5" s="17" t="s">
        <v>13</v>
      </c>
      <c r="C5" s="18"/>
      <c r="D5" s="19"/>
      <c r="E5" s="20"/>
      <c r="F5" s="19"/>
      <c r="G5" s="18"/>
      <c r="H5" s="19"/>
      <c r="I5" s="20"/>
      <c r="J5" s="21"/>
      <c r="K5" s="18"/>
      <c r="L5" s="19"/>
      <c r="M5" s="20"/>
      <c r="N5" s="21"/>
      <c r="O5" s="18"/>
      <c r="P5" s="19"/>
      <c r="Q5" s="20"/>
      <c r="R5" s="21"/>
      <c r="S5" s="18"/>
      <c r="T5" s="19"/>
      <c r="U5" s="20"/>
      <c r="V5" s="21"/>
      <c r="W5" s="20"/>
      <c r="X5" s="20"/>
      <c r="Y5" s="20"/>
      <c r="Z5" s="154"/>
      <c r="AA5" s="20"/>
      <c r="AB5" s="20"/>
      <c r="AC5" s="20"/>
      <c r="AD5" s="154"/>
      <c r="AE5" s="20"/>
      <c r="AF5" s="20"/>
      <c r="AG5" s="20"/>
      <c r="AH5" s="154"/>
      <c r="AI5" s="20"/>
      <c r="AJ5" s="20"/>
      <c r="AK5" s="20"/>
      <c r="AL5" s="154"/>
      <c r="AM5" s="20"/>
      <c r="AN5" s="20"/>
      <c r="AO5" s="20"/>
      <c r="AP5" s="20"/>
      <c r="AQ5" s="18"/>
      <c r="AR5" s="20"/>
      <c r="AS5" s="20"/>
      <c r="AT5" s="20"/>
      <c r="AU5" s="18"/>
      <c r="AV5" s="20"/>
      <c r="AW5" s="20"/>
      <c r="AX5" s="20"/>
      <c r="AY5" s="18"/>
      <c r="AZ5" s="20"/>
      <c r="BA5" s="20"/>
      <c r="BB5" s="20"/>
      <c r="BC5" s="18"/>
      <c r="BD5" s="20"/>
      <c r="BE5" s="20"/>
      <c r="BF5" s="20"/>
      <c r="BG5" s="18"/>
      <c r="BH5" s="20"/>
      <c r="BI5" s="20"/>
      <c r="BJ5" s="20"/>
      <c r="BK5" s="18"/>
      <c r="BL5" s="20"/>
      <c r="BM5" s="20"/>
      <c r="BN5" s="20"/>
      <c r="BO5" s="18"/>
      <c r="BP5" s="20"/>
      <c r="BQ5" s="20"/>
      <c r="BR5" s="20"/>
      <c r="BS5" s="270"/>
    </row>
    <row r="6" spans="1:74" s="440" customFormat="1" ht="10.8">
      <c r="A6" s="155" t="s">
        <v>611</v>
      </c>
      <c r="B6" s="155" t="s">
        <v>612</v>
      </c>
      <c r="C6" s="156">
        <v>-526.80000000000007</v>
      </c>
      <c r="D6" s="157">
        <v>-511.30000000000018</v>
      </c>
      <c r="E6" s="157">
        <v>-532.69999999999993</v>
      </c>
      <c r="F6" s="157">
        <v>-462.49999999999994</v>
      </c>
      <c r="G6" s="156">
        <v>-571.1</v>
      </c>
      <c r="H6" s="157">
        <v>-611.49999999999989</v>
      </c>
      <c r="I6" s="157">
        <v>-607.20000000000005</v>
      </c>
      <c r="J6" s="158">
        <v>-294.5</v>
      </c>
      <c r="K6" s="156">
        <v>-551.29999999999984</v>
      </c>
      <c r="L6" s="157">
        <v>-673.6</v>
      </c>
      <c r="M6" s="157">
        <v>-697.99999999999989</v>
      </c>
      <c r="N6" s="158">
        <v>-573.59999999999991</v>
      </c>
      <c r="O6" s="156">
        <v>-654.69999999999993</v>
      </c>
      <c r="P6" s="157">
        <v>-671.6</v>
      </c>
      <c r="Q6" s="157">
        <v>-693.49999999999989</v>
      </c>
      <c r="R6" s="158">
        <v>-686.19999999999993</v>
      </c>
      <c r="S6" s="156">
        <f t="shared" ref="S6:AT6" si="0">SUM(S7:S17,S21)</f>
        <v>-417.4</v>
      </c>
      <c r="T6" s="157">
        <f t="shared" si="0"/>
        <v>-431.80000000000007</v>
      </c>
      <c r="U6" s="157">
        <f t="shared" si="0"/>
        <v>-431.09999999999997</v>
      </c>
      <c r="V6" s="158">
        <f t="shared" si="0"/>
        <v>-419.69999999999993</v>
      </c>
      <c r="W6" s="157">
        <f t="shared" si="0"/>
        <v>-474.90000000000003</v>
      </c>
      <c r="X6" s="157">
        <f t="shared" si="0"/>
        <v>-465</v>
      </c>
      <c r="Y6" s="157">
        <f t="shared" si="0"/>
        <v>-466.2</v>
      </c>
      <c r="Z6" s="158">
        <f t="shared" si="0"/>
        <v>-460.09999999999997</v>
      </c>
      <c r="AA6" s="157">
        <f t="shared" si="0"/>
        <v>-482.2</v>
      </c>
      <c r="AB6" s="157">
        <f t="shared" si="0"/>
        <v>-477</v>
      </c>
      <c r="AC6" s="157">
        <f t="shared" si="0"/>
        <v>-458.8</v>
      </c>
      <c r="AD6" s="158">
        <f t="shared" si="0"/>
        <v>-450.40000000000003</v>
      </c>
      <c r="AE6" s="157">
        <f t="shared" si="0"/>
        <v>-471.2</v>
      </c>
      <c r="AF6" s="157">
        <f t="shared" si="0"/>
        <v>-480.5</v>
      </c>
      <c r="AG6" s="157">
        <f t="shared" si="0"/>
        <v>-489.5</v>
      </c>
      <c r="AH6" s="158">
        <f t="shared" si="0"/>
        <v>-488.5</v>
      </c>
      <c r="AI6" s="157">
        <f t="shared" si="0"/>
        <v>-495.6</v>
      </c>
      <c r="AJ6" s="157">
        <f t="shared" si="0"/>
        <v>-502.29999999999995</v>
      </c>
      <c r="AK6" s="157">
        <f t="shared" si="0"/>
        <v>-509.8</v>
      </c>
      <c r="AL6" s="158">
        <f t="shared" si="0"/>
        <v>-648</v>
      </c>
      <c r="AM6" s="157">
        <f t="shared" si="0"/>
        <v>-508.8</v>
      </c>
      <c r="AN6" s="157">
        <f t="shared" si="0"/>
        <v>-517.19999999999993</v>
      </c>
      <c r="AO6" s="157">
        <f t="shared" si="0"/>
        <v>-515.5</v>
      </c>
      <c r="AP6" s="157">
        <f t="shared" si="0"/>
        <v>-557.69999999999993</v>
      </c>
      <c r="AQ6" s="156">
        <f t="shared" si="0"/>
        <v>-565.6</v>
      </c>
      <c r="AR6" s="157">
        <f t="shared" si="0"/>
        <v>-512.1</v>
      </c>
      <c r="AS6" s="157">
        <f t="shared" si="0"/>
        <v>-529.6</v>
      </c>
      <c r="AT6" s="157">
        <f t="shared" si="0"/>
        <v>-528.5</v>
      </c>
      <c r="AU6" s="156">
        <f t="shared" ref="AU6:BQ6" si="1">SUM(AU7:AU17,AU20:AU23)</f>
        <v>-628.29999999999995</v>
      </c>
      <c r="AV6" s="157">
        <f t="shared" si="1"/>
        <v>-555</v>
      </c>
      <c r="AW6" s="157">
        <f t="shared" si="1"/>
        <v>-577.20000000000005</v>
      </c>
      <c r="AX6" s="157">
        <f t="shared" si="1"/>
        <v>-566.29999999999995</v>
      </c>
      <c r="AY6" s="156">
        <f t="shared" si="1"/>
        <v>-721.1</v>
      </c>
      <c r="AZ6" s="157">
        <f t="shared" si="1"/>
        <v>-581.1</v>
      </c>
      <c r="BA6" s="157">
        <f t="shared" si="1"/>
        <v>-604.4</v>
      </c>
      <c r="BB6" s="157">
        <f t="shared" si="1"/>
        <v>-590.79999999999995</v>
      </c>
      <c r="BC6" s="156">
        <f t="shared" si="1"/>
        <v>-774.99999999999989</v>
      </c>
      <c r="BD6" s="157">
        <f t="shared" si="1"/>
        <v>-638.5</v>
      </c>
      <c r="BE6" s="157">
        <f t="shared" si="1"/>
        <v>-666.69999999999993</v>
      </c>
      <c r="BF6" s="157">
        <f t="shared" si="1"/>
        <v>-682.30000000000007</v>
      </c>
      <c r="BG6" s="156">
        <f t="shared" si="1"/>
        <v>-820.79999999999984</v>
      </c>
      <c r="BH6" s="157">
        <f t="shared" si="1"/>
        <v>-692.00000000000011</v>
      </c>
      <c r="BI6" s="157">
        <f t="shared" si="1"/>
        <v>-694.2</v>
      </c>
      <c r="BJ6" s="157">
        <f t="shared" si="1"/>
        <v>-757.50000000000011</v>
      </c>
      <c r="BK6" s="156">
        <f t="shared" si="1"/>
        <v>-931.39999999999986</v>
      </c>
      <c r="BL6" s="157">
        <f t="shared" si="1"/>
        <v>-1200.0999999999997</v>
      </c>
      <c r="BM6" s="157">
        <f t="shared" si="1"/>
        <v>-821.6</v>
      </c>
      <c r="BN6" s="157">
        <f t="shared" si="1"/>
        <v>-688.99999999999989</v>
      </c>
      <c r="BO6" s="156">
        <f t="shared" si="1"/>
        <v>-1002.3000000000001</v>
      </c>
      <c r="BP6" s="157">
        <f t="shared" si="1"/>
        <v>-850.6</v>
      </c>
      <c r="BQ6" s="157">
        <f t="shared" si="1"/>
        <v>-860.4</v>
      </c>
      <c r="BR6" s="157">
        <f>SUM(BR7:BR17,BR20:BR23)</f>
        <v>-986.8</v>
      </c>
      <c r="BS6" s="156">
        <f>SUM(BS7:BS17,BS20:BS23)</f>
        <v>-1089.3000000000002</v>
      </c>
    </row>
    <row r="7" spans="1:74" s="441" customFormat="1" ht="10.8">
      <c r="A7" s="163" t="s">
        <v>613</v>
      </c>
      <c r="B7" s="163" t="s">
        <v>614</v>
      </c>
      <c r="C7" s="44"/>
      <c r="D7" s="45"/>
      <c r="E7" s="45"/>
      <c r="F7" s="45"/>
      <c r="G7" s="44"/>
      <c r="H7" s="45"/>
      <c r="I7" s="45"/>
      <c r="J7" s="46"/>
      <c r="K7" s="44"/>
      <c r="L7" s="45"/>
      <c r="M7" s="45"/>
      <c r="N7" s="46"/>
      <c r="O7" s="44"/>
      <c r="P7" s="45"/>
      <c r="Q7" s="45"/>
      <c r="R7" s="46"/>
      <c r="S7" s="44">
        <v>-199.3</v>
      </c>
      <c r="T7" s="45">
        <v>-208.9</v>
      </c>
      <c r="U7" s="45">
        <v>-210.8</v>
      </c>
      <c r="V7" s="46">
        <v>-214.3</v>
      </c>
      <c r="W7" s="45">
        <v>-228</v>
      </c>
      <c r="X7" s="45">
        <v>-213.1</v>
      </c>
      <c r="Y7" s="45">
        <v>-219.1</v>
      </c>
      <c r="Z7" s="46">
        <v>-240.6</v>
      </c>
      <c r="AA7" s="45">
        <v>-226.7</v>
      </c>
      <c r="AB7" s="45">
        <v>-226.3</v>
      </c>
      <c r="AC7" s="45">
        <v>-230.1</v>
      </c>
      <c r="AD7" s="46">
        <v>-243.5</v>
      </c>
      <c r="AE7" s="45">
        <v>-230.5</v>
      </c>
      <c r="AF7" s="45">
        <v>-241.3</v>
      </c>
      <c r="AG7" s="45">
        <v>-237.4</v>
      </c>
      <c r="AH7" s="46">
        <v>-238.3</v>
      </c>
      <c r="AI7" s="45">
        <v>-238.9</v>
      </c>
      <c r="AJ7" s="45">
        <v>-237.02099999999999</v>
      </c>
      <c r="AK7" s="45">
        <v>-243.81200000000001</v>
      </c>
      <c r="AL7" s="46">
        <v>-252.352</v>
      </c>
      <c r="AM7" s="45">
        <v>-251.5</v>
      </c>
      <c r="AN7" s="45">
        <v>-251.3</v>
      </c>
      <c r="AO7" s="45">
        <v>-259.8</v>
      </c>
      <c r="AP7" s="45">
        <v>-276.69999999999993</v>
      </c>
      <c r="AQ7" s="44">
        <v>-251.04900000000001</v>
      </c>
      <c r="AR7" s="45">
        <v>-260.54199999999997</v>
      </c>
      <c r="AS7" s="45">
        <v>-260.60000000000002</v>
      </c>
      <c r="AT7" s="45">
        <v>-263.51600000000002</v>
      </c>
      <c r="AU7" s="44">
        <v>-275.35199999999998</v>
      </c>
      <c r="AV7" s="45">
        <v>-286.06</v>
      </c>
      <c r="AW7" s="45">
        <v>-284.3</v>
      </c>
      <c r="AX7" s="45">
        <v>-259</v>
      </c>
      <c r="AY7" s="44">
        <v>-286.39999999999998</v>
      </c>
      <c r="AZ7" s="45">
        <v>-292.7</v>
      </c>
      <c r="BA7" s="45">
        <v>-315.89999999999998</v>
      </c>
      <c r="BB7" s="45">
        <v>-307.60000000000002</v>
      </c>
      <c r="BC7" s="44">
        <v>-308.2</v>
      </c>
      <c r="BD7" s="45">
        <v>-310.3</v>
      </c>
      <c r="BE7" s="45">
        <v>-330.90000000000003</v>
      </c>
      <c r="BF7" s="45">
        <v>-364.6</v>
      </c>
      <c r="BG7" s="44">
        <v>-355</v>
      </c>
      <c r="BH7" s="45">
        <v>-358</v>
      </c>
      <c r="BI7" s="45">
        <v>-359.9</v>
      </c>
      <c r="BJ7" s="45">
        <v>-424.1</v>
      </c>
      <c r="BK7" s="44">
        <v>-361.3</v>
      </c>
      <c r="BL7" s="45">
        <v>-409.7</v>
      </c>
      <c r="BM7" s="45">
        <v>-414.9</v>
      </c>
      <c r="BN7" s="45">
        <v>-413.5</v>
      </c>
      <c r="BO7" s="44">
        <v>-423</v>
      </c>
      <c r="BP7" s="45">
        <v>-465.8</v>
      </c>
      <c r="BQ7" s="45">
        <v>-474.8</v>
      </c>
      <c r="BR7" s="45">
        <v>-572.20000000000005</v>
      </c>
      <c r="BS7" s="44">
        <v>-469.4</v>
      </c>
      <c r="BT7" s="447"/>
    </row>
    <row r="8" spans="1:74" s="441" customFormat="1" ht="10.8">
      <c r="A8" s="159" t="s">
        <v>615</v>
      </c>
      <c r="B8" s="159" t="s">
        <v>616</v>
      </c>
      <c r="C8" s="44"/>
      <c r="D8" s="45"/>
      <c r="E8" s="45"/>
      <c r="F8" s="46"/>
      <c r="G8" s="45"/>
      <c r="H8" s="45"/>
      <c r="I8" s="45"/>
      <c r="J8" s="45"/>
      <c r="K8" s="44"/>
      <c r="L8" s="45"/>
      <c r="M8" s="45"/>
      <c r="N8" s="46"/>
      <c r="O8" s="45"/>
      <c r="P8" s="45"/>
      <c r="Q8" s="45"/>
      <c r="R8" s="45"/>
      <c r="S8" s="44">
        <v>-19.170999999999999</v>
      </c>
      <c r="T8" s="45">
        <v>-18.891999999999999</v>
      </c>
      <c r="U8" s="45">
        <v>-20.177</v>
      </c>
      <c r="V8" s="46">
        <v>-15.457000000000001</v>
      </c>
      <c r="W8" s="45">
        <v>-20.305</v>
      </c>
      <c r="X8" s="45">
        <v>-23.402000000000001</v>
      </c>
      <c r="Y8" s="45">
        <v>-23.175000000000001</v>
      </c>
      <c r="Z8" s="46">
        <v>-23.21</v>
      </c>
      <c r="AA8" s="45">
        <v>-24.6</v>
      </c>
      <c r="AB8" s="45">
        <v>-28.8</v>
      </c>
      <c r="AC8" s="45">
        <v>-28.2</v>
      </c>
      <c r="AD8" s="46">
        <v>-16.399999999999999</v>
      </c>
      <c r="AE8" s="45">
        <v>-25.4</v>
      </c>
      <c r="AF8" s="45">
        <v>-26.7</v>
      </c>
      <c r="AG8" s="45">
        <v>-27.5</v>
      </c>
      <c r="AH8" s="46">
        <v>-30.09</v>
      </c>
      <c r="AI8" s="45">
        <v>-30.1</v>
      </c>
      <c r="AJ8" s="45">
        <v>-30.872</v>
      </c>
      <c r="AK8" s="45">
        <v>-32.155000000000001</v>
      </c>
      <c r="AL8" s="46">
        <v>-23.981000000000002</v>
      </c>
      <c r="AM8" s="45">
        <v>-25.5</v>
      </c>
      <c r="AN8" s="45">
        <v>-24.6</v>
      </c>
      <c r="AO8" s="45">
        <v>-19.300000000000004</v>
      </c>
      <c r="AP8" s="45">
        <v>-25.599999999999994</v>
      </c>
      <c r="AQ8" s="44">
        <v>-23.417999999999999</v>
      </c>
      <c r="AR8" s="45">
        <v>-20.733000000000001</v>
      </c>
      <c r="AS8" s="45">
        <v>-33.518999999999998</v>
      </c>
      <c r="AT8" s="45">
        <v>-29.164999999999999</v>
      </c>
      <c r="AU8" s="44">
        <v>-29.504999999999999</v>
      </c>
      <c r="AV8" s="45">
        <v>-26</v>
      </c>
      <c r="AW8" s="45">
        <v>-31.3</v>
      </c>
      <c r="AX8" s="45">
        <v>-31.3</v>
      </c>
      <c r="AY8" s="44">
        <v>-29.7</v>
      </c>
      <c r="AZ8" s="45">
        <v>-28.4</v>
      </c>
      <c r="BA8" s="45">
        <v>-30.4</v>
      </c>
      <c r="BB8" s="45">
        <v>-30.9</v>
      </c>
      <c r="BC8" s="44">
        <v>-27.6</v>
      </c>
      <c r="BD8" s="45">
        <v>-24.2</v>
      </c>
      <c r="BE8" s="45">
        <v>-32.4</v>
      </c>
      <c r="BF8" s="45">
        <v>-39.1</v>
      </c>
      <c r="BG8" s="44">
        <v>-34</v>
      </c>
      <c r="BH8" s="45">
        <v>-33.5</v>
      </c>
      <c r="BI8" s="45">
        <v>-32</v>
      </c>
      <c r="BJ8" s="45">
        <v>-36.1</v>
      </c>
      <c r="BK8" s="44">
        <v>-32.700000000000003</v>
      </c>
      <c r="BL8" s="45">
        <v>-36.5</v>
      </c>
      <c r="BM8" s="45">
        <v>-38</v>
      </c>
      <c r="BN8" s="45">
        <v>-35.9</v>
      </c>
      <c r="BO8" s="44">
        <v>-33.4</v>
      </c>
      <c r="BP8" s="45">
        <v>-38.1</v>
      </c>
      <c r="BQ8" s="45">
        <v>-41.5</v>
      </c>
      <c r="BR8" s="45">
        <v>-52.5</v>
      </c>
      <c r="BS8" s="44">
        <v>-40.799999999999997</v>
      </c>
      <c r="BT8" s="447"/>
    </row>
    <row r="9" spans="1:74" s="441" customFormat="1" ht="10.8">
      <c r="A9" s="159" t="s">
        <v>617</v>
      </c>
      <c r="B9" s="159" t="s">
        <v>618</v>
      </c>
      <c r="C9" s="44"/>
      <c r="D9" s="45"/>
      <c r="E9" s="45"/>
      <c r="F9" s="45"/>
      <c r="G9" s="44"/>
      <c r="H9" s="45"/>
      <c r="I9" s="45"/>
      <c r="J9" s="46"/>
      <c r="K9" s="44"/>
      <c r="L9" s="45"/>
      <c r="M9" s="45"/>
      <c r="N9" s="46"/>
      <c r="O9" s="44"/>
      <c r="P9" s="45"/>
      <c r="Q9" s="45"/>
      <c r="R9" s="46"/>
      <c r="S9" s="44">
        <v>-30.5</v>
      </c>
      <c r="T9" s="45">
        <v>-31.9</v>
      </c>
      <c r="U9" s="45">
        <v>-34</v>
      </c>
      <c r="V9" s="46">
        <v>-36.200000000000003</v>
      </c>
      <c r="W9" s="45">
        <v>-33.6</v>
      </c>
      <c r="X9" s="45">
        <v>-34.700000000000003</v>
      </c>
      <c r="Y9" s="45">
        <v>-35.1</v>
      </c>
      <c r="Z9" s="46">
        <v>-44.7</v>
      </c>
      <c r="AA9" s="45">
        <v>-39.9</v>
      </c>
      <c r="AB9" s="45">
        <v>-40.700000000000003</v>
      </c>
      <c r="AC9" s="45">
        <v>-39.299999999999997</v>
      </c>
      <c r="AD9" s="46">
        <v>-44.1</v>
      </c>
      <c r="AE9" s="45">
        <v>-38</v>
      </c>
      <c r="AF9" s="45">
        <v>-38.5</v>
      </c>
      <c r="AG9" s="45">
        <v>-39.6</v>
      </c>
      <c r="AH9" s="46">
        <v>-58.98</v>
      </c>
      <c r="AI9" s="45">
        <v>-41.8</v>
      </c>
      <c r="AJ9" s="45">
        <v>-43.454999999999998</v>
      </c>
      <c r="AK9" s="45">
        <v>-46.796999999999997</v>
      </c>
      <c r="AL9" s="46">
        <v>-57.148000000000003</v>
      </c>
      <c r="AM9" s="45">
        <v>-42.2</v>
      </c>
      <c r="AN9" s="45">
        <v>-45.599999999999994</v>
      </c>
      <c r="AO9" s="45">
        <v>-46.100000000000009</v>
      </c>
      <c r="AP9" s="45">
        <v>-76.699999999999989</v>
      </c>
      <c r="AQ9" s="44">
        <v>-46.045999999999999</v>
      </c>
      <c r="AR9" s="45">
        <v>-44.904000000000003</v>
      </c>
      <c r="AS9" s="45">
        <v>-44.573999999999998</v>
      </c>
      <c r="AT9" s="45">
        <v>-46.83</v>
      </c>
      <c r="AU9" s="44">
        <v>-43.734000000000002</v>
      </c>
      <c r="AV9" s="45">
        <v>-44.808</v>
      </c>
      <c r="AW9" s="45">
        <v>-45.7</v>
      </c>
      <c r="AX9" s="45">
        <v>-59.3</v>
      </c>
      <c r="AY9" s="44">
        <v>-71.3</v>
      </c>
      <c r="AZ9" s="45">
        <v>-67.8</v>
      </c>
      <c r="BA9" s="45">
        <v>-67.3</v>
      </c>
      <c r="BB9" s="45">
        <v>-70.400000000000006</v>
      </c>
      <c r="BC9" s="44">
        <v>-71.5</v>
      </c>
      <c r="BD9" s="45">
        <v>-71.900000000000006</v>
      </c>
      <c r="BE9" s="45">
        <v>-72.5</v>
      </c>
      <c r="BF9" s="45">
        <v>-78.3</v>
      </c>
      <c r="BG9" s="44">
        <v>-71.400000000000006</v>
      </c>
      <c r="BH9" s="45">
        <v>-71.599999999999994</v>
      </c>
      <c r="BI9" s="45">
        <v>-70.8</v>
      </c>
      <c r="BJ9" s="45">
        <v>-72.5</v>
      </c>
      <c r="BK9" s="44">
        <v>-68.5</v>
      </c>
      <c r="BL9" s="45">
        <v>-68.099999999999994</v>
      </c>
      <c r="BM9" s="45">
        <v>-71.2</v>
      </c>
      <c r="BN9" s="45">
        <v>-71.5</v>
      </c>
      <c r="BO9" s="44">
        <v>-73.099999999999994</v>
      </c>
      <c r="BP9" s="45">
        <v>-72.900000000000006</v>
      </c>
      <c r="BQ9" s="45">
        <v>-73.2</v>
      </c>
      <c r="BR9" s="45">
        <v>-108.2</v>
      </c>
      <c r="BS9" s="44">
        <v>-80.5</v>
      </c>
      <c r="BT9" s="447"/>
    </row>
    <row r="10" spans="1:74" s="789" customFormat="1" ht="10.8" hidden="1">
      <c r="A10" s="707"/>
      <c r="B10" s="707"/>
      <c r="C10" s="625"/>
      <c r="D10" s="626"/>
      <c r="E10" s="626"/>
      <c r="F10" s="626"/>
      <c r="G10" s="625"/>
      <c r="H10" s="626"/>
      <c r="I10" s="626"/>
      <c r="J10" s="627"/>
      <c r="K10" s="625"/>
      <c r="L10" s="626"/>
      <c r="M10" s="626"/>
      <c r="N10" s="627"/>
      <c r="O10" s="625"/>
      <c r="P10" s="626"/>
      <c r="Q10" s="626"/>
      <c r="R10" s="627"/>
      <c r="S10" s="630"/>
      <c r="T10" s="631"/>
      <c r="U10" s="631"/>
      <c r="V10" s="632"/>
      <c r="W10" s="631"/>
      <c r="X10" s="631"/>
      <c r="Y10" s="631"/>
      <c r="Z10" s="632"/>
      <c r="AA10" s="631"/>
      <c r="AB10" s="631"/>
      <c r="AC10" s="631"/>
      <c r="AD10" s="632"/>
      <c r="AE10" s="631"/>
      <c r="AF10" s="631"/>
      <c r="AG10" s="631"/>
      <c r="AH10" s="632"/>
      <c r="AI10" s="631"/>
      <c r="AJ10" s="631"/>
      <c r="AK10" s="631"/>
      <c r="AL10" s="632"/>
      <c r="AM10" s="631"/>
      <c r="AN10" s="631"/>
      <c r="AO10" s="631"/>
      <c r="AP10" s="631"/>
      <c r="AQ10" s="630"/>
      <c r="AR10" s="631"/>
      <c r="AS10" s="631"/>
      <c r="AT10" s="631"/>
      <c r="AU10" s="625"/>
      <c r="AV10" s="626"/>
      <c r="AW10" s="626"/>
      <c r="AX10" s="626"/>
      <c r="AY10" s="625"/>
      <c r="AZ10" s="626"/>
      <c r="BA10" s="626"/>
      <c r="BB10" s="626"/>
      <c r="BC10" s="625"/>
      <c r="BD10" s="626"/>
      <c r="BE10" s="626"/>
      <c r="BF10" s="626"/>
      <c r="BG10" s="625"/>
      <c r="BH10" s="626"/>
      <c r="BI10" s="626"/>
      <c r="BJ10" s="626"/>
      <c r="BK10" s="625"/>
      <c r="BL10" s="626"/>
      <c r="BM10" s="626"/>
      <c r="BN10" s="626"/>
      <c r="BO10" s="625"/>
      <c r="BP10" s="626"/>
      <c r="BQ10" s="626"/>
      <c r="BR10" s="626"/>
      <c r="BS10" s="625"/>
      <c r="BT10" s="790"/>
    </row>
    <row r="11" spans="1:74" s="789" customFormat="1" ht="10.8" hidden="1">
      <c r="A11" s="707"/>
      <c r="B11" s="707"/>
      <c r="C11" s="625"/>
      <c r="D11" s="626"/>
      <c r="E11" s="626"/>
      <c r="F11" s="626"/>
      <c r="G11" s="625"/>
      <c r="H11" s="626"/>
      <c r="I11" s="626"/>
      <c r="J11" s="627"/>
      <c r="K11" s="625"/>
      <c r="L11" s="626"/>
      <c r="M11" s="626"/>
      <c r="N11" s="627"/>
      <c r="O11" s="625"/>
      <c r="P11" s="626"/>
      <c r="Q11" s="626"/>
      <c r="R11" s="627"/>
      <c r="S11" s="630"/>
      <c r="T11" s="631"/>
      <c r="U11" s="631"/>
      <c r="V11" s="632"/>
      <c r="W11" s="631"/>
      <c r="X11" s="631"/>
      <c r="Y11" s="631"/>
      <c r="Z11" s="632"/>
      <c r="AA11" s="631"/>
      <c r="AB11" s="631"/>
      <c r="AC11" s="631"/>
      <c r="AD11" s="632"/>
      <c r="AE11" s="631"/>
      <c r="AF11" s="631"/>
      <c r="AG11" s="631"/>
      <c r="AH11" s="632"/>
      <c r="AI11" s="631"/>
      <c r="AJ11" s="631"/>
      <c r="AK11" s="631"/>
      <c r="AL11" s="632"/>
      <c r="AM11" s="631"/>
      <c r="AN11" s="631"/>
      <c r="AO11" s="631"/>
      <c r="AP11" s="631"/>
      <c r="AQ11" s="630"/>
      <c r="AR11" s="631"/>
      <c r="AS11" s="631"/>
      <c r="AT11" s="631"/>
      <c r="AU11" s="625"/>
      <c r="AV11" s="626"/>
      <c r="AW11" s="626"/>
      <c r="AX11" s="626"/>
      <c r="AY11" s="625"/>
      <c r="AZ11" s="626"/>
      <c r="BA11" s="626"/>
      <c r="BB11" s="626"/>
      <c r="BC11" s="625"/>
      <c r="BD11" s="626"/>
      <c r="BE11" s="626"/>
      <c r="BF11" s="626"/>
      <c r="BG11" s="625"/>
      <c r="BH11" s="626"/>
      <c r="BI11" s="626"/>
      <c r="BJ11" s="626"/>
      <c r="BK11" s="625"/>
      <c r="BL11" s="626"/>
      <c r="BM11" s="626"/>
      <c r="BN11" s="626"/>
      <c r="BO11" s="625"/>
      <c r="BP11" s="626"/>
      <c r="BQ11" s="626"/>
      <c r="BR11" s="626"/>
      <c r="BS11" s="625"/>
      <c r="BT11" s="790"/>
    </row>
    <row r="12" spans="1:74" s="789" customFormat="1" ht="10.8" hidden="1">
      <c r="A12" s="707"/>
      <c r="B12" s="707"/>
      <c r="C12" s="625"/>
      <c r="D12" s="626"/>
      <c r="E12" s="626"/>
      <c r="F12" s="626"/>
      <c r="G12" s="625"/>
      <c r="H12" s="626"/>
      <c r="I12" s="626"/>
      <c r="J12" s="627"/>
      <c r="K12" s="625"/>
      <c r="L12" s="626"/>
      <c r="M12" s="626"/>
      <c r="N12" s="627"/>
      <c r="O12" s="625"/>
      <c r="P12" s="626"/>
      <c r="Q12" s="626"/>
      <c r="R12" s="627"/>
      <c r="S12" s="630"/>
      <c r="T12" s="631"/>
      <c r="U12" s="631"/>
      <c r="V12" s="632"/>
      <c r="W12" s="631"/>
      <c r="X12" s="631"/>
      <c r="Y12" s="631"/>
      <c r="Z12" s="632"/>
      <c r="AA12" s="631"/>
      <c r="AB12" s="631"/>
      <c r="AC12" s="631"/>
      <c r="AD12" s="632"/>
      <c r="AE12" s="631"/>
      <c r="AF12" s="631"/>
      <c r="AG12" s="631"/>
      <c r="AH12" s="632"/>
      <c r="AI12" s="631"/>
      <c r="AJ12" s="631"/>
      <c r="AK12" s="631"/>
      <c r="AL12" s="632"/>
      <c r="AM12" s="631"/>
      <c r="AN12" s="631"/>
      <c r="AO12" s="631"/>
      <c r="AP12" s="631"/>
      <c r="AQ12" s="630"/>
      <c r="AR12" s="631"/>
      <c r="AS12" s="631"/>
      <c r="AT12" s="631"/>
      <c r="AU12" s="625"/>
      <c r="AV12" s="626"/>
      <c r="AW12" s="626"/>
      <c r="AX12" s="626"/>
      <c r="AY12" s="625"/>
      <c r="AZ12" s="626"/>
      <c r="BA12" s="626"/>
      <c r="BB12" s="626"/>
      <c r="BC12" s="625"/>
      <c r="BD12" s="626"/>
      <c r="BE12" s="626"/>
      <c r="BF12" s="626"/>
      <c r="BG12" s="625"/>
      <c r="BH12" s="626"/>
      <c r="BI12" s="626"/>
      <c r="BJ12" s="626"/>
      <c r="BK12" s="625"/>
      <c r="BL12" s="626"/>
      <c r="BM12" s="626"/>
      <c r="BN12" s="626"/>
      <c r="BO12" s="625"/>
      <c r="BP12" s="626"/>
      <c r="BQ12" s="626"/>
      <c r="BR12" s="626"/>
      <c r="BS12" s="625"/>
      <c r="BT12" s="790"/>
    </row>
    <row r="13" spans="1:74" s="441" customFormat="1" ht="12.75" customHeight="1">
      <c r="A13" s="163" t="s">
        <v>619</v>
      </c>
      <c r="B13" s="163" t="s">
        <v>620</v>
      </c>
      <c r="C13" s="44"/>
      <c r="D13" s="45"/>
      <c r="E13" s="45"/>
      <c r="F13" s="45"/>
      <c r="G13" s="44"/>
      <c r="H13" s="45"/>
      <c r="I13" s="45"/>
      <c r="J13" s="46"/>
      <c r="K13" s="44"/>
      <c r="L13" s="45"/>
      <c r="M13" s="45"/>
      <c r="N13" s="46"/>
      <c r="O13" s="44"/>
      <c r="P13" s="45"/>
      <c r="Q13" s="45"/>
      <c r="R13" s="46"/>
      <c r="S13" s="791">
        <v>-168.029</v>
      </c>
      <c r="T13" s="792">
        <v>-175.00800000000001</v>
      </c>
      <c r="U13" s="792">
        <v>-166.22300000000001</v>
      </c>
      <c r="V13" s="559">
        <v>-150.34299999999999</v>
      </c>
      <c r="W13" s="791">
        <v>-181.98274000000001</v>
      </c>
      <c r="X13" s="792">
        <v>-182.78573</v>
      </c>
      <c r="Y13" s="792">
        <v>-177.81273999999999</v>
      </c>
      <c r="Z13" s="559">
        <v>-140.57773</v>
      </c>
      <c r="AA13" s="791">
        <v>-179.7</v>
      </c>
      <c r="AB13" s="792">
        <v>-169.8</v>
      </c>
      <c r="AC13" s="792">
        <v>-149.9</v>
      </c>
      <c r="AD13" s="559">
        <v>-131.1</v>
      </c>
      <c r="AE13" s="791">
        <v>-163.69999999999999</v>
      </c>
      <c r="AF13" s="792">
        <v>-160.5</v>
      </c>
      <c r="AG13" s="792">
        <v>-171.5</v>
      </c>
      <c r="AH13" s="559">
        <v>-147.53</v>
      </c>
      <c r="AI13" s="791">
        <v>-158.69999999999999</v>
      </c>
      <c r="AJ13" s="792">
        <v>-164.86500000000001</v>
      </c>
      <c r="AK13" s="792">
        <v>-160.94800000000001</v>
      </c>
      <c r="AL13" s="559">
        <v>-125.117</v>
      </c>
      <c r="AM13" s="791">
        <v>-157.9</v>
      </c>
      <c r="AN13" s="792">
        <v>-162.9</v>
      </c>
      <c r="AO13" s="792">
        <v>-156.9</v>
      </c>
      <c r="AP13" s="559">
        <v>-132.69999999999999</v>
      </c>
      <c r="AQ13" s="791">
        <v>-155.98699999999999</v>
      </c>
      <c r="AR13" s="792">
        <v>-167.221</v>
      </c>
      <c r="AS13" s="792">
        <v>-172.00700000000001</v>
      </c>
      <c r="AT13" s="559">
        <v>-169.989</v>
      </c>
      <c r="AU13" s="44">
        <v>-67.5</v>
      </c>
      <c r="AV13" s="45">
        <v>-45.4</v>
      </c>
      <c r="AW13" s="45">
        <v>-51.6</v>
      </c>
      <c r="AX13" s="45">
        <v>-31.8</v>
      </c>
      <c r="AY13" s="44">
        <v>-58.3</v>
      </c>
      <c r="AZ13" s="45">
        <v>-55.5</v>
      </c>
      <c r="BA13" s="45">
        <v>-66.7</v>
      </c>
      <c r="BB13" s="45">
        <v>-41</v>
      </c>
      <c r="BC13" s="44">
        <v>-75.300000000000011</v>
      </c>
      <c r="BD13" s="45">
        <v>-76.400000000000006</v>
      </c>
      <c r="BE13" s="45">
        <v>-77</v>
      </c>
      <c r="BF13" s="45">
        <v>-39.4</v>
      </c>
      <c r="BG13" s="44">
        <v>-71.3</v>
      </c>
      <c r="BH13" s="45">
        <v>-77.400000000000006</v>
      </c>
      <c r="BI13" s="45">
        <v>-83.7</v>
      </c>
      <c r="BJ13" s="45">
        <v>-77.2</v>
      </c>
      <c r="BK13" s="44">
        <v>-92</v>
      </c>
      <c r="BL13" s="45">
        <v>-98.1</v>
      </c>
      <c r="BM13" s="45">
        <v>-81.5</v>
      </c>
      <c r="BN13" s="45">
        <v>-58.2</v>
      </c>
      <c r="BO13" s="44">
        <v>-119.1</v>
      </c>
      <c r="BP13" s="45">
        <v>-105.6</v>
      </c>
      <c r="BQ13" s="45">
        <v>-108.6</v>
      </c>
      <c r="BR13" s="45">
        <v>-51.9</v>
      </c>
      <c r="BS13" s="44">
        <v>-111.1</v>
      </c>
      <c r="BT13" s="447"/>
    </row>
    <row r="14" spans="1:74" s="441" customFormat="1" ht="12.75" customHeight="1">
      <c r="A14" s="163" t="s">
        <v>621</v>
      </c>
      <c r="B14" s="163" t="s">
        <v>622</v>
      </c>
      <c r="C14" s="44"/>
      <c r="D14" s="45"/>
      <c r="E14" s="45"/>
      <c r="F14" s="45"/>
      <c r="G14" s="44"/>
      <c r="H14" s="45"/>
      <c r="I14" s="45"/>
      <c r="J14" s="46"/>
      <c r="K14" s="44"/>
      <c r="L14" s="45"/>
      <c r="M14" s="45"/>
      <c r="N14" s="46"/>
      <c r="O14" s="44"/>
      <c r="P14" s="45"/>
      <c r="Q14" s="45"/>
      <c r="R14" s="46"/>
      <c r="S14" s="793"/>
      <c r="T14" s="794"/>
      <c r="U14" s="794"/>
      <c r="V14" s="560"/>
      <c r="W14" s="793"/>
      <c r="X14" s="794"/>
      <c r="Y14" s="794"/>
      <c r="Z14" s="560"/>
      <c r="AA14" s="793"/>
      <c r="AB14" s="794"/>
      <c r="AC14" s="794"/>
      <c r="AD14" s="560"/>
      <c r="AE14" s="793"/>
      <c r="AF14" s="794"/>
      <c r="AG14" s="794"/>
      <c r="AH14" s="560"/>
      <c r="AI14" s="793"/>
      <c r="AJ14" s="794"/>
      <c r="AK14" s="794"/>
      <c r="AL14" s="560"/>
      <c r="AM14" s="793"/>
      <c r="AN14" s="794"/>
      <c r="AO14" s="794"/>
      <c r="AP14" s="560"/>
      <c r="AQ14" s="793"/>
      <c r="AR14" s="794"/>
      <c r="AS14" s="794"/>
      <c r="AT14" s="560"/>
      <c r="AU14" s="44">
        <v>-47.2</v>
      </c>
      <c r="AV14" s="45">
        <v>-47.4</v>
      </c>
      <c r="AW14" s="45">
        <v>-51.7</v>
      </c>
      <c r="AX14" s="45">
        <v>-50.1</v>
      </c>
      <c r="AY14" s="44">
        <v>-26</v>
      </c>
      <c r="AZ14" s="45">
        <v>-24.3</v>
      </c>
      <c r="BA14" s="45">
        <v>-25.6</v>
      </c>
      <c r="BB14" s="45">
        <v>-24.1</v>
      </c>
      <c r="BC14" s="44">
        <v>-24.6</v>
      </c>
      <c r="BD14" s="45">
        <v>-26.7</v>
      </c>
      <c r="BE14" s="45">
        <v>-26</v>
      </c>
      <c r="BF14" s="45">
        <v>-18.7</v>
      </c>
      <c r="BG14" s="44">
        <v>-27.8</v>
      </c>
      <c r="BH14" s="45">
        <v>-27.7</v>
      </c>
      <c r="BI14" s="45">
        <v>-24.5</v>
      </c>
      <c r="BJ14" s="45">
        <v>-42.2</v>
      </c>
      <c r="BK14" s="44">
        <v>-29</v>
      </c>
      <c r="BL14" s="45">
        <v>-28.6</v>
      </c>
      <c r="BM14" s="45">
        <v>-29.5</v>
      </c>
      <c r="BN14" s="45">
        <v>-31.3</v>
      </c>
      <c r="BO14" s="44">
        <v>-35.200000000000003</v>
      </c>
      <c r="BP14" s="45">
        <v>-35.9</v>
      </c>
      <c r="BQ14" s="45">
        <v>-39.9</v>
      </c>
      <c r="BR14" s="45">
        <v>-60.2</v>
      </c>
      <c r="BS14" s="44">
        <v>-44.6</v>
      </c>
      <c r="BT14" s="447"/>
    </row>
    <row r="15" spans="1:74" s="441" customFormat="1" ht="12.75" customHeight="1">
      <c r="A15" s="163" t="s">
        <v>623</v>
      </c>
      <c r="B15" s="163" t="s">
        <v>624</v>
      </c>
      <c r="C15" s="44"/>
      <c r="D15" s="45"/>
      <c r="E15" s="45"/>
      <c r="F15" s="45"/>
      <c r="G15" s="44"/>
      <c r="H15" s="45"/>
      <c r="I15" s="45"/>
      <c r="J15" s="46"/>
      <c r="K15" s="44"/>
      <c r="L15" s="45"/>
      <c r="M15" s="45"/>
      <c r="N15" s="46"/>
      <c r="O15" s="44"/>
      <c r="P15" s="45"/>
      <c r="Q15" s="45"/>
      <c r="R15" s="46"/>
      <c r="S15" s="793"/>
      <c r="T15" s="794"/>
      <c r="U15" s="794"/>
      <c r="V15" s="560"/>
      <c r="W15" s="793"/>
      <c r="X15" s="794"/>
      <c r="Y15" s="794"/>
      <c r="Z15" s="560"/>
      <c r="AA15" s="793"/>
      <c r="AB15" s="794"/>
      <c r="AC15" s="794"/>
      <c r="AD15" s="560"/>
      <c r="AE15" s="793"/>
      <c r="AF15" s="794"/>
      <c r="AG15" s="794"/>
      <c r="AH15" s="560"/>
      <c r="AI15" s="793"/>
      <c r="AJ15" s="794"/>
      <c r="AK15" s="794"/>
      <c r="AL15" s="560"/>
      <c r="AM15" s="793"/>
      <c r="AN15" s="794"/>
      <c r="AO15" s="794"/>
      <c r="AP15" s="560"/>
      <c r="AQ15" s="793"/>
      <c r="AR15" s="794"/>
      <c r="AS15" s="794"/>
      <c r="AT15" s="560"/>
      <c r="AU15" s="791">
        <v>-80.709000000000003</v>
      </c>
      <c r="AV15" s="792">
        <v>-78.331999999999994</v>
      </c>
      <c r="AW15" s="792">
        <v>-85.700000000000045</v>
      </c>
      <c r="AX15" s="559">
        <v>-107.79999999999993</v>
      </c>
      <c r="AY15" s="44">
        <v>-84.500000000000057</v>
      </c>
      <c r="AZ15" s="45">
        <v>-94.600000000000051</v>
      </c>
      <c r="BA15" s="45">
        <v>-80.8</v>
      </c>
      <c r="BB15" s="45">
        <v>-98.799999999999926</v>
      </c>
      <c r="BC15" s="44">
        <v>-91.599999999999937</v>
      </c>
      <c r="BD15" s="45">
        <v>-86.9</v>
      </c>
      <c r="BE15" s="45">
        <v>-86.000000000000028</v>
      </c>
      <c r="BF15" s="45">
        <v>-100.29999999999991</v>
      </c>
      <c r="BG15" s="44">
        <v>-81.799999999999983</v>
      </c>
      <c r="BH15" s="45">
        <v>-95.6</v>
      </c>
      <c r="BI15" s="45">
        <v>-95.10000000000008</v>
      </c>
      <c r="BJ15" s="45">
        <v>-76.999999999999972</v>
      </c>
      <c r="BK15" s="44">
        <v>-99.299999999999841</v>
      </c>
      <c r="BL15" s="45">
        <v>-129.29999999999978</v>
      </c>
      <c r="BM15" s="45">
        <v>-120.10000000000005</v>
      </c>
      <c r="BN15" s="45">
        <v>-79.799999999999983</v>
      </c>
      <c r="BO15" s="44">
        <v>-140.39999999999992</v>
      </c>
      <c r="BP15" s="45">
        <v>-132.29999999999995</v>
      </c>
      <c r="BQ15" s="45">
        <v>-122.39999999999998</v>
      </c>
      <c r="BR15" s="45">
        <v>-141.7999999999999</v>
      </c>
      <c r="BS15" s="44">
        <v>-164.1</v>
      </c>
      <c r="BT15" s="447"/>
    </row>
    <row r="16" spans="1:74" s="441" customFormat="1" ht="12.75" customHeight="1">
      <c r="A16" s="159" t="s">
        <v>625</v>
      </c>
      <c r="B16" s="159" t="s">
        <v>626</v>
      </c>
      <c r="C16" s="44"/>
      <c r="D16" s="45"/>
      <c r="E16" s="45"/>
      <c r="F16" s="45"/>
      <c r="G16" s="44"/>
      <c r="H16" s="45"/>
      <c r="I16" s="45"/>
      <c r="J16" s="45"/>
      <c r="K16" s="44"/>
      <c r="L16" s="45"/>
      <c r="M16" s="45"/>
      <c r="N16" s="46"/>
      <c r="O16" s="45"/>
      <c r="P16" s="45"/>
      <c r="Q16" s="45"/>
      <c r="R16" s="45"/>
      <c r="S16" s="795"/>
      <c r="T16" s="796"/>
      <c r="U16" s="796"/>
      <c r="V16" s="561"/>
      <c r="W16" s="795"/>
      <c r="X16" s="796"/>
      <c r="Y16" s="796"/>
      <c r="Z16" s="561"/>
      <c r="AA16" s="795"/>
      <c r="AB16" s="796"/>
      <c r="AC16" s="796"/>
      <c r="AD16" s="561"/>
      <c r="AE16" s="795"/>
      <c r="AF16" s="796"/>
      <c r="AG16" s="796"/>
      <c r="AH16" s="561"/>
      <c r="AI16" s="795"/>
      <c r="AJ16" s="796"/>
      <c r="AK16" s="796"/>
      <c r="AL16" s="561"/>
      <c r="AM16" s="795"/>
      <c r="AN16" s="796"/>
      <c r="AO16" s="796"/>
      <c r="AP16" s="561"/>
      <c r="AQ16" s="795"/>
      <c r="AR16" s="796"/>
      <c r="AS16" s="796"/>
      <c r="AT16" s="561"/>
      <c r="AU16" s="795"/>
      <c r="AV16" s="796"/>
      <c r="AW16" s="796"/>
      <c r="AX16" s="561"/>
      <c r="AY16" s="44">
        <v>-16.100000000000001</v>
      </c>
      <c r="AZ16" s="45">
        <v>0</v>
      </c>
      <c r="BA16" s="45">
        <v>0</v>
      </c>
      <c r="BB16" s="45">
        <v>0</v>
      </c>
      <c r="BC16" s="44">
        <v>-13.3</v>
      </c>
      <c r="BD16" s="45">
        <v>0</v>
      </c>
      <c r="BE16" s="45">
        <v>0</v>
      </c>
      <c r="BF16" s="45">
        <v>-0.1</v>
      </c>
      <c r="BG16" s="44">
        <v>-19.2</v>
      </c>
      <c r="BH16" s="45">
        <v>0</v>
      </c>
      <c r="BI16" s="45">
        <v>-0.1</v>
      </c>
      <c r="BJ16" s="45">
        <v>0</v>
      </c>
      <c r="BK16" s="44">
        <v>-22</v>
      </c>
      <c r="BL16" s="45">
        <v>0</v>
      </c>
      <c r="BM16" s="45">
        <v>-0.2</v>
      </c>
      <c r="BN16" s="45">
        <v>0.1</v>
      </c>
      <c r="BO16" s="44">
        <v>-24.5</v>
      </c>
      <c r="BP16" s="45">
        <v>0</v>
      </c>
      <c r="BQ16" s="45">
        <v>0</v>
      </c>
      <c r="BR16" s="45">
        <v>0</v>
      </c>
      <c r="BS16" s="44">
        <v>-27.9</v>
      </c>
      <c r="BT16" s="447"/>
    </row>
    <row r="17" spans="1:72" s="441" customFormat="1" ht="12.75" customHeight="1">
      <c r="A17" s="159" t="s">
        <v>627</v>
      </c>
      <c r="B17" s="159" t="s">
        <v>628</v>
      </c>
      <c r="C17" s="44"/>
      <c r="D17" s="45"/>
      <c r="E17" s="45"/>
      <c r="F17" s="45"/>
      <c r="G17" s="44"/>
      <c r="H17" s="45"/>
      <c r="I17" s="45"/>
      <c r="J17" s="46"/>
      <c r="K17" s="44"/>
      <c r="L17" s="45"/>
      <c r="M17" s="45"/>
      <c r="N17" s="46"/>
      <c r="O17" s="44"/>
      <c r="P17" s="45"/>
      <c r="Q17" s="45"/>
      <c r="R17" s="46"/>
      <c r="S17" s="44">
        <v>-0.4</v>
      </c>
      <c r="T17" s="45">
        <v>2.9</v>
      </c>
      <c r="U17" s="45">
        <v>0.1</v>
      </c>
      <c r="V17" s="46">
        <v>-3.4</v>
      </c>
      <c r="W17" s="45">
        <v>-11.012259999999999</v>
      </c>
      <c r="X17" s="45">
        <v>-11.012269999999999</v>
      </c>
      <c r="Y17" s="45">
        <v>-11.012260000000001</v>
      </c>
      <c r="Z17" s="46">
        <v>-11.012269999999997</v>
      </c>
      <c r="AA17" s="45">
        <v>-11.3</v>
      </c>
      <c r="AB17" s="45">
        <v>-11.4</v>
      </c>
      <c r="AC17" s="45">
        <v>-11.3</v>
      </c>
      <c r="AD17" s="46">
        <v>-15.3</v>
      </c>
      <c r="AE17" s="45">
        <v>-13.600000000000001</v>
      </c>
      <c r="AF17" s="45">
        <v>-13.5</v>
      </c>
      <c r="AG17" s="45">
        <v>-13.5</v>
      </c>
      <c r="AH17" s="46">
        <v>-13.600000000000001</v>
      </c>
      <c r="AI17" s="45">
        <v>-26.1</v>
      </c>
      <c r="AJ17" s="45">
        <v>-26.087</v>
      </c>
      <c r="AK17" s="45">
        <v>-26.088000000000001</v>
      </c>
      <c r="AL17" s="46">
        <v>-189.40199999999999</v>
      </c>
      <c r="AM17" s="45">
        <v>-31.7</v>
      </c>
      <c r="AN17" s="45">
        <v>-32.799999999999997</v>
      </c>
      <c r="AO17" s="45">
        <v>-33.400000000000006</v>
      </c>
      <c r="AP17" s="45">
        <v>-46</v>
      </c>
      <c r="AQ17" s="44">
        <v>-89.1</v>
      </c>
      <c r="AR17" s="45">
        <v>-18.7</v>
      </c>
      <c r="AS17" s="45">
        <v>-18.899999999999999</v>
      </c>
      <c r="AT17" s="45">
        <v>-19</v>
      </c>
      <c r="AU17" s="44">
        <v>-84.300000000000011</v>
      </c>
      <c r="AV17" s="45">
        <v>-27</v>
      </c>
      <c r="AW17" s="45">
        <v>-26.9</v>
      </c>
      <c r="AX17" s="45">
        <v>-27</v>
      </c>
      <c r="AY17" s="44">
        <v>-148.79999999999998</v>
      </c>
      <c r="AZ17" s="45">
        <v>-17.8</v>
      </c>
      <c r="BA17" s="45">
        <v>-17.7</v>
      </c>
      <c r="BB17" s="45">
        <v>-18</v>
      </c>
      <c r="BC17" s="44">
        <v>-162.9</v>
      </c>
      <c r="BD17" s="45">
        <v>-42.1</v>
      </c>
      <c r="BE17" s="45">
        <v>-41.9</v>
      </c>
      <c r="BF17" s="45">
        <v>-41.8</v>
      </c>
      <c r="BG17" s="44">
        <v>-160.29999999999998</v>
      </c>
      <c r="BH17" s="45">
        <v>-28.2</v>
      </c>
      <c r="BI17" s="45">
        <v>-28.1</v>
      </c>
      <c r="BJ17" s="45">
        <v>-28.4</v>
      </c>
      <c r="BK17" s="44">
        <v>-226.60000000000002</v>
      </c>
      <c r="BL17" s="45">
        <v>0</v>
      </c>
      <c r="BM17" s="45">
        <v>-25.3</v>
      </c>
      <c r="BN17" s="45">
        <v>1.1000000000000014</v>
      </c>
      <c r="BO17" s="44">
        <v>-153.60000000000002</v>
      </c>
      <c r="BP17" s="45">
        <v>0</v>
      </c>
      <c r="BQ17" s="45">
        <v>0</v>
      </c>
      <c r="BR17" s="45">
        <v>0</v>
      </c>
      <c r="BS17" s="44">
        <v>-150.9</v>
      </c>
      <c r="BT17" s="447"/>
    </row>
    <row r="18" spans="1:72" s="441" customFormat="1" ht="10.8">
      <c r="A18" s="442" t="s">
        <v>629</v>
      </c>
      <c r="B18" s="443" t="s">
        <v>630</v>
      </c>
      <c r="C18" s="44"/>
      <c r="D18" s="45"/>
      <c r="E18" s="45"/>
      <c r="F18" s="45"/>
      <c r="G18" s="44"/>
      <c r="H18" s="45"/>
      <c r="I18" s="45"/>
      <c r="J18" s="46"/>
      <c r="K18" s="44"/>
      <c r="L18" s="45"/>
      <c r="M18" s="45"/>
      <c r="N18" s="46"/>
      <c r="O18" s="44"/>
      <c r="P18" s="45"/>
      <c r="Q18" s="45"/>
      <c r="R18" s="46"/>
      <c r="S18" s="44"/>
      <c r="T18" s="45"/>
      <c r="U18" s="45"/>
      <c r="V18" s="46"/>
      <c r="W18" s="45"/>
      <c r="X18" s="45"/>
      <c r="Y18" s="45"/>
      <c r="Z18" s="46"/>
      <c r="AA18" s="45"/>
      <c r="AB18" s="45"/>
      <c r="AC18" s="45"/>
      <c r="AD18" s="46"/>
      <c r="AE18" s="45"/>
      <c r="AF18" s="45"/>
      <c r="AG18" s="45"/>
      <c r="AH18" s="46"/>
      <c r="AI18" s="45"/>
      <c r="AJ18" s="45"/>
      <c r="AK18" s="45"/>
      <c r="AL18" s="46"/>
      <c r="AM18" s="45"/>
      <c r="AN18" s="45"/>
      <c r="AO18" s="45"/>
      <c r="AP18" s="45"/>
      <c r="AQ18" s="44">
        <v>-18.600000000000001</v>
      </c>
      <c r="AR18" s="45">
        <v>-18.7</v>
      </c>
      <c r="AS18" s="45">
        <v>-18.899999999999999</v>
      </c>
      <c r="AT18" s="45">
        <v>19</v>
      </c>
      <c r="AU18" s="44">
        <v>26.1</v>
      </c>
      <c r="AV18" s="45">
        <v>-27</v>
      </c>
      <c r="AW18" s="45">
        <v>-26.9</v>
      </c>
      <c r="AX18" s="45">
        <v>-27</v>
      </c>
      <c r="AY18" s="44">
        <v>-17.600000000000001</v>
      </c>
      <c r="AZ18" s="45">
        <v>-17.8</v>
      </c>
      <c r="BA18" s="45">
        <v>-17.7</v>
      </c>
      <c r="BB18" s="45">
        <v>-18</v>
      </c>
      <c r="BC18" s="44">
        <v>-38.5</v>
      </c>
      <c r="BD18" s="45">
        <v>-41.1</v>
      </c>
      <c r="BE18" s="45">
        <v>-41.9</v>
      </c>
      <c r="BF18" s="45">
        <v>-41.8</v>
      </c>
      <c r="BG18" s="44">
        <v>-27.7</v>
      </c>
      <c r="BH18" s="45">
        <v>-28.2</v>
      </c>
      <c r="BI18" s="45">
        <v>-28.1</v>
      </c>
      <c r="BJ18" s="45">
        <v>-28.4</v>
      </c>
      <c r="BK18" s="44">
        <v>-53.8</v>
      </c>
      <c r="BL18" s="45">
        <v>0</v>
      </c>
      <c r="BM18" s="45">
        <v>0</v>
      </c>
      <c r="BN18" s="45">
        <v>-0.5</v>
      </c>
      <c r="BO18" s="44">
        <v>0</v>
      </c>
      <c r="BP18" s="45">
        <v>0</v>
      </c>
      <c r="BQ18" s="45">
        <v>0</v>
      </c>
      <c r="BR18" s="45">
        <v>0</v>
      </c>
      <c r="BS18" s="44">
        <v>0</v>
      </c>
      <c r="BT18" s="447"/>
    </row>
    <row r="19" spans="1:72" s="441" customFormat="1" ht="10.8">
      <c r="A19" s="443" t="s">
        <v>631</v>
      </c>
      <c r="B19" s="443" t="s">
        <v>632</v>
      </c>
      <c r="C19" s="44"/>
      <c r="D19" s="45"/>
      <c r="E19" s="45"/>
      <c r="F19" s="45"/>
      <c r="G19" s="44"/>
      <c r="H19" s="45"/>
      <c r="I19" s="45"/>
      <c r="J19" s="46"/>
      <c r="K19" s="44"/>
      <c r="L19" s="45"/>
      <c r="M19" s="45"/>
      <c r="N19" s="46"/>
      <c r="O19" s="44"/>
      <c r="P19" s="45"/>
      <c r="Q19" s="45"/>
      <c r="R19" s="46"/>
      <c r="S19" s="44"/>
      <c r="T19" s="45"/>
      <c r="U19" s="45"/>
      <c r="V19" s="46"/>
      <c r="W19" s="45"/>
      <c r="X19" s="45"/>
      <c r="Y19" s="45"/>
      <c r="Z19" s="46"/>
      <c r="AA19" s="45"/>
      <c r="AB19" s="45"/>
      <c r="AC19" s="45"/>
      <c r="AD19" s="46"/>
      <c r="AE19" s="45"/>
      <c r="AF19" s="45"/>
      <c r="AG19" s="45"/>
      <c r="AH19" s="46"/>
      <c r="AI19" s="45"/>
      <c r="AJ19" s="45"/>
      <c r="AK19" s="45"/>
      <c r="AL19" s="46"/>
      <c r="AM19" s="45"/>
      <c r="AN19" s="45"/>
      <c r="AO19" s="45"/>
      <c r="AP19" s="45"/>
      <c r="AQ19" s="44">
        <v>-70.5</v>
      </c>
      <c r="AR19" s="45">
        <v>0</v>
      </c>
      <c r="AS19" s="45">
        <v>0</v>
      </c>
      <c r="AT19" s="45">
        <v>0</v>
      </c>
      <c r="AU19" s="44">
        <v>-58.2</v>
      </c>
      <c r="AV19" s="45">
        <v>0</v>
      </c>
      <c r="AW19" s="45">
        <v>0</v>
      </c>
      <c r="AX19" s="45">
        <v>0</v>
      </c>
      <c r="AY19" s="44">
        <v>-131.19999999999999</v>
      </c>
      <c r="AZ19" s="45">
        <v>0</v>
      </c>
      <c r="BA19" s="45">
        <v>0</v>
      </c>
      <c r="BB19" s="45">
        <v>0</v>
      </c>
      <c r="BC19" s="44">
        <v>-124.4</v>
      </c>
      <c r="BD19" s="45">
        <v>-1</v>
      </c>
      <c r="BE19" s="45">
        <v>0</v>
      </c>
      <c r="BF19" s="45">
        <v>0</v>
      </c>
      <c r="BG19" s="44">
        <v>-132.6</v>
      </c>
      <c r="BH19" s="45">
        <v>0</v>
      </c>
      <c r="BI19" s="45">
        <v>0</v>
      </c>
      <c r="BJ19" s="45">
        <v>0</v>
      </c>
      <c r="BK19" s="44">
        <v>-172.8</v>
      </c>
      <c r="BL19" s="45">
        <v>0</v>
      </c>
      <c r="BM19" s="45">
        <v>0</v>
      </c>
      <c r="BN19" s="45">
        <v>0</v>
      </c>
      <c r="BO19" s="44">
        <v>-153.60000000000002</v>
      </c>
      <c r="BP19" s="45">
        <v>0</v>
      </c>
      <c r="BQ19" s="45">
        <v>0</v>
      </c>
      <c r="BR19" s="45">
        <v>0</v>
      </c>
      <c r="BS19" s="44">
        <v>0</v>
      </c>
      <c r="BT19" s="447"/>
    </row>
    <row r="20" spans="1:72" s="789" customFormat="1" ht="12.75" hidden="1" customHeight="1">
      <c r="A20" s="707"/>
      <c r="B20" s="707"/>
      <c r="C20" s="625"/>
      <c r="D20" s="626"/>
      <c r="E20" s="626"/>
      <c r="F20" s="626"/>
      <c r="G20" s="625"/>
      <c r="H20" s="626"/>
      <c r="I20" s="626"/>
      <c r="J20" s="626"/>
      <c r="K20" s="625"/>
      <c r="L20" s="626"/>
      <c r="M20" s="626"/>
      <c r="N20" s="627"/>
      <c r="O20" s="626"/>
      <c r="P20" s="626"/>
      <c r="Q20" s="626"/>
      <c r="R20" s="626"/>
      <c r="S20" s="797"/>
      <c r="T20" s="788"/>
      <c r="U20" s="788"/>
      <c r="V20" s="798"/>
      <c r="W20" s="788"/>
      <c r="X20" s="788"/>
      <c r="Y20" s="788"/>
      <c r="Z20" s="798"/>
      <c r="AA20" s="788"/>
      <c r="AB20" s="788"/>
      <c r="AC20" s="788"/>
      <c r="AD20" s="798"/>
      <c r="AE20" s="788"/>
      <c r="AF20" s="788"/>
      <c r="AG20" s="788"/>
      <c r="AH20" s="798"/>
      <c r="AI20" s="788"/>
      <c r="AJ20" s="788"/>
      <c r="AK20" s="788"/>
      <c r="AL20" s="798"/>
      <c r="AM20" s="788"/>
      <c r="AN20" s="788"/>
      <c r="AO20" s="788"/>
      <c r="AP20" s="788"/>
      <c r="AQ20" s="797"/>
      <c r="AR20" s="788"/>
      <c r="AS20" s="788"/>
      <c r="AT20" s="788"/>
      <c r="AU20" s="797"/>
      <c r="AV20" s="788"/>
      <c r="AW20" s="788"/>
      <c r="AX20" s="788"/>
      <c r="AY20" s="625"/>
      <c r="AZ20" s="626"/>
      <c r="BA20" s="626"/>
      <c r="BB20" s="626"/>
      <c r="BC20" s="625"/>
      <c r="BD20" s="626"/>
      <c r="BE20" s="626"/>
      <c r="BF20" s="626"/>
      <c r="BG20" s="625"/>
      <c r="BH20" s="626"/>
      <c r="BI20" s="626"/>
      <c r="BJ20" s="626"/>
      <c r="BK20" s="625"/>
      <c r="BL20" s="626"/>
      <c r="BM20" s="626"/>
      <c r="BN20" s="626"/>
      <c r="BO20" s="625"/>
      <c r="BP20" s="626"/>
      <c r="BQ20" s="626"/>
      <c r="BR20" s="626"/>
      <c r="BS20" s="625"/>
      <c r="BT20" s="790"/>
    </row>
    <row r="21" spans="1:72" s="441" customFormat="1" ht="12.75" customHeight="1">
      <c r="A21" s="159" t="s">
        <v>633</v>
      </c>
      <c r="B21" s="159" t="s">
        <v>634</v>
      </c>
      <c r="C21" s="44"/>
      <c r="D21" s="45"/>
      <c r="E21" s="45"/>
      <c r="F21" s="45"/>
      <c r="G21" s="44"/>
      <c r="H21" s="45"/>
      <c r="I21" s="45"/>
      <c r="J21" s="45"/>
      <c r="K21" s="44"/>
      <c r="L21" s="45"/>
      <c r="M21" s="45"/>
      <c r="N21" s="46"/>
      <c r="O21" s="45"/>
      <c r="P21" s="45"/>
      <c r="Q21" s="45"/>
      <c r="R21" s="45"/>
      <c r="S21" s="799"/>
      <c r="T21" s="444"/>
      <c r="U21" s="444"/>
      <c r="V21" s="531"/>
      <c r="W21" s="444"/>
      <c r="X21" s="444"/>
      <c r="Y21" s="444"/>
      <c r="Z21" s="531"/>
      <c r="AA21" s="444"/>
      <c r="AB21" s="444"/>
      <c r="AC21" s="444"/>
      <c r="AD21" s="531"/>
      <c r="AE21" s="444"/>
      <c r="AF21" s="444"/>
      <c r="AG21" s="444"/>
      <c r="AH21" s="531"/>
      <c r="AI21" s="444"/>
      <c r="AJ21" s="444"/>
      <c r="AK21" s="444"/>
      <c r="AL21" s="531"/>
      <c r="AM21" s="444"/>
      <c r="AN21" s="444"/>
      <c r="AO21" s="444"/>
      <c r="AP21" s="444"/>
      <c r="AQ21" s="799"/>
      <c r="AR21" s="444"/>
      <c r="AS21" s="444"/>
      <c r="AT21" s="444"/>
      <c r="AU21" s="799"/>
      <c r="AV21" s="444"/>
      <c r="AW21" s="444"/>
      <c r="AX21" s="444"/>
      <c r="AY21" s="44"/>
      <c r="AZ21" s="45"/>
      <c r="BA21" s="45"/>
      <c r="BB21" s="45"/>
      <c r="BC21" s="44"/>
      <c r="BD21" s="45"/>
      <c r="BE21" s="45"/>
      <c r="BF21" s="45"/>
      <c r="BG21" s="44"/>
      <c r="BH21" s="45"/>
      <c r="BI21" s="45"/>
      <c r="BJ21" s="45"/>
      <c r="BK21" s="44"/>
      <c r="BL21" s="45">
        <v>-429.8</v>
      </c>
      <c r="BM21" s="45">
        <v>-40.9</v>
      </c>
      <c r="BN21" s="45">
        <v>0</v>
      </c>
      <c r="BO21" s="44">
        <v>0</v>
      </c>
      <c r="BP21" s="45">
        <v>0</v>
      </c>
      <c r="BQ21" s="45">
        <v>0</v>
      </c>
      <c r="BR21" s="45">
        <v>0</v>
      </c>
      <c r="BS21" s="44">
        <v>0</v>
      </c>
      <c r="BT21" s="447"/>
    </row>
    <row r="22" spans="1:72" s="441" customFormat="1" ht="12.75" customHeight="1">
      <c r="A22" s="159"/>
      <c r="B22" s="159"/>
      <c r="C22" s="44"/>
      <c r="D22" s="45"/>
      <c r="E22" s="45"/>
      <c r="F22" s="45"/>
      <c r="G22" s="44"/>
      <c r="H22" s="45"/>
      <c r="I22" s="45"/>
      <c r="J22" s="45"/>
      <c r="K22" s="44"/>
      <c r="L22" s="45"/>
      <c r="M22" s="45"/>
      <c r="N22" s="46"/>
      <c r="O22" s="45"/>
      <c r="P22" s="45"/>
      <c r="Q22" s="45"/>
      <c r="R22" s="45"/>
      <c r="S22" s="799"/>
      <c r="T22" s="444"/>
      <c r="U22" s="444"/>
      <c r="V22" s="531"/>
      <c r="W22" s="444"/>
      <c r="X22" s="444"/>
      <c r="Y22" s="444"/>
      <c r="Z22" s="531"/>
      <c r="AA22" s="444"/>
      <c r="AB22" s="444"/>
      <c r="AC22" s="444"/>
      <c r="AD22" s="531"/>
      <c r="AE22" s="444"/>
      <c r="AF22" s="444"/>
      <c r="AG22" s="444"/>
      <c r="AH22" s="531"/>
      <c r="AI22" s="444"/>
      <c r="AJ22" s="444"/>
      <c r="AK22" s="444"/>
      <c r="AL22" s="531"/>
      <c r="AM22" s="444"/>
      <c r="AN22" s="444"/>
      <c r="AO22" s="444"/>
      <c r="AP22" s="444"/>
      <c r="AQ22" s="799"/>
      <c r="AR22" s="444"/>
      <c r="AS22" s="444"/>
      <c r="AT22" s="444"/>
      <c r="AU22" s="799"/>
      <c r="AV22" s="444"/>
      <c r="AW22" s="444"/>
      <c r="AX22" s="444"/>
      <c r="AY22" s="44"/>
      <c r="AZ22" s="45"/>
      <c r="BA22" s="45"/>
      <c r="BB22" s="45"/>
      <c r="BC22" s="44"/>
      <c r="BD22" s="45"/>
      <c r="BE22" s="45"/>
      <c r="BF22" s="45"/>
      <c r="BG22" s="44"/>
      <c r="BH22" s="45"/>
      <c r="BI22" s="45"/>
      <c r="BJ22" s="45"/>
      <c r="BK22" s="44"/>
      <c r="BL22" s="45"/>
      <c r="BM22" s="45"/>
      <c r="BN22" s="45"/>
      <c r="BO22" s="44"/>
      <c r="BP22" s="45"/>
      <c r="BQ22" s="45"/>
      <c r="BR22" s="45"/>
      <c r="BS22" s="44"/>
      <c r="BT22" s="447"/>
    </row>
    <row r="23" spans="1:72" s="441" customFormat="1" ht="12.75" customHeight="1">
      <c r="A23" s="159"/>
      <c r="B23" s="159"/>
      <c r="C23" s="44"/>
      <c r="D23" s="45"/>
      <c r="E23" s="45"/>
      <c r="F23" s="45"/>
      <c r="G23" s="44"/>
      <c r="H23" s="45"/>
      <c r="I23" s="45"/>
      <c r="J23" s="45"/>
      <c r="K23" s="44"/>
      <c r="L23" s="45"/>
      <c r="M23" s="45"/>
      <c r="N23" s="46"/>
      <c r="O23" s="45"/>
      <c r="P23" s="45"/>
      <c r="Q23" s="45"/>
      <c r="R23" s="45"/>
      <c r="S23" s="799"/>
      <c r="T23" s="444"/>
      <c r="U23" s="444"/>
      <c r="V23" s="531"/>
      <c r="W23" s="444"/>
      <c r="X23" s="444"/>
      <c r="Y23" s="444"/>
      <c r="Z23" s="531"/>
      <c r="AA23" s="444"/>
      <c r="AB23" s="444"/>
      <c r="AC23" s="444"/>
      <c r="AD23" s="531"/>
      <c r="AE23" s="444"/>
      <c r="AF23" s="444"/>
      <c r="AG23" s="444"/>
      <c r="AH23" s="531"/>
      <c r="AI23" s="444"/>
      <c r="AJ23" s="444"/>
      <c r="AK23" s="444"/>
      <c r="AL23" s="531"/>
      <c r="AM23" s="444"/>
      <c r="AN23" s="444"/>
      <c r="AO23" s="444"/>
      <c r="AP23" s="444"/>
      <c r="AQ23" s="799"/>
      <c r="AR23" s="444"/>
      <c r="AS23" s="444"/>
      <c r="AT23" s="444"/>
      <c r="AU23" s="799"/>
      <c r="AV23" s="444"/>
      <c r="AW23" s="444"/>
      <c r="AX23" s="444"/>
      <c r="AY23" s="44"/>
      <c r="AZ23" s="45"/>
      <c r="BA23" s="45"/>
      <c r="BB23" s="45"/>
      <c r="BC23" s="44"/>
      <c r="BD23" s="45"/>
      <c r="BE23" s="45"/>
      <c r="BF23" s="45"/>
      <c r="BG23" s="44"/>
      <c r="BH23" s="45"/>
      <c r="BI23" s="45"/>
      <c r="BJ23" s="45"/>
      <c r="BK23" s="44"/>
      <c r="BL23" s="45"/>
      <c r="BM23" s="45"/>
      <c r="BN23" s="45"/>
      <c r="BO23" s="44"/>
      <c r="BP23" s="45"/>
      <c r="BQ23" s="45"/>
      <c r="BR23" s="45"/>
      <c r="BS23" s="44"/>
      <c r="BT23" s="447"/>
    </row>
    <row r="24" spans="1:72" s="441" customFormat="1" ht="10.8">
      <c r="A24" s="445"/>
      <c r="B24" s="445"/>
      <c r="C24" s="446"/>
      <c r="D24" s="446"/>
      <c r="E24" s="446"/>
      <c r="F24" s="446"/>
      <c r="G24" s="446"/>
      <c r="H24" s="446"/>
      <c r="I24" s="446"/>
      <c r="J24" s="446"/>
      <c r="K24" s="446"/>
      <c r="L24" s="446"/>
      <c r="M24" s="446"/>
      <c r="N24" s="446"/>
      <c r="O24" s="446"/>
      <c r="P24" s="446"/>
      <c r="Q24" s="446"/>
      <c r="R24" s="446"/>
      <c r="S24" s="446"/>
      <c r="T24" s="446"/>
      <c r="U24" s="446"/>
      <c r="V24" s="446"/>
      <c r="W24" s="446"/>
      <c r="X24" s="446"/>
      <c r="Y24" s="446"/>
      <c r="Z24" s="446"/>
      <c r="AA24" s="446"/>
      <c r="AB24" s="446"/>
      <c r="AC24" s="446"/>
      <c r="AD24" s="446"/>
      <c r="AE24" s="446"/>
      <c r="AF24" s="446"/>
      <c r="AG24" s="446"/>
      <c r="AH24" s="446"/>
      <c r="AI24" s="446"/>
      <c r="AJ24" s="446"/>
      <c r="AK24" s="446"/>
      <c r="AL24" s="446"/>
      <c r="AM24" s="446"/>
      <c r="AN24" s="446"/>
      <c r="AO24" s="446"/>
      <c r="AP24" s="447"/>
    </row>
    <row r="25" spans="1:72">
      <c r="A25" s="201"/>
      <c r="B25" s="201"/>
      <c r="C25" s="201"/>
      <c r="D25" s="201"/>
      <c r="E25" s="201"/>
      <c r="F25" s="201"/>
      <c r="G25" s="201"/>
      <c r="H25" s="201"/>
      <c r="I25" s="201"/>
      <c r="J25" s="201"/>
      <c r="K25" s="201"/>
      <c r="L25" s="201"/>
      <c r="M25" s="201"/>
      <c r="N25" s="201"/>
      <c r="O25" s="201"/>
      <c r="P25" s="201"/>
      <c r="Q25" s="201"/>
      <c r="R25" s="201"/>
    </row>
    <row r="26" spans="1:72" ht="13.5" hidden="1" customHeight="1">
      <c r="A26" s="2"/>
      <c r="B26" s="2"/>
      <c r="C26" s="201"/>
      <c r="D26" s="201"/>
      <c r="E26" s="201"/>
      <c r="F26" s="201"/>
      <c r="G26" s="201"/>
      <c r="H26" s="201"/>
      <c r="I26" s="201"/>
      <c r="J26" s="201"/>
      <c r="K26" s="201"/>
      <c r="L26" s="201"/>
      <c r="M26" s="201"/>
      <c r="N26" s="201"/>
      <c r="O26" s="201"/>
      <c r="P26" s="201"/>
      <c r="Q26" s="201"/>
      <c r="R26" s="201"/>
      <c r="S26" s="201"/>
      <c r="T26" s="201"/>
      <c r="U26" s="201"/>
      <c r="V26" s="201"/>
      <c r="W26" s="201"/>
      <c r="X26" s="201"/>
      <c r="Y26" s="201"/>
      <c r="Z26" s="201"/>
      <c r="AA26" s="201"/>
      <c r="AB26" s="201"/>
      <c r="AC26" s="201"/>
      <c r="AD26" s="201"/>
      <c r="AE26" s="201"/>
      <c r="AF26" s="201"/>
      <c r="AG26" s="201"/>
      <c r="AJ26" s="201"/>
    </row>
    <row r="27" spans="1:72" ht="13.5" hidden="1" customHeight="1">
      <c r="A27" s="2"/>
      <c r="B27" s="2"/>
      <c r="C27" s="201"/>
      <c r="D27" s="201"/>
      <c r="E27" s="201"/>
      <c r="F27" s="201"/>
      <c r="G27" s="201"/>
      <c r="H27" s="201"/>
      <c r="I27" s="201"/>
      <c r="J27" s="201"/>
      <c r="K27" s="201"/>
      <c r="L27" s="201"/>
      <c r="M27" s="201"/>
      <c r="N27" s="201"/>
      <c r="O27" s="201"/>
      <c r="P27" s="201"/>
      <c r="Q27" s="201"/>
      <c r="R27" s="201"/>
      <c r="S27" s="201"/>
      <c r="T27" s="201"/>
      <c r="U27" s="201"/>
      <c r="V27" s="201"/>
      <c r="W27" s="201"/>
      <c r="X27" s="201"/>
      <c r="Y27" s="201"/>
      <c r="Z27" s="201"/>
      <c r="AA27" s="201"/>
      <c r="AB27" s="201"/>
      <c r="AC27" s="201"/>
      <c r="AD27" s="201"/>
      <c r="AE27" s="201"/>
      <c r="AF27" s="201"/>
      <c r="AG27" s="201"/>
      <c r="AJ27" s="201"/>
      <c r="AQ27" s="201"/>
      <c r="AR27" s="201"/>
      <c r="AS27" s="201"/>
      <c r="AT27" s="201"/>
    </row>
    <row r="28" spans="1:72" ht="13.5" hidden="1" customHeight="1">
      <c r="A28" s="2"/>
      <c r="B28" s="2"/>
    </row>
    <row r="29" spans="1:72" ht="13.5" hidden="1" customHeight="1">
      <c r="A29" s="2"/>
      <c r="B29" s="2"/>
      <c r="C29" s="201"/>
      <c r="D29" s="201"/>
      <c r="E29" s="201"/>
      <c r="F29" s="201"/>
      <c r="G29" s="201"/>
      <c r="H29" s="201"/>
      <c r="I29" s="201"/>
      <c r="J29" s="201"/>
      <c r="K29" s="201"/>
      <c r="L29" s="201"/>
      <c r="M29" s="201"/>
      <c r="N29" s="201"/>
      <c r="O29" s="201"/>
      <c r="P29" s="201"/>
      <c r="Q29" s="201"/>
      <c r="R29" s="201"/>
      <c r="S29" s="201"/>
      <c r="T29" s="201"/>
      <c r="U29" s="201"/>
      <c r="V29" s="201"/>
      <c r="W29" s="201"/>
      <c r="X29" s="201"/>
      <c r="Y29" s="201"/>
      <c r="Z29" s="201"/>
      <c r="AA29" s="201"/>
      <c r="AB29" s="201"/>
      <c r="AC29" s="201"/>
      <c r="AD29" s="201"/>
      <c r="AE29" s="201"/>
    </row>
  </sheetData>
  <mergeCells count="52">
    <mergeCell ref="AX15:AX16"/>
    <mergeCell ref="AM13:AM16"/>
    <mergeCell ref="AN13:AN16"/>
    <mergeCell ref="AO13:AO16"/>
    <mergeCell ref="AP13:AP16"/>
    <mergeCell ref="AQ13:AQ16"/>
    <mergeCell ref="AR13:AR16"/>
    <mergeCell ref="AS13:AS16"/>
    <mergeCell ref="AT13:AT16"/>
    <mergeCell ref="AU15:AU16"/>
    <mergeCell ref="AV15:AV16"/>
    <mergeCell ref="AW15:AW16"/>
    <mergeCell ref="AL13:AL16"/>
    <mergeCell ref="AA13:AA16"/>
    <mergeCell ref="AB13:AB16"/>
    <mergeCell ref="AC13:AC16"/>
    <mergeCell ref="AD13:AD16"/>
    <mergeCell ref="AE13:AE16"/>
    <mergeCell ref="AF13:AF16"/>
    <mergeCell ref="AG13:AG16"/>
    <mergeCell ref="AH13:AH16"/>
    <mergeCell ref="AI13:AI16"/>
    <mergeCell ref="AJ13:AJ16"/>
    <mergeCell ref="AK13:AK16"/>
    <mergeCell ref="BO3:BR3"/>
    <mergeCell ref="BS3:BV3"/>
    <mergeCell ref="S13:S16"/>
    <mergeCell ref="T13:T16"/>
    <mergeCell ref="U13:U16"/>
    <mergeCell ref="V13:V16"/>
    <mergeCell ref="W13:W16"/>
    <mergeCell ref="X13:X16"/>
    <mergeCell ref="Y13:Y16"/>
    <mergeCell ref="Z13:Z16"/>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0B7098D3-C71E-464D-9BEE-9E75928A16B1}"/>
    <hyperlink ref="A1" location="'Spis tresci_Table of content'!A1" display="Go back to Table of content" xr:uid="{D8F638F4-0FCD-4D1C-968D-0A71E970C749}"/>
    <hyperlink ref="B1" location="'Spis tresci_Table of content'!A1" display="Powrót do spisu treści" xr:uid="{60D33403-21D3-43D3-A52B-EDF727EAB083}"/>
  </hyperlinks>
  <printOptions horizontalCentered="1"/>
  <pageMargins left="0.23622047244094491" right="0.23622047244094491" top="0.74803149606299213" bottom="0.74803149606299213" header="0.31496062992125984" footer="0.31496062992125984"/>
  <pageSetup paperSize="9" scale="28" orientation="landscape" r:id="rId1"/>
  <headerFooter alignWithMargins="0">
    <oddHeader xml:space="preserve">&amp;C&amp;"Times New Roman,Kursywa"&amp;12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3D415-FE22-45CA-B348-DE089D12FE7A}">
  <sheetPr>
    <pageSetUpPr fitToPage="1"/>
  </sheetPr>
  <dimension ref="A1:BV54"/>
  <sheetViews>
    <sheetView showGridLines="0" zoomScale="115" zoomScaleNormal="115" zoomScaleSheetLayoutView="100" zoomScalePageLayoutView="80" workbookViewId="0">
      <pane xSplit="2" ySplit="5" topLeftCell="BN6" activePane="bottomRight" state="frozen"/>
      <selection activeCell="B29" sqref="B29"/>
      <selection pane="topRight" activeCell="B29" sqref="B29"/>
      <selection pane="bottomLeft" activeCell="B29" sqref="B29"/>
      <selection pane="bottomRight" activeCell="BO1" sqref="BO1"/>
    </sheetView>
  </sheetViews>
  <sheetFormatPr defaultColWidth="0" defaultRowHeight="13.8" customHeight="1" zeroHeight="1"/>
  <cols>
    <col min="1" max="1" width="49.88671875" style="4" bestFit="1" customWidth="1"/>
    <col min="2" max="2" width="52.33203125" style="4" customWidth="1"/>
    <col min="3" max="5" width="7" style="151" customWidth="1"/>
    <col min="6" max="35" width="7" style="816" customWidth="1"/>
    <col min="36" max="46" width="7.88671875" style="816" customWidth="1"/>
    <col min="47" max="49" width="7.88671875" style="816" bestFit="1" customWidth="1"/>
    <col min="50" max="50" width="7.88671875" style="713" bestFit="1" customWidth="1"/>
    <col min="51" max="53" width="7.88671875" style="816" bestFit="1" customWidth="1"/>
    <col min="54" max="54" width="7.88671875" style="713" bestFit="1" customWidth="1"/>
    <col min="55" max="57" width="7.88671875" style="816" bestFit="1" customWidth="1"/>
    <col min="58" max="58" width="7.88671875" style="713" bestFit="1" customWidth="1"/>
    <col min="59" max="61" width="7.88671875" style="816" bestFit="1" customWidth="1"/>
    <col min="62" max="62" width="7.88671875" style="713" bestFit="1" customWidth="1"/>
    <col min="63" max="65" width="7.88671875" style="816" bestFit="1" customWidth="1"/>
    <col min="66" max="66" width="7.88671875" style="713" bestFit="1" customWidth="1"/>
    <col min="67" max="69" width="7.88671875" style="816" bestFit="1" customWidth="1"/>
    <col min="70" max="70" width="7.88671875" style="713" bestFit="1" customWidth="1"/>
    <col min="71" max="72" width="8.88671875" style="713" customWidth="1"/>
    <col min="73"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2"/>
      <c r="AC1" s="2"/>
      <c r="AD1" s="2"/>
      <c r="AE1" s="2"/>
      <c r="AF1" s="2"/>
      <c r="AG1" s="2"/>
      <c r="AH1" s="2"/>
      <c r="AI1" s="2"/>
      <c r="AJ1" s="2"/>
      <c r="AK1" s="2"/>
      <c r="AL1" s="2"/>
      <c r="AM1" s="2"/>
      <c r="AN1" s="2"/>
      <c r="AO1" s="2"/>
      <c r="AP1" s="2"/>
      <c r="AQ1" s="2"/>
      <c r="AR1" s="2"/>
      <c r="AS1" s="2"/>
      <c r="AT1" s="2"/>
      <c r="AU1" s="2"/>
      <c r="AV1" s="2"/>
      <c r="AW1" s="2"/>
      <c r="AX1" s="2"/>
      <c r="AY1" s="219"/>
      <c r="AZ1" s="2"/>
      <c r="BA1" s="2"/>
      <c r="BB1" s="2"/>
      <c r="BC1" s="2"/>
      <c r="BD1" s="2"/>
      <c r="BE1" s="2"/>
      <c r="BF1" s="2"/>
      <c r="BG1" s="2"/>
      <c r="BH1" s="2"/>
      <c r="BI1" s="2"/>
      <c r="BJ1" s="2"/>
      <c r="BK1" s="2"/>
      <c r="BL1" s="2"/>
      <c r="BM1" s="2"/>
      <c r="BN1" s="2"/>
      <c r="BO1" s="2"/>
      <c r="BP1" s="2"/>
      <c r="BQ1" s="2"/>
      <c r="BR1" s="2"/>
      <c r="BS1" s="2"/>
      <c r="BT1" s="2"/>
    </row>
    <row r="2" spans="1:74" ht="12.75" customHeight="1">
      <c r="A2" s="152" t="s">
        <v>579</v>
      </c>
      <c r="B2" s="152" t="s">
        <v>497</v>
      </c>
      <c r="F2" s="151"/>
      <c r="G2" s="151"/>
      <c r="H2" s="432"/>
      <c r="I2" s="151"/>
      <c r="J2" s="151"/>
      <c r="K2" s="151"/>
      <c r="L2" s="151"/>
      <c r="M2" s="151"/>
      <c r="N2" s="151"/>
      <c r="O2" s="151"/>
      <c r="P2" s="151"/>
      <c r="Q2" s="151"/>
      <c r="R2" s="151"/>
      <c r="S2" s="151"/>
      <c r="T2" s="151"/>
      <c r="U2" s="151"/>
      <c r="V2" s="151"/>
      <c r="W2" s="151"/>
      <c r="X2" s="151"/>
      <c r="Y2" s="151"/>
      <c r="Z2" s="151"/>
      <c r="AA2" s="151"/>
      <c r="AB2" s="151"/>
      <c r="AC2" s="151"/>
      <c r="AD2" s="151"/>
      <c r="AE2" s="151"/>
      <c r="AF2" s="151"/>
      <c r="AG2" s="151"/>
      <c r="AH2" s="151"/>
      <c r="AI2" s="151"/>
      <c r="AJ2" s="151"/>
      <c r="AK2" s="151"/>
      <c r="AL2" s="151"/>
      <c r="AM2" s="151"/>
      <c r="AN2" s="151"/>
      <c r="AO2" s="151"/>
      <c r="AP2" s="151"/>
      <c r="AQ2" s="151"/>
      <c r="AR2" s="151"/>
      <c r="AS2" s="151"/>
      <c r="AT2" s="151"/>
      <c r="AU2" s="151"/>
      <c r="AV2" s="151"/>
      <c r="AW2" s="151"/>
      <c r="AX2" s="2"/>
      <c r="AY2" s="219" t="s">
        <v>295</v>
      </c>
      <c r="AZ2" s="150"/>
      <c r="BA2" s="150"/>
      <c r="BB2" s="150"/>
      <c r="BC2" s="151"/>
      <c r="BD2" s="151"/>
      <c r="BE2" s="151"/>
      <c r="BF2" s="2"/>
      <c r="BG2" s="151"/>
      <c r="BH2" s="151"/>
      <c r="BI2" s="151"/>
      <c r="BJ2" s="2"/>
      <c r="BK2" s="151"/>
      <c r="BL2" s="151"/>
      <c r="BM2" s="151"/>
      <c r="BN2" s="2"/>
      <c r="BO2" s="151"/>
      <c r="BP2" s="151"/>
      <c r="BQ2" s="151"/>
      <c r="BR2" s="2"/>
      <c r="BS2" s="2"/>
      <c r="BT2" s="2"/>
    </row>
    <row r="3" spans="1:74" ht="13.5" customHeight="1">
      <c r="A3" s="536" t="s">
        <v>580</v>
      </c>
      <c r="B3" s="536" t="s">
        <v>581</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5"/>
      <c r="AI3" s="533">
        <v>2015</v>
      </c>
      <c r="AJ3" s="534"/>
      <c r="AK3" s="534"/>
      <c r="AL3" s="534"/>
      <c r="AM3" s="533">
        <v>2016</v>
      </c>
      <c r="AN3" s="534"/>
      <c r="AO3" s="534"/>
      <c r="AP3" s="534"/>
      <c r="AQ3" s="540">
        <v>2017</v>
      </c>
      <c r="AR3" s="534"/>
      <c r="AS3" s="534"/>
      <c r="AT3" s="534"/>
      <c r="AU3" s="562">
        <v>2018</v>
      </c>
      <c r="AV3" s="563"/>
      <c r="AW3" s="550"/>
      <c r="AX3" s="550"/>
      <c r="AY3" s="563">
        <v>2019</v>
      </c>
      <c r="AZ3" s="563"/>
      <c r="BA3" s="550"/>
      <c r="BB3" s="551"/>
      <c r="BC3" s="540">
        <v>2020</v>
      </c>
      <c r="BD3" s="534"/>
      <c r="BE3" s="547"/>
      <c r="BF3" s="547"/>
      <c r="BG3" s="540">
        <v>2021</v>
      </c>
      <c r="BH3" s="534"/>
      <c r="BI3" s="547"/>
      <c r="BJ3" s="547"/>
      <c r="BK3" s="540">
        <v>2022</v>
      </c>
      <c r="BL3" s="534"/>
      <c r="BM3" s="547"/>
      <c r="BN3" s="547"/>
      <c r="BO3" s="540">
        <v>2023</v>
      </c>
      <c r="BP3" s="534"/>
      <c r="BQ3" s="547"/>
      <c r="BR3" s="547"/>
      <c r="BS3" s="540">
        <v>2024</v>
      </c>
      <c r="BT3" s="534"/>
      <c r="BU3" s="547"/>
      <c r="BV3" s="547"/>
    </row>
    <row r="4" spans="1:74" ht="13.5" customHeight="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1" t="s">
        <v>8</v>
      </c>
      <c r="AB4" s="12" t="s">
        <v>9</v>
      </c>
      <c r="AC4" s="12" t="s">
        <v>10</v>
      </c>
      <c r="AD4" s="13" t="s">
        <v>11</v>
      </c>
      <c r="AE4" s="11" t="s">
        <v>8</v>
      </c>
      <c r="AF4" s="12" t="s">
        <v>9</v>
      </c>
      <c r="AG4" s="12" t="s">
        <v>10</v>
      </c>
      <c r="AH4" s="12" t="s">
        <v>11</v>
      </c>
      <c r="AI4" s="11" t="s">
        <v>8</v>
      </c>
      <c r="AJ4" s="12" t="s">
        <v>9</v>
      </c>
      <c r="AK4" s="12" t="s">
        <v>10</v>
      </c>
      <c r="AL4" s="12" t="s">
        <v>11</v>
      </c>
      <c r="AM4" s="11" t="s">
        <v>8</v>
      </c>
      <c r="AN4" s="12" t="s">
        <v>9</v>
      </c>
      <c r="AO4" s="12" t="s">
        <v>10</v>
      </c>
      <c r="AP4" s="12" t="s">
        <v>11</v>
      </c>
      <c r="AQ4" s="11" t="s">
        <v>8</v>
      </c>
      <c r="AR4" s="12" t="s">
        <v>9</v>
      </c>
      <c r="AS4" s="12" t="s">
        <v>10</v>
      </c>
      <c r="AT4" s="12" t="s">
        <v>11</v>
      </c>
      <c r="AU4" s="11" t="s">
        <v>8</v>
      </c>
      <c r="AV4" s="12" t="s">
        <v>9</v>
      </c>
      <c r="AW4" s="12" t="s">
        <v>10</v>
      </c>
      <c r="AX4" s="433" t="s">
        <v>11</v>
      </c>
      <c r="AY4" s="434"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s="150" customFormat="1" ht="12.75" customHeight="1">
      <c r="A5" s="17" t="s">
        <v>12</v>
      </c>
      <c r="B5" s="17" t="s">
        <v>13</v>
      </c>
      <c r="C5" s="22"/>
      <c r="D5" s="23"/>
      <c r="E5" s="17"/>
      <c r="F5" s="23"/>
      <c r="G5" s="22"/>
      <c r="H5" s="23"/>
      <c r="I5" s="17"/>
      <c r="J5" s="24"/>
      <c r="K5" s="22"/>
      <c r="L5" s="23"/>
      <c r="M5" s="17"/>
      <c r="N5" s="24"/>
      <c r="O5" s="22"/>
      <c r="P5" s="23"/>
      <c r="Q5" s="17"/>
      <c r="R5" s="24"/>
      <c r="S5" s="22"/>
      <c r="T5" s="23"/>
      <c r="U5" s="17"/>
      <c r="V5" s="24"/>
      <c r="W5" s="22"/>
      <c r="X5" s="17"/>
      <c r="Y5" s="17"/>
      <c r="Z5" s="25"/>
      <c r="AA5" s="22"/>
      <c r="AB5" s="17"/>
      <c r="AC5" s="17"/>
      <c r="AD5" s="25"/>
      <c r="AE5" s="22"/>
      <c r="AF5" s="17"/>
      <c r="AG5" s="17"/>
      <c r="AH5" s="17"/>
      <c r="AI5" s="22"/>
      <c r="AJ5" s="17"/>
      <c r="AK5" s="17"/>
      <c r="AL5" s="17"/>
      <c r="AM5" s="22"/>
      <c r="AN5" s="17"/>
      <c r="AO5" s="17"/>
      <c r="AP5" s="17"/>
      <c r="AQ5" s="22"/>
      <c r="AR5" s="17"/>
      <c r="AS5" s="17"/>
      <c r="AT5" s="17"/>
      <c r="AU5" s="22"/>
      <c r="AV5" s="17"/>
      <c r="AW5" s="17"/>
      <c r="AX5" s="435"/>
      <c r="AY5" s="219"/>
      <c r="BC5" s="22"/>
      <c r="BD5" s="17"/>
      <c r="BE5" s="17"/>
      <c r="BF5" s="17"/>
      <c r="BG5" s="22"/>
      <c r="BH5" s="17"/>
      <c r="BI5" s="17"/>
      <c r="BJ5" s="17"/>
      <c r="BK5" s="22"/>
      <c r="BL5" s="17"/>
      <c r="BM5" s="17"/>
      <c r="BN5" s="17"/>
      <c r="BO5" s="22"/>
      <c r="BP5" s="17"/>
      <c r="BQ5" s="17"/>
      <c r="BR5" s="17"/>
      <c r="BS5" s="270"/>
    </row>
    <row r="6" spans="1:74" s="150" customFormat="1" ht="10.8">
      <c r="A6" s="163" t="s">
        <v>582</v>
      </c>
      <c r="B6" s="163" t="s">
        <v>583</v>
      </c>
      <c r="C6" s="183"/>
      <c r="D6" s="184"/>
      <c r="E6" s="184"/>
      <c r="F6" s="47"/>
      <c r="G6" s="48"/>
      <c r="H6" s="47">
        <v>5723.8</v>
      </c>
      <c r="I6" s="47">
        <v>6439.6</v>
      </c>
      <c r="J6" s="49">
        <v>7300.9000000000005</v>
      </c>
      <c r="K6" s="48">
        <v>8041</v>
      </c>
      <c r="L6" s="47">
        <v>8639.7999999999993</v>
      </c>
      <c r="M6" s="47">
        <v>9190.2000000000007</v>
      </c>
      <c r="N6" s="49">
        <v>9756.8000000000011</v>
      </c>
      <c r="O6" s="48">
        <v>10220.700000000001</v>
      </c>
      <c r="P6" s="47">
        <v>11104.1</v>
      </c>
      <c r="Q6" s="47">
        <v>11614.3</v>
      </c>
      <c r="R6" s="49">
        <v>12594.8</v>
      </c>
      <c r="S6" s="48">
        <v>13076.2</v>
      </c>
      <c r="T6" s="47">
        <v>13804.3</v>
      </c>
      <c r="U6" s="47">
        <v>14540.6</v>
      </c>
      <c r="V6" s="49">
        <v>15008.9</v>
      </c>
      <c r="W6" s="48">
        <v>15278.5</v>
      </c>
      <c r="X6" s="47">
        <v>15835.199999999999</v>
      </c>
      <c r="Y6" s="47">
        <v>16362.1</v>
      </c>
      <c r="Z6" s="49">
        <v>16632</v>
      </c>
      <c r="AA6" s="48">
        <v>16960</v>
      </c>
      <c r="AB6" s="47">
        <v>17710.400000000001</v>
      </c>
      <c r="AC6" s="47">
        <v>18261.5</v>
      </c>
      <c r="AD6" s="49">
        <v>18505.5</v>
      </c>
      <c r="AE6" s="48">
        <v>19048.599999999999</v>
      </c>
      <c r="AF6" s="47">
        <v>19893.099999999999</v>
      </c>
      <c r="AG6" s="47">
        <v>21021.3</v>
      </c>
      <c r="AH6" s="49">
        <v>21969.399999999998</v>
      </c>
      <c r="AI6" s="48">
        <v>23244.499999999996</v>
      </c>
      <c r="AJ6" s="47">
        <v>24641.5</v>
      </c>
      <c r="AK6" s="47">
        <v>25551.999999999996</v>
      </c>
      <c r="AL6" s="47">
        <v>26453.5</v>
      </c>
      <c r="AM6" s="48">
        <v>27761</v>
      </c>
      <c r="AN6" s="47">
        <v>29563.200000000001</v>
      </c>
      <c r="AO6" s="47">
        <v>30581.8</v>
      </c>
      <c r="AP6" s="47">
        <v>31640.600000000002</v>
      </c>
      <c r="AQ6" s="48">
        <v>32786.200000000004</v>
      </c>
      <c r="AR6" s="47">
        <v>34321.300000000003</v>
      </c>
      <c r="AS6" s="47">
        <v>35795.299999999996</v>
      </c>
      <c r="AT6" s="47">
        <v>37509</v>
      </c>
      <c r="AU6" s="48">
        <v>39424.699999999997</v>
      </c>
      <c r="AV6" s="47">
        <v>41723.1</v>
      </c>
      <c r="AW6" s="47">
        <v>43539.8</v>
      </c>
      <c r="AX6" s="800">
        <v>45363.299999999996</v>
      </c>
      <c r="AY6" s="801">
        <v>41392.099999999991</v>
      </c>
      <c r="AZ6" s="47">
        <v>43701</v>
      </c>
      <c r="BA6" s="47">
        <v>46195</v>
      </c>
      <c r="BB6" s="47">
        <v>48360.299999999996</v>
      </c>
      <c r="BC6" s="48">
        <v>50940.399999999994</v>
      </c>
      <c r="BD6" s="47">
        <v>52606.200000000004</v>
      </c>
      <c r="BE6" s="47">
        <v>53761.799999999996</v>
      </c>
      <c r="BF6" s="47">
        <v>55830.299999999996</v>
      </c>
      <c r="BG6" s="48">
        <v>58603.199999999997</v>
      </c>
      <c r="BH6" s="47">
        <v>61502.299999999996</v>
      </c>
      <c r="BI6" s="47">
        <v>64506.1</v>
      </c>
      <c r="BJ6" s="47">
        <v>66483.600000000006</v>
      </c>
      <c r="BK6" s="48">
        <v>66866</v>
      </c>
      <c r="BL6" s="47">
        <v>65900.899999999994</v>
      </c>
      <c r="BM6" s="47">
        <v>64197.599999999999</v>
      </c>
      <c r="BN6" s="47">
        <v>63880.3</v>
      </c>
      <c r="BO6" s="48">
        <v>63358.799999999996</v>
      </c>
      <c r="BP6" s="47">
        <v>63924</v>
      </c>
      <c r="BQ6" s="47">
        <v>64719</v>
      </c>
      <c r="BR6" s="47">
        <v>64889</v>
      </c>
      <c r="BS6" s="48">
        <v>66070.899999999994</v>
      </c>
      <c r="BT6" s="610"/>
    </row>
    <row r="7" spans="1:74" s="164" customFormat="1" ht="10.8">
      <c r="A7" s="163" t="s">
        <v>584</v>
      </c>
      <c r="B7" s="163" t="s">
        <v>585</v>
      </c>
      <c r="C7" s="183"/>
      <c r="D7" s="184"/>
      <c r="E7" s="184"/>
      <c r="F7" s="47"/>
      <c r="G7" s="48"/>
      <c r="H7" s="47">
        <v>14090.5</v>
      </c>
      <c r="I7" s="47">
        <v>15666.1</v>
      </c>
      <c r="J7" s="49">
        <v>16997.100000000002</v>
      </c>
      <c r="K7" s="48">
        <v>17573.5</v>
      </c>
      <c r="L7" s="47">
        <v>17136.900000000001</v>
      </c>
      <c r="M7" s="47">
        <v>16943.8</v>
      </c>
      <c r="N7" s="49">
        <v>17604.600000000002</v>
      </c>
      <c r="O7" s="48">
        <v>17355.7</v>
      </c>
      <c r="P7" s="47">
        <v>17890.3</v>
      </c>
      <c r="Q7" s="47">
        <v>19053.5</v>
      </c>
      <c r="R7" s="49">
        <v>19583.499999999996</v>
      </c>
      <c r="S7" s="48">
        <v>19912.5</v>
      </c>
      <c r="T7" s="47">
        <v>20950.399999999998</v>
      </c>
      <c r="U7" s="47">
        <v>22378.6</v>
      </c>
      <c r="V7" s="49">
        <v>24457.200000000001</v>
      </c>
      <c r="W7" s="48">
        <v>29827.399999999998</v>
      </c>
      <c r="X7" s="47">
        <v>30072.399999999998</v>
      </c>
      <c r="Y7" s="47">
        <v>30382.799999999999</v>
      </c>
      <c r="Z7" s="49">
        <v>29878</v>
      </c>
      <c r="AA7" s="48">
        <v>29710.399999999998</v>
      </c>
      <c r="AB7" s="47">
        <v>30426.3</v>
      </c>
      <c r="AC7" s="47">
        <v>31503</v>
      </c>
      <c r="AD7" s="49">
        <v>31476.799999999996</v>
      </c>
      <c r="AE7" s="48">
        <v>33297.599999999999</v>
      </c>
      <c r="AF7" s="47">
        <v>35206</v>
      </c>
      <c r="AG7" s="47">
        <v>36729.5</v>
      </c>
      <c r="AH7" s="49">
        <v>36781.1</v>
      </c>
      <c r="AI7" s="48">
        <v>38078.600000000006</v>
      </c>
      <c r="AJ7" s="47">
        <v>41302.199999999997</v>
      </c>
      <c r="AK7" s="47">
        <v>43494.5</v>
      </c>
      <c r="AL7" s="47">
        <v>43593.399999999994</v>
      </c>
      <c r="AM7" s="48">
        <v>45146</v>
      </c>
      <c r="AN7" s="47">
        <v>46247.6</v>
      </c>
      <c r="AO7" s="47">
        <v>47306.5</v>
      </c>
      <c r="AP7" s="47">
        <v>47807.299999999996</v>
      </c>
      <c r="AQ7" s="48">
        <v>49343.8</v>
      </c>
      <c r="AR7" s="47">
        <v>50457.2</v>
      </c>
      <c r="AS7" s="47">
        <v>52100.700000000004</v>
      </c>
      <c r="AT7" s="47">
        <v>51534.6</v>
      </c>
      <c r="AU7" s="48">
        <v>51942.5</v>
      </c>
      <c r="AV7" s="47">
        <v>54179.200000000004</v>
      </c>
      <c r="AW7" s="47">
        <v>56859</v>
      </c>
      <c r="AX7" s="800">
        <v>58863.5</v>
      </c>
      <c r="AY7" s="801">
        <v>66846.600000000006</v>
      </c>
      <c r="AZ7" s="47">
        <v>67579</v>
      </c>
      <c r="BA7" s="47">
        <v>70010.5</v>
      </c>
      <c r="BB7" s="47">
        <v>69916.7</v>
      </c>
      <c r="BC7" s="48">
        <v>72928.800000000003</v>
      </c>
      <c r="BD7" s="47">
        <v>68854.400000000009</v>
      </c>
      <c r="BE7" s="47">
        <v>69981.099999999991</v>
      </c>
      <c r="BF7" s="47">
        <v>70159.900000000009</v>
      </c>
      <c r="BG7" s="48">
        <v>72299</v>
      </c>
      <c r="BH7" s="47">
        <v>73115.600000000006</v>
      </c>
      <c r="BI7" s="47">
        <v>76654.600000000006</v>
      </c>
      <c r="BJ7" s="47">
        <v>79914.500000000015</v>
      </c>
      <c r="BK7" s="48">
        <v>83155.099999999991</v>
      </c>
      <c r="BL7" s="47">
        <v>87857.1</v>
      </c>
      <c r="BM7" s="47">
        <v>91722.4</v>
      </c>
      <c r="BN7" s="47">
        <v>92478</v>
      </c>
      <c r="BO7" s="48">
        <v>94617</v>
      </c>
      <c r="BP7" s="47">
        <v>94172.3</v>
      </c>
      <c r="BQ7" s="47">
        <v>95550</v>
      </c>
      <c r="BR7" s="47">
        <v>93364.099999999991</v>
      </c>
      <c r="BS7" s="48">
        <v>94177.7</v>
      </c>
      <c r="BT7" s="615"/>
    </row>
    <row r="8" spans="1:74" s="164" customFormat="1" ht="10.8">
      <c r="A8" s="177" t="s">
        <v>586</v>
      </c>
      <c r="B8" s="177" t="s">
        <v>587</v>
      </c>
      <c r="C8" s="180"/>
      <c r="D8" s="181"/>
      <c r="E8" s="181"/>
      <c r="F8" s="38"/>
      <c r="G8" s="39"/>
      <c r="H8" s="38">
        <f t="shared" ref="H8:AW8" si="0">+H6+H7</f>
        <v>19814.3</v>
      </c>
      <c r="I8" s="38">
        <f t="shared" si="0"/>
        <v>22105.7</v>
      </c>
      <c r="J8" s="40">
        <f t="shared" si="0"/>
        <v>24298.000000000004</v>
      </c>
      <c r="K8" s="39">
        <f t="shared" si="0"/>
        <v>25614.5</v>
      </c>
      <c r="L8" s="38">
        <f t="shared" si="0"/>
        <v>25776.7</v>
      </c>
      <c r="M8" s="38">
        <f t="shared" si="0"/>
        <v>26134</v>
      </c>
      <c r="N8" s="40">
        <f t="shared" si="0"/>
        <v>27361.4</v>
      </c>
      <c r="O8" s="39">
        <f t="shared" si="0"/>
        <v>27576.400000000001</v>
      </c>
      <c r="P8" s="38">
        <f t="shared" si="0"/>
        <v>28994.400000000001</v>
      </c>
      <c r="Q8" s="38">
        <f t="shared" si="0"/>
        <v>30667.8</v>
      </c>
      <c r="R8" s="40">
        <f t="shared" si="0"/>
        <v>32178.299999999996</v>
      </c>
      <c r="S8" s="39">
        <f t="shared" si="0"/>
        <v>32988.699999999997</v>
      </c>
      <c r="T8" s="38">
        <f t="shared" si="0"/>
        <v>34754.699999999997</v>
      </c>
      <c r="U8" s="38">
        <f t="shared" si="0"/>
        <v>36919.199999999997</v>
      </c>
      <c r="V8" s="40">
        <f t="shared" si="0"/>
        <v>39466.1</v>
      </c>
      <c r="W8" s="39">
        <f t="shared" si="0"/>
        <v>45105.899999999994</v>
      </c>
      <c r="X8" s="38">
        <f t="shared" si="0"/>
        <v>45907.6</v>
      </c>
      <c r="Y8" s="38">
        <f t="shared" si="0"/>
        <v>46744.9</v>
      </c>
      <c r="Z8" s="40">
        <f t="shared" si="0"/>
        <v>46510</v>
      </c>
      <c r="AA8" s="39">
        <f t="shared" si="0"/>
        <v>46670.399999999994</v>
      </c>
      <c r="AB8" s="38">
        <f t="shared" si="0"/>
        <v>48136.7</v>
      </c>
      <c r="AC8" s="38">
        <f t="shared" si="0"/>
        <v>49764.5</v>
      </c>
      <c r="AD8" s="40">
        <f t="shared" si="0"/>
        <v>49982.299999999996</v>
      </c>
      <c r="AE8" s="39">
        <f t="shared" si="0"/>
        <v>52346.2</v>
      </c>
      <c r="AF8" s="38">
        <f t="shared" si="0"/>
        <v>55099.1</v>
      </c>
      <c r="AG8" s="38">
        <f t="shared" si="0"/>
        <v>57750.8</v>
      </c>
      <c r="AH8" s="40">
        <f t="shared" si="0"/>
        <v>58750.5</v>
      </c>
      <c r="AI8" s="39">
        <f t="shared" si="0"/>
        <v>61323.100000000006</v>
      </c>
      <c r="AJ8" s="38">
        <f t="shared" si="0"/>
        <v>65943.7</v>
      </c>
      <c r="AK8" s="38">
        <f t="shared" si="0"/>
        <v>69046.5</v>
      </c>
      <c r="AL8" s="38">
        <f t="shared" si="0"/>
        <v>70046.899999999994</v>
      </c>
      <c r="AM8" s="39">
        <f t="shared" si="0"/>
        <v>72907</v>
      </c>
      <c r="AN8" s="38">
        <f t="shared" si="0"/>
        <v>75810.8</v>
      </c>
      <c r="AO8" s="38">
        <f t="shared" si="0"/>
        <v>77888.3</v>
      </c>
      <c r="AP8" s="38">
        <f t="shared" si="0"/>
        <v>79447.899999999994</v>
      </c>
      <c r="AQ8" s="39">
        <f t="shared" si="0"/>
        <v>82130</v>
      </c>
      <c r="AR8" s="38">
        <f t="shared" si="0"/>
        <v>84778.5</v>
      </c>
      <c r="AS8" s="38">
        <f t="shared" si="0"/>
        <v>87896</v>
      </c>
      <c r="AT8" s="38">
        <f t="shared" si="0"/>
        <v>89043.6</v>
      </c>
      <c r="AU8" s="39">
        <f t="shared" si="0"/>
        <v>91367.2</v>
      </c>
      <c r="AV8" s="38">
        <f t="shared" si="0"/>
        <v>95902.3</v>
      </c>
      <c r="AW8" s="38">
        <f t="shared" si="0"/>
        <v>100398.8</v>
      </c>
      <c r="AX8" s="802">
        <f>+AX6+AX7</f>
        <v>104226.79999999999</v>
      </c>
      <c r="AY8" s="803">
        <f t="shared" ref="AY8:BP8" si="1">+AY6+AY7</f>
        <v>108238.7</v>
      </c>
      <c r="AZ8" s="38">
        <f t="shared" si="1"/>
        <v>111280</v>
      </c>
      <c r="BA8" s="38">
        <f t="shared" si="1"/>
        <v>116205.5</v>
      </c>
      <c r="BB8" s="38">
        <f t="shared" si="1"/>
        <v>118277</v>
      </c>
      <c r="BC8" s="39">
        <f t="shared" si="1"/>
        <v>123869.2</v>
      </c>
      <c r="BD8" s="38">
        <f t="shared" si="1"/>
        <v>121460.6</v>
      </c>
      <c r="BE8" s="38">
        <f t="shared" si="1"/>
        <v>123742.9</v>
      </c>
      <c r="BF8" s="38">
        <f t="shared" si="1"/>
        <v>125990.20000000001</v>
      </c>
      <c r="BG8" s="39">
        <f t="shared" si="1"/>
        <v>130902.2</v>
      </c>
      <c r="BH8" s="38">
        <f t="shared" si="1"/>
        <v>134617.9</v>
      </c>
      <c r="BI8" s="38">
        <f t="shared" si="1"/>
        <v>141160.70000000001</v>
      </c>
      <c r="BJ8" s="38">
        <f t="shared" si="1"/>
        <v>146398.10000000003</v>
      </c>
      <c r="BK8" s="39">
        <f t="shared" si="1"/>
        <v>150021.09999999998</v>
      </c>
      <c r="BL8" s="38">
        <f t="shared" si="1"/>
        <v>153758</v>
      </c>
      <c r="BM8" s="38">
        <f t="shared" si="1"/>
        <v>155920</v>
      </c>
      <c r="BN8" s="38">
        <f t="shared" si="1"/>
        <v>156358.29999999999</v>
      </c>
      <c r="BO8" s="39">
        <f t="shared" si="1"/>
        <v>157975.79999999999</v>
      </c>
      <c r="BP8" s="38">
        <f t="shared" si="1"/>
        <v>158096.29999999999</v>
      </c>
      <c r="BQ8" s="38">
        <f>+BQ6+BQ7</f>
        <v>160269</v>
      </c>
      <c r="BR8" s="38">
        <f>+BR6+BR7</f>
        <v>158253.09999999998</v>
      </c>
      <c r="BS8" s="39">
        <f>+BS6+BS7</f>
        <v>160248.59999999998</v>
      </c>
      <c r="BT8" s="615"/>
    </row>
    <row r="9" spans="1:74" s="164" customFormat="1" ht="10.8">
      <c r="A9" s="177"/>
      <c r="B9" s="159"/>
      <c r="C9" s="183"/>
      <c r="D9" s="184"/>
      <c r="E9" s="184"/>
      <c r="F9" s="47"/>
      <c r="G9" s="48"/>
      <c r="H9" s="47"/>
      <c r="I9" s="47"/>
      <c r="J9" s="49"/>
      <c r="K9" s="48"/>
      <c r="L9" s="47"/>
      <c r="M9" s="47"/>
      <c r="N9" s="49"/>
      <c r="O9" s="48"/>
      <c r="P9" s="47"/>
      <c r="Q9" s="47"/>
      <c r="R9" s="49"/>
      <c r="S9" s="48"/>
      <c r="T9" s="47"/>
      <c r="U9" s="47"/>
      <c r="V9" s="49"/>
      <c r="W9" s="48"/>
      <c r="X9" s="47"/>
      <c r="Y9" s="47"/>
      <c r="Z9" s="49"/>
      <c r="AA9" s="48"/>
      <c r="AB9" s="47"/>
      <c r="AC9" s="47"/>
      <c r="AD9" s="49"/>
      <c r="AE9" s="48"/>
      <c r="AF9" s="47"/>
      <c r="AG9" s="47"/>
      <c r="AH9" s="49"/>
      <c r="AI9" s="48"/>
      <c r="AJ9" s="47"/>
      <c r="AK9" s="47"/>
      <c r="AL9" s="47"/>
      <c r="AM9" s="48"/>
      <c r="AN9" s="47"/>
      <c r="AO9" s="47"/>
      <c r="AP9" s="47"/>
      <c r="AQ9" s="48"/>
      <c r="AR9" s="47"/>
      <c r="AS9" s="47"/>
      <c r="AT9" s="47"/>
      <c r="AU9" s="48"/>
      <c r="AV9" s="47"/>
      <c r="AW9" s="47"/>
      <c r="AX9" s="800"/>
      <c r="AY9" s="801"/>
      <c r="AZ9" s="47"/>
      <c r="BA9" s="47"/>
      <c r="BB9" s="47"/>
      <c r="BC9" s="48"/>
      <c r="BD9" s="47"/>
      <c r="BE9" s="47"/>
      <c r="BF9" s="47"/>
      <c r="BG9" s="48"/>
      <c r="BH9" s="47"/>
      <c r="BI9" s="47"/>
      <c r="BJ9" s="47"/>
      <c r="BK9" s="48"/>
      <c r="BL9" s="47"/>
      <c r="BM9" s="47"/>
      <c r="BN9" s="47"/>
      <c r="BO9" s="48"/>
      <c r="BP9" s="47"/>
      <c r="BQ9" s="47"/>
      <c r="BR9" s="47"/>
      <c r="BS9" s="48"/>
      <c r="BT9" s="615"/>
    </row>
    <row r="10" spans="1:74" s="150" customFormat="1" ht="21.6">
      <c r="A10" s="163" t="s">
        <v>588</v>
      </c>
      <c r="B10" s="163" t="s">
        <v>589</v>
      </c>
      <c r="C10" s="183"/>
      <c r="D10" s="184"/>
      <c r="E10" s="184"/>
      <c r="F10" s="47"/>
      <c r="G10" s="48"/>
      <c r="H10" s="47"/>
      <c r="I10" s="47">
        <v>-4.9000000000000004</v>
      </c>
      <c r="J10" s="49">
        <v>-20.100000000000001</v>
      </c>
      <c r="K10" s="48">
        <v>-12.8</v>
      </c>
      <c r="L10" s="47">
        <v>-6.8</v>
      </c>
      <c r="M10" s="47">
        <v>-21.4</v>
      </c>
      <c r="N10" s="49">
        <v>-22.8</v>
      </c>
      <c r="O10" s="48">
        <v>-21.2</v>
      </c>
      <c r="P10" s="47">
        <v>-13</v>
      </c>
      <c r="Q10" s="47">
        <v>-21.3</v>
      </c>
      <c r="R10" s="49">
        <v>-25.6</v>
      </c>
      <c r="S10" s="48">
        <v>-33.9</v>
      </c>
      <c r="T10" s="47">
        <v>-21.2</v>
      </c>
      <c r="U10" s="47">
        <v>-21</v>
      </c>
      <c r="V10" s="49">
        <v>-14.1</v>
      </c>
      <c r="W10" s="48">
        <v>-19.2</v>
      </c>
      <c r="X10" s="47">
        <v>-25.2</v>
      </c>
      <c r="Y10" s="47">
        <v>-21.5</v>
      </c>
      <c r="Z10" s="49">
        <v>-24.2</v>
      </c>
      <c r="AA10" s="48">
        <v>-37.98092087615715</v>
      </c>
      <c r="AB10" s="47">
        <v>-40.428718098421875</v>
      </c>
      <c r="AC10" s="47">
        <v>-33.010278386543447</v>
      </c>
      <c r="AD10" s="49">
        <v>-17.01505583014783</v>
      </c>
      <c r="AE10" s="48">
        <v>-36.700000000000003</v>
      </c>
      <c r="AF10" s="47">
        <v>-10.6</v>
      </c>
      <c r="AG10" s="47">
        <v>-13.2</v>
      </c>
      <c r="AH10" s="49">
        <v>-18.2</v>
      </c>
      <c r="AI10" s="48">
        <v>-33.799999999999997</v>
      </c>
      <c r="AJ10" s="47">
        <v>-23.6</v>
      </c>
      <c r="AK10" s="47">
        <v>-7.8</v>
      </c>
      <c r="AL10" s="47">
        <v>-4.5999999999999996</v>
      </c>
      <c r="AM10" s="48">
        <v>-16.399999999999999</v>
      </c>
      <c r="AN10" s="47">
        <v>-20.6</v>
      </c>
      <c r="AO10" s="47">
        <v>-25.4</v>
      </c>
      <c r="AP10" s="47">
        <v>-75.099999999999994</v>
      </c>
      <c r="AQ10" s="48">
        <v>-42.8</v>
      </c>
      <c r="AR10" s="47">
        <v>-43.8</v>
      </c>
      <c r="AS10" s="47">
        <v>-39.799999999999997</v>
      </c>
      <c r="AT10" s="47">
        <v>-33.9</v>
      </c>
      <c r="AU10" s="48">
        <v>-37.5</v>
      </c>
      <c r="AV10" s="47">
        <v>-103.3</v>
      </c>
      <c r="AW10" s="47">
        <v>-41.7</v>
      </c>
      <c r="AX10" s="800">
        <v>-88.5</v>
      </c>
      <c r="AY10" s="801">
        <v>-29.3</v>
      </c>
      <c r="AZ10" s="47">
        <v>-32.4</v>
      </c>
      <c r="BA10" s="47">
        <v>-60.8</v>
      </c>
      <c r="BB10" s="47">
        <v>-71.099999999999994</v>
      </c>
      <c r="BC10" s="48">
        <v>-109.5</v>
      </c>
      <c r="BD10" s="47">
        <v>-70.8</v>
      </c>
      <c r="BE10" s="47">
        <v>-82.4</v>
      </c>
      <c r="BF10" s="47">
        <v>-323.60000000000002</v>
      </c>
      <c r="BG10" s="48">
        <v>-67.900000000000006</v>
      </c>
      <c r="BH10" s="47">
        <v>27.2</v>
      </c>
      <c r="BI10" s="47">
        <v>-31.9</v>
      </c>
      <c r="BJ10" s="47">
        <v>-61.8</v>
      </c>
      <c r="BK10" s="48">
        <v>-61.6</v>
      </c>
      <c r="BL10" s="47">
        <v>-111.5</v>
      </c>
      <c r="BM10" s="47">
        <v>-18.7</v>
      </c>
      <c r="BN10" s="47">
        <v>-394.7</v>
      </c>
      <c r="BO10" s="48">
        <v>-19.600000000000001</v>
      </c>
      <c r="BP10" s="47">
        <v>-60.7</v>
      </c>
      <c r="BQ10" s="47">
        <v>-45.8</v>
      </c>
      <c r="BR10" s="47">
        <v>15.5</v>
      </c>
      <c r="BS10" s="48">
        <v>-34.099999999999994</v>
      </c>
      <c r="BT10" s="610"/>
    </row>
    <row r="11" spans="1:74" s="164" customFormat="1" ht="21.6">
      <c r="A11" s="163" t="s">
        <v>590</v>
      </c>
      <c r="B11" s="163" t="s">
        <v>591</v>
      </c>
      <c r="C11" s="183"/>
      <c r="D11" s="184"/>
      <c r="E11" s="184"/>
      <c r="F11" s="47"/>
      <c r="G11" s="48"/>
      <c r="H11" s="47"/>
      <c r="I11" s="47">
        <v>-2.2999999999999998</v>
      </c>
      <c r="J11" s="49">
        <v>-96.4</v>
      </c>
      <c r="K11" s="48">
        <v>-78.900000000000006</v>
      </c>
      <c r="L11" s="47">
        <v>-67</v>
      </c>
      <c r="M11" s="47">
        <v>-32.700000000000003</v>
      </c>
      <c r="N11" s="49">
        <v>-62</v>
      </c>
      <c r="O11" s="48">
        <v>-26.9</v>
      </c>
      <c r="P11" s="47">
        <v>-26.2</v>
      </c>
      <c r="Q11" s="47">
        <v>-33.799999999999997</v>
      </c>
      <c r="R11" s="49">
        <v>-35.6</v>
      </c>
      <c r="S11" s="48">
        <v>-23.2</v>
      </c>
      <c r="T11" s="47">
        <v>-16.5</v>
      </c>
      <c r="U11" s="47">
        <v>-6.1</v>
      </c>
      <c r="V11" s="49">
        <v>-36.4</v>
      </c>
      <c r="W11" s="48">
        <v>-45.1</v>
      </c>
      <c r="X11" s="47">
        <v>-106</v>
      </c>
      <c r="Y11" s="47">
        <v>-61.1</v>
      </c>
      <c r="Z11" s="49">
        <v>-60.5</v>
      </c>
      <c r="AA11" s="48">
        <v>-20.01907912384285</v>
      </c>
      <c r="AB11" s="47">
        <v>-28.671281901578119</v>
      </c>
      <c r="AC11" s="47">
        <v>-30.68972161345657</v>
      </c>
      <c r="AD11" s="49">
        <v>-59.384944169852147</v>
      </c>
      <c r="AE11" s="48">
        <v>-47.4</v>
      </c>
      <c r="AF11" s="47">
        <v>-22.7</v>
      </c>
      <c r="AG11" s="47">
        <v>-52</v>
      </c>
      <c r="AH11" s="49">
        <v>-66.900000000000006</v>
      </c>
      <c r="AI11" s="48">
        <v>-50.5</v>
      </c>
      <c r="AJ11" s="47">
        <v>-40.700000000000003</v>
      </c>
      <c r="AK11" s="47">
        <v>-24.2</v>
      </c>
      <c r="AL11" s="47">
        <v>-46.9</v>
      </c>
      <c r="AM11" s="48">
        <v>-62.5</v>
      </c>
      <c r="AN11" s="47">
        <v>-12.9</v>
      </c>
      <c r="AO11" s="47">
        <v>-24.3</v>
      </c>
      <c r="AP11" s="47">
        <v>-63.4</v>
      </c>
      <c r="AQ11" s="48">
        <v>-33.6</v>
      </c>
      <c r="AR11" s="47">
        <v>-79.3</v>
      </c>
      <c r="AS11" s="47">
        <v>-69.3</v>
      </c>
      <c r="AT11" s="47">
        <v>-78.7</v>
      </c>
      <c r="AU11" s="48">
        <v>-57.3</v>
      </c>
      <c r="AV11" s="47">
        <v>-70.400000000000006</v>
      </c>
      <c r="AW11" s="47">
        <v>-92.2</v>
      </c>
      <c r="AX11" s="800">
        <v>-10</v>
      </c>
      <c r="AY11" s="801">
        <v>-95.7</v>
      </c>
      <c r="AZ11" s="47">
        <v>-103.5</v>
      </c>
      <c r="BA11" s="47">
        <v>-119.4</v>
      </c>
      <c r="BB11" s="47">
        <v>-93.3</v>
      </c>
      <c r="BC11" s="48">
        <v>-185.2</v>
      </c>
      <c r="BD11" s="47">
        <v>-241.6</v>
      </c>
      <c r="BE11" s="47">
        <v>-62.9</v>
      </c>
      <c r="BF11" s="47">
        <v>1.1000000000000001</v>
      </c>
      <c r="BG11" s="48">
        <v>-60.9</v>
      </c>
      <c r="BH11" s="47">
        <v>-46.3</v>
      </c>
      <c r="BI11" s="47">
        <v>-48.5</v>
      </c>
      <c r="BJ11" s="47">
        <v>-82.3</v>
      </c>
      <c r="BK11" s="48">
        <v>-90</v>
      </c>
      <c r="BL11" s="47">
        <v>-71.7</v>
      </c>
      <c r="BM11" s="47">
        <v>-187.3</v>
      </c>
      <c r="BN11" s="47">
        <v>-94.6</v>
      </c>
      <c r="BO11" s="48">
        <v>-68.599999999999994</v>
      </c>
      <c r="BP11" s="47">
        <v>-136.1</v>
      </c>
      <c r="BQ11" s="47">
        <v>-105.4</v>
      </c>
      <c r="BR11" s="47">
        <v>-192.5</v>
      </c>
      <c r="BS11" s="48">
        <v>-162.9</v>
      </c>
      <c r="BT11" s="615"/>
    </row>
    <row r="12" spans="1:74" s="164" customFormat="1" ht="21.6">
      <c r="A12" s="177" t="s">
        <v>592</v>
      </c>
      <c r="B12" s="177" t="s">
        <v>593</v>
      </c>
      <c r="C12" s="180"/>
      <c r="D12" s="181"/>
      <c r="E12" s="181"/>
      <c r="F12" s="38"/>
      <c r="G12" s="39"/>
      <c r="H12" s="38"/>
      <c r="I12" s="38">
        <f t="shared" ref="I12:AW12" si="2">+I10+I11</f>
        <v>-7.2</v>
      </c>
      <c r="J12" s="40">
        <f t="shared" si="2"/>
        <v>-116.5</v>
      </c>
      <c r="K12" s="39">
        <f t="shared" si="2"/>
        <v>-91.7</v>
      </c>
      <c r="L12" s="38">
        <f t="shared" si="2"/>
        <v>-73.8</v>
      </c>
      <c r="M12" s="38">
        <f t="shared" si="2"/>
        <v>-54.1</v>
      </c>
      <c r="N12" s="40">
        <f t="shared" si="2"/>
        <v>-84.8</v>
      </c>
      <c r="O12" s="39">
        <f t="shared" si="2"/>
        <v>-48.099999999999994</v>
      </c>
      <c r="P12" s="38">
        <f t="shared" si="2"/>
        <v>-39.200000000000003</v>
      </c>
      <c r="Q12" s="38">
        <f t="shared" si="2"/>
        <v>-55.099999999999994</v>
      </c>
      <c r="R12" s="40">
        <f t="shared" si="2"/>
        <v>-61.2</v>
      </c>
      <c r="S12" s="39">
        <f t="shared" si="2"/>
        <v>-57.099999999999994</v>
      </c>
      <c r="T12" s="38">
        <f t="shared" si="2"/>
        <v>-37.700000000000003</v>
      </c>
      <c r="U12" s="38">
        <f t="shared" si="2"/>
        <v>-27.1</v>
      </c>
      <c r="V12" s="40">
        <f t="shared" si="2"/>
        <v>-50.5</v>
      </c>
      <c r="W12" s="39">
        <f t="shared" si="2"/>
        <v>-64.3</v>
      </c>
      <c r="X12" s="38">
        <f t="shared" si="2"/>
        <v>-131.19999999999999</v>
      </c>
      <c r="Y12" s="38">
        <f t="shared" si="2"/>
        <v>-82.6</v>
      </c>
      <c r="Z12" s="40">
        <f t="shared" si="2"/>
        <v>-84.7</v>
      </c>
      <c r="AA12" s="39">
        <f t="shared" si="2"/>
        <v>-58</v>
      </c>
      <c r="AB12" s="38">
        <f t="shared" si="2"/>
        <v>-69.099999999999994</v>
      </c>
      <c r="AC12" s="38">
        <f t="shared" si="2"/>
        <v>-63.700000000000017</v>
      </c>
      <c r="AD12" s="40">
        <f t="shared" si="2"/>
        <v>-76.399999999999977</v>
      </c>
      <c r="AE12" s="39">
        <f t="shared" si="2"/>
        <v>-84.1</v>
      </c>
      <c r="AF12" s="38">
        <f t="shared" si="2"/>
        <v>-33.299999999999997</v>
      </c>
      <c r="AG12" s="38">
        <f t="shared" si="2"/>
        <v>-65.2</v>
      </c>
      <c r="AH12" s="40">
        <f t="shared" si="2"/>
        <v>-85.100000000000009</v>
      </c>
      <c r="AI12" s="39">
        <f t="shared" si="2"/>
        <v>-84.3</v>
      </c>
      <c r="AJ12" s="38">
        <f t="shared" si="2"/>
        <v>-64.300000000000011</v>
      </c>
      <c r="AK12" s="38">
        <f t="shared" si="2"/>
        <v>-32</v>
      </c>
      <c r="AL12" s="38">
        <f t="shared" si="2"/>
        <v>-51.5</v>
      </c>
      <c r="AM12" s="39">
        <f t="shared" si="2"/>
        <v>-78.900000000000006</v>
      </c>
      <c r="AN12" s="38">
        <f t="shared" si="2"/>
        <v>-33.5</v>
      </c>
      <c r="AO12" s="38">
        <f t="shared" si="2"/>
        <v>-49.7</v>
      </c>
      <c r="AP12" s="38">
        <f t="shared" si="2"/>
        <v>-138.5</v>
      </c>
      <c r="AQ12" s="39">
        <f t="shared" si="2"/>
        <v>-76.400000000000006</v>
      </c>
      <c r="AR12" s="38">
        <f t="shared" si="2"/>
        <v>-123.1</v>
      </c>
      <c r="AS12" s="38">
        <f t="shared" si="2"/>
        <v>-109.1</v>
      </c>
      <c r="AT12" s="38">
        <f t="shared" si="2"/>
        <v>-112.6</v>
      </c>
      <c r="AU12" s="39">
        <f t="shared" si="2"/>
        <v>-94.8</v>
      </c>
      <c r="AV12" s="38">
        <f t="shared" si="2"/>
        <v>-173.7</v>
      </c>
      <c r="AW12" s="38">
        <f t="shared" si="2"/>
        <v>-133.9</v>
      </c>
      <c r="AX12" s="802">
        <f>+AX10+AX11</f>
        <v>-98.5</v>
      </c>
      <c r="AY12" s="803">
        <f t="shared" ref="AY12:BP12" si="3">+AY10+AY11</f>
        <v>-125</v>
      </c>
      <c r="AZ12" s="38">
        <f t="shared" si="3"/>
        <v>-135.9</v>
      </c>
      <c r="BA12" s="38">
        <f t="shared" si="3"/>
        <v>-180.2</v>
      </c>
      <c r="BB12" s="38">
        <f t="shared" si="3"/>
        <v>-164.39999999999998</v>
      </c>
      <c r="BC12" s="39">
        <f t="shared" si="3"/>
        <v>-294.7</v>
      </c>
      <c r="BD12" s="38">
        <f t="shared" si="3"/>
        <v>-312.39999999999998</v>
      </c>
      <c r="BE12" s="38">
        <f t="shared" si="3"/>
        <v>-145.30000000000001</v>
      </c>
      <c r="BF12" s="38">
        <f t="shared" si="3"/>
        <v>-322.5</v>
      </c>
      <c r="BG12" s="39">
        <f t="shared" si="3"/>
        <v>-128.80000000000001</v>
      </c>
      <c r="BH12" s="38">
        <f t="shared" si="3"/>
        <v>-19.099999999999998</v>
      </c>
      <c r="BI12" s="38">
        <f t="shared" si="3"/>
        <v>-80.400000000000006</v>
      </c>
      <c r="BJ12" s="38">
        <f t="shared" si="3"/>
        <v>-144.1</v>
      </c>
      <c r="BK12" s="39">
        <f t="shared" si="3"/>
        <v>-151.6</v>
      </c>
      <c r="BL12" s="38">
        <f t="shared" si="3"/>
        <v>-183.2</v>
      </c>
      <c r="BM12" s="38">
        <f t="shared" si="3"/>
        <v>-206</v>
      </c>
      <c r="BN12" s="38">
        <f t="shared" si="3"/>
        <v>-489.29999999999995</v>
      </c>
      <c r="BO12" s="39">
        <f t="shared" si="3"/>
        <v>-88.199999999999989</v>
      </c>
      <c r="BP12" s="38">
        <f t="shared" si="3"/>
        <v>-196.8</v>
      </c>
      <c r="BQ12" s="38">
        <f>+BQ10+BQ11</f>
        <v>-151.19999999999999</v>
      </c>
      <c r="BR12" s="38">
        <f>+BR10+BR11</f>
        <v>-177</v>
      </c>
      <c r="BS12" s="39">
        <f>+BS10+BS11</f>
        <v>-197</v>
      </c>
      <c r="BT12" s="615"/>
    </row>
    <row r="13" spans="1:74" s="164" customFormat="1" ht="10.8">
      <c r="A13" s="177"/>
      <c r="B13" s="159"/>
      <c r="C13" s="183"/>
      <c r="D13" s="184"/>
      <c r="E13" s="184"/>
      <c r="F13" s="47"/>
      <c r="G13" s="48"/>
      <c r="H13" s="47"/>
      <c r="I13" s="47"/>
      <c r="J13" s="49"/>
      <c r="K13" s="48"/>
      <c r="L13" s="47"/>
      <c r="M13" s="47"/>
      <c r="N13" s="49"/>
      <c r="O13" s="48"/>
      <c r="P13" s="47"/>
      <c r="Q13" s="47"/>
      <c r="R13" s="49"/>
      <c r="S13" s="48"/>
      <c r="T13" s="47"/>
      <c r="U13" s="47"/>
      <c r="V13" s="49"/>
      <c r="W13" s="48"/>
      <c r="X13" s="47"/>
      <c r="Y13" s="47"/>
      <c r="Z13" s="49"/>
      <c r="AA13" s="48"/>
      <c r="AB13" s="47"/>
      <c r="AC13" s="47"/>
      <c r="AD13" s="49"/>
      <c r="AE13" s="48"/>
      <c r="AF13" s="47"/>
      <c r="AG13" s="47"/>
      <c r="AH13" s="49"/>
      <c r="AI13" s="48"/>
      <c r="AJ13" s="47"/>
      <c r="AK13" s="47"/>
      <c r="AL13" s="47"/>
      <c r="AM13" s="48"/>
      <c r="AN13" s="47"/>
      <c r="AO13" s="47"/>
      <c r="AP13" s="47"/>
      <c r="AQ13" s="48"/>
      <c r="AR13" s="47"/>
      <c r="AS13" s="47"/>
      <c r="AT13" s="47"/>
      <c r="AU13" s="48"/>
      <c r="AV13" s="47"/>
      <c r="AW13" s="47"/>
      <c r="AX13" s="800"/>
      <c r="AY13" s="804"/>
      <c r="AZ13" s="805"/>
      <c r="BA13" s="805"/>
      <c r="BB13" s="805"/>
      <c r="BC13" s="806"/>
      <c r="BD13" s="805"/>
      <c r="BE13" s="805"/>
      <c r="BF13" s="805"/>
      <c r="BG13" s="806"/>
      <c r="BH13" s="805"/>
      <c r="BI13" s="805"/>
      <c r="BJ13" s="805"/>
      <c r="BK13" s="806"/>
      <c r="BL13" s="805"/>
      <c r="BM13" s="805"/>
      <c r="BN13" s="805"/>
      <c r="BO13" s="806"/>
      <c r="BP13" s="805"/>
      <c r="BQ13" s="805"/>
      <c r="BR13" s="805"/>
      <c r="BS13" s="806"/>
      <c r="BT13" s="615"/>
    </row>
    <row r="14" spans="1:74" s="164" customFormat="1" ht="10.8">
      <c r="A14" s="163" t="s">
        <v>594</v>
      </c>
      <c r="B14" s="159" t="s">
        <v>595</v>
      </c>
      <c r="C14" s="184"/>
      <c r="D14" s="184"/>
      <c r="E14" s="184"/>
      <c r="F14" s="47"/>
      <c r="G14" s="48"/>
      <c r="H14" s="47"/>
      <c r="I14" s="47"/>
      <c r="J14" s="47"/>
      <c r="K14" s="48"/>
      <c r="L14" s="47"/>
      <c r="M14" s="47"/>
      <c r="N14" s="47"/>
      <c r="O14" s="48"/>
      <c r="P14" s="47"/>
      <c r="Q14" s="47"/>
      <c r="R14" s="47"/>
      <c r="S14" s="48"/>
      <c r="T14" s="47"/>
      <c r="U14" s="47"/>
      <c r="V14" s="47"/>
      <c r="W14" s="48"/>
      <c r="X14" s="47"/>
      <c r="Y14" s="47"/>
      <c r="Z14" s="47"/>
      <c r="AA14" s="48"/>
      <c r="AB14" s="47"/>
      <c r="AC14" s="47"/>
      <c r="AD14" s="47"/>
      <c r="AE14" s="48"/>
      <c r="AF14" s="47"/>
      <c r="AG14" s="47"/>
      <c r="AH14" s="47"/>
      <c r="AI14" s="48"/>
      <c r="AJ14" s="47"/>
      <c r="AK14" s="47"/>
      <c r="AL14" s="47"/>
      <c r="AM14" s="48"/>
      <c r="AN14" s="47"/>
      <c r="AO14" s="47"/>
      <c r="AP14" s="47"/>
      <c r="AQ14" s="48">
        <v>0</v>
      </c>
      <c r="AR14" s="47">
        <v>0</v>
      </c>
      <c r="AS14" s="47">
        <v>11</v>
      </c>
      <c r="AT14" s="47">
        <v>0</v>
      </c>
      <c r="AU14" s="48">
        <v>0</v>
      </c>
      <c r="AV14" s="47">
        <v>0</v>
      </c>
      <c r="AW14" s="47">
        <v>22.8</v>
      </c>
      <c r="AX14" s="47">
        <v>0</v>
      </c>
      <c r="AY14" s="807">
        <v>0</v>
      </c>
      <c r="AZ14" s="47">
        <v>0</v>
      </c>
      <c r="BA14" s="47">
        <v>0</v>
      </c>
      <c r="BB14" s="47">
        <v>23.2</v>
      </c>
      <c r="BC14" s="48">
        <v>0</v>
      </c>
      <c r="BD14" s="47">
        <v>0</v>
      </c>
      <c r="BE14" s="47">
        <v>0</v>
      </c>
      <c r="BF14" s="47">
        <v>0</v>
      </c>
      <c r="BG14" s="48">
        <v>0</v>
      </c>
      <c r="BH14" s="47">
        <v>50.6</v>
      </c>
      <c r="BI14" s="47">
        <v>0</v>
      </c>
      <c r="BJ14" s="47">
        <v>0</v>
      </c>
      <c r="BK14" s="48">
        <v>0</v>
      </c>
      <c r="BL14" s="47">
        <v>0</v>
      </c>
      <c r="BM14" s="47">
        <v>64.900000000000006</v>
      </c>
      <c r="BN14" s="47">
        <v>0</v>
      </c>
      <c r="BO14" s="48">
        <v>0</v>
      </c>
      <c r="BP14" s="47">
        <v>0</v>
      </c>
      <c r="BQ14" s="47">
        <v>0</v>
      </c>
      <c r="BR14" s="47">
        <v>22.1</v>
      </c>
      <c r="BS14" s="48">
        <v>0</v>
      </c>
      <c r="BT14" s="615"/>
    </row>
    <row r="15" spans="1:74" s="164" customFormat="1" ht="10.8">
      <c r="A15" s="163" t="s">
        <v>596</v>
      </c>
      <c r="B15" s="159" t="s">
        <v>597</v>
      </c>
      <c r="C15" s="184"/>
      <c r="D15" s="184"/>
      <c r="E15" s="184"/>
      <c r="F15" s="47"/>
      <c r="G15" s="48"/>
      <c r="H15" s="47"/>
      <c r="I15" s="47"/>
      <c r="J15" s="47"/>
      <c r="K15" s="48"/>
      <c r="L15" s="47"/>
      <c r="M15" s="47"/>
      <c r="N15" s="47"/>
      <c r="O15" s="48"/>
      <c r="P15" s="47"/>
      <c r="Q15" s="47"/>
      <c r="R15" s="47"/>
      <c r="S15" s="48"/>
      <c r="T15" s="47"/>
      <c r="U15" s="47"/>
      <c r="V15" s="47"/>
      <c r="W15" s="48"/>
      <c r="X15" s="47"/>
      <c r="Y15" s="47"/>
      <c r="Z15" s="47"/>
      <c r="AA15" s="48"/>
      <c r="AB15" s="47"/>
      <c r="AC15" s="47"/>
      <c r="AD15" s="47"/>
      <c r="AE15" s="48"/>
      <c r="AF15" s="47"/>
      <c r="AG15" s="47"/>
      <c r="AH15" s="47"/>
      <c r="AI15" s="48"/>
      <c r="AJ15" s="47"/>
      <c r="AK15" s="47"/>
      <c r="AL15" s="47"/>
      <c r="AM15" s="48"/>
      <c r="AN15" s="47"/>
      <c r="AO15" s="47"/>
      <c r="AP15" s="47"/>
      <c r="AQ15" s="48">
        <v>1.3</v>
      </c>
      <c r="AR15" s="47">
        <v>9.5</v>
      </c>
      <c r="AS15" s="47">
        <v>0</v>
      </c>
      <c r="AT15" s="47">
        <v>25.4</v>
      </c>
      <c r="AU15" s="48">
        <v>1.1000000000000001</v>
      </c>
      <c r="AV15" s="47">
        <v>0</v>
      </c>
      <c r="AW15" s="47">
        <v>2.8</v>
      </c>
      <c r="AX15" s="47">
        <v>0</v>
      </c>
      <c r="AY15" s="807">
        <v>9.8000000000000007</v>
      </c>
      <c r="AZ15" s="47">
        <v>0</v>
      </c>
      <c r="BA15" s="47">
        <v>0</v>
      </c>
      <c r="BB15" s="47">
        <v>1.3</v>
      </c>
      <c r="BC15" s="48">
        <v>4.0999999999999996</v>
      </c>
      <c r="BD15" s="47">
        <v>0</v>
      </c>
      <c r="BE15" s="47">
        <v>0</v>
      </c>
      <c r="BF15" s="47">
        <v>0</v>
      </c>
      <c r="BG15" s="48">
        <v>0</v>
      </c>
      <c r="BH15" s="47">
        <v>11</v>
      </c>
      <c r="BI15" s="47">
        <v>0</v>
      </c>
      <c r="BJ15" s="47">
        <v>0</v>
      </c>
      <c r="BK15" s="48">
        <v>9.1999999999999993</v>
      </c>
      <c r="BL15" s="47">
        <v>0</v>
      </c>
      <c r="BM15" s="47">
        <v>8.6</v>
      </c>
      <c r="BN15" s="47">
        <v>0</v>
      </c>
      <c r="BO15" s="48">
        <v>0</v>
      </c>
      <c r="BP15" s="47">
        <v>0</v>
      </c>
      <c r="BQ15" s="47">
        <v>0</v>
      </c>
      <c r="BR15" s="47">
        <v>2.2000000000000002</v>
      </c>
      <c r="BS15" s="48">
        <v>0</v>
      </c>
      <c r="BT15" s="615"/>
    </row>
    <row r="16" spans="1:74" s="164" customFormat="1" ht="10.8">
      <c r="A16" s="177" t="s">
        <v>598</v>
      </c>
      <c r="B16" s="155" t="s">
        <v>599</v>
      </c>
      <c r="C16" s="181"/>
      <c r="D16" s="181"/>
      <c r="E16" s="181"/>
      <c r="F16" s="38"/>
      <c r="G16" s="39"/>
      <c r="H16" s="38"/>
      <c r="I16" s="38"/>
      <c r="J16" s="38"/>
      <c r="K16" s="39"/>
      <c r="L16" s="38"/>
      <c r="M16" s="38"/>
      <c r="N16" s="38"/>
      <c r="O16" s="39"/>
      <c r="P16" s="38"/>
      <c r="Q16" s="38"/>
      <c r="R16" s="38"/>
      <c r="S16" s="39"/>
      <c r="T16" s="38"/>
      <c r="U16" s="38"/>
      <c r="V16" s="38"/>
      <c r="W16" s="39"/>
      <c r="X16" s="38"/>
      <c r="Y16" s="38"/>
      <c r="Z16" s="38"/>
      <c r="AA16" s="39"/>
      <c r="AB16" s="38"/>
      <c r="AC16" s="38"/>
      <c r="AD16" s="38"/>
      <c r="AE16" s="39"/>
      <c r="AF16" s="38"/>
      <c r="AG16" s="38"/>
      <c r="AH16" s="38"/>
      <c r="AI16" s="39"/>
      <c r="AJ16" s="38"/>
      <c r="AK16" s="38"/>
      <c r="AL16" s="38"/>
      <c r="AM16" s="39"/>
      <c r="AN16" s="38"/>
      <c r="AO16" s="38"/>
      <c r="AP16" s="38"/>
      <c r="AQ16" s="39">
        <f t="shared" ref="AQ16:BP16" si="4">+AQ14+AQ15</f>
        <v>1.3</v>
      </c>
      <c r="AR16" s="38">
        <f t="shared" si="4"/>
        <v>9.5</v>
      </c>
      <c r="AS16" s="38">
        <f t="shared" si="4"/>
        <v>11</v>
      </c>
      <c r="AT16" s="38">
        <f t="shared" si="4"/>
        <v>25.4</v>
      </c>
      <c r="AU16" s="39">
        <f t="shared" si="4"/>
        <v>1.1000000000000001</v>
      </c>
      <c r="AV16" s="38">
        <f t="shared" si="4"/>
        <v>0</v>
      </c>
      <c r="AW16" s="38">
        <f t="shared" si="4"/>
        <v>25.6</v>
      </c>
      <c r="AX16" s="802">
        <f t="shared" si="4"/>
        <v>0</v>
      </c>
      <c r="AY16" s="808">
        <f t="shared" si="4"/>
        <v>9.8000000000000007</v>
      </c>
      <c r="AZ16" s="809">
        <f t="shared" si="4"/>
        <v>0</v>
      </c>
      <c r="BA16" s="809">
        <f t="shared" si="4"/>
        <v>0</v>
      </c>
      <c r="BB16" s="809">
        <f t="shared" si="4"/>
        <v>24.5</v>
      </c>
      <c r="BC16" s="810">
        <f t="shared" si="4"/>
        <v>4.0999999999999996</v>
      </c>
      <c r="BD16" s="809">
        <f t="shared" si="4"/>
        <v>0</v>
      </c>
      <c r="BE16" s="809">
        <f t="shared" si="4"/>
        <v>0</v>
      </c>
      <c r="BF16" s="809">
        <f t="shared" si="4"/>
        <v>0</v>
      </c>
      <c r="BG16" s="810">
        <f t="shared" si="4"/>
        <v>0</v>
      </c>
      <c r="BH16" s="809">
        <f t="shared" si="4"/>
        <v>61.6</v>
      </c>
      <c r="BI16" s="809">
        <f t="shared" si="4"/>
        <v>0</v>
      </c>
      <c r="BJ16" s="809">
        <f t="shared" si="4"/>
        <v>0</v>
      </c>
      <c r="BK16" s="810">
        <f t="shared" si="4"/>
        <v>9.1999999999999993</v>
      </c>
      <c r="BL16" s="809">
        <f t="shared" si="4"/>
        <v>0</v>
      </c>
      <c r="BM16" s="809">
        <f t="shared" si="4"/>
        <v>73.5</v>
      </c>
      <c r="BN16" s="809">
        <f t="shared" si="4"/>
        <v>0</v>
      </c>
      <c r="BO16" s="810">
        <f t="shared" si="4"/>
        <v>0</v>
      </c>
      <c r="BP16" s="809">
        <f t="shared" si="4"/>
        <v>0</v>
      </c>
      <c r="BQ16" s="809">
        <f>+BQ14+BQ15</f>
        <v>0</v>
      </c>
      <c r="BR16" s="809">
        <f>+BR14+BR15</f>
        <v>24.3</v>
      </c>
      <c r="BS16" s="810">
        <f>+BS14+BS15</f>
        <v>0</v>
      </c>
      <c r="BT16" s="615"/>
    </row>
    <row r="17" spans="1:72" s="164" customFormat="1" ht="10.8">
      <c r="A17" s="177"/>
      <c r="B17" s="159"/>
      <c r="C17" s="184"/>
      <c r="D17" s="184"/>
      <c r="E17" s="184"/>
      <c r="F17" s="47"/>
      <c r="G17" s="48"/>
      <c r="H17" s="47"/>
      <c r="I17" s="47"/>
      <c r="J17" s="47"/>
      <c r="K17" s="48"/>
      <c r="L17" s="47"/>
      <c r="M17" s="47"/>
      <c r="N17" s="47"/>
      <c r="O17" s="48"/>
      <c r="P17" s="47"/>
      <c r="Q17" s="47"/>
      <c r="R17" s="47"/>
      <c r="S17" s="48"/>
      <c r="T17" s="47"/>
      <c r="U17" s="47"/>
      <c r="V17" s="47"/>
      <c r="W17" s="48"/>
      <c r="X17" s="47"/>
      <c r="Y17" s="47"/>
      <c r="Z17" s="47"/>
      <c r="AA17" s="48"/>
      <c r="AB17" s="47"/>
      <c r="AC17" s="47"/>
      <c r="AD17" s="47"/>
      <c r="AE17" s="48"/>
      <c r="AF17" s="47"/>
      <c r="AG17" s="47"/>
      <c r="AH17" s="47"/>
      <c r="AI17" s="48"/>
      <c r="AJ17" s="47"/>
      <c r="AK17" s="47"/>
      <c r="AL17" s="47"/>
      <c r="AM17" s="48"/>
      <c r="AN17" s="47"/>
      <c r="AO17" s="47"/>
      <c r="AP17" s="47"/>
      <c r="AQ17" s="48"/>
      <c r="AR17" s="47"/>
      <c r="AS17" s="47"/>
      <c r="AT17" s="47"/>
      <c r="AU17" s="48"/>
      <c r="AV17" s="47"/>
      <c r="AW17" s="47"/>
      <c r="AX17" s="800"/>
      <c r="AY17" s="801"/>
      <c r="AZ17" s="47"/>
      <c r="BA17" s="47"/>
      <c r="BB17" s="47"/>
      <c r="BC17" s="48"/>
      <c r="BD17" s="47"/>
      <c r="BE17" s="47"/>
      <c r="BF17" s="47"/>
      <c r="BG17" s="48"/>
      <c r="BH17" s="47"/>
      <c r="BI17" s="47"/>
      <c r="BJ17" s="47"/>
      <c r="BK17" s="48"/>
      <c r="BL17" s="47"/>
      <c r="BM17" s="47"/>
      <c r="BN17" s="47"/>
      <c r="BO17" s="48"/>
      <c r="BP17" s="47"/>
      <c r="BQ17" s="47"/>
      <c r="BR17" s="47"/>
      <c r="BS17" s="48"/>
      <c r="BT17" s="615"/>
    </row>
    <row r="18" spans="1:72" s="150" customFormat="1" ht="10.8">
      <c r="A18" s="437" t="s">
        <v>600</v>
      </c>
      <c r="B18" s="437" t="s">
        <v>601</v>
      </c>
      <c r="C18" s="138"/>
      <c r="D18" s="138"/>
      <c r="E18" s="138"/>
      <c r="F18" s="138"/>
      <c r="G18" s="137"/>
      <c r="H18" s="138"/>
      <c r="I18" s="138">
        <f t="shared" ref="I18:AW18" si="5">-I10*4/AVERAGE(H6:I6)</f>
        <v>3.2227831034085863E-3</v>
      </c>
      <c r="J18" s="138">
        <f t="shared" si="5"/>
        <v>1.1702630908627779E-2</v>
      </c>
      <c r="K18" s="137">
        <f t="shared" si="5"/>
        <v>6.6745318376472277E-3</v>
      </c>
      <c r="L18" s="138">
        <f t="shared" si="5"/>
        <v>3.2612344731667545E-3</v>
      </c>
      <c r="M18" s="138">
        <f t="shared" si="5"/>
        <v>9.6017947279865394E-3</v>
      </c>
      <c r="N18" s="138">
        <f t="shared" si="5"/>
        <v>9.6268538554916353E-3</v>
      </c>
      <c r="O18" s="137">
        <f t="shared" si="5"/>
        <v>8.4895507445876608E-3</v>
      </c>
      <c r="P18" s="138">
        <f t="shared" si="5"/>
        <v>4.8769507803121245E-3</v>
      </c>
      <c r="Q18" s="138">
        <f t="shared" si="5"/>
        <v>7.5005282062117051E-3</v>
      </c>
      <c r="R18" s="138">
        <f t="shared" si="5"/>
        <v>8.4596288172629312E-3</v>
      </c>
      <c r="S18" s="137">
        <f t="shared" si="5"/>
        <v>1.0564450157765571E-2</v>
      </c>
      <c r="T18" s="138">
        <f t="shared" si="5"/>
        <v>6.3094064470526961E-3</v>
      </c>
      <c r="U18" s="138">
        <f t="shared" si="5"/>
        <v>5.9269921573193059E-3</v>
      </c>
      <c r="V18" s="138">
        <f t="shared" si="5"/>
        <v>3.8173234741704595E-3</v>
      </c>
      <c r="W18" s="137">
        <f t="shared" si="5"/>
        <v>5.0714158362883573E-3</v>
      </c>
      <c r="X18" s="138">
        <f t="shared" si="5"/>
        <v>6.4794608162963589E-3</v>
      </c>
      <c r="Y18" s="138">
        <f t="shared" si="5"/>
        <v>5.3420628437788262E-3</v>
      </c>
      <c r="Z18" s="138">
        <f t="shared" si="5"/>
        <v>5.8677157431177088E-3</v>
      </c>
      <c r="AA18" s="137">
        <f t="shared" si="5"/>
        <v>9.0452300252815317E-3</v>
      </c>
      <c r="AB18" s="138">
        <f t="shared" si="5"/>
        <v>9.3286995473768689E-3</v>
      </c>
      <c r="AC18" s="138">
        <f t="shared" si="5"/>
        <v>7.3413477490026262E-3</v>
      </c>
      <c r="AD18" s="138">
        <f t="shared" si="5"/>
        <v>3.7022451285441465E-3</v>
      </c>
      <c r="AE18" s="137">
        <f t="shared" si="5"/>
        <v>7.8180544867271495E-3</v>
      </c>
      <c r="AF18" s="138">
        <f t="shared" si="5"/>
        <v>2.1776142284491945E-3</v>
      </c>
      <c r="AG18" s="138">
        <f t="shared" si="5"/>
        <v>2.5809983770995054E-3</v>
      </c>
      <c r="AH18" s="138">
        <f t="shared" si="5"/>
        <v>3.3867790010397598E-3</v>
      </c>
      <c r="AI18" s="137">
        <f t="shared" si="5"/>
        <v>5.9804617606532507E-3</v>
      </c>
      <c r="AJ18" s="138">
        <f t="shared" si="5"/>
        <v>3.9426972392766152E-3</v>
      </c>
      <c r="AK18" s="138">
        <f t="shared" si="5"/>
        <v>1.2431888591152242E-3</v>
      </c>
      <c r="AL18" s="138">
        <f t="shared" si="5"/>
        <v>7.0761746353751036E-4</v>
      </c>
      <c r="AM18" s="137">
        <f t="shared" si="5"/>
        <v>2.4200167851773972E-3</v>
      </c>
      <c r="AN18" s="138">
        <f t="shared" si="5"/>
        <v>2.8748765791759856E-3</v>
      </c>
      <c r="AO18" s="138">
        <f t="shared" si="5"/>
        <v>3.3785019536121037E-3</v>
      </c>
      <c r="AP18" s="138">
        <f t="shared" si="5"/>
        <v>9.6556866980380043E-3</v>
      </c>
      <c r="AQ18" s="137">
        <f t="shared" si="5"/>
        <v>5.31455853775137E-3</v>
      </c>
      <c r="AR18" s="138">
        <f t="shared" si="5"/>
        <v>5.2214730097232048E-3</v>
      </c>
      <c r="AS18" s="138">
        <f t="shared" si="5"/>
        <v>4.5410074076609524E-3</v>
      </c>
      <c r="AT18" s="138">
        <f t="shared" si="5"/>
        <v>3.6996465418808995E-3</v>
      </c>
      <c r="AU18" s="137">
        <f t="shared" si="5"/>
        <v>3.8994614843690088E-3</v>
      </c>
      <c r="AV18" s="138">
        <f t="shared" si="5"/>
        <v>1.0183886685775832E-2</v>
      </c>
      <c r="AW18" s="138">
        <f t="shared" si="5"/>
        <v>3.9126044270133909E-3</v>
      </c>
      <c r="AX18" s="811">
        <f>-AX10*4/AVERAGE(AW6:AX6)</f>
        <v>7.9637267991779816E-3</v>
      </c>
      <c r="AY18" s="812">
        <v>2.8855126093454172E-3</v>
      </c>
      <c r="AZ18" s="138">
        <f t="shared" ref="AZ18:BS18" si="6">-AZ10*4/AVERAGE(AY6:AZ6)</f>
        <v>3.0460754162205867E-3</v>
      </c>
      <c r="BA18" s="138">
        <f t="shared" si="6"/>
        <v>5.410696805197116E-3</v>
      </c>
      <c r="BB18" s="138">
        <f t="shared" si="6"/>
        <v>6.0155274215194709E-3</v>
      </c>
      <c r="BC18" s="137">
        <f t="shared" si="6"/>
        <v>8.8216900787204938E-3</v>
      </c>
      <c r="BD18" s="138">
        <f t="shared" si="6"/>
        <v>5.4700009464337795E-3</v>
      </c>
      <c r="BE18" s="138">
        <f t="shared" si="6"/>
        <v>6.1973525872442842E-3</v>
      </c>
      <c r="BF18" s="138">
        <f t="shared" si="6"/>
        <v>2.3622140646999194E-2</v>
      </c>
      <c r="BG18" s="137">
        <f t="shared" si="6"/>
        <v>4.7468617144455078E-3</v>
      </c>
      <c r="BH18" s="138">
        <f t="shared" si="6"/>
        <v>-1.8117405114670018E-3</v>
      </c>
      <c r="BI18" s="138">
        <f t="shared" si="6"/>
        <v>2.0252618079429625E-3</v>
      </c>
      <c r="BJ18" s="138">
        <f t="shared" si="6"/>
        <v>3.7743425628121901E-3</v>
      </c>
      <c r="BK18" s="137">
        <f t="shared" si="6"/>
        <v>3.6955491430045533E-3</v>
      </c>
      <c r="BL18" s="138">
        <f t="shared" si="6"/>
        <v>6.7185420462479734E-3</v>
      </c>
      <c r="BM18" s="138">
        <f t="shared" si="6"/>
        <v>1.1498979619288462E-3</v>
      </c>
      <c r="BN18" s="138">
        <f t="shared" si="6"/>
        <v>2.4653745884340703E-2</v>
      </c>
      <c r="BO18" s="137">
        <f t="shared" si="6"/>
        <v>1.2323255980276502E-3</v>
      </c>
      <c r="BP18" s="138">
        <f t="shared" si="6"/>
        <v>3.8151266314066005E-3</v>
      </c>
      <c r="BQ18" s="138">
        <f t="shared" si="6"/>
        <v>2.8481922840729768E-3</v>
      </c>
      <c r="BR18" s="138">
        <f t="shared" si="6"/>
        <v>-9.5673106598358128E-4</v>
      </c>
      <c r="BS18" s="137">
        <f t="shared" si="6"/>
        <v>2.0830803933112349E-3</v>
      </c>
      <c r="BT18" s="610"/>
    </row>
    <row r="19" spans="1:72" s="164" customFormat="1" ht="10.8">
      <c r="A19" s="437" t="s">
        <v>600</v>
      </c>
      <c r="B19" s="437" t="s">
        <v>602</v>
      </c>
      <c r="C19" s="138"/>
      <c r="D19" s="138"/>
      <c r="E19" s="138"/>
      <c r="F19" s="138"/>
      <c r="G19" s="137"/>
      <c r="H19" s="138"/>
      <c r="I19" s="138"/>
      <c r="J19" s="138"/>
      <c r="K19" s="137"/>
      <c r="L19" s="138">
        <f t="shared" ref="L19:AW19" si="7">-SUM(I10:L10)/AVERAGE(H6:L6)</f>
        <v>6.1695776190963626E-3</v>
      </c>
      <c r="M19" s="138">
        <f t="shared" si="7"/>
        <v>7.7124067505648609E-3</v>
      </c>
      <c r="N19" s="138">
        <f t="shared" si="7"/>
        <v>7.4309261636154814E-3</v>
      </c>
      <c r="O19" s="137">
        <f t="shared" si="7"/>
        <v>7.8737581382160807E-3</v>
      </c>
      <c r="P19" s="138">
        <f t="shared" si="7"/>
        <v>8.0144587378045296E-3</v>
      </c>
      <c r="Q19" s="138">
        <f t="shared" si="7"/>
        <v>7.5453734237107811E-3</v>
      </c>
      <c r="R19" s="138">
        <f t="shared" si="7"/>
        <v>7.3339639396860588E-3</v>
      </c>
      <c r="S19" s="137">
        <f t="shared" si="7"/>
        <v>8.0020337791609289E-3</v>
      </c>
      <c r="T19" s="138">
        <f t="shared" si="7"/>
        <v>8.2001874787960855E-3</v>
      </c>
      <c r="U19" s="138">
        <f t="shared" si="7"/>
        <v>7.7479574951775237E-3</v>
      </c>
      <c r="V19" s="138">
        <f t="shared" si="7"/>
        <v>6.5338834737659491E-3</v>
      </c>
      <c r="W19" s="137">
        <f t="shared" si="7"/>
        <v>5.2643689381314624E-3</v>
      </c>
      <c r="X19" s="138">
        <f t="shared" si="7"/>
        <v>5.3378990834927987E-3</v>
      </c>
      <c r="Y19" s="138">
        <f t="shared" si="7"/>
        <v>5.1930988908839041E-3</v>
      </c>
      <c r="Z19" s="138">
        <f t="shared" si="7"/>
        <v>5.6941202047102579E-3</v>
      </c>
      <c r="AA19" s="137">
        <f t="shared" si="7"/>
        <v>6.7154234403892276E-3</v>
      </c>
      <c r="AB19" s="138">
        <f t="shared" si="7"/>
        <v>7.4317416095254852E-3</v>
      </c>
      <c r="AC19" s="138">
        <f t="shared" si="7"/>
        <v>7.8916694225916757E-3</v>
      </c>
      <c r="AD19" s="138">
        <f t="shared" si="7"/>
        <v>7.291691165789157E-3</v>
      </c>
      <c r="AE19" s="137">
        <f t="shared" si="7"/>
        <v>7.0261726850072469E-3</v>
      </c>
      <c r="AF19" s="138">
        <f t="shared" si="7"/>
        <v>5.2090704265343639E-3</v>
      </c>
      <c r="AG19" s="138">
        <f t="shared" si="7"/>
        <v>4.0067743114932195E-3</v>
      </c>
      <c r="AH19" s="138">
        <f t="shared" si="7"/>
        <v>3.9178437621654781E-3</v>
      </c>
      <c r="AI19" s="137">
        <f t="shared" si="7"/>
        <v>3.6034528494374718E-3</v>
      </c>
      <c r="AJ19" s="138">
        <f t="shared" si="7"/>
        <v>4.0083127350595557E-3</v>
      </c>
      <c r="AK19" s="138">
        <f t="shared" si="7"/>
        <v>3.5815911368932232E-3</v>
      </c>
      <c r="AL19" s="138">
        <f t="shared" si="7"/>
        <v>2.8639210772282166E-3</v>
      </c>
      <c r="AM19" s="137">
        <f t="shared" si="7"/>
        <v>2.0524470731086348E-3</v>
      </c>
      <c r="AN19" s="138">
        <f t="shared" si="7"/>
        <v>1.843679835666173E-3</v>
      </c>
      <c r="AO19" s="138">
        <f t="shared" si="7"/>
        <v>2.3943707272097003E-3</v>
      </c>
      <c r="AP19" s="138">
        <f t="shared" si="7"/>
        <v>4.708900884314463E-3</v>
      </c>
      <c r="AQ19" s="137">
        <f t="shared" si="7"/>
        <v>5.3796687253171984E-3</v>
      </c>
      <c r="AR19" s="138">
        <f t="shared" si="7"/>
        <v>5.887606195612018E-3</v>
      </c>
      <c r="AS19" s="138">
        <f t="shared" si="7"/>
        <v>6.1014309142396195E-3</v>
      </c>
      <c r="AT19" s="138">
        <f t="shared" si="7"/>
        <v>4.6584645142991321E-3</v>
      </c>
      <c r="AU19" s="137">
        <f t="shared" si="7"/>
        <v>4.3094699907971958E-3</v>
      </c>
      <c r="AV19" s="138">
        <f t="shared" si="7"/>
        <v>5.6814148603563852E-3</v>
      </c>
      <c r="AW19" s="138">
        <f t="shared" si="7"/>
        <v>5.4648700275112269E-3</v>
      </c>
      <c r="AX19" s="811">
        <f>-SUM(AU10:AX10)/AVERAGE(AT6:AX6)</f>
        <v>6.5282359453825147E-3</v>
      </c>
      <c r="AY19" s="812">
        <v>8.7664259003554842E-3</v>
      </c>
      <c r="AZ19" s="138">
        <v>6.016208461748382E-3</v>
      </c>
      <c r="BA19" s="138">
        <v>5.630159885074989E-3</v>
      </c>
      <c r="BB19" s="138">
        <v>4.4102297283198262E-3</v>
      </c>
      <c r="BC19" s="137">
        <f t="shared" ref="BC19:BS19" si="8">-SUM(AZ10:BC10)/AVERAGE(AY6:BC6)</f>
        <v>5.9369752563871265E-3</v>
      </c>
      <c r="BD19" s="138">
        <f t="shared" si="8"/>
        <v>6.4556711271866463E-3</v>
      </c>
      <c r="BE19" s="138">
        <f t="shared" si="8"/>
        <v>6.6266000221548394E-3</v>
      </c>
      <c r="BF19" s="138">
        <f t="shared" si="8"/>
        <v>1.1210367917276932E-2</v>
      </c>
      <c r="BG19" s="137">
        <f t="shared" si="8"/>
        <v>1.0022377851924936E-2</v>
      </c>
      <c r="BH19" s="138">
        <f t="shared" si="8"/>
        <v>7.9116894636203985E-3</v>
      </c>
      <c r="BI19" s="138">
        <f t="shared" si="8"/>
        <v>6.7334299330701836E-3</v>
      </c>
      <c r="BJ19" s="138">
        <f t="shared" si="8"/>
        <v>2.1894563990284286E-3</v>
      </c>
      <c r="BK19" s="137">
        <f t="shared" si="8"/>
        <v>2.0143967251350162E-3</v>
      </c>
      <c r="BL19" s="138">
        <f t="shared" si="8"/>
        <v>4.1013481875515154E-3</v>
      </c>
      <c r="BM19" s="138">
        <f t="shared" si="8"/>
        <v>3.8663935390978376E-3</v>
      </c>
      <c r="BN19" s="138">
        <f t="shared" si="8"/>
        <v>8.958892659482038E-3</v>
      </c>
      <c r="BO19" s="137">
        <f t="shared" si="8"/>
        <v>8.3975008297255196E-3</v>
      </c>
      <c r="BP19" s="138">
        <f t="shared" si="8"/>
        <v>7.6837692397721986E-3</v>
      </c>
      <c r="BQ19" s="138">
        <f t="shared" si="8"/>
        <v>8.1354737585670085E-3</v>
      </c>
      <c r="BR19" s="138">
        <f t="shared" si="8"/>
        <v>1.7239707691871246E-3</v>
      </c>
      <c r="BS19" s="137">
        <f t="shared" si="8"/>
        <v>1.9367621609621204E-3</v>
      </c>
      <c r="BT19" s="615"/>
    </row>
    <row r="20" spans="1:72" s="164" customFormat="1" ht="10.8">
      <c r="A20" s="437"/>
      <c r="B20" s="437"/>
      <c r="C20" s="138"/>
      <c r="D20" s="138"/>
      <c r="E20" s="138"/>
      <c r="F20" s="138"/>
      <c r="G20" s="137"/>
      <c r="H20" s="138"/>
      <c r="I20" s="138"/>
      <c r="J20" s="138"/>
      <c r="K20" s="137"/>
      <c r="L20" s="138"/>
      <c r="M20" s="138"/>
      <c r="N20" s="138"/>
      <c r="O20" s="137"/>
      <c r="P20" s="138"/>
      <c r="Q20" s="138"/>
      <c r="R20" s="138"/>
      <c r="S20" s="137"/>
      <c r="T20" s="138"/>
      <c r="U20" s="138"/>
      <c r="V20" s="138"/>
      <c r="W20" s="137"/>
      <c r="X20" s="138"/>
      <c r="Y20" s="138"/>
      <c r="Z20" s="138"/>
      <c r="AA20" s="137"/>
      <c r="AB20" s="138"/>
      <c r="AC20" s="138"/>
      <c r="AD20" s="138"/>
      <c r="AE20" s="137"/>
      <c r="AF20" s="138"/>
      <c r="AG20" s="138"/>
      <c r="AH20" s="138"/>
      <c r="AI20" s="137"/>
      <c r="AJ20" s="138"/>
      <c r="AK20" s="138"/>
      <c r="AL20" s="138"/>
      <c r="AM20" s="137"/>
      <c r="AN20" s="138"/>
      <c r="AO20" s="138"/>
      <c r="AP20" s="138"/>
      <c r="AQ20" s="137"/>
      <c r="AR20" s="138"/>
      <c r="AS20" s="138"/>
      <c r="AT20" s="138"/>
      <c r="AU20" s="137"/>
      <c r="AV20" s="138"/>
      <c r="AW20" s="138"/>
      <c r="AX20" s="811"/>
      <c r="AY20" s="812"/>
      <c r="AZ20" s="138"/>
      <c r="BA20" s="138"/>
      <c r="BB20" s="138"/>
      <c r="BC20" s="137"/>
      <c r="BD20" s="138"/>
      <c r="BE20" s="138"/>
      <c r="BF20" s="138"/>
      <c r="BG20" s="137"/>
      <c r="BH20" s="138"/>
      <c r="BI20" s="138"/>
      <c r="BJ20" s="138"/>
      <c r="BK20" s="137"/>
      <c r="BL20" s="138"/>
      <c r="BM20" s="138"/>
      <c r="BN20" s="138"/>
      <c r="BO20" s="137"/>
      <c r="BP20" s="138"/>
      <c r="BQ20" s="138"/>
      <c r="BR20" s="138"/>
      <c r="BS20" s="137"/>
      <c r="BT20" s="615"/>
    </row>
    <row r="21" spans="1:72" s="150" customFormat="1" ht="10.8">
      <c r="A21" s="165" t="s">
        <v>603</v>
      </c>
      <c r="B21" s="165" t="s">
        <v>604</v>
      </c>
      <c r="C21" s="138"/>
      <c r="D21" s="138"/>
      <c r="E21" s="138"/>
      <c r="F21" s="138"/>
      <c r="G21" s="137"/>
      <c r="H21" s="138"/>
      <c r="I21" s="138">
        <f t="shared" ref="I21:AW21" si="9">-I11*4/AVERAGE(H7:I7)</f>
        <v>6.1835021474227565E-4</v>
      </c>
      <c r="J21" s="138">
        <f t="shared" si="9"/>
        <v>2.3610668887310487E-2</v>
      </c>
      <c r="K21" s="137">
        <f t="shared" si="9"/>
        <v>1.8258288835021664E-2</v>
      </c>
      <c r="L21" s="138">
        <f t="shared" si="9"/>
        <v>1.5442057711809716E-2</v>
      </c>
      <c r="M21" s="138">
        <f t="shared" si="9"/>
        <v>7.6758986757901109E-3</v>
      </c>
      <c r="N21" s="138">
        <f t="shared" si="9"/>
        <v>1.4356670641766333E-2</v>
      </c>
      <c r="O21" s="137">
        <f t="shared" si="9"/>
        <v>6.1555535850664886E-3</v>
      </c>
      <c r="P21" s="138">
        <f t="shared" si="9"/>
        <v>5.9467741020257613E-3</v>
      </c>
      <c r="Q21" s="138">
        <f t="shared" si="9"/>
        <v>7.3192254180674422E-3</v>
      </c>
      <c r="R21" s="138">
        <f t="shared" si="9"/>
        <v>7.3711727100965402E-3</v>
      </c>
      <c r="S21" s="137">
        <f t="shared" si="9"/>
        <v>4.6992100465869961E-3</v>
      </c>
      <c r="T21" s="138">
        <f t="shared" si="9"/>
        <v>3.2303140501530733E-3</v>
      </c>
      <c r="U21" s="138">
        <f t="shared" si="9"/>
        <v>1.1262664728011263E-3</v>
      </c>
      <c r="V21" s="138">
        <f t="shared" si="9"/>
        <v>6.2174661263392529E-3</v>
      </c>
      <c r="W21" s="137">
        <f t="shared" si="9"/>
        <v>6.646452216650763E-3</v>
      </c>
      <c r="X21" s="138">
        <f t="shared" si="9"/>
        <v>1.4156975482388924E-2</v>
      </c>
      <c r="Y21" s="138">
        <f t="shared" si="9"/>
        <v>8.0853259934629291E-3</v>
      </c>
      <c r="Z21" s="138">
        <f t="shared" si="9"/>
        <v>8.0317553036136254E-3</v>
      </c>
      <c r="AA21" s="137">
        <f t="shared" si="9"/>
        <v>2.6876478138487159E-3</v>
      </c>
      <c r="AB21" s="138">
        <f t="shared" si="9"/>
        <v>3.8141476870633901E-3</v>
      </c>
      <c r="AC21" s="138">
        <f t="shared" si="9"/>
        <v>3.9644848707744568E-3</v>
      </c>
      <c r="AD21" s="138">
        <f t="shared" si="9"/>
        <v>7.5433639573135704E-3</v>
      </c>
      <c r="AE21" s="137">
        <f t="shared" si="9"/>
        <v>5.8541646082402926E-3</v>
      </c>
      <c r="AF21" s="138">
        <f t="shared" si="9"/>
        <v>2.6509555702182073E-3</v>
      </c>
      <c r="AG21" s="138">
        <f t="shared" si="9"/>
        <v>5.7829583446281736E-3</v>
      </c>
      <c r="AH21" s="138">
        <f t="shared" si="9"/>
        <v>7.2805826642688264E-3</v>
      </c>
      <c r="AI21" s="137">
        <f t="shared" si="9"/>
        <v>5.396762209840541E-3</v>
      </c>
      <c r="AJ21" s="138">
        <f t="shared" si="9"/>
        <v>4.1017475258500798E-3</v>
      </c>
      <c r="AK21" s="138">
        <f t="shared" si="9"/>
        <v>2.283107715276656E-3</v>
      </c>
      <c r="AL21" s="138">
        <f t="shared" si="9"/>
        <v>4.3082908188163916E-3</v>
      </c>
      <c r="AM21" s="137">
        <f t="shared" si="9"/>
        <v>5.6344757796424139E-3</v>
      </c>
      <c r="AN21" s="138">
        <f t="shared" si="9"/>
        <v>1.1291819120813711E-3</v>
      </c>
      <c r="AO21" s="138">
        <f t="shared" si="9"/>
        <v>2.0779420677447592E-3</v>
      </c>
      <c r="AP21" s="138">
        <f t="shared" si="9"/>
        <v>5.3325595234340346E-3</v>
      </c>
      <c r="AQ21" s="137">
        <f t="shared" si="9"/>
        <v>2.76682405037102E-3</v>
      </c>
      <c r="AR21" s="138">
        <f t="shared" si="9"/>
        <v>6.3566497329686075E-3</v>
      </c>
      <c r="AS21" s="138">
        <f t="shared" si="9"/>
        <v>5.4057269113349628E-3</v>
      </c>
      <c r="AT21" s="138">
        <f t="shared" si="9"/>
        <v>6.0751500695226434E-3</v>
      </c>
      <c r="AU21" s="137">
        <f t="shared" si="9"/>
        <v>4.4299656639005145E-3</v>
      </c>
      <c r="AV21" s="138">
        <f t="shared" si="9"/>
        <v>5.3071143790572517E-3</v>
      </c>
      <c r="AW21" s="138">
        <f t="shared" si="9"/>
        <v>6.6427589784416527E-3</v>
      </c>
      <c r="AX21" s="811">
        <f>-AX11*4/AVERAGE(AW7:AX7)</f>
        <v>6.9130895029056582E-4</v>
      </c>
      <c r="AY21" s="812">
        <v>5.8339384952309685E-3</v>
      </c>
      <c r="AZ21" s="138">
        <f t="shared" ref="AZ21:BS21" si="10">-AZ11*4/AVERAGE(AY7:AZ7)</f>
        <v>6.1595410398019423E-3</v>
      </c>
      <c r="BA21" s="138">
        <f t="shared" si="10"/>
        <v>6.9423902259983508E-3</v>
      </c>
      <c r="BB21" s="138">
        <f t="shared" si="10"/>
        <v>5.3342023566540307E-3</v>
      </c>
      <c r="BC21" s="137">
        <f t="shared" si="10"/>
        <v>1.0372045321693717E-2</v>
      </c>
      <c r="BD21" s="138">
        <f t="shared" si="10"/>
        <v>1.3632080528581664E-2</v>
      </c>
      <c r="BE21" s="138">
        <f t="shared" si="10"/>
        <v>3.6244332321344326E-3</v>
      </c>
      <c r="BF21" s="138">
        <f t="shared" si="10"/>
        <v>-6.27939004288538E-5</v>
      </c>
      <c r="BG21" s="137">
        <f t="shared" si="10"/>
        <v>3.4199337493129589E-3</v>
      </c>
      <c r="BH21" s="138">
        <f t="shared" si="10"/>
        <v>2.5471995246694619E-3</v>
      </c>
      <c r="BI21" s="138">
        <f t="shared" si="10"/>
        <v>2.590635520283741E-3</v>
      </c>
      <c r="BJ21" s="138">
        <f t="shared" si="10"/>
        <v>4.2051720294745245E-3</v>
      </c>
      <c r="BK21" s="137">
        <f t="shared" si="10"/>
        <v>4.4152926112531092E-3</v>
      </c>
      <c r="BL21" s="138">
        <f t="shared" si="10"/>
        <v>3.3541466632205186E-3</v>
      </c>
      <c r="BM21" s="138">
        <f t="shared" si="10"/>
        <v>8.3439368079318635E-3</v>
      </c>
      <c r="BN21" s="138">
        <f t="shared" si="10"/>
        <v>4.1085687110342861E-3</v>
      </c>
      <c r="BO21" s="137">
        <f t="shared" si="10"/>
        <v>2.9332691947940885E-3</v>
      </c>
      <c r="BP21" s="138">
        <f t="shared" si="10"/>
        <v>5.7672760055787059E-3</v>
      </c>
      <c r="BQ21" s="138">
        <f t="shared" si="10"/>
        <v>4.4443905645250989E-3</v>
      </c>
      <c r="BR21" s="138">
        <f t="shared" si="10"/>
        <v>8.1518531438362733E-3</v>
      </c>
      <c r="BS21" s="137">
        <f t="shared" si="10"/>
        <v>6.9488508695128241E-3</v>
      </c>
      <c r="BT21" s="610"/>
    </row>
    <row r="22" spans="1:72" s="164" customFormat="1" ht="10.8">
      <c r="A22" s="165" t="s">
        <v>603</v>
      </c>
      <c r="B22" s="165" t="s">
        <v>605</v>
      </c>
      <c r="C22" s="138"/>
      <c r="D22" s="138"/>
      <c r="E22" s="138"/>
      <c r="F22" s="138"/>
      <c r="G22" s="137"/>
      <c r="H22" s="138"/>
      <c r="I22" s="138"/>
      <c r="J22" s="138"/>
      <c r="K22" s="137"/>
      <c r="L22" s="138">
        <f t="shared" ref="L22:AW22" si="11">-SUM(I11:L11)/AVERAGE(H7:L7)</f>
        <v>1.5012747946641527E-2</v>
      </c>
      <c r="M22" s="138">
        <f t="shared" si="11"/>
        <v>1.6307428834380563E-2</v>
      </c>
      <c r="N22" s="138">
        <f t="shared" si="11"/>
        <v>1.394687204005755E-2</v>
      </c>
      <c r="O22" s="137">
        <f t="shared" si="11"/>
        <v>1.0887322561464881E-2</v>
      </c>
      <c r="P22" s="138">
        <f t="shared" si="11"/>
        <v>8.5009657051027636E-3</v>
      </c>
      <c r="Q22" s="138">
        <f t="shared" si="11"/>
        <v>8.3794889918613717E-3</v>
      </c>
      <c r="R22" s="138">
        <f t="shared" si="11"/>
        <v>6.6948963575391637E-3</v>
      </c>
      <c r="S22" s="137">
        <f t="shared" si="11"/>
        <v>6.3329264197109674E-3</v>
      </c>
      <c r="T22" s="138">
        <f t="shared" si="11"/>
        <v>5.6011795848042211E-3</v>
      </c>
      <c r="U22" s="138">
        <f t="shared" si="11"/>
        <v>3.9949547745598921E-3</v>
      </c>
      <c r="V22" s="138">
        <f t="shared" si="11"/>
        <v>3.831017633866569E-3</v>
      </c>
      <c r="W22" s="137">
        <f t="shared" si="11"/>
        <v>4.4288034742920937E-3</v>
      </c>
      <c r="X22" s="138">
        <f t="shared" si="11"/>
        <v>7.5810973795091092E-3</v>
      </c>
      <c r="Y22" s="138">
        <f t="shared" si="11"/>
        <v>9.0651582865611032E-3</v>
      </c>
      <c r="Z22" s="138">
        <f t="shared" si="11"/>
        <v>9.4282999741387308E-3</v>
      </c>
      <c r="AA22" s="137">
        <f t="shared" si="11"/>
        <v>8.2610738276198484E-3</v>
      </c>
      <c r="AB22" s="138">
        <f t="shared" si="11"/>
        <v>5.6586188010167137E-3</v>
      </c>
      <c r="AC22" s="138">
        <f t="shared" si="11"/>
        <v>4.6043325281640785E-3</v>
      </c>
      <c r="AD22" s="138">
        <f t="shared" si="11"/>
        <v>4.5349678193899023E-3</v>
      </c>
      <c r="AE22" s="137">
        <f t="shared" si="11"/>
        <v>5.3110924042297607E-3</v>
      </c>
      <c r="AF22" s="138">
        <f t="shared" si="11"/>
        <v>4.9464196951544198E-3</v>
      </c>
      <c r="AG22" s="138">
        <f t="shared" si="11"/>
        <v>5.3945013780112025E-3</v>
      </c>
      <c r="AH22" s="138">
        <f t="shared" si="11"/>
        <v>5.4469684306390539E-3</v>
      </c>
      <c r="AI22" s="137">
        <f t="shared" si="11"/>
        <v>5.3333614669770248E-3</v>
      </c>
      <c r="AJ22" s="138">
        <f t="shared" si="11"/>
        <v>5.5848725181740951E-3</v>
      </c>
      <c r="AK22" s="138">
        <f t="shared" si="11"/>
        <v>4.6413719111198914E-3</v>
      </c>
      <c r="AL22" s="138">
        <f t="shared" si="11"/>
        <v>3.9926238549804231E-3</v>
      </c>
      <c r="AM22" s="137">
        <f t="shared" si="11"/>
        <v>4.1183339342682713E-3</v>
      </c>
      <c r="AN22" s="138">
        <f t="shared" si="11"/>
        <v>3.3328222247600713E-3</v>
      </c>
      <c r="AO22" s="138">
        <f t="shared" si="11"/>
        <v>3.2464081350647516E-3</v>
      </c>
      <c r="AP22" s="138">
        <f t="shared" si="11"/>
        <v>3.5440989340323895E-3</v>
      </c>
      <c r="AQ22" s="137">
        <f t="shared" si="11"/>
        <v>2.8450141445114543E-3</v>
      </c>
      <c r="AR22" s="138">
        <f t="shared" si="11"/>
        <v>4.1590231313007337E-3</v>
      </c>
      <c r="AS22" s="138">
        <f t="shared" si="11"/>
        <v>4.971347951849176E-3</v>
      </c>
      <c r="AT22" s="138">
        <f t="shared" si="11"/>
        <v>5.1921720593081765E-3</v>
      </c>
      <c r="AU22" s="137">
        <f t="shared" si="11"/>
        <v>5.5721148349040725E-3</v>
      </c>
      <c r="AV22" s="138">
        <f t="shared" si="11"/>
        <v>5.2975587035603748E-3</v>
      </c>
      <c r="AW22" s="138">
        <f t="shared" si="11"/>
        <v>5.5998139646532847E-3</v>
      </c>
      <c r="AX22" s="811">
        <f>-SUM(AU11:AX11)/AVERAGE(AT7:AX7)</f>
        <v>4.2047883742265301E-3</v>
      </c>
      <c r="AY22" s="812">
        <v>3.1807293998905401E-3</v>
      </c>
      <c r="AZ22" s="138">
        <v>3.948977339737857E-3</v>
      </c>
      <c r="BA22" s="138">
        <v>4.5902087026973631E-3</v>
      </c>
      <c r="BB22" s="138">
        <v>6.0799147896768687E-3</v>
      </c>
      <c r="BC22" s="137">
        <f t="shared" ref="BC22:BS22" si="12">-SUM(AZ11:BC11)/AVERAGE(AY7:BC7)</f>
        <v>7.2189255059870727E-3</v>
      </c>
      <c r="BD22" s="138">
        <f t="shared" si="12"/>
        <v>9.1543001304935107E-3</v>
      </c>
      <c r="BE22" s="138">
        <f t="shared" si="12"/>
        <v>8.2885142234031817E-3</v>
      </c>
      <c r="BF22" s="138">
        <f t="shared" si="12"/>
        <v>6.9434792828235699E-3</v>
      </c>
      <c r="BG22" s="137">
        <f t="shared" si="12"/>
        <v>5.1422380013505607E-3</v>
      </c>
      <c r="BH22" s="138">
        <f t="shared" si="12"/>
        <v>2.3842442369007648E-3</v>
      </c>
      <c r="BI22" s="138">
        <f t="shared" si="12"/>
        <v>2.1341199115872496E-3</v>
      </c>
      <c r="BJ22" s="138">
        <f t="shared" si="12"/>
        <v>3.197690353938641E-3</v>
      </c>
      <c r="BK22" s="137">
        <f t="shared" si="12"/>
        <v>3.4675810383165764E-3</v>
      </c>
      <c r="BL22" s="138">
        <f t="shared" si="12"/>
        <v>3.649890977444547E-3</v>
      </c>
      <c r="BM22" s="138">
        <f t="shared" si="12"/>
        <v>5.143050252120359E-3</v>
      </c>
      <c r="BN22" s="138">
        <f t="shared" si="12"/>
        <v>5.0973612077942288E-3</v>
      </c>
      <c r="BO22" s="137">
        <f t="shared" si="12"/>
        <v>4.6928881514244512E-3</v>
      </c>
      <c r="BP22" s="138">
        <f t="shared" si="12"/>
        <v>5.2794117264132034E-3</v>
      </c>
      <c r="BQ22" s="138">
        <f t="shared" si="12"/>
        <v>4.318737558418208E-3</v>
      </c>
      <c r="BR22" s="138">
        <f t="shared" si="12"/>
        <v>5.3447456662471127E-3</v>
      </c>
      <c r="BS22" s="137">
        <f t="shared" si="12"/>
        <v>6.3246864517354047E-3</v>
      </c>
      <c r="BT22" s="615"/>
    </row>
    <row r="23" spans="1:72" s="150" customFormat="1" ht="10.8">
      <c r="A23" s="165"/>
      <c r="B23" s="165"/>
      <c r="C23" s="138"/>
      <c r="D23" s="138"/>
      <c r="E23" s="138"/>
      <c r="F23" s="138"/>
      <c r="G23" s="137"/>
      <c r="H23" s="138"/>
      <c r="I23" s="138"/>
      <c r="J23" s="138"/>
      <c r="K23" s="137"/>
      <c r="L23" s="138"/>
      <c r="M23" s="138"/>
      <c r="N23" s="138"/>
      <c r="O23" s="137"/>
      <c r="P23" s="138"/>
      <c r="Q23" s="138"/>
      <c r="R23" s="138"/>
      <c r="S23" s="137"/>
      <c r="T23" s="138"/>
      <c r="U23" s="138"/>
      <c r="V23" s="138"/>
      <c r="W23" s="137"/>
      <c r="X23" s="138"/>
      <c r="Y23" s="138"/>
      <c r="Z23" s="138"/>
      <c r="AA23" s="137"/>
      <c r="AB23" s="138"/>
      <c r="AC23" s="138"/>
      <c r="AD23" s="138"/>
      <c r="AE23" s="137"/>
      <c r="AF23" s="138"/>
      <c r="AG23" s="138"/>
      <c r="AH23" s="138"/>
      <c r="AI23" s="137"/>
      <c r="AJ23" s="138"/>
      <c r="AK23" s="138"/>
      <c r="AL23" s="138"/>
      <c r="AM23" s="137"/>
      <c r="AN23" s="138"/>
      <c r="AO23" s="138"/>
      <c r="AP23" s="138"/>
      <c r="AQ23" s="137"/>
      <c r="AR23" s="138"/>
      <c r="AS23" s="138"/>
      <c r="AT23" s="138"/>
      <c r="AU23" s="137"/>
      <c r="AV23" s="138"/>
      <c r="AW23" s="138"/>
      <c r="AX23" s="811"/>
      <c r="AY23" s="812"/>
      <c r="AZ23" s="138"/>
      <c r="BA23" s="138"/>
      <c r="BB23" s="138"/>
      <c r="BC23" s="137"/>
      <c r="BD23" s="138"/>
      <c r="BE23" s="138"/>
      <c r="BF23" s="138"/>
      <c r="BG23" s="137"/>
      <c r="BH23" s="138"/>
      <c r="BI23" s="138"/>
      <c r="BJ23" s="138"/>
      <c r="BK23" s="137"/>
      <c r="BL23" s="138"/>
      <c r="BM23" s="138"/>
      <c r="BN23" s="138"/>
      <c r="BO23" s="137"/>
      <c r="BP23" s="138"/>
      <c r="BQ23" s="138"/>
      <c r="BR23" s="138"/>
      <c r="BS23" s="137"/>
      <c r="BT23" s="610"/>
    </row>
    <row r="24" spans="1:72" s="164" customFormat="1" ht="10.8">
      <c r="A24" s="203" t="s">
        <v>606</v>
      </c>
      <c r="B24" s="203" t="s">
        <v>607</v>
      </c>
      <c r="C24" s="181"/>
      <c r="D24" s="181"/>
      <c r="E24" s="181"/>
      <c r="F24" s="38"/>
      <c r="G24" s="813"/>
      <c r="H24" s="38"/>
      <c r="I24" s="438">
        <f t="shared" ref="I24:AW24" si="13">-I12*4/AVERAGE(H8:I8)</f>
        <v>1.3740458015267176E-3</v>
      </c>
      <c r="J24" s="438">
        <f t="shared" si="13"/>
        <v>2.0084605322420408E-2</v>
      </c>
      <c r="K24" s="813">
        <f t="shared" si="13"/>
        <v>1.4697721011770599E-2</v>
      </c>
      <c r="L24" s="438">
        <f t="shared" si="13"/>
        <v>1.1488348199691776E-2</v>
      </c>
      <c r="M24" s="438">
        <f t="shared" si="13"/>
        <v>8.3373947952926856E-3</v>
      </c>
      <c r="N24" s="438">
        <f t="shared" si="13"/>
        <v>1.2681464200660244E-2</v>
      </c>
      <c r="O24" s="813">
        <f t="shared" si="13"/>
        <v>7.0042848457710343E-3</v>
      </c>
      <c r="P24" s="438">
        <f t="shared" si="13"/>
        <v>5.5434959378336526E-3</v>
      </c>
      <c r="Q24" s="438">
        <f t="shared" si="13"/>
        <v>7.3882625850203304E-3</v>
      </c>
      <c r="R24" s="438">
        <f t="shared" si="13"/>
        <v>7.7904595511893351E-3</v>
      </c>
      <c r="S24" s="813">
        <f t="shared" si="13"/>
        <v>7.0096828149216629E-3</v>
      </c>
      <c r="T24" s="438">
        <f t="shared" si="13"/>
        <v>4.4520942261533974E-3</v>
      </c>
      <c r="U24" s="438">
        <f t="shared" si="13"/>
        <v>3.024810984193689E-3</v>
      </c>
      <c r="V24" s="438">
        <f t="shared" si="13"/>
        <v>5.2889757584247236E-3</v>
      </c>
      <c r="W24" s="813">
        <f t="shared" si="13"/>
        <v>6.0823913351936805E-3</v>
      </c>
      <c r="X24" s="438">
        <f t="shared" si="13"/>
        <v>1.1532355090178928E-2</v>
      </c>
      <c r="Y24" s="438">
        <f t="shared" si="13"/>
        <v>7.1320255794500957E-3</v>
      </c>
      <c r="Z24" s="438">
        <f t="shared" si="13"/>
        <v>7.2661061241822153E-3</v>
      </c>
      <c r="AA24" s="813">
        <f t="shared" si="13"/>
        <v>4.9795879820219704E-3</v>
      </c>
      <c r="AB24" s="438">
        <f t="shared" si="13"/>
        <v>5.8307869347337914E-3</v>
      </c>
      <c r="AC24" s="438">
        <f t="shared" si="13"/>
        <v>5.2052477395578417E-3</v>
      </c>
      <c r="AD24" s="438">
        <f t="shared" si="13"/>
        <v>6.1275148676448758E-3</v>
      </c>
      <c r="AE24" s="813">
        <f t="shared" si="13"/>
        <v>6.5749033749151016E-3</v>
      </c>
      <c r="AF24" s="438">
        <f t="shared" si="13"/>
        <v>2.4794011464438184E-3</v>
      </c>
      <c r="AG24" s="438">
        <f t="shared" si="13"/>
        <v>4.6220687834016691E-3</v>
      </c>
      <c r="AH24" s="438">
        <f t="shared" si="13"/>
        <v>5.843711615235195E-3</v>
      </c>
      <c r="AI24" s="813">
        <f t="shared" si="13"/>
        <v>5.6165551794899122E-3</v>
      </c>
      <c r="AJ24" s="438">
        <f t="shared" si="13"/>
        <v>4.041902522888924E-3</v>
      </c>
      <c r="AK24" s="438">
        <f t="shared" si="13"/>
        <v>1.8964339633543766E-3</v>
      </c>
      <c r="AL24" s="438">
        <f t="shared" si="13"/>
        <v>2.9620384576119355E-3</v>
      </c>
      <c r="AM24" s="813">
        <f t="shared" si="13"/>
        <v>4.4154094431841321E-3</v>
      </c>
      <c r="AN24" s="438">
        <f t="shared" si="13"/>
        <v>1.802070767588009E-3</v>
      </c>
      <c r="AO24" s="438">
        <f t="shared" si="13"/>
        <v>2.5868726622341968E-3</v>
      </c>
      <c r="AP24" s="438">
        <f t="shared" si="13"/>
        <v>7.0422445692726781E-3</v>
      </c>
      <c r="AQ24" s="813">
        <f t="shared" si="13"/>
        <v>3.7826955295247682E-3</v>
      </c>
      <c r="AR24" s="438">
        <f t="shared" si="13"/>
        <v>5.9002387535685716E-3</v>
      </c>
      <c r="AS24" s="438">
        <f t="shared" si="13"/>
        <v>5.0545969439610367E-3</v>
      </c>
      <c r="AT24" s="438">
        <f t="shared" si="13"/>
        <v>5.0910028054771232E-3</v>
      </c>
      <c r="AU24" s="813">
        <f t="shared" si="13"/>
        <v>4.2037394657082616E-3</v>
      </c>
      <c r="AV24" s="438">
        <f t="shared" si="13"/>
        <v>7.4203220492391978E-3</v>
      </c>
      <c r="AW24" s="438">
        <f t="shared" si="13"/>
        <v>5.4569230635997459E-3</v>
      </c>
      <c r="AX24" s="814">
        <f>-AX12*4/AVERAGE(AW8:AX8)</f>
        <v>3.8509355623147839E-3</v>
      </c>
      <c r="AY24" s="815">
        <v>4.7066464908420425E-3</v>
      </c>
      <c r="AZ24" s="438">
        <f>-AZ12*4/AVERAGE(AY8:AZ8)</f>
        <v>4.9526532363757623E-3</v>
      </c>
      <c r="BA24" s="438">
        <f>-BA12*4/AVERAGE(AZ8:BA8)</f>
        <v>6.3371072002391358E-3</v>
      </c>
      <c r="BB24" s="438">
        <f>-BB12*4/AVERAGE(BA8:BB8)</f>
        <v>5.6089473628095909E-3</v>
      </c>
      <c r="BC24" s="813">
        <f t="shared" ref="BC24:BS24" si="14">-BC12*4/AVERAGE(BB8:BC8)</f>
        <v>9.736266767762616E-3</v>
      </c>
      <c r="BD24" s="438">
        <f t="shared" si="14"/>
        <v>1.0187103238171636E-2</v>
      </c>
      <c r="BE24" s="438">
        <f t="shared" si="14"/>
        <v>4.7405522351842456E-3</v>
      </c>
      <c r="BF24" s="438">
        <f t="shared" si="14"/>
        <v>1.0331029406994907E-2</v>
      </c>
      <c r="BG24" s="813">
        <f t="shared" si="14"/>
        <v>4.0110178424896965E-3</v>
      </c>
      <c r="BH24" s="438">
        <f t="shared" si="14"/>
        <v>5.7547432378942309E-4</v>
      </c>
      <c r="BI24" s="438">
        <f t="shared" si="14"/>
        <v>2.33230569739639E-3</v>
      </c>
      <c r="BJ24" s="438">
        <f t="shared" si="14"/>
        <v>4.0089192193040165E-3</v>
      </c>
      <c r="BK24" s="813">
        <f t="shared" si="14"/>
        <v>4.0915028446200513E-3</v>
      </c>
      <c r="BL24" s="438">
        <f t="shared" si="14"/>
        <v>4.8245583715272053E-3</v>
      </c>
      <c r="BM24" s="438">
        <f t="shared" si="14"/>
        <v>5.3216566885603755E-3</v>
      </c>
      <c r="BN24" s="438">
        <f t="shared" si="14"/>
        <v>1.2534972811111114E-2</v>
      </c>
      <c r="BO24" s="813">
        <f t="shared" si="14"/>
        <v>2.244745320345454E-3</v>
      </c>
      <c r="BP24" s="438">
        <f t="shared" si="14"/>
        <v>4.9811419609639704E-3</v>
      </c>
      <c r="BQ24" s="438">
        <f t="shared" si="14"/>
        <v>3.7994090436363507E-3</v>
      </c>
      <c r="BR24" s="438">
        <f t="shared" si="14"/>
        <v>4.4455314089665993E-3</v>
      </c>
      <c r="BS24" s="813">
        <f t="shared" si="14"/>
        <v>4.9481682515352355E-3</v>
      </c>
      <c r="BT24" s="615"/>
    </row>
    <row r="25" spans="1:72" s="164" customFormat="1" ht="12" customHeight="1">
      <c r="A25" s="203" t="s">
        <v>606</v>
      </c>
      <c r="B25" s="203" t="s">
        <v>608</v>
      </c>
      <c r="C25" s="438"/>
      <c r="D25" s="438"/>
      <c r="E25" s="438"/>
      <c r="F25" s="438"/>
      <c r="G25" s="813"/>
      <c r="H25" s="438"/>
      <c r="I25" s="438"/>
      <c r="J25" s="438"/>
      <c r="K25" s="813"/>
      <c r="L25" s="438">
        <f t="shared" ref="L25:AW25" si="15">-SUM(I12:L12)/AVERAGE(H8:L8)</f>
        <v>1.2294956517007172E-2</v>
      </c>
      <c r="M25" s="438">
        <f t="shared" si="15"/>
        <v>1.3560194595449488E-2</v>
      </c>
      <c r="N25" s="438">
        <f t="shared" si="15"/>
        <v>1.1781590065688942E-2</v>
      </c>
      <c r="O25" s="813">
        <f t="shared" si="15"/>
        <v>9.8442583966843553E-3</v>
      </c>
      <c r="P25" s="438">
        <f t="shared" si="15"/>
        <v>8.3257939870247169E-3</v>
      </c>
      <c r="Q25" s="438">
        <f t="shared" si="15"/>
        <v>8.0719655520343336E-3</v>
      </c>
      <c r="R25" s="438">
        <f t="shared" si="15"/>
        <v>6.9356301306119483E-3</v>
      </c>
      <c r="S25" s="813">
        <f t="shared" si="15"/>
        <v>6.9748093245917478E-3</v>
      </c>
      <c r="T25" s="438">
        <f t="shared" si="15"/>
        <v>6.6140757306971431E-3</v>
      </c>
      <c r="U25" s="438">
        <f t="shared" si="15"/>
        <v>5.4653877679189198E-3</v>
      </c>
      <c r="V25" s="438">
        <f t="shared" si="15"/>
        <v>4.8891989540971155E-3</v>
      </c>
      <c r="W25" s="813">
        <f t="shared" si="15"/>
        <v>4.7454323892142354E-3</v>
      </c>
      <c r="X25" s="438">
        <f t="shared" si="15"/>
        <v>6.7547680351811865E-3</v>
      </c>
      <c r="Y25" s="438">
        <f t="shared" si="15"/>
        <v>7.6724181005558426E-3</v>
      </c>
      <c r="Z25" s="438">
        <f t="shared" si="15"/>
        <v>8.1078242291644786E-3</v>
      </c>
      <c r="AA25" s="813">
        <f t="shared" si="15"/>
        <v>7.7184951164550961E-3</v>
      </c>
      <c r="AB25" s="438">
        <f t="shared" si="15"/>
        <v>6.2914156369032557E-3</v>
      </c>
      <c r="AC25" s="438">
        <f t="shared" si="15"/>
        <v>5.7920374726954313E-3</v>
      </c>
      <c r="AD25" s="438">
        <f t="shared" si="15"/>
        <v>5.5420990036251809E-3</v>
      </c>
      <c r="AE25" s="813">
        <f t="shared" si="15"/>
        <v>5.9396492751521762E-3</v>
      </c>
      <c r="AF25" s="438">
        <f t="shared" si="15"/>
        <v>5.0425177261632839E-3</v>
      </c>
      <c r="AG25" s="438">
        <f t="shared" si="15"/>
        <v>4.8878456452314811E-3</v>
      </c>
      <c r="AH25" s="438">
        <f t="shared" si="15"/>
        <v>4.886304438852563E-3</v>
      </c>
      <c r="AI25" s="813">
        <f t="shared" si="15"/>
        <v>4.6955565207240741E-3</v>
      </c>
      <c r="AJ25" s="438">
        <f t="shared" si="15"/>
        <v>5.0005487387040134E-3</v>
      </c>
      <c r="AK25" s="438">
        <f t="shared" si="15"/>
        <v>4.2469245361309868E-3</v>
      </c>
      <c r="AL25" s="438">
        <f t="shared" si="15"/>
        <v>3.5695533859697644E-3</v>
      </c>
      <c r="AM25" s="813">
        <f t="shared" si="15"/>
        <v>3.3410244196904397E-3</v>
      </c>
      <c r="AN25" s="438">
        <f t="shared" si="15"/>
        <v>2.7688662404393551E-3</v>
      </c>
      <c r="AO25" s="438">
        <f t="shared" si="15"/>
        <v>2.9204305720953957E-3</v>
      </c>
      <c r="AP25" s="438">
        <f t="shared" si="15"/>
        <v>3.9962680227566593E-3</v>
      </c>
      <c r="AQ25" s="813">
        <f t="shared" si="15"/>
        <v>3.8396739690456073E-3</v>
      </c>
      <c r="AR25" s="438">
        <f t="shared" si="15"/>
        <v>4.8455776760974413E-3</v>
      </c>
      <c r="AS25" s="438">
        <f t="shared" si="15"/>
        <v>5.4241185109842344E-3</v>
      </c>
      <c r="AT25" s="438">
        <f t="shared" si="15"/>
        <v>4.9752419110976722E-3</v>
      </c>
      <c r="AU25" s="813">
        <f t="shared" si="15"/>
        <v>5.0503739183801674E-3</v>
      </c>
      <c r="AV25" s="438">
        <f t="shared" si="15"/>
        <v>5.4589480867623073E-3</v>
      </c>
      <c r="AW25" s="438">
        <f t="shared" si="15"/>
        <v>5.5423078255879858E-3</v>
      </c>
      <c r="AX25" s="814">
        <f>-SUM(AU12:AX12)/AVERAGE(AT8:AX8)</f>
        <v>5.2075243684902052E-3</v>
      </c>
      <c r="AY25" s="815">
        <v>5.3095791566176893E-3</v>
      </c>
      <c r="AZ25" s="438">
        <v>4.7428441989621701E-3</v>
      </c>
      <c r="BA25" s="438">
        <v>4.9930619017532702E-3</v>
      </c>
      <c r="BB25" s="438">
        <v>5.4234112226545419E-3</v>
      </c>
      <c r="BC25" s="813">
        <f t="shared" ref="BC25:BS25" si="16">-SUM(AZ12:BC12)/AVERAGE(AY8:BC8)</f>
        <v>6.7073862928435169E-3</v>
      </c>
      <c r="BD25" s="438">
        <f t="shared" si="16"/>
        <v>8.0503501737376713E-3</v>
      </c>
      <c r="BE25" s="438">
        <f t="shared" si="16"/>
        <v>7.594997110454851E-3</v>
      </c>
      <c r="BF25" s="438">
        <f t="shared" si="16"/>
        <v>8.7626779213287737E-3</v>
      </c>
      <c r="BG25" s="813">
        <f t="shared" si="16"/>
        <v>7.2607881813219304E-3</v>
      </c>
      <c r="BH25" s="438">
        <f t="shared" si="16"/>
        <v>4.8349823735562196E-3</v>
      </c>
      <c r="BI25" s="438">
        <f t="shared" si="16"/>
        <v>4.1955235865663429E-3</v>
      </c>
      <c r="BJ25" s="438">
        <f t="shared" si="16"/>
        <v>2.7419889964069928E-3</v>
      </c>
      <c r="BK25" s="813">
        <f t="shared" si="16"/>
        <v>2.8104110368368652E-3</v>
      </c>
      <c r="BL25" s="438">
        <f t="shared" si="16"/>
        <v>3.8521629002757464E-3</v>
      </c>
      <c r="BM25" s="438">
        <f t="shared" si="16"/>
        <v>4.5827551639132883E-3</v>
      </c>
      <c r="BN25" s="438">
        <f t="shared" si="16"/>
        <v>6.7551483332469889E-3</v>
      </c>
      <c r="BO25" s="813">
        <f t="shared" si="16"/>
        <v>6.2445641866524602E-3</v>
      </c>
      <c r="BP25" s="438">
        <f t="shared" si="16"/>
        <v>6.2670340837663934E-3</v>
      </c>
      <c r="BQ25" s="438">
        <f t="shared" si="16"/>
        <v>5.8678495608908438E-3</v>
      </c>
      <c r="BR25" s="438">
        <f t="shared" si="16"/>
        <v>3.8763389710507277E-3</v>
      </c>
      <c r="BS25" s="813">
        <f t="shared" si="16"/>
        <v>4.5417785755875253E-3</v>
      </c>
      <c r="BT25" s="615"/>
    </row>
    <row r="26" spans="1:72" ht="13.5" hidden="1" customHeight="1">
      <c r="A26" s="2"/>
      <c r="B26" s="2"/>
      <c r="C26" s="439"/>
      <c r="D26" s="439"/>
      <c r="E26" s="439"/>
      <c r="F26" s="724"/>
      <c r="G26" s="724"/>
      <c r="H26" s="724"/>
      <c r="I26" s="724"/>
      <c r="J26" s="724"/>
      <c r="K26" s="724"/>
      <c r="L26" s="724"/>
      <c r="M26" s="724"/>
      <c r="N26" s="724"/>
      <c r="O26" s="724"/>
      <c r="P26" s="724"/>
      <c r="Q26" s="724"/>
      <c r="R26" s="724"/>
      <c r="S26" s="724"/>
      <c r="T26" s="724"/>
      <c r="U26" s="724"/>
      <c r="V26" s="724"/>
      <c r="W26" s="724"/>
      <c r="X26" s="724"/>
      <c r="Y26" s="724"/>
      <c r="Z26" s="724"/>
      <c r="AA26" s="724"/>
      <c r="AB26" s="724"/>
      <c r="AC26" s="724"/>
      <c r="AD26" s="724"/>
      <c r="AE26" s="724"/>
      <c r="AF26" s="724"/>
      <c r="AG26" s="724"/>
      <c r="AJ26" s="724"/>
      <c r="AX26" s="816"/>
      <c r="BB26" s="816"/>
      <c r="BF26" s="816"/>
      <c r="BJ26" s="816"/>
      <c r="BN26" s="816"/>
      <c r="BR26" s="816"/>
    </row>
    <row r="27" spans="1:72" ht="13.5" hidden="1" customHeight="1">
      <c r="A27" s="2"/>
      <c r="B27" s="2"/>
    </row>
    <row r="28" spans="1:72" ht="13.5" hidden="1" customHeight="1">
      <c r="A28" s="2"/>
      <c r="B28" s="2"/>
    </row>
    <row r="29" spans="1:72" ht="13.5" hidden="1" customHeight="1">
      <c r="A29" s="2"/>
      <c r="B29" s="2"/>
    </row>
    <row r="30" spans="1:72" s="151" customFormat="1" ht="13.5" hidden="1" customHeight="1">
      <c r="A30" s="2"/>
      <c r="B30" s="2"/>
      <c r="F30" s="816"/>
      <c r="G30" s="816"/>
      <c r="H30" s="816"/>
      <c r="I30" s="816"/>
      <c r="J30" s="816"/>
      <c r="K30" s="816"/>
      <c r="L30" s="816"/>
      <c r="M30" s="816"/>
      <c r="N30" s="816"/>
      <c r="O30" s="816"/>
      <c r="P30" s="816"/>
      <c r="Q30" s="816"/>
      <c r="R30" s="816"/>
      <c r="S30" s="816"/>
      <c r="T30" s="816"/>
      <c r="U30" s="816"/>
      <c r="V30" s="816"/>
      <c r="W30" s="816"/>
      <c r="X30" s="816"/>
      <c r="Y30" s="816"/>
      <c r="Z30" s="816"/>
      <c r="AA30" s="816"/>
      <c r="AB30" s="816"/>
      <c r="AC30" s="816"/>
      <c r="AD30" s="816"/>
      <c r="AE30" s="816"/>
      <c r="AF30" s="816"/>
      <c r="AG30" s="816"/>
      <c r="AH30" s="816"/>
      <c r="AI30" s="816"/>
      <c r="AJ30" s="816"/>
      <c r="AK30" s="816"/>
      <c r="AL30" s="816"/>
      <c r="AM30" s="816"/>
      <c r="AN30" s="816"/>
      <c r="AO30" s="816"/>
      <c r="AP30" s="816"/>
      <c r="AQ30" s="816"/>
      <c r="AR30" s="816"/>
      <c r="AS30" s="816"/>
      <c r="AT30" s="816"/>
      <c r="AU30" s="816"/>
      <c r="AV30" s="816"/>
      <c r="AW30" s="816"/>
      <c r="AX30" s="713"/>
      <c r="AY30" s="816"/>
      <c r="AZ30" s="816"/>
      <c r="BA30" s="816"/>
      <c r="BB30" s="713"/>
      <c r="BC30" s="816"/>
      <c r="BD30" s="816"/>
      <c r="BE30" s="816"/>
      <c r="BF30" s="713"/>
      <c r="BG30" s="816"/>
      <c r="BH30" s="816"/>
      <c r="BI30" s="816"/>
      <c r="BJ30" s="713"/>
      <c r="BK30" s="816"/>
      <c r="BL30" s="816"/>
      <c r="BM30" s="816"/>
      <c r="BN30" s="713"/>
      <c r="BO30" s="816"/>
      <c r="BP30" s="816"/>
      <c r="BQ30" s="816"/>
      <c r="BR30" s="713"/>
      <c r="BS30" s="816"/>
      <c r="BT30" s="816"/>
    </row>
    <row r="31" spans="1:72" s="151" customFormat="1" ht="13.5" hidden="1" customHeight="1">
      <c r="A31" s="2"/>
      <c r="B31" s="2"/>
      <c r="F31" s="816"/>
      <c r="G31" s="816"/>
      <c r="H31" s="816"/>
      <c r="I31" s="816"/>
      <c r="J31" s="816"/>
      <c r="K31" s="816"/>
      <c r="L31" s="816"/>
      <c r="M31" s="816"/>
      <c r="N31" s="816"/>
      <c r="O31" s="816"/>
      <c r="P31" s="816"/>
      <c r="Q31" s="816"/>
      <c r="R31" s="816"/>
      <c r="S31" s="816"/>
      <c r="T31" s="816"/>
      <c r="U31" s="816"/>
      <c r="V31" s="816"/>
      <c r="W31" s="816"/>
      <c r="X31" s="816"/>
      <c r="Y31" s="816"/>
      <c r="Z31" s="816"/>
      <c r="AA31" s="816"/>
      <c r="AB31" s="816"/>
      <c r="AC31" s="816"/>
      <c r="AD31" s="816"/>
      <c r="AE31" s="816"/>
      <c r="AF31" s="816"/>
      <c r="AG31" s="816"/>
      <c r="AH31" s="816"/>
      <c r="AI31" s="816"/>
      <c r="AJ31" s="816"/>
      <c r="AK31" s="816"/>
      <c r="AL31" s="816"/>
      <c r="AM31" s="816"/>
      <c r="AN31" s="816"/>
      <c r="AO31" s="816"/>
      <c r="AP31" s="816"/>
      <c r="AQ31" s="816"/>
      <c r="AR31" s="816"/>
      <c r="AS31" s="816"/>
      <c r="AT31" s="816"/>
      <c r="AU31" s="816"/>
      <c r="AV31" s="816"/>
      <c r="AW31" s="816"/>
      <c r="AX31" s="713"/>
      <c r="AY31" s="816"/>
      <c r="AZ31" s="816"/>
      <c r="BA31" s="816"/>
      <c r="BB31" s="713"/>
      <c r="BC31" s="816"/>
      <c r="BD31" s="816"/>
      <c r="BE31" s="816"/>
      <c r="BF31" s="713"/>
      <c r="BG31" s="816"/>
      <c r="BH31" s="816"/>
      <c r="BI31" s="816"/>
      <c r="BJ31" s="713"/>
      <c r="BK31" s="816"/>
      <c r="BL31" s="816"/>
      <c r="BM31" s="816"/>
      <c r="BN31" s="713"/>
      <c r="BO31" s="816"/>
      <c r="BP31" s="816"/>
      <c r="BQ31" s="816"/>
      <c r="BR31" s="713"/>
      <c r="BS31" s="816"/>
      <c r="BT31" s="816"/>
    </row>
    <row r="32" spans="1:72" s="151" customFormat="1" ht="13.5" hidden="1" customHeight="1">
      <c r="A32" s="2"/>
      <c r="B32" s="2"/>
      <c r="F32" s="816"/>
      <c r="G32" s="816"/>
      <c r="H32" s="816"/>
      <c r="I32" s="816"/>
      <c r="J32" s="816"/>
      <c r="K32" s="816"/>
      <c r="L32" s="816"/>
      <c r="M32" s="816"/>
      <c r="N32" s="816"/>
      <c r="O32" s="816"/>
      <c r="P32" s="816"/>
      <c r="Q32" s="816"/>
      <c r="R32" s="816"/>
      <c r="S32" s="816"/>
      <c r="T32" s="816"/>
      <c r="U32" s="816"/>
      <c r="V32" s="816"/>
      <c r="W32" s="816"/>
      <c r="X32" s="816"/>
      <c r="Y32" s="816"/>
      <c r="Z32" s="816"/>
      <c r="AA32" s="816"/>
      <c r="AB32" s="816"/>
      <c r="AC32" s="816"/>
      <c r="AD32" s="816"/>
      <c r="AE32" s="816"/>
      <c r="AF32" s="816"/>
      <c r="AG32" s="816"/>
      <c r="AH32" s="816"/>
      <c r="AI32" s="816"/>
      <c r="AJ32" s="816"/>
      <c r="AK32" s="816"/>
      <c r="AL32" s="816"/>
      <c r="AM32" s="816"/>
      <c r="AN32" s="816"/>
      <c r="AO32" s="816"/>
      <c r="AP32" s="816"/>
      <c r="AQ32" s="816"/>
      <c r="AR32" s="816"/>
      <c r="AS32" s="816"/>
      <c r="AT32" s="816"/>
      <c r="AU32" s="816"/>
      <c r="AV32" s="816"/>
      <c r="AW32" s="816"/>
      <c r="AX32" s="713"/>
      <c r="AY32" s="816"/>
      <c r="AZ32" s="816"/>
      <c r="BA32" s="816"/>
      <c r="BB32" s="713"/>
      <c r="BC32" s="816"/>
      <c r="BD32" s="816"/>
      <c r="BE32" s="816"/>
      <c r="BF32" s="713"/>
      <c r="BG32" s="816"/>
      <c r="BH32" s="816"/>
      <c r="BI32" s="816"/>
      <c r="BJ32" s="713"/>
      <c r="BK32" s="816"/>
      <c r="BL32" s="816"/>
      <c r="BM32" s="816"/>
      <c r="BN32" s="713"/>
      <c r="BO32" s="816"/>
      <c r="BP32" s="816"/>
      <c r="BQ32" s="816"/>
      <c r="BR32" s="713"/>
      <c r="BS32" s="816"/>
      <c r="BT32" s="816"/>
    </row>
    <row r="33" spans="1:72" s="151" customFormat="1" ht="13.5" hidden="1" customHeight="1">
      <c r="A33" s="2"/>
      <c r="B33" s="2"/>
      <c r="F33" s="816"/>
      <c r="G33" s="816"/>
      <c r="H33" s="816"/>
      <c r="I33" s="816"/>
      <c r="J33" s="816"/>
      <c r="K33" s="816"/>
      <c r="L33" s="816"/>
      <c r="M33" s="816"/>
      <c r="N33" s="816"/>
      <c r="O33" s="816"/>
      <c r="P33" s="816"/>
      <c r="Q33" s="816"/>
      <c r="R33" s="816"/>
      <c r="S33" s="816"/>
      <c r="T33" s="816"/>
      <c r="U33" s="816"/>
      <c r="V33" s="816"/>
      <c r="W33" s="816"/>
      <c r="X33" s="816"/>
      <c r="Y33" s="816"/>
      <c r="Z33" s="816"/>
      <c r="AA33" s="816"/>
      <c r="AB33" s="816"/>
      <c r="AC33" s="816"/>
      <c r="AD33" s="816"/>
      <c r="AE33" s="816"/>
      <c r="AF33" s="816"/>
      <c r="AG33" s="816"/>
      <c r="AH33" s="816"/>
      <c r="AI33" s="816"/>
      <c r="AJ33" s="816"/>
      <c r="AK33" s="816"/>
      <c r="AL33" s="816"/>
      <c r="AM33" s="816"/>
      <c r="AN33" s="816"/>
      <c r="AO33" s="816"/>
      <c r="AP33" s="816"/>
      <c r="AQ33" s="816"/>
      <c r="AR33" s="816"/>
      <c r="AS33" s="816"/>
      <c r="AT33" s="816"/>
      <c r="AU33" s="816"/>
      <c r="AV33" s="816"/>
      <c r="AW33" s="816"/>
      <c r="AX33" s="713"/>
      <c r="AY33" s="816"/>
      <c r="AZ33" s="816"/>
      <c r="BA33" s="816"/>
      <c r="BB33" s="713"/>
      <c r="BC33" s="816"/>
      <c r="BD33" s="816"/>
      <c r="BE33" s="816"/>
      <c r="BF33" s="713"/>
      <c r="BG33" s="816"/>
      <c r="BH33" s="816"/>
      <c r="BI33" s="816"/>
      <c r="BJ33" s="713"/>
      <c r="BK33" s="816"/>
      <c r="BL33" s="816"/>
      <c r="BM33" s="816"/>
      <c r="BN33" s="713"/>
      <c r="BO33" s="816"/>
      <c r="BP33" s="816"/>
      <c r="BQ33" s="816"/>
      <c r="BR33" s="713"/>
      <c r="BS33" s="816"/>
      <c r="BT33" s="816"/>
    </row>
    <row r="34" spans="1:72" s="151" customFormat="1" ht="13.5" hidden="1" customHeight="1">
      <c r="A34" s="2"/>
      <c r="B34" s="2"/>
      <c r="F34" s="816"/>
      <c r="G34" s="816"/>
      <c r="H34" s="816"/>
      <c r="I34" s="816"/>
      <c r="J34" s="816"/>
      <c r="K34" s="816"/>
      <c r="L34" s="816"/>
      <c r="M34" s="816"/>
      <c r="N34" s="816"/>
      <c r="O34" s="816"/>
      <c r="P34" s="816"/>
      <c r="Q34" s="816"/>
      <c r="R34" s="816"/>
      <c r="S34" s="816"/>
      <c r="T34" s="816"/>
      <c r="U34" s="816"/>
      <c r="V34" s="816"/>
      <c r="W34" s="816"/>
      <c r="X34" s="816"/>
      <c r="Y34" s="816"/>
      <c r="Z34" s="816"/>
      <c r="AA34" s="816"/>
      <c r="AB34" s="816"/>
      <c r="AC34" s="816"/>
      <c r="AD34" s="816"/>
      <c r="AE34" s="816"/>
      <c r="AF34" s="816"/>
      <c r="AG34" s="816"/>
      <c r="AH34" s="816"/>
      <c r="AI34" s="816"/>
      <c r="AJ34" s="816"/>
      <c r="AK34" s="816"/>
      <c r="AL34" s="816"/>
      <c r="AM34" s="816"/>
      <c r="AN34" s="816"/>
      <c r="AO34" s="816"/>
      <c r="AP34" s="816"/>
      <c r="AQ34" s="816"/>
      <c r="AR34" s="816"/>
      <c r="AS34" s="816"/>
      <c r="AT34" s="816"/>
      <c r="AU34" s="816"/>
      <c r="AV34" s="816"/>
      <c r="AW34" s="816"/>
      <c r="AX34" s="713"/>
      <c r="AY34" s="816"/>
      <c r="AZ34" s="816"/>
      <c r="BA34" s="816"/>
      <c r="BB34" s="713"/>
      <c r="BC34" s="816"/>
      <c r="BD34" s="816"/>
      <c r="BE34" s="816"/>
      <c r="BF34" s="713"/>
      <c r="BG34" s="816"/>
      <c r="BH34" s="816"/>
      <c r="BI34" s="816"/>
      <c r="BJ34" s="713"/>
      <c r="BK34" s="816"/>
      <c r="BL34" s="816"/>
      <c r="BM34" s="816"/>
      <c r="BN34" s="713"/>
      <c r="BO34" s="816"/>
      <c r="BP34" s="816"/>
      <c r="BQ34" s="816"/>
      <c r="BR34" s="713"/>
      <c r="BS34" s="816"/>
      <c r="BT34" s="816"/>
    </row>
    <row r="35" spans="1:72" s="151" customFormat="1" ht="13.5" hidden="1" customHeight="1">
      <c r="A35" s="2"/>
      <c r="B35" s="2"/>
      <c r="F35" s="816"/>
      <c r="G35" s="816"/>
      <c r="H35" s="816"/>
      <c r="I35" s="816"/>
      <c r="J35" s="816"/>
      <c r="K35" s="816"/>
      <c r="L35" s="816"/>
      <c r="M35" s="816"/>
      <c r="N35" s="816"/>
      <c r="O35" s="816"/>
      <c r="P35" s="816"/>
      <c r="Q35" s="816"/>
      <c r="R35" s="816"/>
      <c r="S35" s="816"/>
      <c r="T35" s="816"/>
      <c r="U35" s="816"/>
      <c r="V35" s="816"/>
      <c r="W35" s="816"/>
      <c r="X35" s="816"/>
      <c r="Y35" s="816"/>
      <c r="Z35" s="816"/>
      <c r="AA35" s="816"/>
      <c r="AB35" s="816"/>
      <c r="AC35" s="816"/>
      <c r="AD35" s="816"/>
      <c r="AE35" s="816"/>
      <c r="AF35" s="816"/>
      <c r="AG35" s="816"/>
      <c r="AH35" s="816"/>
      <c r="AI35" s="816"/>
      <c r="AJ35" s="816"/>
      <c r="AK35" s="816"/>
      <c r="AL35" s="816"/>
      <c r="AM35" s="816"/>
      <c r="AN35" s="816"/>
      <c r="AO35" s="816"/>
      <c r="AP35" s="816"/>
      <c r="AQ35" s="816"/>
      <c r="AR35" s="816"/>
      <c r="AS35" s="816"/>
      <c r="AT35" s="816"/>
      <c r="AU35" s="816"/>
      <c r="AV35" s="816"/>
      <c r="AW35" s="816"/>
      <c r="AX35" s="713"/>
      <c r="AY35" s="816"/>
      <c r="AZ35" s="816"/>
      <c r="BA35" s="816"/>
      <c r="BB35" s="713"/>
      <c r="BC35" s="816"/>
      <c r="BD35" s="816"/>
      <c r="BE35" s="816"/>
      <c r="BF35" s="713"/>
      <c r="BG35" s="816"/>
      <c r="BH35" s="816"/>
      <c r="BI35" s="816"/>
      <c r="BJ35" s="713"/>
      <c r="BK35" s="816"/>
      <c r="BL35" s="816"/>
      <c r="BM35" s="816"/>
      <c r="BN35" s="713"/>
      <c r="BO35" s="816"/>
      <c r="BP35" s="816"/>
      <c r="BQ35" s="816"/>
      <c r="BR35" s="713"/>
      <c r="BS35" s="816"/>
      <c r="BT35" s="816"/>
    </row>
    <row r="36" spans="1:72" s="151" customFormat="1" ht="13.5" hidden="1" customHeight="1">
      <c r="A36" s="2"/>
      <c r="B36" s="2"/>
      <c r="F36" s="816"/>
      <c r="G36" s="816"/>
      <c r="H36" s="816"/>
      <c r="I36" s="816"/>
      <c r="J36" s="816"/>
      <c r="K36" s="816"/>
      <c r="L36" s="816"/>
      <c r="M36" s="816"/>
      <c r="N36" s="816"/>
      <c r="O36" s="816"/>
      <c r="P36" s="816"/>
      <c r="Q36" s="816"/>
      <c r="R36" s="816"/>
      <c r="S36" s="816"/>
      <c r="T36" s="816"/>
      <c r="U36" s="816"/>
      <c r="V36" s="816"/>
      <c r="W36" s="816"/>
      <c r="X36" s="816"/>
      <c r="Y36" s="816"/>
      <c r="Z36" s="816"/>
      <c r="AA36" s="816"/>
      <c r="AB36" s="816"/>
      <c r="AC36" s="816"/>
      <c r="AD36" s="816"/>
      <c r="AE36" s="816"/>
      <c r="AF36" s="816"/>
      <c r="AG36" s="816"/>
      <c r="AH36" s="816"/>
      <c r="AI36" s="816"/>
      <c r="AJ36" s="816"/>
      <c r="AK36" s="816"/>
      <c r="AL36" s="816"/>
      <c r="AM36" s="816"/>
      <c r="AN36" s="816"/>
      <c r="AO36" s="816"/>
      <c r="AP36" s="816"/>
      <c r="AQ36" s="816"/>
      <c r="AR36" s="816"/>
      <c r="AS36" s="816"/>
      <c r="AT36" s="816"/>
      <c r="AU36" s="816"/>
      <c r="AV36" s="816"/>
      <c r="AW36" s="816"/>
      <c r="AX36" s="713"/>
      <c r="AY36" s="816"/>
      <c r="AZ36" s="816"/>
      <c r="BA36" s="816"/>
      <c r="BB36" s="713"/>
      <c r="BC36" s="816"/>
      <c r="BD36" s="816"/>
      <c r="BE36" s="816"/>
      <c r="BF36" s="713"/>
      <c r="BG36" s="816"/>
      <c r="BH36" s="816"/>
      <c r="BI36" s="816"/>
      <c r="BJ36" s="713"/>
      <c r="BK36" s="816"/>
      <c r="BL36" s="816"/>
      <c r="BM36" s="816"/>
      <c r="BN36" s="713"/>
      <c r="BO36" s="816"/>
      <c r="BP36" s="816"/>
      <c r="BQ36" s="816"/>
      <c r="BR36" s="713"/>
      <c r="BS36" s="816"/>
      <c r="BT36" s="816"/>
    </row>
    <row r="37" spans="1:72" s="151" customFormat="1" ht="13.5" hidden="1" customHeight="1">
      <c r="A37" s="2"/>
      <c r="B37" s="2"/>
      <c r="F37" s="816"/>
      <c r="G37" s="816"/>
      <c r="H37" s="816"/>
      <c r="I37" s="816"/>
      <c r="J37" s="816"/>
      <c r="K37" s="816"/>
      <c r="L37" s="816"/>
      <c r="M37" s="816"/>
      <c r="N37" s="816"/>
      <c r="O37" s="816"/>
      <c r="P37" s="816"/>
      <c r="Q37" s="816"/>
      <c r="R37" s="816"/>
      <c r="S37" s="816"/>
      <c r="T37" s="816"/>
      <c r="U37" s="816"/>
      <c r="V37" s="816"/>
      <c r="W37" s="816"/>
      <c r="X37" s="816"/>
      <c r="Y37" s="816"/>
      <c r="Z37" s="816"/>
      <c r="AA37" s="816"/>
      <c r="AB37" s="816"/>
      <c r="AC37" s="816"/>
      <c r="AD37" s="816"/>
      <c r="AE37" s="816"/>
      <c r="AF37" s="816"/>
      <c r="AG37" s="816"/>
      <c r="AH37" s="816"/>
      <c r="AI37" s="816"/>
      <c r="AJ37" s="816"/>
      <c r="AK37" s="816"/>
      <c r="AL37" s="816"/>
      <c r="AM37" s="816"/>
      <c r="AN37" s="816"/>
      <c r="AO37" s="816"/>
      <c r="AP37" s="816"/>
      <c r="AQ37" s="816"/>
      <c r="AR37" s="816"/>
      <c r="AS37" s="816"/>
      <c r="AT37" s="816"/>
      <c r="AU37" s="816"/>
      <c r="AV37" s="816"/>
      <c r="AW37" s="816"/>
      <c r="AX37" s="713"/>
      <c r="AY37" s="816"/>
      <c r="AZ37" s="816"/>
      <c r="BA37" s="816"/>
      <c r="BB37" s="713"/>
      <c r="BC37" s="816"/>
      <c r="BD37" s="816"/>
      <c r="BE37" s="816"/>
      <c r="BF37" s="713"/>
      <c r="BG37" s="816"/>
      <c r="BH37" s="816"/>
      <c r="BI37" s="816"/>
      <c r="BJ37" s="713"/>
      <c r="BK37" s="816"/>
      <c r="BL37" s="816"/>
      <c r="BM37" s="816"/>
      <c r="BN37" s="713"/>
      <c r="BO37" s="816"/>
      <c r="BP37" s="816"/>
      <c r="BQ37" s="816"/>
      <c r="BR37" s="713"/>
      <c r="BS37" s="816"/>
      <c r="BT37" s="816"/>
    </row>
    <row r="38" spans="1:72" s="151" customFormat="1" ht="13.5" hidden="1" customHeight="1">
      <c r="A38" s="2"/>
      <c r="B38" s="2"/>
      <c r="F38" s="816"/>
      <c r="G38" s="816"/>
      <c r="H38" s="816"/>
      <c r="I38" s="816"/>
      <c r="J38" s="816"/>
      <c r="K38" s="816"/>
      <c r="L38" s="816"/>
      <c r="M38" s="816"/>
      <c r="N38" s="816"/>
      <c r="O38" s="816"/>
      <c r="P38" s="816"/>
      <c r="Q38" s="816"/>
      <c r="R38" s="816"/>
      <c r="S38" s="816"/>
      <c r="T38" s="816"/>
      <c r="U38" s="816"/>
      <c r="V38" s="816"/>
      <c r="W38" s="816"/>
      <c r="X38" s="816"/>
      <c r="Y38" s="816"/>
      <c r="Z38" s="816"/>
      <c r="AA38" s="816"/>
      <c r="AB38" s="816"/>
      <c r="AC38" s="816"/>
      <c r="AD38" s="816"/>
      <c r="AE38" s="816"/>
      <c r="AF38" s="816"/>
      <c r="AG38" s="816"/>
      <c r="AH38" s="816"/>
      <c r="AI38" s="816"/>
      <c r="AJ38" s="816"/>
      <c r="AK38" s="816"/>
      <c r="AL38" s="816"/>
      <c r="AM38" s="816"/>
      <c r="AN38" s="816"/>
      <c r="AO38" s="816"/>
      <c r="AP38" s="816"/>
      <c r="AQ38" s="816"/>
      <c r="AR38" s="816"/>
      <c r="AS38" s="816"/>
      <c r="AT38" s="816"/>
      <c r="AU38" s="816"/>
      <c r="AV38" s="816"/>
      <c r="AW38" s="816"/>
      <c r="AX38" s="713"/>
      <c r="AY38" s="816"/>
      <c r="AZ38" s="816"/>
      <c r="BA38" s="816"/>
      <c r="BB38" s="713"/>
      <c r="BC38" s="816"/>
      <c r="BD38" s="816"/>
      <c r="BE38" s="816"/>
      <c r="BF38" s="713"/>
      <c r="BG38" s="816"/>
      <c r="BH38" s="816"/>
      <c r="BI38" s="816"/>
      <c r="BJ38" s="713"/>
      <c r="BK38" s="816"/>
      <c r="BL38" s="816"/>
      <c r="BM38" s="816"/>
      <c r="BN38" s="713"/>
      <c r="BO38" s="816"/>
      <c r="BP38" s="816"/>
      <c r="BQ38" s="816"/>
      <c r="BR38" s="713"/>
      <c r="BS38" s="816"/>
      <c r="BT38" s="816"/>
    </row>
    <row r="39" spans="1:72" s="151" customFormat="1" ht="13.5" hidden="1" customHeight="1">
      <c r="A39" s="2"/>
      <c r="B39" s="2"/>
      <c r="F39" s="816"/>
      <c r="G39" s="816"/>
      <c r="H39" s="816"/>
      <c r="I39" s="816"/>
      <c r="J39" s="816"/>
      <c r="K39" s="816"/>
      <c r="L39" s="816"/>
      <c r="M39" s="816"/>
      <c r="N39" s="816"/>
      <c r="O39" s="816"/>
      <c r="P39" s="816"/>
      <c r="Q39" s="816"/>
      <c r="R39" s="816"/>
      <c r="S39" s="816"/>
      <c r="T39" s="816"/>
      <c r="U39" s="816"/>
      <c r="V39" s="816"/>
      <c r="W39" s="816"/>
      <c r="X39" s="816"/>
      <c r="Y39" s="816"/>
      <c r="Z39" s="816"/>
      <c r="AA39" s="816"/>
      <c r="AB39" s="816"/>
      <c r="AC39" s="816"/>
      <c r="AD39" s="816"/>
      <c r="AE39" s="816"/>
      <c r="AF39" s="816"/>
      <c r="AG39" s="816"/>
      <c r="AH39" s="816"/>
      <c r="AI39" s="816"/>
      <c r="AJ39" s="816"/>
      <c r="AK39" s="816"/>
      <c r="AL39" s="816"/>
      <c r="AM39" s="816"/>
      <c r="AN39" s="816"/>
      <c r="AO39" s="816"/>
      <c r="AP39" s="816"/>
      <c r="AQ39" s="816"/>
      <c r="AR39" s="816"/>
      <c r="AS39" s="816"/>
      <c r="AT39" s="816"/>
      <c r="AU39" s="816"/>
      <c r="AV39" s="816"/>
      <c r="AW39" s="816"/>
      <c r="AX39" s="713"/>
      <c r="AY39" s="816"/>
      <c r="AZ39" s="816"/>
      <c r="BA39" s="816"/>
      <c r="BB39" s="713"/>
      <c r="BC39" s="816"/>
      <c r="BD39" s="816"/>
      <c r="BE39" s="816"/>
      <c r="BF39" s="713"/>
      <c r="BG39" s="816"/>
      <c r="BH39" s="816"/>
      <c r="BI39" s="816"/>
      <c r="BJ39" s="713"/>
      <c r="BK39" s="816"/>
      <c r="BL39" s="816"/>
      <c r="BM39" s="816"/>
      <c r="BN39" s="713"/>
      <c r="BO39" s="816"/>
      <c r="BP39" s="816"/>
      <c r="BQ39" s="816"/>
      <c r="BR39" s="713"/>
      <c r="BS39" s="816"/>
      <c r="BT39" s="816"/>
    </row>
    <row r="40" spans="1:72" s="151" customFormat="1" ht="13.5" hidden="1" customHeight="1">
      <c r="A40" s="2"/>
      <c r="B40" s="2"/>
      <c r="F40" s="816"/>
      <c r="G40" s="816"/>
      <c r="H40" s="816"/>
      <c r="I40" s="816"/>
      <c r="J40" s="816"/>
      <c r="K40" s="816"/>
      <c r="L40" s="816"/>
      <c r="M40" s="816"/>
      <c r="N40" s="816"/>
      <c r="O40" s="816"/>
      <c r="P40" s="816"/>
      <c r="Q40" s="816"/>
      <c r="R40" s="816"/>
      <c r="S40" s="816"/>
      <c r="T40" s="816"/>
      <c r="U40" s="816"/>
      <c r="V40" s="816"/>
      <c r="W40" s="816"/>
      <c r="X40" s="816"/>
      <c r="Y40" s="816"/>
      <c r="Z40" s="816"/>
      <c r="AA40" s="816"/>
      <c r="AB40" s="816"/>
      <c r="AC40" s="816"/>
      <c r="AD40" s="816"/>
      <c r="AE40" s="816"/>
      <c r="AF40" s="816"/>
      <c r="AG40" s="816"/>
      <c r="AH40" s="816"/>
      <c r="AI40" s="816"/>
      <c r="AJ40" s="816"/>
      <c r="AK40" s="816"/>
      <c r="AL40" s="816"/>
      <c r="AM40" s="816"/>
      <c r="AN40" s="816"/>
      <c r="AO40" s="816"/>
      <c r="AP40" s="816"/>
      <c r="AQ40" s="816"/>
      <c r="AR40" s="816"/>
      <c r="AS40" s="816"/>
      <c r="AT40" s="816"/>
      <c r="AU40" s="816"/>
      <c r="AV40" s="816"/>
      <c r="AW40" s="816"/>
      <c r="AX40" s="713"/>
      <c r="AY40" s="816"/>
      <c r="AZ40" s="816"/>
      <c r="BA40" s="816"/>
      <c r="BB40" s="713"/>
      <c r="BC40" s="816"/>
      <c r="BD40" s="816"/>
      <c r="BE40" s="816"/>
      <c r="BF40" s="713"/>
      <c r="BG40" s="816"/>
      <c r="BH40" s="816"/>
      <c r="BI40" s="816"/>
      <c r="BJ40" s="713"/>
      <c r="BK40" s="816"/>
      <c r="BL40" s="816"/>
      <c r="BM40" s="816"/>
      <c r="BN40" s="713"/>
      <c r="BO40" s="816"/>
      <c r="BP40" s="816"/>
      <c r="BQ40" s="816"/>
      <c r="BR40" s="713"/>
      <c r="BS40" s="816"/>
      <c r="BT40" s="816"/>
    </row>
    <row r="41" spans="1:72" s="151" customFormat="1" ht="13.5" hidden="1" customHeight="1">
      <c r="A41" s="2"/>
      <c r="B41" s="2"/>
      <c r="F41" s="816"/>
      <c r="G41" s="816"/>
      <c r="H41" s="816"/>
      <c r="I41" s="816"/>
      <c r="J41" s="816"/>
      <c r="K41" s="816"/>
      <c r="L41" s="816"/>
      <c r="M41" s="816"/>
      <c r="N41" s="816"/>
      <c r="O41" s="816"/>
      <c r="P41" s="816"/>
      <c r="Q41" s="816"/>
      <c r="R41" s="816"/>
      <c r="S41" s="816"/>
      <c r="T41" s="816"/>
      <c r="U41" s="816"/>
      <c r="V41" s="816"/>
      <c r="W41" s="816"/>
      <c r="X41" s="816"/>
      <c r="Y41" s="816"/>
      <c r="Z41" s="816"/>
      <c r="AA41" s="816"/>
      <c r="AB41" s="816"/>
      <c r="AC41" s="816"/>
      <c r="AD41" s="816"/>
      <c r="AE41" s="816"/>
      <c r="AF41" s="816"/>
      <c r="AG41" s="816"/>
      <c r="AH41" s="816"/>
      <c r="AI41" s="816"/>
      <c r="AJ41" s="816"/>
      <c r="AK41" s="816"/>
      <c r="AL41" s="816"/>
      <c r="AM41" s="816"/>
      <c r="AN41" s="816"/>
      <c r="AO41" s="816"/>
      <c r="AP41" s="816"/>
      <c r="AQ41" s="816"/>
      <c r="AR41" s="816"/>
      <c r="AS41" s="816"/>
      <c r="AT41" s="816"/>
      <c r="AU41" s="816"/>
      <c r="AV41" s="816"/>
      <c r="AW41" s="816"/>
      <c r="AX41" s="713"/>
      <c r="AY41" s="816"/>
      <c r="AZ41" s="816"/>
      <c r="BA41" s="816"/>
      <c r="BB41" s="713"/>
      <c r="BC41" s="816"/>
      <c r="BD41" s="816"/>
      <c r="BE41" s="816"/>
      <c r="BF41" s="713"/>
      <c r="BG41" s="816"/>
      <c r="BH41" s="816"/>
      <c r="BI41" s="816"/>
      <c r="BJ41" s="713"/>
      <c r="BK41" s="816"/>
      <c r="BL41" s="816"/>
      <c r="BM41" s="816"/>
      <c r="BN41" s="713"/>
      <c r="BO41" s="816"/>
      <c r="BP41" s="816"/>
      <c r="BQ41" s="816"/>
      <c r="BR41" s="713"/>
      <c r="BS41" s="816"/>
      <c r="BT41" s="816"/>
    </row>
    <row r="42" spans="1:72" s="151" customFormat="1" ht="13.5" hidden="1" customHeight="1">
      <c r="A42" s="2"/>
      <c r="B42" s="2"/>
      <c r="F42" s="816"/>
      <c r="G42" s="816"/>
      <c r="H42" s="816"/>
      <c r="I42" s="816"/>
      <c r="J42" s="816"/>
      <c r="K42" s="816"/>
      <c r="L42" s="816"/>
      <c r="M42" s="816"/>
      <c r="N42" s="816"/>
      <c r="O42" s="816"/>
      <c r="P42" s="816"/>
      <c r="Q42" s="816"/>
      <c r="R42" s="816"/>
      <c r="S42" s="816"/>
      <c r="T42" s="816"/>
      <c r="U42" s="816"/>
      <c r="V42" s="816"/>
      <c r="W42" s="816"/>
      <c r="X42" s="816"/>
      <c r="Y42" s="816"/>
      <c r="Z42" s="816"/>
      <c r="AA42" s="816"/>
      <c r="AB42" s="816"/>
      <c r="AC42" s="816"/>
      <c r="AD42" s="816"/>
      <c r="AE42" s="816"/>
      <c r="AF42" s="816"/>
      <c r="AG42" s="816"/>
      <c r="AH42" s="816"/>
      <c r="AI42" s="816"/>
      <c r="AJ42" s="816"/>
      <c r="AK42" s="816"/>
      <c r="AL42" s="816"/>
      <c r="AM42" s="816"/>
      <c r="AN42" s="816"/>
      <c r="AO42" s="816"/>
      <c r="AP42" s="816"/>
      <c r="AQ42" s="816"/>
      <c r="AR42" s="816"/>
      <c r="AS42" s="816"/>
      <c r="AT42" s="816"/>
      <c r="AU42" s="816"/>
      <c r="AV42" s="816"/>
      <c r="AW42" s="816"/>
      <c r="AX42" s="713"/>
      <c r="AY42" s="816"/>
      <c r="AZ42" s="816"/>
      <c r="BA42" s="816"/>
      <c r="BB42" s="713"/>
      <c r="BC42" s="816"/>
      <c r="BD42" s="816"/>
      <c r="BE42" s="816"/>
      <c r="BF42" s="713"/>
      <c r="BG42" s="816"/>
      <c r="BH42" s="816"/>
      <c r="BI42" s="816"/>
      <c r="BJ42" s="713"/>
      <c r="BK42" s="816"/>
      <c r="BL42" s="816"/>
      <c r="BM42" s="816"/>
      <c r="BN42" s="713"/>
      <c r="BO42" s="816"/>
      <c r="BP42" s="816"/>
      <c r="BQ42" s="816"/>
      <c r="BR42" s="713"/>
      <c r="BS42" s="816"/>
      <c r="BT42" s="816"/>
    </row>
    <row r="43" spans="1:72" s="151" customFormat="1" ht="13.5" hidden="1" customHeight="1">
      <c r="A43" s="2"/>
      <c r="B43" s="2"/>
      <c r="F43" s="816"/>
      <c r="G43" s="816"/>
      <c r="H43" s="816"/>
      <c r="I43" s="816"/>
      <c r="J43" s="816"/>
      <c r="K43" s="816"/>
      <c r="L43" s="816"/>
      <c r="M43" s="816"/>
      <c r="N43" s="816"/>
      <c r="O43" s="816"/>
      <c r="P43" s="816"/>
      <c r="Q43" s="816"/>
      <c r="R43" s="816"/>
      <c r="S43" s="816"/>
      <c r="T43" s="816"/>
      <c r="U43" s="816"/>
      <c r="V43" s="816"/>
      <c r="W43" s="816"/>
      <c r="X43" s="816"/>
      <c r="Y43" s="816"/>
      <c r="Z43" s="816"/>
      <c r="AA43" s="816"/>
      <c r="AB43" s="816"/>
      <c r="AC43" s="816"/>
      <c r="AD43" s="816"/>
      <c r="AE43" s="816"/>
      <c r="AF43" s="816"/>
      <c r="AG43" s="816"/>
      <c r="AH43" s="816"/>
      <c r="AI43" s="816"/>
      <c r="AJ43" s="816"/>
      <c r="AK43" s="816"/>
      <c r="AL43" s="816"/>
      <c r="AM43" s="816"/>
      <c r="AN43" s="816"/>
      <c r="AO43" s="816"/>
      <c r="AP43" s="816"/>
      <c r="AQ43" s="816"/>
      <c r="AR43" s="816"/>
      <c r="AS43" s="816"/>
      <c r="AT43" s="816"/>
      <c r="AU43" s="816"/>
      <c r="AV43" s="816"/>
      <c r="AW43" s="816"/>
      <c r="AX43" s="713"/>
      <c r="AY43" s="816"/>
      <c r="AZ43" s="816"/>
      <c r="BA43" s="816"/>
      <c r="BB43" s="713"/>
      <c r="BC43" s="816"/>
      <c r="BD43" s="816"/>
      <c r="BE43" s="816"/>
      <c r="BF43" s="713"/>
      <c r="BG43" s="816"/>
      <c r="BH43" s="816"/>
      <c r="BI43" s="816"/>
      <c r="BJ43" s="713"/>
      <c r="BK43" s="816"/>
      <c r="BL43" s="816"/>
      <c r="BM43" s="816"/>
      <c r="BN43" s="713"/>
      <c r="BO43" s="816"/>
      <c r="BP43" s="816"/>
      <c r="BQ43" s="816"/>
      <c r="BR43" s="713"/>
      <c r="BS43" s="816"/>
      <c r="BT43" s="816"/>
    </row>
    <row r="44" spans="1:72" s="151" customFormat="1" ht="13.5" hidden="1" customHeight="1">
      <c r="A44" s="2"/>
      <c r="B44" s="2"/>
      <c r="F44" s="816"/>
      <c r="G44" s="816"/>
      <c r="H44" s="816"/>
      <c r="I44" s="816"/>
      <c r="J44" s="816"/>
      <c r="K44" s="816"/>
      <c r="L44" s="816"/>
      <c r="M44" s="816"/>
      <c r="N44" s="816"/>
      <c r="O44" s="816"/>
      <c r="P44" s="816"/>
      <c r="Q44" s="816"/>
      <c r="R44" s="816"/>
      <c r="S44" s="816"/>
      <c r="T44" s="816"/>
      <c r="U44" s="816"/>
      <c r="V44" s="816"/>
      <c r="W44" s="816"/>
      <c r="X44" s="816"/>
      <c r="Y44" s="816"/>
      <c r="Z44" s="816"/>
      <c r="AA44" s="816"/>
      <c r="AB44" s="816"/>
      <c r="AC44" s="816"/>
      <c r="AD44" s="816"/>
      <c r="AE44" s="816"/>
      <c r="AF44" s="816"/>
      <c r="AG44" s="816"/>
      <c r="AH44" s="816"/>
      <c r="AI44" s="816"/>
      <c r="AJ44" s="816"/>
      <c r="AK44" s="816"/>
      <c r="AL44" s="816"/>
      <c r="AM44" s="816"/>
      <c r="AN44" s="816"/>
      <c r="AO44" s="816"/>
      <c r="AP44" s="816"/>
      <c r="AQ44" s="816"/>
      <c r="AR44" s="816"/>
      <c r="AS44" s="816"/>
      <c r="AT44" s="816"/>
      <c r="AU44" s="816"/>
      <c r="AV44" s="816"/>
      <c r="AW44" s="816"/>
      <c r="AX44" s="713"/>
      <c r="AY44" s="816"/>
      <c r="AZ44" s="816"/>
      <c r="BA44" s="816"/>
      <c r="BB44" s="713"/>
      <c r="BC44" s="816"/>
      <c r="BD44" s="816"/>
      <c r="BE44" s="816"/>
      <c r="BF44" s="713"/>
      <c r="BG44" s="816"/>
      <c r="BH44" s="816"/>
      <c r="BI44" s="816"/>
      <c r="BJ44" s="713"/>
      <c r="BK44" s="816"/>
      <c r="BL44" s="816"/>
      <c r="BM44" s="816"/>
      <c r="BN44" s="713"/>
      <c r="BO44" s="816"/>
      <c r="BP44" s="816"/>
      <c r="BQ44" s="816"/>
      <c r="BR44" s="713"/>
      <c r="BS44" s="816"/>
      <c r="BT44" s="816"/>
    </row>
    <row r="45" spans="1:72" s="151" customFormat="1" ht="13.5" hidden="1" customHeight="1">
      <c r="A45" s="2"/>
      <c r="B45" s="2"/>
      <c r="F45" s="816"/>
      <c r="G45" s="816"/>
      <c r="H45" s="816"/>
      <c r="I45" s="816"/>
      <c r="J45" s="816"/>
      <c r="K45" s="816"/>
      <c r="L45" s="816"/>
      <c r="M45" s="816"/>
      <c r="N45" s="816"/>
      <c r="O45" s="816"/>
      <c r="P45" s="816"/>
      <c r="Q45" s="816"/>
      <c r="R45" s="816"/>
      <c r="S45" s="816"/>
      <c r="T45" s="816"/>
      <c r="U45" s="816"/>
      <c r="V45" s="816"/>
      <c r="W45" s="816"/>
      <c r="X45" s="816"/>
      <c r="Y45" s="816"/>
      <c r="Z45" s="816"/>
      <c r="AA45" s="816"/>
      <c r="AB45" s="816"/>
      <c r="AC45" s="816"/>
      <c r="AD45" s="816"/>
      <c r="AE45" s="816"/>
      <c r="AF45" s="816"/>
      <c r="AG45" s="816"/>
      <c r="AH45" s="816"/>
      <c r="AI45" s="816"/>
      <c r="AJ45" s="816"/>
      <c r="AK45" s="816"/>
      <c r="AL45" s="816"/>
      <c r="AM45" s="816"/>
      <c r="AN45" s="816"/>
      <c r="AO45" s="816"/>
      <c r="AP45" s="816"/>
      <c r="AQ45" s="816"/>
      <c r="AR45" s="816"/>
      <c r="AS45" s="816"/>
      <c r="AT45" s="816"/>
      <c r="AU45" s="816"/>
      <c r="AV45" s="816"/>
      <c r="AW45" s="816"/>
      <c r="AX45" s="713"/>
      <c r="AY45" s="816"/>
      <c r="AZ45" s="816"/>
      <c r="BA45" s="816"/>
      <c r="BB45" s="713"/>
      <c r="BC45" s="816"/>
      <c r="BD45" s="816"/>
      <c r="BE45" s="816"/>
      <c r="BF45" s="713"/>
      <c r="BG45" s="816"/>
      <c r="BH45" s="816"/>
      <c r="BI45" s="816"/>
      <c r="BJ45" s="713"/>
      <c r="BK45" s="816"/>
      <c r="BL45" s="816"/>
      <c r="BM45" s="816"/>
      <c r="BN45" s="713"/>
      <c r="BO45" s="816"/>
      <c r="BP45" s="816"/>
      <c r="BQ45" s="816"/>
      <c r="BR45" s="713"/>
      <c r="BS45" s="816"/>
      <c r="BT45" s="816"/>
    </row>
    <row r="46" spans="1:72" s="151" customFormat="1" ht="13.5" hidden="1" customHeight="1">
      <c r="A46" s="2"/>
      <c r="B46" s="2"/>
      <c r="F46" s="816"/>
      <c r="G46" s="816"/>
      <c r="H46" s="816"/>
      <c r="I46" s="816"/>
      <c r="J46" s="816"/>
      <c r="K46" s="816"/>
      <c r="L46" s="816"/>
      <c r="M46" s="816"/>
      <c r="N46" s="816"/>
      <c r="O46" s="816"/>
      <c r="P46" s="816"/>
      <c r="Q46" s="816"/>
      <c r="R46" s="816"/>
      <c r="S46" s="816"/>
      <c r="T46" s="816"/>
      <c r="U46" s="816"/>
      <c r="V46" s="816"/>
      <c r="W46" s="816"/>
      <c r="X46" s="816"/>
      <c r="Y46" s="816"/>
      <c r="Z46" s="816"/>
      <c r="AA46" s="816"/>
      <c r="AB46" s="816"/>
      <c r="AC46" s="816"/>
      <c r="AD46" s="816"/>
      <c r="AE46" s="816"/>
      <c r="AF46" s="816"/>
      <c r="AG46" s="816"/>
      <c r="AH46" s="816"/>
      <c r="AI46" s="816"/>
      <c r="AJ46" s="816"/>
      <c r="AK46" s="816"/>
      <c r="AL46" s="816"/>
      <c r="AM46" s="816"/>
      <c r="AN46" s="816"/>
      <c r="AO46" s="816"/>
      <c r="AP46" s="816"/>
      <c r="AQ46" s="816"/>
      <c r="AR46" s="816"/>
      <c r="AS46" s="816"/>
      <c r="AT46" s="816"/>
      <c r="AU46" s="816"/>
      <c r="AV46" s="816"/>
      <c r="AW46" s="816"/>
      <c r="AX46" s="713"/>
      <c r="AY46" s="816"/>
      <c r="AZ46" s="816"/>
      <c r="BA46" s="816"/>
      <c r="BB46" s="713"/>
      <c r="BC46" s="816"/>
      <c r="BD46" s="816"/>
      <c r="BE46" s="816"/>
      <c r="BF46" s="713"/>
      <c r="BG46" s="816"/>
      <c r="BH46" s="816"/>
      <c r="BI46" s="816"/>
      <c r="BJ46" s="713"/>
      <c r="BK46" s="816"/>
      <c r="BL46" s="816"/>
      <c r="BM46" s="816"/>
      <c r="BN46" s="713"/>
      <c r="BO46" s="816"/>
      <c r="BP46" s="816"/>
      <c r="BQ46" s="816"/>
      <c r="BR46" s="713"/>
      <c r="BS46" s="816"/>
      <c r="BT46" s="816"/>
    </row>
    <row r="47" spans="1:72" s="151" customFormat="1" ht="13.5" hidden="1" customHeight="1">
      <c r="A47" s="2"/>
      <c r="B47" s="2"/>
      <c r="F47" s="816"/>
      <c r="G47" s="816"/>
      <c r="H47" s="816"/>
      <c r="I47" s="816"/>
      <c r="J47" s="816"/>
      <c r="K47" s="816"/>
      <c r="L47" s="816"/>
      <c r="M47" s="816"/>
      <c r="N47" s="816"/>
      <c r="O47" s="816"/>
      <c r="P47" s="816"/>
      <c r="Q47" s="816"/>
      <c r="R47" s="816"/>
      <c r="S47" s="816"/>
      <c r="T47" s="816"/>
      <c r="U47" s="816"/>
      <c r="V47" s="816"/>
      <c r="W47" s="816"/>
      <c r="X47" s="816"/>
      <c r="Y47" s="816"/>
      <c r="Z47" s="816"/>
      <c r="AA47" s="816"/>
      <c r="AB47" s="816"/>
      <c r="AC47" s="816"/>
      <c r="AD47" s="816"/>
      <c r="AE47" s="816"/>
      <c r="AF47" s="816"/>
      <c r="AG47" s="816"/>
      <c r="AH47" s="816"/>
      <c r="AI47" s="816"/>
      <c r="AJ47" s="816"/>
      <c r="AK47" s="816"/>
      <c r="AL47" s="816"/>
      <c r="AM47" s="816"/>
      <c r="AN47" s="816"/>
      <c r="AO47" s="816"/>
      <c r="AP47" s="816"/>
      <c r="AQ47" s="816"/>
      <c r="AR47" s="816"/>
      <c r="AS47" s="816"/>
      <c r="AT47" s="816"/>
      <c r="AU47" s="816"/>
      <c r="AV47" s="816"/>
      <c r="AW47" s="816"/>
      <c r="AX47" s="713"/>
      <c r="AY47" s="816"/>
      <c r="AZ47" s="816"/>
      <c r="BA47" s="816"/>
      <c r="BB47" s="713"/>
      <c r="BC47" s="816"/>
      <c r="BD47" s="816"/>
      <c r="BE47" s="816"/>
      <c r="BF47" s="713"/>
      <c r="BG47" s="816"/>
      <c r="BH47" s="816"/>
      <c r="BI47" s="816"/>
      <c r="BJ47" s="713"/>
      <c r="BK47" s="816"/>
      <c r="BL47" s="816"/>
      <c r="BM47" s="816"/>
      <c r="BN47" s="713"/>
      <c r="BO47" s="816"/>
      <c r="BP47" s="816"/>
      <c r="BQ47" s="816"/>
      <c r="BR47" s="713"/>
      <c r="BS47" s="816"/>
      <c r="BT47" s="816"/>
    </row>
    <row r="48" spans="1:72" s="151" customFormat="1" ht="13.5" hidden="1" customHeight="1">
      <c r="A48" s="2"/>
      <c r="B48" s="2"/>
      <c r="F48" s="816"/>
      <c r="G48" s="816"/>
      <c r="H48" s="816"/>
      <c r="I48" s="816"/>
      <c r="J48" s="816"/>
      <c r="K48" s="816"/>
      <c r="L48" s="816"/>
      <c r="M48" s="816"/>
      <c r="N48" s="816"/>
      <c r="O48" s="816"/>
      <c r="P48" s="816"/>
      <c r="Q48" s="816"/>
      <c r="R48" s="816"/>
      <c r="S48" s="816"/>
      <c r="T48" s="816"/>
      <c r="U48" s="816"/>
      <c r="V48" s="816"/>
      <c r="W48" s="816"/>
      <c r="X48" s="816"/>
      <c r="Y48" s="816"/>
      <c r="Z48" s="816"/>
      <c r="AA48" s="816"/>
      <c r="AB48" s="816"/>
      <c r="AC48" s="816"/>
      <c r="AD48" s="816"/>
      <c r="AE48" s="816"/>
      <c r="AF48" s="816"/>
      <c r="AG48" s="816"/>
      <c r="AH48" s="816"/>
      <c r="AI48" s="816"/>
      <c r="AJ48" s="816"/>
      <c r="AK48" s="816"/>
      <c r="AL48" s="816"/>
      <c r="AM48" s="816"/>
      <c r="AN48" s="816"/>
      <c r="AO48" s="816"/>
      <c r="AP48" s="816"/>
      <c r="AQ48" s="816"/>
      <c r="AR48" s="816"/>
      <c r="AS48" s="816"/>
      <c r="AT48" s="816"/>
      <c r="AU48" s="816"/>
      <c r="AV48" s="816"/>
      <c r="AW48" s="816"/>
      <c r="AX48" s="713"/>
      <c r="AY48" s="816"/>
      <c r="AZ48" s="816"/>
      <c r="BA48" s="816"/>
      <c r="BB48" s="713"/>
      <c r="BC48" s="816"/>
      <c r="BD48" s="816"/>
      <c r="BE48" s="816"/>
      <c r="BF48" s="713"/>
      <c r="BG48" s="816"/>
      <c r="BH48" s="816"/>
      <c r="BI48" s="816"/>
      <c r="BJ48" s="713"/>
      <c r="BK48" s="816"/>
      <c r="BL48" s="816"/>
      <c r="BM48" s="816"/>
      <c r="BN48" s="713"/>
      <c r="BO48" s="816"/>
      <c r="BP48" s="816"/>
      <c r="BQ48" s="816"/>
      <c r="BR48" s="713"/>
      <c r="BS48" s="816"/>
      <c r="BT48" s="816"/>
    </row>
    <row r="49" spans="1:72" s="151" customFormat="1" ht="13.5" hidden="1" customHeight="1">
      <c r="A49" s="2"/>
      <c r="B49" s="2"/>
      <c r="F49" s="816"/>
      <c r="G49" s="816"/>
      <c r="H49" s="816"/>
      <c r="I49" s="816"/>
      <c r="J49" s="816"/>
      <c r="K49" s="816"/>
      <c r="L49" s="816"/>
      <c r="M49" s="816"/>
      <c r="N49" s="816"/>
      <c r="O49" s="816"/>
      <c r="P49" s="816"/>
      <c r="Q49" s="816"/>
      <c r="R49" s="816"/>
      <c r="S49" s="816"/>
      <c r="T49" s="816"/>
      <c r="U49" s="816"/>
      <c r="V49" s="816"/>
      <c r="W49" s="816"/>
      <c r="X49" s="816"/>
      <c r="Y49" s="816"/>
      <c r="Z49" s="816"/>
      <c r="AA49" s="816"/>
      <c r="AB49" s="816"/>
      <c r="AC49" s="816"/>
      <c r="AD49" s="816"/>
      <c r="AE49" s="816"/>
      <c r="AF49" s="816"/>
      <c r="AG49" s="816"/>
      <c r="AH49" s="816"/>
      <c r="AI49" s="816"/>
      <c r="AJ49" s="816"/>
      <c r="AK49" s="816"/>
      <c r="AL49" s="816"/>
      <c r="AM49" s="816"/>
      <c r="AN49" s="816"/>
      <c r="AO49" s="816"/>
      <c r="AP49" s="816"/>
      <c r="AQ49" s="816"/>
      <c r="AR49" s="816"/>
      <c r="AS49" s="816"/>
      <c r="AT49" s="816"/>
      <c r="AU49" s="816"/>
      <c r="AV49" s="816"/>
      <c r="AW49" s="816"/>
      <c r="AX49" s="713"/>
      <c r="AY49" s="816"/>
      <c r="AZ49" s="816"/>
      <c r="BA49" s="816"/>
      <c r="BB49" s="713"/>
      <c r="BC49" s="816"/>
      <c r="BD49" s="816"/>
      <c r="BE49" s="816"/>
      <c r="BF49" s="713"/>
      <c r="BG49" s="816"/>
      <c r="BH49" s="816"/>
      <c r="BI49" s="816"/>
      <c r="BJ49" s="713"/>
      <c r="BK49" s="816"/>
      <c r="BL49" s="816"/>
      <c r="BM49" s="816"/>
      <c r="BN49" s="713"/>
      <c r="BO49" s="816"/>
      <c r="BP49" s="816"/>
      <c r="BQ49" s="816"/>
      <c r="BR49" s="713"/>
      <c r="BS49" s="816"/>
      <c r="BT49" s="816"/>
    </row>
    <row r="50" spans="1:72" s="151" customFormat="1" ht="13.5" hidden="1" customHeight="1">
      <c r="A50" s="2"/>
      <c r="B50" s="2"/>
      <c r="F50" s="816"/>
      <c r="G50" s="816"/>
      <c r="H50" s="816"/>
      <c r="I50" s="816"/>
      <c r="J50" s="816"/>
      <c r="K50" s="816"/>
      <c r="L50" s="816"/>
      <c r="M50" s="816"/>
      <c r="N50" s="816"/>
      <c r="O50" s="816"/>
      <c r="P50" s="816"/>
      <c r="Q50" s="816"/>
      <c r="R50" s="816"/>
      <c r="S50" s="816"/>
      <c r="T50" s="816"/>
      <c r="U50" s="816"/>
      <c r="V50" s="816"/>
      <c r="W50" s="816"/>
      <c r="X50" s="816"/>
      <c r="Y50" s="816"/>
      <c r="Z50" s="816"/>
      <c r="AA50" s="816"/>
      <c r="AB50" s="816"/>
      <c r="AC50" s="816"/>
      <c r="AD50" s="816"/>
      <c r="AE50" s="816"/>
      <c r="AF50" s="816"/>
      <c r="AG50" s="816"/>
      <c r="AH50" s="816"/>
      <c r="AI50" s="816"/>
      <c r="AJ50" s="816"/>
      <c r="AK50" s="816"/>
      <c r="AL50" s="816"/>
      <c r="AM50" s="816"/>
      <c r="AN50" s="816"/>
      <c r="AO50" s="816"/>
      <c r="AP50" s="816"/>
      <c r="AQ50" s="816"/>
      <c r="AR50" s="816"/>
      <c r="AS50" s="816"/>
      <c r="AT50" s="816"/>
      <c r="AU50" s="816"/>
      <c r="AV50" s="816"/>
      <c r="AW50" s="816"/>
      <c r="AX50" s="713"/>
      <c r="AY50" s="816"/>
      <c r="AZ50" s="816"/>
      <c r="BA50" s="816"/>
      <c r="BB50" s="713"/>
      <c r="BC50" s="816"/>
      <c r="BD50" s="816"/>
      <c r="BE50" s="816"/>
      <c r="BF50" s="713"/>
      <c r="BG50" s="816"/>
      <c r="BH50" s="816"/>
      <c r="BI50" s="816"/>
      <c r="BJ50" s="713"/>
      <c r="BK50" s="816"/>
      <c r="BL50" s="816"/>
      <c r="BM50" s="816"/>
      <c r="BN50" s="713"/>
      <c r="BO50" s="816"/>
      <c r="BP50" s="816"/>
      <c r="BQ50" s="816"/>
      <c r="BR50" s="713"/>
      <c r="BS50" s="816"/>
      <c r="BT50" s="816"/>
    </row>
    <row r="51" spans="1:72" s="151" customFormat="1" ht="13.5" hidden="1" customHeight="1">
      <c r="A51" s="2"/>
      <c r="B51" s="2"/>
      <c r="F51" s="816"/>
      <c r="G51" s="816"/>
      <c r="H51" s="816"/>
      <c r="I51" s="816"/>
      <c r="J51" s="816"/>
      <c r="K51" s="816"/>
      <c r="L51" s="816"/>
      <c r="M51" s="816"/>
      <c r="N51" s="816"/>
      <c r="O51" s="816"/>
      <c r="P51" s="816"/>
      <c r="Q51" s="816"/>
      <c r="R51" s="816"/>
      <c r="S51" s="816"/>
      <c r="T51" s="816"/>
      <c r="U51" s="816"/>
      <c r="V51" s="816"/>
      <c r="W51" s="816"/>
      <c r="X51" s="816"/>
      <c r="Y51" s="816"/>
      <c r="Z51" s="816"/>
      <c r="AA51" s="816"/>
      <c r="AB51" s="816"/>
      <c r="AC51" s="816"/>
      <c r="AD51" s="816"/>
      <c r="AE51" s="816"/>
      <c r="AF51" s="816"/>
      <c r="AG51" s="816"/>
      <c r="AH51" s="816"/>
      <c r="AI51" s="816"/>
      <c r="AJ51" s="816"/>
      <c r="AK51" s="816"/>
      <c r="AL51" s="816"/>
      <c r="AM51" s="816"/>
      <c r="AN51" s="816"/>
      <c r="AO51" s="816"/>
      <c r="AP51" s="816"/>
      <c r="AQ51" s="816"/>
      <c r="AR51" s="816"/>
      <c r="AS51" s="816"/>
      <c r="AT51" s="816"/>
      <c r="AU51" s="816"/>
      <c r="AV51" s="816"/>
      <c r="AW51" s="816"/>
      <c r="AX51" s="713"/>
      <c r="AY51" s="816"/>
      <c r="AZ51" s="816"/>
      <c r="BA51" s="816"/>
      <c r="BB51" s="713"/>
      <c r="BC51" s="816"/>
      <c r="BD51" s="816"/>
      <c r="BE51" s="816"/>
      <c r="BF51" s="713"/>
      <c r="BG51" s="816"/>
      <c r="BH51" s="816"/>
      <c r="BI51" s="816"/>
      <c r="BJ51" s="713"/>
      <c r="BK51" s="816"/>
      <c r="BL51" s="816"/>
      <c r="BM51" s="816"/>
      <c r="BN51" s="713"/>
      <c r="BO51" s="816"/>
      <c r="BP51" s="816"/>
      <c r="BQ51" s="816"/>
      <c r="BR51" s="713"/>
      <c r="BS51" s="816"/>
      <c r="BT51" s="816"/>
    </row>
    <row r="52" spans="1:72" s="151" customFormat="1" ht="13.5" hidden="1" customHeight="1">
      <c r="A52" s="2"/>
      <c r="B52" s="2"/>
      <c r="F52" s="816"/>
      <c r="G52" s="816"/>
      <c r="H52" s="816"/>
      <c r="I52" s="816"/>
      <c r="J52" s="816"/>
      <c r="K52" s="816"/>
      <c r="L52" s="816"/>
      <c r="M52" s="816"/>
      <c r="N52" s="816"/>
      <c r="O52" s="816"/>
      <c r="P52" s="816"/>
      <c r="Q52" s="816"/>
      <c r="R52" s="816"/>
      <c r="S52" s="816"/>
      <c r="T52" s="816"/>
      <c r="U52" s="816"/>
      <c r="V52" s="816"/>
      <c r="W52" s="816"/>
      <c r="X52" s="816"/>
      <c r="Y52" s="816"/>
      <c r="Z52" s="816"/>
      <c r="AA52" s="816"/>
      <c r="AB52" s="816"/>
      <c r="AC52" s="816"/>
      <c r="AD52" s="816"/>
      <c r="AE52" s="816"/>
      <c r="AF52" s="816"/>
      <c r="AG52" s="816"/>
      <c r="AH52" s="816"/>
      <c r="AI52" s="816"/>
      <c r="AJ52" s="816"/>
      <c r="AK52" s="816"/>
      <c r="AL52" s="816"/>
      <c r="AM52" s="816"/>
      <c r="AN52" s="816"/>
      <c r="AO52" s="816"/>
      <c r="AP52" s="816"/>
      <c r="AQ52" s="816"/>
      <c r="AR52" s="816"/>
      <c r="AS52" s="816"/>
      <c r="AT52" s="816"/>
      <c r="AU52" s="816"/>
      <c r="AV52" s="816"/>
      <c r="AW52" s="816"/>
      <c r="AX52" s="713"/>
      <c r="AY52" s="816"/>
      <c r="AZ52" s="816"/>
      <c r="BA52" s="816"/>
      <c r="BB52" s="713"/>
      <c r="BC52" s="816"/>
      <c r="BD52" s="816"/>
      <c r="BE52" s="816"/>
      <c r="BF52" s="713"/>
      <c r="BG52" s="816"/>
      <c r="BH52" s="816"/>
      <c r="BI52" s="816"/>
      <c r="BJ52" s="713"/>
      <c r="BK52" s="816"/>
      <c r="BL52" s="816"/>
      <c r="BM52" s="816"/>
      <c r="BN52" s="713"/>
      <c r="BO52" s="816"/>
      <c r="BP52" s="816"/>
      <c r="BQ52" s="816"/>
      <c r="BR52" s="713"/>
      <c r="BS52" s="816"/>
      <c r="BT52" s="816"/>
    </row>
    <row r="53" spans="1:72" s="151" customFormat="1" ht="13.5" hidden="1" customHeight="1">
      <c r="A53" s="2"/>
      <c r="B53" s="2"/>
      <c r="F53" s="816"/>
      <c r="G53" s="816"/>
      <c r="H53" s="816"/>
      <c r="I53" s="816"/>
      <c r="J53" s="816"/>
      <c r="K53" s="816"/>
      <c r="L53" s="816"/>
      <c r="M53" s="816"/>
      <c r="N53" s="816"/>
      <c r="O53" s="816"/>
      <c r="P53" s="816"/>
      <c r="Q53" s="816"/>
      <c r="R53" s="816"/>
      <c r="S53" s="816"/>
      <c r="T53" s="816"/>
      <c r="U53" s="816"/>
      <c r="V53" s="816"/>
      <c r="W53" s="816"/>
      <c r="X53" s="816"/>
      <c r="Y53" s="816"/>
      <c r="Z53" s="816"/>
      <c r="AA53" s="816"/>
      <c r="AB53" s="816"/>
      <c r="AC53" s="816"/>
      <c r="AD53" s="816"/>
      <c r="AE53" s="816"/>
      <c r="AF53" s="816"/>
      <c r="AG53" s="816"/>
      <c r="AH53" s="816"/>
      <c r="AI53" s="816"/>
      <c r="AJ53" s="816"/>
      <c r="AK53" s="816"/>
      <c r="AL53" s="816"/>
      <c r="AM53" s="816"/>
      <c r="AN53" s="816"/>
      <c r="AO53" s="816"/>
      <c r="AP53" s="816"/>
      <c r="AQ53" s="816"/>
      <c r="AR53" s="816"/>
      <c r="AS53" s="816"/>
      <c r="AT53" s="816"/>
      <c r="AU53" s="816"/>
      <c r="AV53" s="816"/>
      <c r="AW53" s="816"/>
      <c r="AX53" s="713"/>
      <c r="AY53" s="816"/>
      <c r="AZ53" s="816"/>
      <c r="BA53" s="816"/>
      <c r="BB53" s="713"/>
      <c r="BC53" s="816"/>
      <c r="BD53" s="816"/>
      <c r="BE53" s="816"/>
      <c r="BF53" s="713"/>
      <c r="BG53" s="816"/>
      <c r="BH53" s="816"/>
      <c r="BI53" s="816"/>
      <c r="BJ53" s="713"/>
      <c r="BK53" s="816"/>
      <c r="BL53" s="816"/>
      <c r="BM53" s="816"/>
      <c r="BN53" s="713"/>
      <c r="BO53" s="816"/>
      <c r="BP53" s="816"/>
      <c r="BQ53" s="816"/>
      <c r="BR53" s="713"/>
      <c r="BS53" s="816"/>
      <c r="BT53" s="816"/>
    </row>
    <row r="54" spans="1:72" s="151" customFormat="1" ht="13.5" hidden="1" customHeight="1">
      <c r="A54" s="2"/>
      <c r="B54" s="2"/>
      <c r="F54" s="816"/>
      <c r="G54" s="816"/>
      <c r="H54" s="816"/>
      <c r="I54" s="816"/>
      <c r="J54" s="816"/>
      <c r="K54" s="816"/>
      <c r="L54" s="816"/>
      <c r="M54" s="816"/>
      <c r="N54" s="816"/>
      <c r="O54" s="816"/>
      <c r="P54" s="816"/>
      <c r="Q54" s="816"/>
      <c r="R54" s="816"/>
      <c r="S54" s="816"/>
      <c r="T54" s="816"/>
      <c r="U54" s="816"/>
      <c r="V54" s="816"/>
      <c r="W54" s="816"/>
      <c r="X54" s="816"/>
      <c r="Y54" s="816"/>
      <c r="Z54" s="816"/>
      <c r="AA54" s="816"/>
      <c r="AB54" s="816"/>
      <c r="AC54" s="816"/>
      <c r="AD54" s="816"/>
      <c r="AE54" s="816"/>
      <c r="AF54" s="816"/>
      <c r="AG54" s="816"/>
      <c r="AH54" s="816"/>
      <c r="AI54" s="816"/>
      <c r="AJ54" s="816"/>
      <c r="AK54" s="816"/>
      <c r="AL54" s="816"/>
      <c r="AM54" s="816"/>
      <c r="AN54" s="816"/>
      <c r="AO54" s="816"/>
      <c r="AP54" s="816"/>
      <c r="AQ54" s="816"/>
      <c r="AR54" s="816"/>
      <c r="AS54" s="816"/>
      <c r="AT54" s="816"/>
      <c r="AU54" s="816"/>
      <c r="AV54" s="816"/>
      <c r="AW54" s="816"/>
      <c r="AX54" s="713"/>
      <c r="AY54" s="816"/>
      <c r="AZ54" s="816"/>
      <c r="BA54" s="816"/>
      <c r="BB54" s="713"/>
      <c r="BC54" s="816"/>
      <c r="BD54" s="816"/>
      <c r="BE54" s="816"/>
      <c r="BF54" s="713"/>
      <c r="BG54" s="816"/>
      <c r="BH54" s="816"/>
      <c r="BI54" s="816"/>
      <c r="BJ54" s="713"/>
      <c r="BK54" s="816"/>
      <c r="BL54" s="816"/>
      <c r="BM54" s="816"/>
      <c r="BN54" s="713"/>
      <c r="BO54" s="816"/>
      <c r="BP54" s="816"/>
      <c r="BQ54" s="816"/>
      <c r="BR54" s="713"/>
      <c r="BS54" s="816"/>
      <c r="BT54" s="816"/>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B4946034-A9FF-408D-829E-74179A38CAD9}"/>
    <hyperlink ref="A1" location="'Spis tresci_Table of content'!A1" display="Go back to Table of content" xr:uid="{900D37AC-530A-41D5-A080-B79D880ED731}"/>
    <hyperlink ref="B1" location="'Spis tresci_Table of content'!A1" display="Powrót do spisu treści" xr:uid="{AA0ED9F0-82D9-4FAD-98CE-B7B9B83DB833}"/>
  </hyperlinks>
  <printOptions horizontalCentered="1"/>
  <pageMargins left="0.23622047244094491" right="0.23622047244094491" top="0.74803149606299213" bottom="0.74803149606299213" header="0.31496062992125984" footer="0.31496062992125984"/>
  <pageSetup paperSize="9" scale="24" fitToHeight="0" orientation="landscape" r:id="rId1"/>
  <headerFooter alignWithMargins="0">
    <oddHeader xml:space="preserve">&amp;C&amp;"Times New Roman,Kursywa"&amp;12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95E49-75E0-4CCA-8065-0613E8402287}">
  <sheetPr>
    <outlinePr summaryBelow="0"/>
  </sheetPr>
  <dimension ref="A1:BV52"/>
  <sheetViews>
    <sheetView showGridLines="0" zoomScaleNormal="100" zoomScaleSheetLayoutView="100" zoomScalePageLayoutView="80" workbookViewId="0">
      <pane xSplit="2" ySplit="6" topLeftCell="BJ34" activePane="bottomRight" state="frozen"/>
      <selection activeCell="B29" sqref="B29"/>
      <selection pane="topRight" activeCell="B29" sqref="B29"/>
      <selection pane="bottomLeft" activeCell="B29" sqref="B29"/>
      <selection pane="bottomRight" sqref="A1:BN50"/>
    </sheetView>
  </sheetViews>
  <sheetFormatPr defaultColWidth="0" defaultRowHeight="13.8" customHeight="1" zeroHeight="1" outlineLevelCol="1"/>
  <cols>
    <col min="1" max="1" width="49.6640625" style="4" customWidth="1" outlineLevel="1"/>
    <col min="2" max="2" width="61.33203125" style="4" customWidth="1"/>
    <col min="3" max="43" width="7.88671875" style="153" customWidth="1"/>
    <col min="44" max="44" width="7.88671875" style="2" customWidth="1"/>
    <col min="45" max="47" width="7.88671875" style="153" customWidth="1"/>
    <col min="48" max="48" width="7.88671875" style="2" customWidth="1"/>
    <col min="49" max="51" width="7.88671875" style="153" customWidth="1"/>
    <col min="52" max="52" width="7.88671875" style="2" customWidth="1"/>
    <col min="53" max="55" width="7.88671875" style="153" customWidth="1"/>
    <col min="56" max="56" width="7.88671875" style="2" customWidth="1"/>
    <col min="57" max="59" width="7.88671875" style="153" customWidth="1"/>
    <col min="60" max="60" width="7.88671875" style="2" customWidth="1"/>
    <col min="61" max="63" width="7.88671875" style="153" customWidth="1"/>
    <col min="64" max="64" width="7.88671875" style="2" customWidth="1"/>
    <col min="65" max="67" width="7.88671875" style="153" customWidth="1"/>
    <col min="68" max="68" width="7.88671875" style="2" customWidth="1"/>
    <col min="69" max="69" width="8.88671875" style="153" customWidth="1"/>
    <col min="70" max="70" width="7.88671875" style="153" customWidth="1"/>
    <col min="71"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2"/>
      <c r="AC1" s="2"/>
      <c r="AD1" s="2"/>
      <c r="AE1" s="2"/>
      <c r="AF1" s="2"/>
      <c r="AG1" s="2"/>
      <c r="AH1" s="2"/>
      <c r="AI1" s="2"/>
      <c r="AJ1" s="2"/>
      <c r="AK1" s="2"/>
      <c r="AL1" s="2"/>
      <c r="AM1" s="2"/>
      <c r="AN1" s="2"/>
      <c r="AO1" s="2"/>
      <c r="AP1" s="2"/>
      <c r="AQ1" s="2"/>
      <c r="AS1" s="2"/>
      <c r="AT1" s="2"/>
      <c r="AU1" s="2"/>
      <c r="AW1" s="2"/>
      <c r="AX1" s="2"/>
      <c r="AY1" s="151"/>
      <c r="BA1" s="2"/>
      <c r="BB1" s="2"/>
      <c r="BC1" s="2"/>
      <c r="BE1" s="2"/>
      <c r="BF1" s="2"/>
      <c r="BG1" s="2"/>
      <c r="BI1" s="2"/>
      <c r="BJ1" s="2"/>
      <c r="BK1" s="2"/>
      <c r="BM1" s="2"/>
      <c r="BN1" s="2"/>
      <c r="BO1" s="2"/>
      <c r="BQ1" s="2"/>
      <c r="BR1" s="2"/>
    </row>
    <row r="2" spans="1:74" ht="12.75" customHeight="1">
      <c r="A2" s="152" t="s">
        <v>496</v>
      </c>
      <c r="B2" s="152" t="s">
        <v>497</v>
      </c>
    </row>
    <row r="3" spans="1:74">
      <c r="A3" s="536" t="s">
        <v>498</v>
      </c>
      <c r="B3" s="536" t="s">
        <v>499</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40">
        <v>2013</v>
      </c>
      <c r="AB3" s="534"/>
      <c r="AC3" s="534"/>
      <c r="AD3" s="535"/>
      <c r="AE3" s="540">
        <v>2014</v>
      </c>
      <c r="AF3" s="534"/>
      <c r="AG3" s="534"/>
      <c r="AH3" s="535"/>
      <c r="AI3" s="540">
        <v>2015</v>
      </c>
      <c r="AJ3" s="534"/>
      <c r="AK3" s="534"/>
      <c r="AL3" s="535"/>
      <c r="AM3" s="540">
        <v>2016</v>
      </c>
      <c r="AN3" s="534"/>
      <c r="AO3" s="534"/>
      <c r="AP3" s="534"/>
      <c r="AQ3" s="540">
        <v>2017</v>
      </c>
      <c r="AR3" s="534"/>
      <c r="AS3" s="534"/>
      <c r="AT3" s="534"/>
      <c r="AU3" s="540">
        <v>2018</v>
      </c>
      <c r="AV3" s="534"/>
      <c r="AW3" s="534"/>
      <c r="AX3" s="539"/>
      <c r="AY3" s="540">
        <v>2019</v>
      </c>
      <c r="AZ3" s="534"/>
      <c r="BA3" s="534"/>
      <c r="BB3" s="539"/>
      <c r="BC3" s="540">
        <v>2020</v>
      </c>
      <c r="BD3" s="534"/>
      <c r="BE3" s="534"/>
      <c r="BF3" s="539"/>
      <c r="BG3" s="540">
        <v>2021</v>
      </c>
      <c r="BH3" s="534"/>
      <c r="BI3" s="534"/>
      <c r="BJ3" s="539"/>
      <c r="BK3" s="540">
        <v>2022</v>
      </c>
      <c r="BL3" s="534"/>
      <c r="BM3" s="534"/>
      <c r="BN3" s="539"/>
      <c r="BO3" s="540">
        <v>2023</v>
      </c>
      <c r="BP3" s="534"/>
      <c r="BQ3" s="534"/>
      <c r="BR3" s="539"/>
      <c r="BS3" s="540">
        <v>2024</v>
      </c>
      <c r="BT3" s="534"/>
      <c r="BU3" s="534"/>
      <c r="BV3" s="539"/>
    </row>
    <row r="4" spans="1:74" ht="36" customHeight="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5" t="s">
        <v>8</v>
      </c>
      <c r="AB4" s="14" t="s">
        <v>9</v>
      </c>
      <c r="AC4" s="14" t="s">
        <v>10</v>
      </c>
      <c r="AD4" s="16" t="s">
        <v>11</v>
      </c>
      <c r="AE4" s="15" t="s">
        <v>8</v>
      </c>
      <c r="AF4" s="14" t="s">
        <v>9</v>
      </c>
      <c r="AG4" s="14" t="s">
        <v>10</v>
      </c>
      <c r="AH4" s="16" t="s">
        <v>11</v>
      </c>
      <c r="AI4" s="14" t="s">
        <v>8</v>
      </c>
      <c r="AJ4" s="14" t="s">
        <v>9</v>
      </c>
      <c r="AK4" s="14" t="s">
        <v>10</v>
      </c>
      <c r="AL4" s="16" t="s">
        <v>11</v>
      </c>
      <c r="AM4" s="14" t="s">
        <v>8</v>
      </c>
      <c r="AN4" s="14" t="s">
        <v>9</v>
      </c>
      <c r="AO4" s="14" t="s">
        <v>10</v>
      </c>
      <c r="AP4" s="16" t="s">
        <v>11</v>
      </c>
      <c r="AQ4" s="14" t="s">
        <v>8</v>
      </c>
      <c r="AR4" s="14" t="s">
        <v>9</v>
      </c>
      <c r="AS4" s="14" t="s">
        <v>10</v>
      </c>
      <c r="AT4" s="14" t="s">
        <v>11</v>
      </c>
      <c r="AU4" s="15" t="s">
        <v>8</v>
      </c>
      <c r="AV4" s="14" t="s">
        <v>9</v>
      </c>
      <c r="AW4" s="14" t="s">
        <v>10</v>
      </c>
      <c r="AX4" s="14" t="s">
        <v>11</v>
      </c>
      <c r="AY4" s="15" t="s">
        <v>8</v>
      </c>
      <c r="AZ4" s="14" t="s">
        <v>9</v>
      </c>
      <c r="BA4" s="14" t="s">
        <v>10</v>
      </c>
      <c r="BB4" s="14" t="s">
        <v>11</v>
      </c>
      <c r="BC4" s="15" t="s">
        <v>8</v>
      </c>
      <c r="BD4" s="14" t="s">
        <v>9</v>
      </c>
      <c r="BE4" s="14" t="s">
        <v>10</v>
      </c>
      <c r="BF4" s="14" t="s">
        <v>11</v>
      </c>
      <c r="BG4" s="15" t="s">
        <v>8</v>
      </c>
      <c r="BH4" s="14" t="s">
        <v>9</v>
      </c>
      <c r="BI4" s="14" t="s">
        <v>10</v>
      </c>
      <c r="BJ4" s="14" t="s">
        <v>11</v>
      </c>
      <c r="BK4" s="15" t="s">
        <v>8</v>
      </c>
      <c r="BL4" s="14" t="s">
        <v>9</v>
      </c>
      <c r="BM4" s="14" t="s">
        <v>10</v>
      </c>
      <c r="BN4" s="14" t="s">
        <v>11</v>
      </c>
      <c r="BO4" s="15" t="s">
        <v>8</v>
      </c>
      <c r="BP4" s="14" t="s">
        <v>9</v>
      </c>
      <c r="BQ4" s="14" t="s">
        <v>10</v>
      </c>
      <c r="BR4" s="14" t="s">
        <v>11</v>
      </c>
      <c r="BS4" s="15" t="s">
        <v>8</v>
      </c>
      <c r="BT4" s="14" t="s">
        <v>9</v>
      </c>
      <c r="BU4" s="14" t="s">
        <v>10</v>
      </c>
      <c r="BV4" s="14" t="s">
        <v>11</v>
      </c>
    </row>
    <row r="5" spans="1:74" s="150" customFormat="1" ht="11.25" customHeight="1">
      <c r="A5" s="17" t="s">
        <v>12</v>
      </c>
      <c r="B5" s="17" t="s">
        <v>13</v>
      </c>
      <c r="C5" s="18"/>
      <c r="D5" s="20"/>
      <c r="E5" s="20"/>
      <c r="F5" s="20"/>
      <c r="G5" s="18"/>
      <c r="H5" s="20"/>
      <c r="I5" s="20"/>
      <c r="J5" s="154"/>
      <c r="K5" s="18"/>
      <c r="L5" s="20"/>
      <c r="M5" s="20"/>
      <c r="N5" s="154"/>
      <c r="O5" s="18"/>
      <c r="P5" s="20"/>
      <c r="Q5" s="20"/>
      <c r="R5" s="154"/>
      <c r="S5" s="18"/>
      <c r="T5" s="20"/>
      <c r="U5" s="20"/>
      <c r="V5" s="154"/>
      <c r="W5" s="20"/>
      <c r="X5" s="20"/>
      <c r="Y5" s="20"/>
      <c r="Z5" s="154"/>
      <c r="AA5" s="18"/>
      <c r="AB5" s="20"/>
      <c r="AC5" s="20"/>
      <c r="AD5" s="154"/>
      <c r="AE5" s="18"/>
      <c r="AF5" s="20"/>
      <c r="AG5" s="20"/>
      <c r="AH5" s="154"/>
      <c r="AI5" s="20"/>
      <c r="AJ5" s="20"/>
      <c r="AK5" s="20"/>
      <c r="AL5" s="154"/>
      <c r="AM5" s="20"/>
      <c r="AN5" s="20"/>
      <c r="AO5" s="20"/>
      <c r="AP5" s="154"/>
      <c r="AQ5" s="20"/>
      <c r="AR5" s="20"/>
      <c r="AS5" s="20"/>
      <c r="AT5" s="20"/>
      <c r="AU5" s="22"/>
      <c r="AV5" s="20"/>
      <c r="AW5" s="20"/>
      <c r="AX5" s="20"/>
      <c r="AY5" s="22"/>
      <c r="AZ5" s="20"/>
      <c r="BA5" s="20"/>
      <c r="BB5" s="20"/>
      <c r="BC5" s="22"/>
      <c r="BD5" s="20"/>
      <c r="BE5" s="20"/>
      <c r="BF5" s="20"/>
      <c r="BG5" s="22"/>
      <c r="BH5" s="20"/>
      <c r="BI5" s="20"/>
      <c r="BJ5" s="20"/>
      <c r="BK5" s="22"/>
      <c r="BL5" s="20"/>
      <c r="BM5" s="20"/>
      <c r="BN5" s="20"/>
      <c r="BO5" s="22"/>
      <c r="BP5" s="20"/>
      <c r="BQ5" s="20"/>
      <c r="BR5" s="20"/>
      <c r="BS5" s="18"/>
    </row>
    <row r="6" spans="1:74" s="6" customFormat="1" ht="10.8">
      <c r="A6" s="177" t="s">
        <v>500</v>
      </c>
      <c r="B6" s="177" t="s">
        <v>501</v>
      </c>
      <c r="C6" s="18"/>
      <c r="D6" s="19"/>
      <c r="E6" s="20"/>
      <c r="F6" s="19"/>
      <c r="G6" s="18"/>
      <c r="H6" s="19"/>
      <c r="I6" s="20"/>
      <c r="J6" s="21"/>
      <c r="K6" s="18"/>
      <c r="L6" s="19"/>
      <c r="M6" s="20"/>
      <c r="N6" s="21"/>
      <c r="O6" s="18"/>
      <c r="P6" s="19"/>
      <c r="Q6" s="20"/>
      <c r="R6" s="21"/>
      <c r="S6" s="18"/>
      <c r="T6" s="19"/>
      <c r="U6" s="20"/>
      <c r="V6" s="21"/>
      <c r="W6" s="20"/>
      <c r="X6" s="20"/>
      <c r="Y6" s="20"/>
      <c r="Z6" s="154"/>
      <c r="AA6" s="18"/>
      <c r="AB6" s="20"/>
      <c r="AC6" s="20"/>
      <c r="AD6" s="154"/>
      <c r="AE6" s="18"/>
      <c r="AF6" s="20"/>
      <c r="AG6" s="20"/>
      <c r="AH6" s="154"/>
      <c r="AI6" s="20"/>
      <c r="AJ6" s="20"/>
      <c r="AK6" s="20"/>
      <c r="AL6" s="154"/>
      <c r="AM6" s="20"/>
      <c r="AN6" s="20"/>
      <c r="AO6" s="20"/>
      <c r="AP6" s="154"/>
      <c r="AQ6" s="20"/>
      <c r="AR6" s="20"/>
      <c r="AS6" s="20"/>
      <c r="AT6" s="20"/>
      <c r="AU6" s="22"/>
      <c r="AV6" s="20"/>
      <c r="AW6" s="20"/>
      <c r="AX6" s="20"/>
      <c r="AY6" s="22"/>
      <c r="AZ6" s="20"/>
      <c r="BA6" s="20"/>
      <c r="BB6" s="20"/>
      <c r="BC6" s="22"/>
      <c r="BD6" s="20"/>
      <c r="BE6" s="20"/>
      <c r="BF6" s="20"/>
      <c r="BG6" s="22"/>
      <c r="BH6" s="20"/>
      <c r="BI6" s="20"/>
      <c r="BJ6" s="20"/>
      <c r="BK6" s="22"/>
      <c r="BL6" s="20"/>
      <c r="BM6" s="20"/>
      <c r="BN6" s="20"/>
      <c r="BO6" s="22"/>
      <c r="BP6" s="20"/>
      <c r="BQ6" s="20"/>
      <c r="BR6" s="20"/>
      <c r="BS6" s="18"/>
    </row>
    <row r="7" spans="1:74" s="6" customFormat="1" ht="10.8">
      <c r="A7" s="159" t="s">
        <v>502</v>
      </c>
      <c r="B7" s="159" t="s">
        <v>503</v>
      </c>
      <c r="C7" s="160">
        <v>1807.6</v>
      </c>
      <c r="D7" s="161">
        <v>2608.9</v>
      </c>
      <c r="E7" s="161">
        <v>1593</v>
      </c>
      <c r="F7" s="161">
        <v>1841.7</v>
      </c>
      <c r="G7" s="160">
        <v>1661.3</v>
      </c>
      <c r="H7" s="161">
        <v>1622.9</v>
      </c>
      <c r="I7" s="45">
        <v>2151.3000000000002</v>
      </c>
      <c r="J7" s="46">
        <v>1369.8</v>
      </c>
      <c r="K7" s="44">
        <v>1584.3</v>
      </c>
      <c r="L7" s="45">
        <v>903.3</v>
      </c>
      <c r="M7" s="45">
        <v>1686</v>
      </c>
      <c r="N7" s="46">
        <v>2656.6</v>
      </c>
      <c r="O7" s="44">
        <v>2387.8000000000002</v>
      </c>
      <c r="P7" s="45">
        <v>2158.5</v>
      </c>
      <c r="Q7" s="45">
        <v>1265.0999999999999</v>
      </c>
      <c r="R7" s="46">
        <v>2394.1999999999998</v>
      </c>
      <c r="S7" s="44">
        <v>1401.5</v>
      </c>
      <c r="T7" s="45">
        <v>1566.6</v>
      </c>
      <c r="U7" s="45">
        <v>4064.9</v>
      </c>
      <c r="V7" s="46">
        <v>1493.1</v>
      </c>
      <c r="W7" s="45">
        <v>1558.1</v>
      </c>
      <c r="X7" s="45">
        <v>2321.1999999999998</v>
      </c>
      <c r="Y7" s="45">
        <v>2126</v>
      </c>
      <c r="Z7" s="46">
        <v>4071.6</v>
      </c>
      <c r="AA7" s="44">
        <v>3534.4</v>
      </c>
      <c r="AB7" s="45">
        <v>1673.5</v>
      </c>
      <c r="AC7" s="45">
        <v>4577.6000000000004</v>
      </c>
      <c r="AD7" s="46">
        <v>6970.1</v>
      </c>
      <c r="AE7" s="44">
        <v>7304.2</v>
      </c>
      <c r="AF7" s="45">
        <v>7857.1</v>
      </c>
      <c r="AG7" s="45">
        <v>3008</v>
      </c>
      <c r="AH7" s="46">
        <v>5330.7</v>
      </c>
      <c r="AI7" s="45">
        <v>2392.5</v>
      </c>
      <c r="AJ7" s="45">
        <v>2864.7</v>
      </c>
      <c r="AK7" s="45">
        <v>3940.7</v>
      </c>
      <c r="AL7" s="46">
        <v>3589.7</v>
      </c>
      <c r="AM7" s="45">
        <v>3565.7</v>
      </c>
      <c r="AN7" s="45">
        <v>1286.5999999999999</v>
      </c>
      <c r="AO7" s="45">
        <v>1299.0999999999999</v>
      </c>
      <c r="AP7" s="46">
        <v>1825</v>
      </c>
      <c r="AQ7" s="45">
        <v>1250</v>
      </c>
      <c r="AR7" s="45">
        <v>1351.9</v>
      </c>
      <c r="AS7" s="45">
        <v>1638.2</v>
      </c>
      <c r="AT7" s="45">
        <v>2815.2</v>
      </c>
      <c r="AU7" s="48">
        <v>2042.4</v>
      </c>
      <c r="AV7" s="45">
        <v>1781.5</v>
      </c>
      <c r="AW7" s="45">
        <v>1529.8</v>
      </c>
      <c r="AX7" s="45">
        <v>1237.3999999999999</v>
      </c>
      <c r="AY7" s="48">
        <v>1760.3000000000002</v>
      </c>
      <c r="AZ7" s="45">
        <v>2293.5</v>
      </c>
      <c r="BA7" s="45">
        <v>2792.5</v>
      </c>
      <c r="BB7" s="45">
        <v>1402.9</v>
      </c>
      <c r="BC7" s="48">
        <v>1740.5</v>
      </c>
      <c r="BD7" s="45">
        <v>1910.3000000000002</v>
      </c>
      <c r="BE7" s="45">
        <v>1193.6000000000001</v>
      </c>
      <c r="BF7" s="45">
        <v>867.3</v>
      </c>
      <c r="BG7" s="48">
        <v>899.8</v>
      </c>
      <c r="BH7" s="45">
        <v>850.8</v>
      </c>
      <c r="BI7" s="45">
        <v>747.1</v>
      </c>
      <c r="BJ7" s="45">
        <v>1100</v>
      </c>
      <c r="BK7" s="48">
        <v>4998.3</v>
      </c>
      <c r="BL7" s="45">
        <v>2718.1000000000004</v>
      </c>
      <c r="BM7" s="45">
        <v>2069.5</v>
      </c>
      <c r="BN7" s="45">
        <v>2337.6</v>
      </c>
      <c r="BO7" s="48">
        <v>6706.5</v>
      </c>
      <c r="BP7" s="45">
        <v>2267.8000000000002</v>
      </c>
      <c r="BQ7" s="45">
        <v>3389.9</v>
      </c>
      <c r="BR7" s="45">
        <v>6751.4</v>
      </c>
      <c r="BS7" s="44">
        <v>4217.3999999999996</v>
      </c>
      <c r="BT7" s="787"/>
    </row>
    <row r="8" spans="1:74" s="6" customFormat="1" ht="10.8">
      <c r="A8" s="159" t="s">
        <v>504</v>
      </c>
      <c r="B8" s="159" t="s">
        <v>505</v>
      </c>
      <c r="C8" s="160">
        <v>16614.2</v>
      </c>
      <c r="D8" s="161">
        <v>18078.900000000001</v>
      </c>
      <c r="E8" s="161">
        <v>17532.8</v>
      </c>
      <c r="F8" s="161">
        <v>15183.7</v>
      </c>
      <c r="G8" s="160">
        <v>14080.6</v>
      </c>
      <c r="H8" s="161">
        <v>9002</v>
      </c>
      <c r="I8" s="45">
        <v>7244.5</v>
      </c>
      <c r="J8" s="46">
        <v>7787.2</v>
      </c>
      <c r="K8" s="44">
        <v>2947.5</v>
      </c>
      <c r="L8" s="45">
        <v>3233.7</v>
      </c>
      <c r="M8" s="45">
        <v>3639.9</v>
      </c>
      <c r="N8" s="46">
        <v>1184.0999999999999</v>
      </c>
      <c r="O8" s="44">
        <v>1280.7</v>
      </c>
      <c r="P8" s="45">
        <v>1940.1</v>
      </c>
      <c r="Q8" s="45">
        <v>1859.2</v>
      </c>
      <c r="R8" s="46">
        <v>1181.0999999999999</v>
      </c>
      <c r="S8" s="44">
        <v>2386.8000000000002</v>
      </c>
      <c r="T8" s="45">
        <v>1758.3</v>
      </c>
      <c r="U8" s="45">
        <v>2706.4</v>
      </c>
      <c r="V8" s="46">
        <v>1018.1</v>
      </c>
      <c r="W8" s="45">
        <v>1478.4</v>
      </c>
      <c r="X8" s="45">
        <v>1605.3000000000002</v>
      </c>
      <c r="Y8" s="45">
        <v>3415.4999999999995</v>
      </c>
      <c r="Z8" s="46">
        <v>1377.0999999999997</v>
      </c>
      <c r="AA8" s="44">
        <v>1600.2999999999995</v>
      </c>
      <c r="AB8" s="45">
        <v>2043.8000000000002</v>
      </c>
      <c r="AC8" s="45">
        <v>2501.6999999999998</v>
      </c>
      <c r="AD8" s="46">
        <v>1399.8000000000002</v>
      </c>
      <c r="AE8" s="44">
        <v>2050.9</v>
      </c>
      <c r="AF8" s="45">
        <v>2576.1000000000004</v>
      </c>
      <c r="AG8" s="45">
        <v>2512.6000000000008</v>
      </c>
      <c r="AH8" s="46">
        <v>1838.3000000000002</v>
      </c>
      <c r="AI8" s="45">
        <v>2111.2999999999997</v>
      </c>
      <c r="AJ8" s="45">
        <v>2315.4</v>
      </c>
      <c r="AK8" s="45">
        <v>3325.7</v>
      </c>
      <c r="AL8" s="46">
        <v>1014.6</v>
      </c>
      <c r="AM8" s="45">
        <v>954.3</v>
      </c>
      <c r="AN8" s="45">
        <v>1285.4000000000001</v>
      </c>
      <c r="AO8" s="45">
        <v>1192.7</v>
      </c>
      <c r="AP8" s="46">
        <v>1113.4000000000001</v>
      </c>
      <c r="AQ8" s="45">
        <v>1125.7</v>
      </c>
      <c r="AR8" s="45">
        <v>1050.2</v>
      </c>
      <c r="AS8" s="45">
        <v>1174.7</v>
      </c>
      <c r="AT8" s="45">
        <v>2234.5</v>
      </c>
      <c r="AU8" s="48">
        <v>2017.4</v>
      </c>
      <c r="AV8" s="45">
        <v>951.8</v>
      </c>
      <c r="AW8" s="45">
        <v>621.79999999999995</v>
      </c>
      <c r="AX8" s="45">
        <v>776.5</v>
      </c>
      <c r="AY8" s="48">
        <v>987.9</v>
      </c>
      <c r="AZ8" s="45">
        <v>694.3</v>
      </c>
      <c r="BA8" s="45">
        <v>804.7</v>
      </c>
      <c r="BB8" s="45">
        <v>798.5</v>
      </c>
      <c r="BC8" s="48">
        <v>1082.3</v>
      </c>
      <c r="BD8" s="45">
        <v>744.4</v>
      </c>
      <c r="BE8" s="45">
        <v>731.3</v>
      </c>
      <c r="BF8" s="45">
        <v>704.6</v>
      </c>
      <c r="BG8" s="48">
        <v>1336.4</v>
      </c>
      <c r="BH8" s="45">
        <v>709.5</v>
      </c>
      <c r="BI8" s="45">
        <v>913.8</v>
      </c>
      <c r="BJ8" s="45">
        <v>704.8</v>
      </c>
      <c r="BK8" s="48">
        <v>1074.4000000000001</v>
      </c>
      <c r="BL8" s="45">
        <v>2293.1999999999998</v>
      </c>
      <c r="BM8" s="45">
        <v>2257.6</v>
      </c>
      <c r="BN8" s="45">
        <v>5161.1000000000004</v>
      </c>
      <c r="BO8" s="48">
        <v>9163.4</v>
      </c>
      <c r="BP8" s="45">
        <v>11288.2</v>
      </c>
      <c r="BQ8" s="45">
        <v>11683.7</v>
      </c>
      <c r="BR8" s="45">
        <v>19909.099999999999</v>
      </c>
      <c r="BS8" s="44">
        <v>20521.599999999999</v>
      </c>
      <c r="BT8" s="787"/>
    </row>
    <row r="9" spans="1:74" s="6" customFormat="1" ht="21.6">
      <c r="A9" s="429" t="s">
        <v>506</v>
      </c>
      <c r="B9" s="159" t="s">
        <v>507</v>
      </c>
      <c r="C9" s="160">
        <v>11114.9</v>
      </c>
      <c r="D9" s="161">
        <v>6998</v>
      </c>
      <c r="E9" s="161">
        <v>8243.9</v>
      </c>
      <c r="F9" s="161">
        <v>7907.5</v>
      </c>
      <c r="G9" s="160">
        <v>11238.7</v>
      </c>
      <c r="H9" s="161">
        <v>11160.1</v>
      </c>
      <c r="I9" s="45">
        <v>12817.9</v>
      </c>
      <c r="J9" s="46">
        <v>15128.599999999999</v>
      </c>
      <c r="K9" s="44">
        <v>17144.8</v>
      </c>
      <c r="L9" s="45">
        <v>14064.1</v>
      </c>
      <c r="M9" s="45">
        <v>14131</v>
      </c>
      <c r="N9" s="46">
        <v>9834.4000000000015</v>
      </c>
      <c r="O9" s="44">
        <v>5166.7</v>
      </c>
      <c r="P9" s="45">
        <v>3207.2</v>
      </c>
      <c r="Q9" s="45">
        <v>5473.6</v>
      </c>
      <c r="R9" s="46">
        <v>1818.5</v>
      </c>
      <c r="S9" s="44">
        <v>1456</v>
      </c>
      <c r="T9" s="45">
        <v>1485.1</v>
      </c>
      <c r="U9" s="45">
        <v>2902.5</v>
      </c>
      <c r="V9" s="46">
        <v>2498</v>
      </c>
      <c r="W9" s="45">
        <v>2719.6000000000004</v>
      </c>
      <c r="X9" s="45">
        <v>2026.6000000000001</v>
      </c>
      <c r="Y9" s="45">
        <v>3047.3</v>
      </c>
      <c r="Z9" s="46">
        <v>3376.7</v>
      </c>
      <c r="AA9" s="44">
        <v>2984.2</v>
      </c>
      <c r="AB9" s="45">
        <v>3576.7</v>
      </c>
      <c r="AC9" s="45">
        <v>2933.1000000000004</v>
      </c>
      <c r="AD9" s="46">
        <v>3422.8</v>
      </c>
      <c r="AE9" s="44">
        <v>4052.7</v>
      </c>
      <c r="AF9" s="45">
        <v>4371.0999999999995</v>
      </c>
      <c r="AG9" s="45">
        <v>3453.8999999999996</v>
      </c>
      <c r="AH9" s="46">
        <v>4269.1000000000004</v>
      </c>
      <c r="AI9" s="45">
        <v>5253.7000000000007</v>
      </c>
      <c r="AJ9" s="45">
        <v>3705.3999999999996</v>
      </c>
      <c r="AK9" s="45">
        <v>4716.4000000000005</v>
      </c>
      <c r="AL9" s="46">
        <v>3118</v>
      </c>
      <c r="AM9" s="45">
        <v>3681.5</v>
      </c>
      <c r="AN9" s="45">
        <v>3167.8</v>
      </c>
      <c r="AO9" s="45">
        <v>2742.2</v>
      </c>
      <c r="AP9" s="46">
        <v>3943.8999999999996</v>
      </c>
      <c r="AQ9" s="45">
        <v>2715.7999999999997</v>
      </c>
      <c r="AR9" s="45">
        <v>3706.3</v>
      </c>
      <c r="AS9" s="45">
        <v>2243.7000000000003</v>
      </c>
      <c r="AT9" s="45">
        <v>1503.6999999999998</v>
      </c>
      <c r="AU9" s="48">
        <v>1764.7</v>
      </c>
      <c r="AV9" s="45">
        <v>2566.9</v>
      </c>
      <c r="AW9" s="45">
        <v>1794.6</v>
      </c>
      <c r="AX9" s="45">
        <v>2153.4</v>
      </c>
      <c r="AY9" s="48">
        <v>2440.5</v>
      </c>
      <c r="AZ9" s="45">
        <v>2990.4999999999991</v>
      </c>
      <c r="BA9" s="45">
        <v>1421.7</v>
      </c>
      <c r="BB9" s="45">
        <v>1303.3</v>
      </c>
      <c r="BC9" s="48">
        <v>1502</v>
      </c>
      <c r="BD9" s="45">
        <v>1107.9000000000001</v>
      </c>
      <c r="BE9" s="45">
        <v>1259.2</v>
      </c>
      <c r="BF9" s="45">
        <v>1817.6</v>
      </c>
      <c r="BG9" s="48">
        <v>1610.1</v>
      </c>
      <c r="BH9" s="45">
        <v>1471.1</v>
      </c>
      <c r="BI9" s="45">
        <v>1957.5</v>
      </c>
      <c r="BJ9" s="45">
        <v>1538.3</v>
      </c>
      <c r="BK9" s="48">
        <v>1498.3000000000002</v>
      </c>
      <c r="BL9" s="45">
        <v>3487.6000000000004</v>
      </c>
      <c r="BM9" s="45">
        <v>3396.3</v>
      </c>
      <c r="BN9" s="45">
        <v>1952.3000000000002</v>
      </c>
      <c r="BO9" s="48">
        <v>1584.3999999999999</v>
      </c>
      <c r="BP9" s="45">
        <v>2339.7000000000003</v>
      </c>
      <c r="BQ9" s="45">
        <v>1885.1</v>
      </c>
      <c r="BR9" s="45">
        <v>2273.8999999999996</v>
      </c>
      <c r="BS9" s="44">
        <v>2010.7</v>
      </c>
      <c r="BT9" s="787"/>
    </row>
    <row r="10" spans="1:74" s="164" customFormat="1" ht="10.8">
      <c r="A10" s="165" t="s">
        <v>508</v>
      </c>
      <c r="B10" s="165" t="s">
        <v>509</v>
      </c>
      <c r="C10" s="160">
        <v>2</v>
      </c>
      <c r="D10" s="161">
        <v>3.8</v>
      </c>
      <c r="E10" s="161">
        <v>4</v>
      </c>
      <c r="F10" s="161">
        <v>4.5999999999999996</v>
      </c>
      <c r="G10" s="160">
        <v>3.6</v>
      </c>
      <c r="H10" s="161">
        <v>76</v>
      </c>
      <c r="I10" s="161">
        <v>70.400000000000006</v>
      </c>
      <c r="J10" s="46">
        <v>197</v>
      </c>
      <c r="K10" s="44">
        <v>212.4</v>
      </c>
      <c r="L10" s="45">
        <v>91</v>
      </c>
      <c r="M10" s="45">
        <v>64.599999999999994</v>
      </c>
      <c r="N10" s="46">
        <v>90.4</v>
      </c>
      <c r="O10" s="44">
        <v>111.7</v>
      </c>
      <c r="P10" s="45">
        <v>88.1</v>
      </c>
      <c r="Q10" s="45">
        <v>86.1</v>
      </c>
      <c r="R10" s="46">
        <v>104.8</v>
      </c>
      <c r="S10" s="44">
        <v>112.3</v>
      </c>
      <c r="T10" s="45">
        <v>168</v>
      </c>
      <c r="U10" s="45">
        <v>337.1</v>
      </c>
      <c r="V10" s="46">
        <v>433.4</v>
      </c>
      <c r="W10" s="45">
        <v>349.2</v>
      </c>
      <c r="X10" s="45">
        <v>420</v>
      </c>
      <c r="Y10" s="45">
        <v>675.3</v>
      </c>
      <c r="Z10" s="46">
        <v>1112.5999999999999</v>
      </c>
      <c r="AA10" s="44">
        <v>1066.9000000000001</v>
      </c>
      <c r="AB10" s="45">
        <v>990.7</v>
      </c>
      <c r="AC10" s="45">
        <v>994.1</v>
      </c>
      <c r="AD10" s="46">
        <v>1051.9000000000001</v>
      </c>
      <c r="AE10" s="44">
        <v>1011.1</v>
      </c>
      <c r="AF10" s="45">
        <v>1653</v>
      </c>
      <c r="AG10" s="45">
        <v>2370.9</v>
      </c>
      <c r="AH10" s="46">
        <v>2983.8</v>
      </c>
      <c r="AI10" s="45">
        <v>3039.3</v>
      </c>
      <c r="AJ10" s="45">
        <v>2036.6</v>
      </c>
      <c r="AK10" s="45">
        <v>2521.2000000000003</v>
      </c>
      <c r="AL10" s="46">
        <v>2454.8000000000002</v>
      </c>
      <c r="AM10" s="45">
        <v>2737.1</v>
      </c>
      <c r="AN10" s="45">
        <v>2389.6</v>
      </c>
      <c r="AO10" s="45">
        <v>2138.9</v>
      </c>
      <c r="AP10" s="46">
        <v>1338.6</v>
      </c>
      <c r="AQ10" s="45">
        <v>1259.0999999999999</v>
      </c>
      <c r="AR10" s="45">
        <v>1148.5999999999999</v>
      </c>
      <c r="AS10" s="45">
        <v>1050.0999999999999</v>
      </c>
      <c r="AT10" s="45">
        <v>967.2</v>
      </c>
      <c r="AU10" s="48">
        <v>960.6</v>
      </c>
      <c r="AV10" s="45">
        <v>880.2</v>
      </c>
      <c r="AW10" s="45">
        <v>836.5</v>
      </c>
      <c r="AX10" s="45">
        <v>909.6</v>
      </c>
      <c r="AY10" s="48">
        <v>929.3</v>
      </c>
      <c r="AZ10" s="45">
        <v>869</v>
      </c>
      <c r="BA10" s="45">
        <v>883.6</v>
      </c>
      <c r="BB10" s="45">
        <v>851.6</v>
      </c>
      <c r="BC10" s="48">
        <v>1075.8</v>
      </c>
      <c r="BD10" s="45">
        <v>1095.9000000000001</v>
      </c>
      <c r="BE10" s="45">
        <v>1054.0999999999999</v>
      </c>
      <c r="BF10" s="45">
        <v>1194.8</v>
      </c>
      <c r="BG10" s="48">
        <v>873.6</v>
      </c>
      <c r="BH10" s="45">
        <v>882</v>
      </c>
      <c r="BI10" s="45">
        <v>593.29999999999995</v>
      </c>
      <c r="BJ10" s="45">
        <v>250.4</v>
      </c>
      <c r="BK10" s="48">
        <v>323.39999999999998</v>
      </c>
      <c r="BL10" s="45">
        <v>834.2</v>
      </c>
      <c r="BM10" s="45">
        <v>504</v>
      </c>
      <c r="BN10" s="45">
        <v>139.19999999999999</v>
      </c>
      <c r="BO10" s="48">
        <v>243</v>
      </c>
      <c r="BP10" s="45">
        <v>195.7</v>
      </c>
      <c r="BQ10" s="45">
        <v>361</v>
      </c>
      <c r="BR10" s="45">
        <v>208.4</v>
      </c>
      <c r="BS10" s="44">
        <v>327</v>
      </c>
      <c r="BT10" s="615"/>
    </row>
    <row r="11" spans="1:74" s="6" customFormat="1" ht="10.8">
      <c r="A11" s="159" t="s">
        <v>510</v>
      </c>
      <c r="B11" s="159" t="s">
        <v>511</v>
      </c>
      <c r="C11" s="160">
        <v>12001.7</v>
      </c>
      <c r="D11" s="161">
        <v>9593.7999999999993</v>
      </c>
      <c r="E11" s="161">
        <v>9149.9000000000015</v>
      </c>
      <c r="F11" s="161">
        <v>9388.2999999999993</v>
      </c>
      <c r="G11" s="160">
        <v>13933.400000000001</v>
      </c>
      <c r="H11" s="161">
        <v>17001.2</v>
      </c>
      <c r="I11" s="161">
        <v>19710.7</v>
      </c>
      <c r="J11" s="46">
        <v>18050.900000000001</v>
      </c>
      <c r="K11" s="44">
        <v>15901.9</v>
      </c>
      <c r="L11" s="45">
        <v>15568.2</v>
      </c>
      <c r="M11" s="45">
        <v>14334.5</v>
      </c>
      <c r="N11" s="46">
        <v>14166.3</v>
      </c>
      <c r="O11" s="44">
        <v>21639.699999999997</v>
      </c>
      <c r="P11" s="45">
        <v>21008.7</v>
      </c>
      <c r="Q11" s="45">
        <v>18736.400000000001</v>
      </c>
      <c r="R11" s="46">
        <v>23006.799999999999</v>
      </c>
      <c r="S11" s="44">
        <v>23574.1</v>
      </c>
      <c r="T11" s="45">
        <v>23947.5</v>
      </c>
      <c r="U11" s="45">
        <v>22396.3</v>
      </c>
      <c r="V11" s="46">
        <v>20450.7</v>
      </c>
      <c r="W11" s="45">
        <v>16819.8</v>
      </c>
      <c r="X11" s="45">
        <v>13817.5</v>
      </c>
      <c r="Y11" s="45">
        <v>13536.1</v>
      </c>
      <c r="Z11" s="46">
        <v>17881.099999999999</v>
      </c>
      <c r="AA11" s="44">
        <v>18003.900000000001</v>
      </c>
      <c r="AB11" s="45">
        <v>20256.699999999997</v>
      </c>
      <c r="AC11" s="45">
        <v>19794</v>
      </c>
      <c r="AD11" s="46">
        <v>19493.600000000002</v>
      </c>
      <c r="AE11" s="44">
        <v>20994.899999999998</v>
      </c>
      <c r="AF11" s="45">
        <v>22090.400000000001</v>
      </c>
      <c r="AG11" s="45">
        <v>23190.600000000002</v>
      </c>
      <c r="AH11" s="46">
        <v>22829.3</v>
      </c>
      <c r="AI11" s="45">
        <v>23869.699999999997</v>
      </c>
      <c r="AJ11" s="45">
        <v>24267.600000000002</v>
      </c>
      <c r="AK11" s="45">
        <v>24310.3</v>
      </c>
      <c r="AL11" s="46">
        <v>23478.799999999999</v>
      </c>
      <c r="AM11" s="45">
        <v>25072</v>
      </c>
      <c r="AN11" s="45">
        <v>27761</v>
      </c>
      <c r="AO11" s="45">
        <v>27344</v>
      </c>
      <c r="AP11" s="46">
        <v>25721.300000000003</v>
      </c>
      <c r="AQ11" s="45">
        <v>26569.7</v>
      </c>
      <c r="AR11" s="45">
        <v>24427.600000000002</v>
      </c>
      <c r="AS11" s="45">
        <v>24446.100000000002</v>
      </c>
      <c r="AT11" s="45">
        <v>29465.100000000002</v>
      </c>
      <c r="AU11" s="48">
        <v>29135.7</v>
      </c>
      <c r="AV11" s="45">
        <v>28677</v>
      </c>
      <c r="AW11" s="45">
        <v>28823.4</v>
      </c>
      <c r="AX11" s="45">
        <v>31937.200000000001</v>
      </c>
      <c r="AY11" s="48">
        <v>29977.200000000001</v>
      </c>
      <c r="AZ11" s="45">
        <v>31315.200000000004</v>
      </c>
      <c r="BA11" s="45">
        <v>32063.300000000003</v>
      </c>
      <c r="BB11" s="45">
        <v>33794.199999999997</v>
      </c>
      <c r="BC11" s="48">
        <v>38094.699999999997</v>
      </c>
      <c r="BD11" s="45">
        <v>53077.599999999999</v>
      </c>
      <c r="BE11" s="45">
        <v>56084.100000000006</v>
      </c>
      <c r="BF11" s="45">
        <v>54170.6</v>
      </c>
      <c r="BG11" s="48">
        <v>54707.199999999997</v>
      </c>
      <c r="BH11" s="45">
        <v>55221.600000000006</v>
      </c>
      <c r="BI11" s="45">
        <v>49443.6</v>
      </c>
      <c r="BJ11" s="45">
        <v>45584.4</v>
      </c>
      <c r="BK11" s="48">
        <v>37312.300000000003</v>
      </c>
      <c r="BL11" s="45">
        <v>39283</v>
      </c>
      <c r="BM11" s="45">
        <v>42363.9</v>
      </c>
      <c r="BN11" s="45">
        <v>48432.799999999996</v>
      </c>
      <c r="BO11" s="48">
        <v>40976.699999999997</v>
      </c>
      <c r="BP11" s="45">
        <v>41150.6</v>
      </c>
      <c r="BQ11" s="45">
        <v>54003.3</v>
      </c>
      <c r="BR11" s="45">
        <v>56613.7</v>
      </c>
      <c r="BS11" s="44">
        <v>64439.3</v>
      </c>
      <c r="BT11" s="787"/>
    </row>
    <row r="12" spans="1:74" s="6" customFormat="1" ht="10.8">
      <c r="A12" s="159" t="s">
        <v>512</v>
      </c>
      <c r="B12" s="171" t="s">
        <v>513</v>
      </c>
      <c r="C12" s="160">
        <v>13782.6</v>
      </c>
      <c r="D12" s="161">
        <v>14567.2</v>
      </c>
      <c r="E12" s="161">
        <v>15449.4</v>
      </c>
      <c r="F12" s="161">
        <v>16379.1</v>
      </c>
      <c r="G12" s="160">
        <v>18039.900000000001</v>
      </c>
      <c r="H12" s="161">
        <v>20372</v>
      </c>
      <c r="I12" s="161">
        <v>21986.799999999999</v>
      </c>
      <c r="J12" s="46">
        <v>25742.799999999999</v>
      </c>
      <c r="K12" s="44">
        <v>29040.3</v>
      </c>
      <c r="L12" s="45">
        <v>29268.6</v>
      </c>
      <c r="M12" s="45">
        <v>29050</v>
      </c>
      <c r="N12" s="46">
        <v>30592.799999999999</v>
      </c>
      <c r="O12" s="44">
        <v>30159.599999999999</v>
      </c>
      <c r="P12" s="45">
        <v>31781.200000000001</v>
      </c>
      <c r="Q12" s="45">
        <v>33320.6</v>
      </c>
      <c r="R12" s="46">
        <v>34509</v>
      </c>
      <c r="S12" s="44">
        <v>35332.400000000001</v>
      </c>
      <c r="T12" s="45">
        <v>37094.800000000003</v>
      </c>
      <c r="U12" s="45">
        <v>39789.699999999997</v>
      </c>
      <c r="V12" s="46">
        <v>42329.7</v>
      </c>
      <c r="W12" s="45">
        <v>47795.899999999994</v>
      </c>
      <c r="X12" s="45">
        <v>48490.6</v>
      </c>
      <c r="Y12" s="45">
        <v>49275.1</v>
      </c>
      <c r="Z12" s="46">
        <v>48985.299999999996</v>
      </c>
      <c r="AA12" s="44">
        <v>49119.30000000001</v>
      </c>
      <c r="AB12" s="45">
        <v>51756.700000000004</v>
      </c>
      <c r="AC12" s="45">
        <v>52357.599999999999</v>
      </c>
      <c r="AD12" s="46">
        <v>52876.7</v>
      </c>
      <c r="AE12" s="44">
        <v>55257.5</v>
      </c>
      <c r="AF12" s="45">
        <v>58092.499999999985</v>
      </c>
      <c r="AG12" s="45">
        <v>60705.7</v>
      </c>
      <c r="AH12" s="46">
        <v>61161.4</v>
      </c>
      <c r="AI12" s="45">
        <v>64386.1</v>
      </c>
      <c r="AJ12" s="45">
        <v>68618.5</v>
      </c>
      <c r="AK12" s="45">
        <v>71978.8</v>
      </c>
      <c r="AL12" s="46">
        <v>73874</v>
      </c>
      <c r="AM12" s="45">
        <v>75349.899999999994</v>
      </c>
      <c r="AN12" s="45">
        <v>78308.599999999991</v>
      </c>
      <c r="AO12" s="45">
        <v>80397.2</v>
      </c>
      <c r="AP12" s="46">
        <v>81979.5</v>
      </c>
      <c r="AQ12" s="45">
        <v>84399.5</v>
      </c>
      <c r="AR12" s="45">
        <v>86922.3</v>
      </c>
      <c r="AS12" s="45">
        <v>90107</v>
      </c>
      <c r="AT12" s="45">
        <v>87274.6</v>
      </c>
      <c r="AU12" s="48">
        <v>90028.2</v>
      </c>
      <c r="AV12" s="45">
        <v>94475.3</v>
      </c>
      <c r="AW12" s="45">
        <v>98986</v>
      </c>
      <c r="AX12" s="45">
        <v>102907.40000000001</v>
      </c>
      <c r="AY12" s="48">
        <v>107181.3</v>
      </c>
      <c r="AZ12" s="45">
        <v>110316.4</v>
      </c>
      <c r="BA12" s="45">
        <v>115551</v>
      </c>
      <c r="BB12" s="45">
        <v>118127.8</v>
      </c>
      <c r="BC12" s="48">
        <v>123459.7</v>
      </c>
      <c r="BD12" s="45">
        <v>120598.09999999999</v>
      </c>
      <c r="BE12" s="45">
        <v>122382</v>
      </c>
      <c r="BF12" s="45">
        <v>124655.3</v>
      </c>
      <c r="BG12" s="48">
        <v>129453.2</v>
      </c>
      <c r="BH12" s="45">
        <v>133768.79999999999</v>
      </c>
      <c r="BI12" s="45">
        <v>141168.6</v>
      </c>
      <c r="BJ12" s="45">
        <v>146536</v>
      </c>
      <c r="BK12" s="48">
        <v>149709.69999999998</v>
      </c>
      <c r="BL12" s="45">
        <v>152117.69999999998</v>
      </c>
      <c r="BM12" s="45">
        <v>154350.20000000001</v>
      </c>
      <c r="BN12" s="45">
        <v>154974.6</v>
      </c>
      <c r="BO12" s="48">
        <v>156050.9</v>
      </c>
      <c r="BP12" s="45">
        <v>156213.4</v>
      </c>
      <c r="BQ12" s="45">
        <v>158085.70000000001</v>
      </c>
      <c r="BR12" s="45">
        <v>156520.70000000001</v>
      </c>
      <c r="BS12" s="44">
        <v>158425.5</v>
      </c>
      <c r="BT12" s="787"/>
    </row>
    <row r="13" spans="1:74" s="6" customFormat="1" ht="10.8">
      <c r="A13" s="159" t="s">
        <v>514</v>
      </c>
      <c r="B13" s="171" t="s">
        <v>515</v>
      </c>
      <c r="C13" s="160"/>
      <c r="D13" s="161"/>
      <c r="E13" s="161"/>
      <c r="F13" s="161"/>
      <c r="G13" s="160"/>
      <c r="H13" s="161"/>
      <c r="I13" s="161"/>
      <c r="J13" s="46"/>
      <c r="K13" s="44"/>
      <c r="L13" s="45"/>
      <c r="M13" s="45"/>
      <c r="N13" s="46"/>
      <c r="O13" s="44"/>
      <c r="P13" s="45"/>
      <c r="Q13" s="45"/>
      <c r="R13" s="46"/>
      <c r="S13" s="44"/>
      <c r="T13" s="45"/>
      <c r="U13" s="45"/>
      <c r="V13" s="46"/>
      <c r="W13" s="45"/>
      <c r="X13" s="45"/>
      <c r="Y13" s="45"/>
      <c r="Z13" s="46"/>
      <c r="AA13" s="44"/>
      <c r="AB13" s="45"/>
      <c r="AC13" s="45"/>
      <c r="AD13" s="46"/>
      <c r="AE13" s="44"/>
      <c r="AF13" s="45"/>
      <c r="AG13" s="45"/>
      <c r="AH13" s="46"/>
      <c r="AI13" s="45"/>
      <c r="AJ13" s="45"/>
      <c r="AK13" s="45"/>
      <c r="AL13" s="46"/>
      <c r="AM13" s="45"/>
      <c r="AN13" s="45"/>
      <c r="AO13" s="45"/>
      <c r="AP13" s="46"/>
      <c r="AQ13" s="45"/>
      <c r="AR13" s="45"/>
      <c r="AS13" s="45"/>
      <c r="AT13" s="45"/>
      <c r="AU13" s="48"/>
      <c r="AV13" s="45"/>
      <c r="AW13" s="45"/>
      <c r="AX13" s="45"/>
      <c r="AY13" s="48"/>
      <c r="AZ13" s="45"/>
      <c r="BA13" s="45"/>
      <c r="BB13" s="45">
        <v>111.49999999999999</v>
      </c>
      <c r="BC13" s="48">
        <v>2111.1</v>
      </c>
      <c r="BD13" s="45">
        <v>3.6</v>
      </c>
      <c r="BE13" s="45">
        <v>0</v>
      </c>
      <c r="BF13" s="45">
        <v>963</v>
      </c>
      <c r="BG13" s="48">
        <v>3607.1</v>
      </c>
      <c r="BH13" s="45">
        <v>1881.5</v>
      </c>
      <c r="BI13" s="45">
        <v>3018.5999999999995</v>
      </c>
      <c r="BJ13" s="45">
        <v>2280.9</v>
      </c>
      <c r="BK13" s="48">
        <v>10935.8</v>
      </c>
      <c r="BL13" s="45">
        <v>6878.6</v>
      </c>
      <c r="BM13" s="45">
        <v>3206.4</v>
      </c>
      <c r="BN13" s="45">
        <v>163.80000000000001</v>
      </c>
      <c r="BO13" s="48">
        <v>9416.6</v>
      </c>
      <c r="BP13" s="45">
        <v>11307.9</v>
      </c>
      <c r="BQ13" s="45">
        <v>464.6</v>
      </c>
      <c r="BR13" s="45">
        <v>165.2</v>
      </c>
      <c r="BS13" s="44">
        <v>0</v>
      </c>
      <c r="BT13" s="787"/>
    </row>
    <row r="14" spans="1:74" s="164" customFormat="1" ht="10.8">
      <c r="A14" s="159" t="s">
        <v>516</v>
      </c>
      <c r="B14" s="159" t="s">
        <v>517</v>
      </c>
      <c r="C14" s="160">
        <v>102.7</v>
      </c>
      <c r="D14" s="161">
        <v>77</v>
      </c>
      <c r="E14" s="161">
        <v>86.6</v>
      </c>
      <c r="F14" s="161">
        <v>97.3</v>
      </c>
      <c r="G14" s="160">
        <v>108.9</v>
      </c>
      <c r="H14" s="161">
        <v>84.9</v>
      </c>
      <c r="I14" s="161">
        <v>97.9</v>
      </c>
      <c r="J14" s="162">
        <v>107.3</v>
      </c>
      <c r="K14" s="160">
        <v>117.4</v>
      </c>
      <c r="L14" s="161">
        <v>89.1</v>
      </c>
      <c r="M14" s="161">
        <v>99.5</v>
      </c>
      <c r="N14" s="162">
        <v>115.6</v>
      </c>
      <c r="O14" s="160">
        <v>122.9</v>
      </c>
      <c r="P14" s="161">
        <v>133.80000000000001</v>
      </c>
      <c r="Q14" s="161">
        <v>144.4</v>
      </c>
      <c r="R14" s="162">
        <v>156.80000000000001</v>
      </c>
      <c r="S14" s="160">
        <v>166.6</v>
      </c>
      <c r="T14" s="161">
        <v>86.6</v>
      </c>
      <c r="U14" s="161">
        <v>94.8</v>
      </c>
      <c r="V14" s="162">
        <v>105</v>
      </c>
      <c r="W14" s="161">
        <v>111.79999999999995</v>
      </c>
      <c r="X14" s="161">
        <v>96.799999999999955</v>
      </c>
      <c r="Y14" s="161">
        <v>104.29999999999995</v>
      </c>
      <c r="Z14" s="162">
        <v>114.39999999999998</v>
      </c>
      <c r="AA14" s="160">
        <v>123.29999999999995</v>
      </c>
      <c r="AB14" s="161">
        <v>115.10000000000002</v>
      </c>
      <c r="AC14" s="161">
        <v>124.39999999999998</v>
      </c>
      <c r="AD14" s="162">
        <v>136.5</v>
      </c>
      <c r="AE14" s="160">
        <v>147.69999999999993</v>
      </c>
      <c r="AF14" s="161">
        <v>-5.6898930012039273E-15</v>
      </c>
      <c r="AG14" s="161">
        <v>0</v>
      </c>
      <c r="AH14" s="162">
        <v>-2.3092638912203256E-14</v>
      </c>
      <c r="AI14" s="161">
        <v>0</v>
      </c>
      <c r="AJ14" s="161">
        <v>0</v>
      </c>
      <c r="AK14" s="161">
        <v>0</v>
      </c>
      <c r="AL14" s="162">
        <v>0</v>
      </c>
      <c r="AM14" s="161">
        <v>0</v>
      </c>
      <c r="AN14" s="161">
        <v>0</v>
      </c>
      <c r="AO14" s="161">
        <v>0</v>
      </c>
      <c r="AP14" s="46">
        <v>0</v>
      </c>
      <c r="AQ14" s="45">
        <v>0</v>
      </c>
      <c r="AR14" s="45">
        <v>0</v>
      </c>
      <c r="AS14" s="45">
        <v>0</v>
      </c>
      <c r="AT14" s="45">
        <v>1.3</v>
      </c>
      <c r="AU14" s="48">
        <v>1.3</v>
      </c>
      <c r="AV14" s="45">
        <v>1.3</v>
      </c>
      <c r="AW14" s="45">
        <v>1.1000000000000001</v>
      </c>
      <c r="AX14" s="45">
        <v>1</v>
      </c>
      <c r="AY14" s="48">
        <v>0.9</v>
      </c>
      <c r="AZ14" s="45">
        <v>0.7</v>
      </c>
      <c r="BA14" s="45">
        <v>171.5</v>
      </c>
      <c r="BB14" s="45">
        <v>181</v>
      </c>
      <c r="BC14" s="48">
        <v>185.4</v>
      </c>
      <c r="BD14" s="45">
        <v>166.4</v>
      </c>
      <c r="BE14" s="45">
        <v>170.2</v>
      </c>
      <c r="BF14" s="45">
        <v>174.1</v>
      </c>
      <c r="BG14" s="48">
        <v>180.2</v>
      </c>
      <c r="BH14" s="45">
        <v>168.7</v>
      </c>
      <c r="BI14" s="45">
        <v>176.3</v>
      </c>
      <c r="BJ14" s="45">
        <v>184.8</v>
      </c>
      <c r="BK14" s="48">
        <v>191.6</v>
      </c>
      <c r="BL14" s="45">
        <v>165.9</v>
      </c>
      <c r="BM14" s="45">
        <v>173.3</v>
      </c>
      <c r="BN14" s="45">
        <v>178.9</v>
      </c>
      <c r="BO14" s="48">
        <v>184.5</v>
      </c>
      <c r="BP14" s="45">
        <v>163.30000000000001</v>
      </c>
      <c r="BQ14" s="45">
        <v>169.6</v>
      </c>
      <c r="BR14" s="45">
        <v>180.9</v>
      </c>
      <c r="BS14" s="44">
        <v>188.2</v>
      </c>
      <c r="BT14" s="615"/>
    </row>
    <row r="15" spans="1:74" s="164" customFormat="1" ht="10.8">
      <c r="A15" s="159" t="s">
        <v>518</v>
      </c>
      <c r="B15" s="159" t="s">
        <v>519</v>
      </c>
      <c r="C15" s="160">
        <v>150.1</v>
      </c>
      <c r="D15" s="161">
        <v>149.1</v>
      </c>
      <c r="E15" s="161">
        <v>151.1</v>
      </c>
      <c r="F15" s="161">
        <v>144.69999999999999</v>
      </c>
      <c r="G15" s="160">
        <v>145.80000000000001</v>
      </c>
      <c r="H15" s="161">
        <v>135.80000000000001</v>
      </c>
      <c r="I15" s="161">
        <v>135.80000000000001</v>
      </c>
      <c r="J15" s="162">
        <v>151.5</v>
      </c>
      <c r="K15" s="160">
        <v>151.5</v>
      </c>
      <c r="L15" s="161">
        <v>151.5</v>
      </c>
      <c r="M15" s="161">
        <v>151.5</v>
      </c>
      <c r="N15" s="162">
        <v>129.69999999999999</v>
      </c>
      <c r="O15" s="160">
        <v>129.69999999999999</v>
      </c>
      <c r="P15" s="161">
        <v>129.69999999999999</v>
      </c>
      <c r="Q15" s="161">
        <v>140.4</v>
      </c>
      <c r="R15" s="162">
        <v>118.2</v>
      </c>
      <c r="S15" s="160">
        <v>118.2</v>
      </c>
      <c r="T15" s="161">
        <v>118.2</v>
      </c>
      <c r="U15" s="161">
        <v>118.2</v>
      </c>
      <c r="V15" s="162">
        <v>118.7</v>
      </c>
      <c r="W15" s="161">
        <v>118.7</v>
      </c>
      <c r="X15" s="161">
        <v>118.7</v>
      </c>
      <c r="Y15" s="161">
        <v>118.7</v>
      </c>
      <c r="Z15" s="162">
        <v>120.9</v>
      </c>
      <c r="AA15" s="160">
        <v>120.9</v>
      </c>
      <c r="AB15" s="161">
        <v>120.9</v>
      </c>
      <c r="AC15" s="161">
        <v>120.9</v>
      </c>
      <c r="AD15" s="162">
        <v>121.4</v>
      </c>
      <c r="AE15" s="160">
        <v>121.4</v>
      </c>
      <c r="AF15" s="161">
        <v>121.6</v>
      </c>
      <c r="AG15" s="161">
        <v>59.6</v>
      </c>
      <c r="AH15" s="162">
        <v>60</v>
      </c>
      <c r="AI15" s="161">
        <v>60</v>
      </c>
      <c r="AJ15" s="161">
        <v>61</v>
      </c>
      <c r="AK15" s="161">
        <v>61</v>
      </c>
      <c r="AL15" s="162">
        <v>53.2</v>
      </c>
      <c r="AM15" s="161">
        <v>53.2</v>
      </c>
      <c r="AN15" s="161">
        <v>53.2</v>
      </c>
      <c r="AO15" s="161">
        <v>53.2</v>
      </c>
      <c r="AP15" s="46">
        <v>0</v>
      </c>
      <c r="AQ15" s="45">
        <v>0</v>
      </c>
      <c r="AR15" s="45">
        <v>0</v>
      </c>
      <c r="AS15" s="45">
        <v>0</v>
      </c>
      <c r="AT15" s="45">
        <v>0</v>
      </c>
      <c r="AU15" s="48">
        <v>0</v>
      </c>
      <c r="AV15" s="47">
        <v>0</v>
      </c>
      <c r="AW15" s="47">
        <v>0</v>
      </c>
      <c r="AX15" s="47">
        <v>0</v>
      </c>
      <c r="AY15" s="48">
        <v>0</v>
      </c>
      <c r="AZ15" s="47">
        <v>0</v>
      </c>
      <c r="BA15" s="47">
        <v>0</v>
      </c>
      <c r="BB15" s="47">
        <v>0</v>
      </c>
      <c r="BC15" s="48">
        <v>0</v>
      </c>
      <c r="BD15" s="47">
        <v>0</v>
      </c>
      <c r="BE15" s="47">
        <v>0</v>
      </c>
      <c r="BF15" s="47">
        <v>0</v>
      </c>
      <c r="BG15" s="48">
        <v>0</v>
      </c>
      <c r="BH15" s="47">
        <v>0</v>
      </c>
      <c r="BI15" s="47">
        <v>0</v>
      </c>
      <c r="BJ15" s="47">
        <v>0</v>
      </c>
      <c r="BK15" s="48">
        <v>0</v>
      </c>
      <c r="BL15" s="47">
        <v>0</v>
      </c>
      <c r="BM15" s="47">
        <v>0</v>
      </c>
      <c r="BN15" s="47">
        <v>0</v>
      </c>
      <c r="BO15" s="48">
        <v>0</v>
      </c>
      <c r="BP15" s="47">
        <v>0</v>
      </c>
      <c r="BQ15" s="47">
        <v>0</v>
      </c>
      <c r="BR15" s="47">
        <v>0</v>
      </c>
      <c r="BS15" s="48">
        <v>0</v>
      </c>
      <c r="BT15" s="615"/>
    </row>
    <row r="16" spans="1:74" s="164" customFormat="1" ht="10.8">
      <c r="A16" s="159" t="s">
        <v>520</v>
      </c>
      <c r="B16" s="159" t="s">
        <v>521</v>
      </c>
      <c r="C16" s="160">
        <v>565</v>
      </c>
      <c r="D16" s="161">
        <v>552.5</v>
      </c>
      <c r="E16" s="161">
        <v>543.1</v>
      </c>
      <c r="F16" s="161">
        <v>532.9</v>
      </c>
      <c r="G16" s="160">
        <v>536.4</v>
      </c>
      <c r="H16" s="161">
        <v>529.1</v>
      </c>
      <c r="I16" s="161">
        <v>527.6</v>
      </c>
      <c r="J16" s="162">
        <v>544.20000000000005</v>
      </c>
      <c r="K16" s="160">
        <v>548.6</v>
      </c>
      <c r="L16" s="161">
        <v>553.20000000000005</v>
      </c>
      <c r="M16" s="161">
        <v>541.29999999999995</v>
      </c>
      <c r="N16" s="162">
        <v>548.79999999999995</v>
      </c>
      <c r="O16" s="160">
        <v>539</v>
      </c>
      <c r="P16" s="161">
        <v>536.29999999999995</v>
      </c>
      <c r="Q16" s="161">
        <v>520.5</v>
      </c>
      <c r="R16" s="162">
        <v>544.20000000000005</v>
      </c>
      <c r="S16" s="160">
        <v>531.29999999999995</v>
      </c>
      <c r="T16" s="161">
        <v>511.2</v>
      </c>
      <c r="U16" s="161">
        <v>516.6</v>
      </c>
      <c r="V16" s="162">
        <v>575.29999999999995</v>
      </c>
      <c r="W16" s="161">
        <v>573.70000000000016</v>
      </c>
      <c r="X16" s="161">
        <v>579.50000000000011</v>
      </c>
      <c r="Y16" s="161">
        <v>583.40000000000009</v>
      </c>
      <c r="Z16" s="162">
        <v>600</v>
      </c>
      <c r="AA16" s="160">
        <v>573.29999999999995</v>
      </c>
      <c r="AB16" s="161">
        <v>554.1</v>
      </c>
      <c r="AC16" s="161">
        <v>544.30000000000007</v>
      </c>
      <c r="AD16" s="162">
        <v>576.59999999999991</v>
      </c>
      <c r="AE16" s="160">
        <v>569.9</v>
      </c>
      <c r="AF16" s="161">
        <v>583.9</v>
      </c>
      <c r="AG16" s="161">
        <v>635.19999999999993</v>
      </c>
      <c r="AH16" s="162">
        <v>595</v>
      </c>
      <c r="AI16" s="161">
        <v>583.5</v>
      </c>
      <c r="AJ16" s="161">
        <v>564.29999999999995</v>
      </c>
      <c r="AK16" s="161">
        <v>574.20000000000005</v>
      </c>
      <c r="AL16" s="162">
        <v>597.70000000000005</v>
      </c>
      <c r="AM16" s="161">
        <v>566.70000000000005</v>
      </c>
      <c r="AN16" s="161">
        <v>552.9</v>
      </c>
      <c r="AO16" s="161">
        <v>540</v>
      </c>
      <c r="AP16" s="46">
        <v>578</v>
      </c>
      <c r="AQ16" s="45">
        <v>580.19999999999993</v>
      </c>
      <c r="AR16" s="45">
        <v>564.4</v>
      </c>
      <c r="AS16" s="45">
        <v>557</v>
      </c>
      <c r="AT16" s="45">
        <v>549</v>
      </c>
      <c r="AU16" s="48">
        <v>538.1</v>
      </c>
      <c r="AV16" s="45">
        <v>526.79999999999995</v>
      </c>
      <c r="AW16" s="45">
        <v>539.20000000000005</v>
      </c>
      <c r="AX16" s="45">
        <v>556.1</v>
      </c>
      <c r="AY16" s="48">
        <v>1004.3</v>
      </c>
      <c r="AZ16" s="45">
        <v>937.8</v>
      </c>
      <c r="BA16" s="45">
        <v>921.6</v>
      </c>
      <c r="BB16" s="45">
        <v>955.99999999999989</v>
      </c>
      <c r="BC16" s="48">
        <v>950.6</v>
      </c>
      <c r="BD16" s="45">
        <v>925.2</v>
      </c>
      <c r="BE16" s="45">
        <v>917.10000000000014</v>
      </c>
      <c r="BF16" s="45">
        <v>913.09999999999991</v>
      </c>
      <c r="BG16" s="48">
        <v>884.8</v>
      </c>
      <c r="BH16" s="45">
        <v>857.09999999999991</v>
      </c>
      <c r="BI16" s="45">
        <v>828.00000000000011</v>
      </c>
      <c r="BJ16" s="45">
        <v>831.19999999999982</v>
      </c>
      <c r="BK16" s="48">
        <v>917.3</v>
      </c>
      <c r="BL16" s="45">
        <v>926.2</v>
      </c>
      <c r="BM16" s="45">
        <v>950.09999999999991</v>
      </c>
      <c r="BN16" s="45">
        <v>950</v>
      </c>
      <c r="BO16" s="48">
        <v>959</v>
      </c>
      <c r="BP16" s="45">
        <v>926</v>
      </c>
      <c r="BQ16" s="45">
        <v>932.2</v>
      </c>
      <c r="BR16" s="45">
        <v>1002.4</v>
      </c>
      <c r="BS16" s="44">
        <v>990.00000000000011</v>
      </c>
      <c r="BT16" s="615"/>
    </row>
    <row r="17" spans="1:72" s="164" customFormat="1" ht="10.8">
      <c r="A17" s="159" t="s">
        <v>522</v>
      </c>
      <c r="B17" s="159" t="s">
        <v>523</v>
      </c>
      <c r="C17" s="160">
        <v>325.7</v>
      </c>
      <c r="D17" s="161">
        <v>319.3</v>
      </c>
      <c r="E17" s="161">
        <v>319</v>
      </c>
      <c r="F17" s="161">
        <v>318.8</v>
      </c>
      <c r="G17" s="160">
        <v>315.8</v>
      </c>
      <c r="H17" s="161">
        <v>311</v>
      </c>
      <c r="I17" s="161">
        <v>309.5</v>
      </c>
      <c r="J17" s="162">
        <v>316.2</v>
      </c>
      <c r="K17" s="160">
        <v>313.5</v>
      </c>
      <c r="L17" s="161">
        <v>317.8</v>
      </c>
      <c r="M17" s="161">
        <v>316.39999999999998</v>
      </c>
      <c r="N17" s="162">
        <v>327.3</v>
      </c>
      <c r="O17" s="160">
        <v>322.89999999999998</v>
      </c>
      <c r="P17" s="161">
        <v>325.89999999999998</v>
      </c>
      <c r="Q17" s="161">
        <v>325.8</v>
      </c>
      <c r="R17" s="162">
        <v>342.2</v>
      </c>
      <c r="S17" s="160">
        <v>342</v>
      </c>
      <c r="T17" s="161">
        <v>357.8</v>
      </c>
      <c r="U17" s="161">
        <v>355.6</v>
      </c>
      <c r="V17" s="162">
        <v>362</v>
      </c>
      <c r="W17" s="161">
        <v>360.4</v>
      </c>
      <c r="X17" s="161">
        <v>358.8</v>
      </c>
      <c r="Y17" s="161">
        <v>361.1</v>
      </c>
      <c r="Z17" s="162">
        <v>361.59999999999997</v>
      </c>
      <c r="AA17" s="160">
        <v>353.6</v>
      </c>
      <c r="AB17" s="161">
        <v>353.10000000000008</v>
      </c>
      <c r="AC17" s="161">
        <v>352.00000000000011</v>
      </c>
      <c r="AD17" s="162">
        <v>365.90000000000003</v>
      </c>
      <c r="AE17" s="160">
        <v>358.90000000000003</v>
      </c>
      <c r="AF17" s="161">
        <v>358.50000000000006</v>
      </c>
      <c r="AG17" s="161">
        <v>360.89999999999992</v>
      </c>
      <c r="AH17" s="162">
        <v>377.29999999999995</v>
      </c>
      <c r="AI17" s="161">
        <v>374.39999999999992</v>
      </c>
      <c r="AJ17" s="161">
        <v>380.1</v>
      </c>
      <c r="AK17" s="161">
        <v>387.4</v>
      </c>
      <c r="AL17" s="162">
        <v>419.6</v>
      </c>
      <c r="AM17" s="161">
        <v>417.9</v>
      </c>
      <c r="AN17" s="161">
        <v>426.4</v>
      </c>
      <c r="AO17" s="161">
        <v>431.8</v>
      </c>
      <c r="AP17" s="46">
        <v>426.2</v>
      </c>
      <c r="AQ17" s="45">
        <v>415.1</v>
      </c>
      <c r="AR17" s="45">
        <v>420.6</v>
      </c>
      <c r="AS17" s="45">
        <v>422</v>
      </c>
      <c r="AT17" s="45">
        <v>431</v>
      </c>
      <c r="AU17" s="48">
        <v>427.5</v>
      </c>
      <c r="AV17" s="45">
        <v>430</v>
      </c>
      <c r="AW17" s="45">
        <v>434.8</v>
      </c>
      <c r="AX17" s="45">
        <v>439.2</v>
      </c>
      <c r="AY17" s="48">
        <v>433.5</v>
      </c>
      <c r="AZ17" s="45">
        <v>420.7</v>
      </c>
      <c r="BA17" s="45">
        <v>424.8</v>
      </c>
      <c r="BB17" s="45">
        <v>429.9</v>
      </c>
      <c r="BC17" s="48">
        <v>424.3</v>
      </c>
      <c r="BD17" s="45">
        <v>423.2</v>
      </c>
      <c r="BE17" s="45">
        <v>424.6</v>
      </c>
      <c r="BF17" s="45">
        <v>426.6</v>
      </c>
      <c r="BG17" s="48">
        <v>415.8</v>
      </c>
      <c r="BH17" s="45">
        <v>410.3</v>
      </c>
      <c r="BI17" s="45">
        <v>405.6</v>
      </c>
      <c r="BJ17" s="45">
        <v>377.4</v>
      </c>
      <c r="BK17" s="48">
        <v>400.6</v>
      </c>
      <c r="BL17" s="45">
        <v>409.2</v>
      </c>
      <c r="BM17" s="45">
        <v>406.8</v>
      </c>
      <c r="BN17" s="45">
        <v>417.2</v>
      </c>
      <c r="BO17" s="48">
        <v>462.09999999999997</v>
      </c>
      <c r="BP17" s="45">
        <v>467.1</v>
      </c>
      <c r="BQ17" s="45">
        <v>477.8</v>
      </c>
      <c r="BR17" s="45">
        <v>494.1</v>
      </c>
      <c r="BS17" s="44">
        <v>492.20000000000005</v>
      </c>
      <c r="BT17" s="615"/>
    </row>
    <row r="18" spans="1:72" s="6" customFormat="1" ht="10.8" collapsed="1">
      <c r="A18" s="159" t="s">
        <v>524</v>
      </c>
      <c r="B18" s="159" t="s">
        <v>525</v>
      </c>
      <c r="C18" s="160">
        <v>0.2</v>
      </c>
      <c r="D18" s="161">
        <v>0.3</v>
      </c>
      <c r="E18" s="161">
        <v>0.2</v>
      </c>
      <c r="F18" s="161">
        <v>0.2</v>
      </c>
      <c r="G18" s="160">
        <v>0.3</v>
      </c>
      <c r="H18" s="161">
        <v>0.3</v>
      </c>
      <c r="I18" s="161">
        <v>0.2</v>
      </c>
      <c r="J18" s="162">
        <v>0.2</v>
      </c>
      <c r="K18" s="160">
        <v>0.2</v>
      </c>
      <c r="L18" s="161">
        <v>0.1</v>
      </c>
      <c r="M18" s="161">
        <v>0.2</v>
      </c>
      <c r="N18" s="162">
        <v>0.2</v>
      </c>
      <c r="O18" s="160">
        <v>0.2</v>
      </c>
      <c r="P18" s="161">
        <v>0.2</v>
      </c>
      <c r="Q18" s="161">
        <v>1.9</v>
      </c>
      <c r="R18" s="162">
        <v>14</v>
      </c>
      <c r="S18" s="160">
        <v>12.3</v>
      </c>
      <c r="T18" s="161">
        <v>40.9</v>
      </c>
      <c r="U18" s="161">
        <v>44.4</v>
      </c>
      <c r="V18" s="162">
        <v>33.6</v>
      </c>
      <c r="W18" s="161">
        <v>38.9</v>
      </c>
      <c r="X18" s="161">
        <v>37.299999999999997</v>
      </c>
      <c r="Y18" s="161">
        <v>33.799999999999997</v>
      </c>
      <c r="Z18" s="162">
        <v>33</v>
      </c>
      <c r="AA18" s="160">
        <v>44.3</v>
      </c>
      <c r="AB18" s="161">
        <v>49.6</v>
      </c>
      <c r="AC18" s="161">
        <v>49</v>
      </c>
      <c r="AD18" s="162">
        <v>35.299999999999997</v>
      </c>
      <c r="AE18" s="160">
        <v>32.200000000000003</v>
      </c>
      <c r="AF18" s="161">
        <v>134.30000000000001</v>
      </c>
      <c r="AG18" s="161">
        <v>151.80000000000001</v>
      </c>
      <c r="AH18" s="162">
        <v>144.9</v>
      </c>
      <c r="AI18" s="161">
        <v>151</v>
      </c>
      <c r="AJ18" s="161">
        <v>156</v>
      </c>
      <c r="AK18" s="161">
        <v>44.1</v>
      </c>
      <c r="AL18" s="162">
        <v>38.4</v>
      </c>
      <c r="AM18" s="161">
        <v>49.8</v>
      </c>
      <c r="AN18" s="161">
        <v>41.2</v>
      </c>
      <c r="AO18" s="161">
        <v>41.2</v>
      </c>
      <c r="AP18" s="46">
        <v>31.8</v>
      </c>
      <c r="AQ18" s="45">
        <v>19.7</v>
      </c>
      <c r="AR18" s="45">
        <v>14.3</v>
      </c>
      <c r="AS18" s="45">
        <v>15.3</v>
      </c>
      <c r="AT18" s="45">
        <v>11.1</v>
      </c>
      <c r="AU18" s="48">
        <v>10.9</v>
      </c>
      <c r="AV18" s="45">
        <v>16.2</v>
      </c>
      <c r="AW18" s="45">
        <v>16.2</v>
      </c>
      <c r="AX18" s="45">
        <v>0</v>
      </c>
      <c r="AY18" s="48">
        <v>0</v>
      </c>
      <c r="AZ18" s="45">
        <v>0</v>
      </c>
      <c r="BA18" s="45">
        <v>0</v>
      </c>
      <c r="BB18" s="45"/>
      <c r="BC18" s="48"/>
      <c r="BD18" s="45"/>
      <c r="BE18" s="45"/>
      <c r="BF18" s="45"/>
      <c r="BG18" s="48"/>
      <c r="BH18" s="45"/>
      <c r="BI18" s="45"/>
      <c r="BJ18" s="45"/>
      <c r="BK18" s="48"/>
      <c r="BL18" s="45"/>
      <c r="BM18" s="45"/>
      <c r="BN18" s="45"/>
      <c r="BO18" s="48"/>
      <c r="BP18" s="45"/>
      <c r="BQ18" s="45"/>
      <c r="BR18" s="45"/>
      <c r="BS18" s="44"/>
      <c r="BT18" s="787"/>
    </row>
    <row r="19" spans="1:72" s="6" customFormat="1" ht="10.8">
      <c r="A19" s="159" t="s">
        <v>526</v>
      </c>
      <c r="B19" s="159" t="s">
        <v>527</v>
      </c>
      <c r="C19" s="160">
        <v>22.1</v>
      </c>
      <c r="D19" s="161">
        <v>99.5</v>
      </c>
      <c r="E19" s="161">
        <v>40.700000000000003</v>
      </c>
      <c r="F19" s="161">
        <v>49.3</v>
      </c>
      <c r="G19" s="160">
        <v>37.799999999999997</v>
      </c>
      <c r="H19" s="161">
        <v>88</v>
      </c>
      <c r="I19" s="161">
        <v>19.100000000000001</v>
      </c>
      <c r="J19" s="162">
        <v>48.7</v>
      </c>
      <c r="K19" s="160">
        <v>36.799999999999997</v>
      </c>
      <c r="L19" s="161">
        <v>0</v>
      </c>
      <c r="M19" s="161">
        <v>34.299999999999997</v>
      </c>
      <c r="N19" s="162">
        <v>86.4</v>
      </c>
      <c r="O19" s="160">
        <v>62.4</v>
      </c>
      <c r="P19" s="161">
        <v>97.4</v>
      </c>
      <c r="Q19" s="161">
        <v>77.400000000000006</v>
      </c>
      <c r="R19" s="162">
        <v>167.4</v>
      </c>
      <c r="S19" s="160">
        <v>143.9</v>
      </c>
      <c r="T19" s="161">
        <v>100.6</v>
      </c>
      <c r="U19" s="161">
        <v>97.4</v>
      </c>
      <c r="V19" s="162">
        <v>16.5</v>
      </c>
      <c r="W19" s="161">
        <v>69.7</v>
      </c>
      <c r="X19" s="161">
        <v>139.20000000000002</v>
      </c>
      <c r="Y19" s="161">
        <v>45.199999999999996</v>
      </c>
      <c r="Z19" s="162">
        <v>38.299999999999997</v>
      </c>
      <c r="AA19" s="160">
        <v>55.1</v>
      </c>
      <c r="AB19" s="161">
        <v>74.099999999999994</v>
      </c>
      <c r="AC19" s="161">
        <v>102.5</v>
      </c>
      <c r="AD19" s="162">
        <v>118.6</v>
      </c>
      <c r="AE19" s="160">
        <v>90.5</v>
      </c>
      <c r="AF19" s="161">
        <v>62.3</v>
      </c>
      <c r="AG19" s="161">
        <v>61.099999999999994</v>
      </c>
      <c r="AH19" s="162">
        <v>58</v>
      </c>
      <c r="AI19" s="161">
        <v>58.1</v>
      </c>
      <c r="AJ19" s="161">
        <v>65.400000000000006</v>
      </c>
      <c r="AK19" s="161">
        <v>55.4</v>
      </c>
      <c r="AL19" s="162">
        <v>59.5</v>
      </c>
      <c r="AM19" s="161">
        <v>68.2</v>
      </c>
      <c r="AN19" s="161">
        <v>76.599999999999994</v>
      </c>
      <c r="AO19" s="161">
        <v>77.400000000000006</v>
      </c>
      <c r="AP19" s="46">
        <v>237.20000000000002</v>
      </c>
      <c r="AQ19" s="45">
        <v>181.70000000000002</v>
      </c>
      <c r="AR19" s="45">
        <v>228.5</v>
      </c>
      <c r="AS19" s="45">
        <v>250.4</v>
      </c>
      <c r="AT19" s="45">
        <v>309.89999999999998</v>
      </c>
      <c r="AU19" s="48">
        <v>274.60000000000002</v>
      </c>
      <c r="AV19" s="45">
        <v>335.2</v>
      </c>
      <c r="AW19" s="45">
        <v>356.3</v>
      </c>
      <c r="AX19" s="45">
        <v>398.2</v>
      </c>
      <c r="AY19" s="48">
        <v>431.7</v>
      </c>
      <c r="AZ19" s="45">
        <v>419.8</v>
      </c>
      <c r="BA19" s="45">
        <v>399.2</v>
      </c>
      <c r="BB19" s="45">
        <v>445.6</v>
      </c>
      <c r="BC19" s="48">
        <v>377.7</v>
      </c>
      <c r="BD19" s="45">
        <v>380.1</v>
      </c>
      <c r="BE19" s="45">
        <v>409.7</v>
      </c>
      <c r="BF19" s="45">
        <v>423.2</v>
      </c>
      <c r="BG19" s="48">
        <v>558.1</v>
      </c>
      <c r="BH19" s="45">
        <v>463.2</v>
      </c>
      <c r="BI19" s="45">
        <v>594.6</v>
      </c>
      <c r="BJ19" s="45">
        <v>1245</v>
      </c>
      <c r="BK19" s="48">
        <v>1693.8</v>
      </c>
      <c r="BL19" s="45">
        <v>2238.6</v>
      </c>
      <c r="BM19" s="45">
        <v>2408.6</v>
      </c>
      <c r="BN19" s="45">
        <v>1828.6</v>
      </c>
      <c r="BO19" s="48">
        <v>1457.5</v>
      </c>
      <c r="BP19" s="45">
        <v>1194.8</v>
      </c>
      <c r="BQ19" s="45">
        <v>1178.7</v>
      </c>
      <c r="BR19" s="45">
        <v>1096.8</v>
      </c>
      <c r="BS19" s="44">
        <v>838.9</v>
      </c>
      <c r="BT19" s="787"/>
    </row>
    <row r="20" spans="1:72" s="6" customFormat="1" ht="10.8">
      <c r="A20" s="159" t="s">
        <v>528</v>
      </c>
      <c r="B20" s="159" t="s">
        <v>529</v>
      </c>
      <c r="C20" s="160">
        <v>0</v>
      </c>
      <c r="D20" s="161">
        <v>0</v>
      </c>
      <c r="E20" s="161">
        <v>0</v>
      </c>
      <c r="F20" s="161">
        <v>25.3</v>
      </c>
      <c r="G20" s="160">
        <v>9.6999999999999993</v>
      </c>
      <c r="H20" s="161">
        <v>0</v>
      </c>
      <c r="I20" s="161">
        <v>0</v>
      </c>
      <c r="J20" s="162">
        <v>0.1</v>
      </c>
      <c r="K20" s="160">
        <v>18.7</v>
      </c>
      <c r="L20" s="161">
        <v>82.9</v>
      </c>
      <c r="M20" s="161">
        <v>0</v>
      </c>
      <c r="N20" s="162">
        <v>0.8</v>
      </c>
      <c r="O20" s="160">
        <v>0.4</v>
      </c>
      <c r="P20" s="161">
        <v>0.3</v>
      </c>
      <c r="Q20" s="161">
        <v>0</v>
      </c>
      <c r="R20" s="162">
        <v>0.6</v>
      </c>
      <c r="S20" s="160">
        <v>37.9</v>
      </c>
      <c r="T20" s="161">
        <v>55.2</v>
      </c>
      <c r="U20" s="161">
        <v>56.2</v>
      </c>
      <c r="V20" s="162">
        <v>147.5</v>
      </c>
      <c r="W20" s="161">
        <v>91.3</v>
      </c>
      <c r="X20" s="161">
        <v>0.2</v>
      </c>
      <c r="Y20" s="161">
        <v>0</v>
      </c>
      <c r="Z20" s="162">
        <v>0.3</v>
      </c>
      <c r="AA20" s="160">
        <v>1</v>
      </c>
      <c r="AB20" s="161">
        <v>0.2</v>
      </c>
      <c r="AC20" s="161">
        <v>0.5</v>
      </c>
      <c r="AD20" s="162">
        <v>1.2999999999999998</v>
      </c>
      <c r="AE20" s="160">
        <v>9.8000000000000007</v>
      </c>
      <c r="AF20" s="161">
        <v>29.099999999999998</v>
      </c>
      <c r="AG20" s="161">
        <v>37.700000000000003</v>
      </c>
      <c r="AH20" s="162">
        <v>1.1000000000000001</v>
      </c>
      <c r="AI20" s="161">
        <v>19.7</v>
      </c>
      <c r="AJ20" s="161">
        <v>0.5</v>
      </c>
      <c r="AK20" s="161">
        <v>0.4</v>
      </c>
      <c r="AL20" s="162">
        <v>0.1</v>
      </c>
      <c r="AM20" s="161">
        <v>3.2</v>
      </c>
      <c r="AN20" s="161">
        <v>0.3</v>
      </c>
      <c r="AO20" s="161">
        <v>0.1</v>
      </c>
      <c r="AP20" s="46">
        <v>0.3</v>
      </c>
      <c r="AQ20" s="45">
        <v>0.2</v>
      </c>
      <c r="AR20" s="45">
        <v>0</v>
      </c>
      <c r="AS20" s="45">
        <v>0</v>
      </c>
      <c r="AT20" s="45">
        <v>0</v>
      </c>
      <c r="AU20" s="48">
        <v>1.8</v>
      </c>
      <c r="AV20" s="45">
        <v>0</v>
      </c>
      <c r="AW20" s="45">
        <v>0</v>
      </c>
      <c r="AX20" s="45">
        <v>0</v>
      </c>
      <c r="AY20" s="48">
        <v>0</v>
      </c>
      <c r="AZ20" s="45">
        <v>0</v>
      </c>
      <c r="BA20" s="45">
        <v>0</v>
      </c>
      <c r="BB20" s="45">
        <v>0</v>
      </c>
      <c r="BC20" s="48">
        <v>0</v>
      </c>
      <c r="BD20" s="45">
        <v>0</v>
      </c>
      <c r="BE20" s="45">
        <v>0</v>
      </c>
      <c r="BF20" s="45">
        <v>2.7</v>
      </c>
      <c r="BG20" s="48">
        <v>2.2000000000000002</v>
      </c>
      <c r="BH20" s="45">
        <v>307.8</v>
      </c>
      <c r="BI20" s="45">
        <v>426.2</v>
      </c>
      <c r="BJ20" s="45">
        <v>734.5</v>
      </c>
      <c r="BK20" s="48">
        <v>825.2</v>
      </c>
      <c r="BL20" s="45">
        <v>820.5</v>
      </c>
      <c r="BM20" s="45">
        <v>760.7</v>
      </c>
      <c r="BN20" s="45">
        <v>572.20000000000005</v>
      </c>
      <c r="BO20" s="48">
        <v>258.60000000000002</v>
      </c>
      <c r="BP20" s="45">
        <v>6.7</v>
      </c>
      <c r="BQ20" s="45">
        <v>6.7</v>
      </c>
      <c r="BR20" s="45">
        <v>0.6</v>
      </c>
      <c r="BS20" s="44">
        <v>59</v>
      </c>
      <c r="BT20" s="787"/>
    </row>
    <row r="21" spans="1:72" s="164" customFormat="1" ht="10.8">
      <c r="A21" s="159" t="s">
        <v>530</v>
      </c>
      <c r="B21" s="159" t="s">
        <v>531</v>
      </c>
      <c r="C21" s="160">
        <v>128.1</v>
      </c>
      <c r="D21" s="161">
        <v>154.80000000000001</v>
      </c>
      <c r="E21" s="161">
        <v>132.9</v>
      </c>
      <c r="F21" s="161">
        <v>137.4</v>
      </c>
      <c r="G21" s="160">
        <v>122.2</v>
      </c>
      <c r="H21" s="161">
        <v>129.9</v>
      </c>
      <c r="I21" s="161">
        <v>190.9</v>
      </c>
      <c r="J21" s="162">
        <v>166</v>
      </c>
      <c r="K21" s="160">
        <v>187.9</v>
      </c>
      <c r="L21" s="161">
        <v>193</v>
      </c>
      <c r="M21" s="161">
        <v>207.2</v>
      </c>
      <c r="N21" s="162">
        <v>150</v>
      </c>
      <c r="O21" s="160">
        <v>175.4</v>
      </c>
      <c r="P21" s="161">
        <v>175.6</v>
      </c>
      <c r="Q21" s="161">
        <v>214.1</v>
      </c>
      <c r="R21" s="162">
        <v>159.69999999999999</v>
      </c>
      <c r="S21" s="160">
        <v>224.5</v>
      </c>
      <c r="T21" s="161">
        <v>210.1</v>
      </c>
      <c r="U21" s="161">
        <v>216</v>
      </c>
      <c r="V21" s="162">
        <v>141.80000000000001</v>
      </c>
      <c r="W21" s="161">
        <v>177.60000000000002</v>
      </c>
      <c r="X21" s="161">
        <v>248.39999999999998</v>
      </c>
      <c r="Y21" s="161">
        <v>316</v>
      </c>
      <c r="Z21" s="162">
        <v>193.9</v>
      </c>
      <c r="AA21" s="160">
        <v>173.3</v>
      </c>
      <c r="AB21" s="161">
        <v>225.39999999999998</v>
      </c>
      <c r="AC21" s="161">
        <v>187.80000000000004</v>
      </c>
      <c r="AD21" s="162">
        <v>180.1</v>
      </c>
      <c r="AE21" s="160">
        <v>243</v>
      </c>
      <c r="AF21" s="161">
        <v>331.9</v>
      </c>
      <c r="AG21" s="161">
        <v>300.5</v>
      </c>
      <c r="AH21" s="162">
        <v>211.8</v>
      </c>
      <c r="AI21" s="161">
        <v>269</v>
      </c>
      <c r="AJ21" s="161">
        <v>283.39999999999998</v>
      </c>
      <c r="AK21" s="161">
        <v>265.10000000000002</v>
      </c>
      <c r="AL21" s="162">
        <v>194.7</v>
      </c>
      <c r="AM21" s="161">
        <v>213.2</v>
      </c>
      <c r="AN21" s="161">
        <v>290.10000000000002</v>
      </c>
      <c r="AO21" s="161">
        <v>292.2</v>
      </c>
      <c r="AP21" s="46">
        <v>282.5</v>
      </c>
      <c r="AQ21" s="45">
        <v>333.8</v>
      </c>
      <c r="AR21" s="45">
        <v>362.90000000000003</v>
      </c>
      <c r="AS21" s="45">
        <v>385.5</v>
      </c>
      <c r="AT21" s="45">
        <v>409.2</v>
      </c>
      <c r="AU21" s="48">
        <v>345.9</v>
      </c>
      <c r="AV21" s="45">
        <v>400.3</v>
      </c>
      <c r="AW21" s="45">
        <v>444.6</v>
      </c>
      <c r="AX21" s="45">
        <v>496.9</v>
      </c>
      <c r="AY21" s="48">
        <v>570.5</v>
      </c>
      <c r="AZ21" s="45">
        <v>651.20000000000005</v>
      </c>
      <c r="BA21" s="45">
        <v>579.9</v>
      </c>
      <c r="BB21" s="45">
        <v>208.4</v>
      </c>
      <c r="BC21" s="48">
        <v>237.5</v>
      </c>
      <c r="BD21" s="45">
        <v>206.6</v>
      </c>
      <c r="BE21" s="45">
        <v>233.6</v>
      </c>
      <c r="BF21" s="45">
        <v>282.8</v>
      </c>
      <c r="BG21" s="48">
        <v>292.79999999999995</v>
      </c>
      <c r="BH21" s="45">
        <v>289.89999999999998</v>
      </c>
      <c r="BI21" s="45">
        <v>270.09999999999997</v>
      </c>
      <c r="BJ21" s="45">
        <v>286.5</v>
      </c>
      <c r="BK21" s="48">
        <v>188.3</v>
      </c>
      <c r="BL21" s="45">
        <v>222.2</v>
      </c>
      <c r="BM21" s="45">
        <v>164.8</v>
      </c>
      <c r="BN21" s="45">
        <v>157.80000000000001</v>
      </c>
      <c r="BO21" s="48">
        <v>193.4</v>
      </c>
      <c r="BP21" s="45">
        <v>214.6</v>
      </c>
      <c r="BQ21" s="45">
        <v>201.9</v>
      </c>
      <c r="BR21" s="45">
        <v>144.19999999999999</v>
      </c>
      <c r="BS21" s="44">
        <v>210.9</v>
      </c>
      <c r="BT21" s="615"/>
    </row>
    <row r="22" spans="1:72" s="164" customFormat="1" ht="10.8">
      <c r="A22" s="143" t="s">
        <v>532</v>
      </c>
      <c r="B22" s="143" t="s">
        <v>533</v>
      </c>
      <c r="C22" s="172">
        <f>SUM(C7:C21)</f>
        <v>56616.89999999998</v>
      </c>
      <c r="D22" s="173">
        <f t="shared" ref="D22:BO22" si="0">SUM(D7:D21)</f>
        <v>53203.100000000013</v>
      </c>
      <c r="E22" s="173">
        <f t="shared" si="0"/>
        <v>53246.599999999991</v>
      </c>
      <c r="F22" s="173">
        <f t="shared" si="0"/>
        <v>52010.80000000001</v>
      </c>
      <c r="G22" s="172">
        <f t="shared" si="0"/>
        <v>60234.400000000009</v>
      </c>
      <c r="H22" s="173">
        <f t="shared" si="0"/>
        <v>60513.200000000004</v>
      </c>
      <c r="I22" s="173">
        <f t="shared" si="0"/>
        <v>65262.600000000006</v>
      </c>
      <c r="J22" s="173">
        <f t="shared" si="0"/>
        <v>69610.5</v>
      </c>
      <c r="K22" s="172">
        <f t="shared" si="0"/>
        <v>68205.799999999988</v>
      </c>
      <c r="L22" s="173">
        <f t="shared" si="0"/>
        <v>64516.5</v>
      </c>
      <c r="M22" s="173">
        <f t="shared" si="0"/>
        <v>64256.4</v>
      </c>
      <c r="N22" s="173">
        <f t="shared" si="0"/>
        <v>59883.400000000009</v>
      </c>
      <c r="O22" s="172">
        <f t="shared" si="0"/>
        <v>62099.1</v>
      </c>
      <c r="P22" s="173">
        <f t="shared" si="0"/>
        <v>61583.000000000007</v>
      </c>
      <c r="Q22" s="173">
        <f t="shared" si="0"/>
        <v>62165.500000000007</v>
      </c>
      <c r="R22" s="173">
        <f t="shared" si="0"/>
        <v>64517.499999999985</v>
      </c>
      <c r="S22" s="172">
        <f t="shared" si="0"/>
        <v>65839.799999999988</v>
      </c>
      <c r="T22" s="173">
        <f t="shared" si="0"/>
        <v>67500.900000000009</v>
      </c>
      <c r="U22" s="173">
        <f t="shared" si="0"/>
        <v>73696.099999999991</v>
      </c>
      <c r="V22" s="173">
        <f t="shared" si="0"/>
        <v>69723.400000000009</v>
      </c>
      <c r="W22" s="172">
        <f t="shared" si="0"/>
        <v>72263.099999999991</v>
      </c>
      <c r="X22" s="173">
        <f t="shared" si="0"/>
        <v>70260.099999999991</v>
      </c>
      <c r="Y22" s="173">
        <f t="shared" si="0"/>
        <v>73637.799999999988</v>
      </c>
      <c r="Z22" s="174">
        <f t="shared" si="0"/>
        <v>78266.799999999988</v>
      </c>
      <c r="AA22" s="172">
        <f t="shared" si="0"/>
        <v>77753.800000000032</v>
      </c>
      <c r="AB22" s="173">
        <f t="shared" si="0"/>
        <v>81790.60000000002</v>
      </c>
      <c r="AC22" s="173">
        <f t="shared" si="0"/>
        <v>84639.5</v>
      </c>
      <c r="AD22" s="174">
        <f t="shared" si="0"/>
        <v>86750.6</v>
      </c>
      <c r="AE22" s="172">
        <f t="shared" si="0"/>
        <v>92244.699999999968</v>
      </c>
      <c r="AF22" s="173">
        <f t="shared" si="0"/>
        <v>98261.799999999988</v>
      </c>
      <c r="AG22" s="173">
        <f t="shared" si="0"/>
        <v>96848.5</v>
      </c>
      <c r="AH22" s="174">
        <f t="shared" si="0"/>
        <v>99860.700000000012</v>
      </c>
      <c r="AI22" s="173">
        <f t="shared" si="0"/>
        <v>102568.3</v>
      </c>
      <c r="AJ22" s="173">
        <f t="shared" si="0"/>
        <v>105318.90000000001</v>
      </c>
      <c r="AK22" s="173">
        <f t="shared" si="0"/>
        <v>112180.7</v>
      </c>
      <c r="AL22" s="174">
        <f t="shared" si="0"/>
        <v>108893.09999999999</v>
      </c>
      <c r="AM22" s="173">
        <f t="shared" si="0"/>
        <v>112732.69999999998</v>
      </c>
      <c r="AN22" s="173">
        <f t="shared" si="0"/>
        <v>115639.7</v>
      </c>
      <c r="AO22" s="173">
        <f t="shared" si="0"/>
        <v>116550</v>
      </c>
      <c r="AP22" s="174">
        <f>SUM(AP7:AP21)</f>
        <v>117477.70000000001</v>
      </c>
      <c r="AQ22" s="173">
        <f t="shared" si="0"/>
        <v>118850.5</v>
      </c>
      <c r="AR22" s="173">
        <f t="shared" si="0"/>
        <v>120197.6</v>
      </c>
      <c r="AS22" s="173">
        <f t="shared" si="0"/>
        <v>122290</v>
      </c>
      <c r="AT22" s="173">
        <f t="shared" si="0"/>
        <v>125971.80000000002</v>
      </c>
      <c r="AU22" s="193">
        <f t="shared" si="0"/>
        <v>127549.1</v>
      </c>
      <c r="AV22" s="173">
        <f t="shared" si="0"/>
        <v>131042.50000000001</v>
      </c>
      <c r="AW22" s="173">
        <f t="shared" si="0"/>
        <v>134384.30000000002</v>
      </c>
      <c r="AX22" s="173">
        <f t="shared" si="0"/>
        <v>141812.90000000002</v>
      </c>
      <c r="AY22" s="193">
        <f t="shared" si="0"/>
        <v>145717.4</v>
      </c>
      <c r="AZ22" s="173">
        <f t="shared" si="0"/>
        <v>150909.1</v>
      </c>
      <c r="BA22" s="173">
        <f t="shared" si="0"/>
        <v>156013.79999999999</v>
      </c>
      <c r="BB22" s="173">
        <f t="shared" si="0"/>
        <v>158610.69999999998</v>
      </c>
      <c r="BC22" s="193">
        <f t="shared" si="0"/>
        <v>171241.60000000001</v>
      </c>
      <c r="BD22" s="173">
        <f t="shared" si="0"/>
        <v>180639.30000000002</v>
      </c>
      <c r="BE22" s="173">
        <f t="shared" si="0"/>
        <v>184859.50000000003</v>
      </c>
      <c r="BF22" s="173">
        <f t="shared" si="0"/>
        <v>186595.70000000004</v>
      </c>
      <c r="BG22" s="193">
        <f t="shared" si="0"/>
        <v>194821.3</v>
      </c>
      <c r="BH22" s="173">
        <f t="shared" si="0"/>
        <v>197282.3</v>
      </c>
      <c r="BI22" s="173">
        <f t="shared" si="0"/>
        <v>200543.30000000002</v>
      </c>
      <c r="BJ22" s="173">
        <f t="shared" si="0"/>
        <v>201654.19999999998</v>
      </c>
      <c r="BK22" s="193">
        <f t="shared" si="0"/>
        <v>210068.99999999997</v>
      </c>
      <c r="BL22" s="173">
        <f t="shared" si="0"/>
        <v>212395.00000000003</v>
      </c>
      <c r="BM22" s="173">
        <f t="shared" si="0"/>
        <v>213012.19999999998</v>
      </c>
      <c r="BN22" s="173">
        <f t="shared" si="0"/>
        <v>217266.1</v>
      </c>
      <c r="BO22" s="193">
        <f t="shared" si="0"/>
        <v>227656.6</v>
      </c>
      <c r="BP22" s="173">
        <f t="shared" ref="BP22:BS22" si="1">SUM(BP7:BP21)</f>
        <v>227735.8</v>
      </c>
      <c r="BQ22" s="173">
        <f t="shared" si="1"/>
        <v>232840.20000000004</v>
      </c>
      <c r="BR22" s="173">
        <f t="shared" si="1"/>
        <v>245361.40000000002</v>
      </c>
      <c r="BS22" s="172">
        <f t="shared" si="1"/>
        <v>252720.7</v>
      </c>
    </row>
    <row r="23" spans="1:72" s="150" customFormat="1" ht="7.2" customHeight="1">
      <c r="A23" s="159"/>
      <c r="B23" s="159"/>
      <c r="C23" s="160"/>
      <c r="D23" s="161"/>
      <c r="E23" s="161"/>
      <c r="F23" s="161"/>
      <c r="G23" s="160"/>
      <c r="H23" s="161"/>
      <c r="I23" s="161"/>
      <c r="J23" s="162"/>
      <c r="K23" s="160"/>
      <c r="L23" s="161"/>
      <c r="M23" s="161"/>
      <c r="N23" s="162"/>
      <c r="O23" s="160"/>
      <c r="P23" s="161"/>
      <c r="Q23" s="161"/>
      <c r="R23" s="162"/>
      <c r="S23" s="160"/>
      <c r="T23" s="161"/>
      <c r="U23" s="161"/>
      <c r="V23" s="162"/>
      <c r="W23" s="161"/>
      <c r="X23" s="161"/>
      <c r="Y23" s="161"/>
      <c r="Z23" s="162"/>
      <c r="AA23" s="160"/>
      <c r="AB23" s="161"/>
      <c r="AC23" s="161"/>
      <c r="AD23" s="162"/>
      <c r="AE23" s="160"/>
      <c r="AF23" s="161"/>
      <c r="AG23" s="161"/>
      <c r="AH23" s="162"/>
      <c r="AI23" s="161"/>
      <c r="AJ23" s="161"/>
      <c r="AK23" s="161"/>
      <c r="AL23" s="162"/>
      <c r="AM23" s="161"/>
      <c r="AN23" s="161"/>
      <c r="AO23" s="161"/>
      <c r="AP23" s="162"/>
      <c r="AQ23" s="161"/>
      <c r="AR23" s="161"/>
      <c r="AS23" s="161"/>
      <c r="AT23" s="161"/>
      <c r="AU23" s="160"/>
      <c r="AV23" s="161"/>
      <c r="AW23" s="161"/>
      <c r="AX23" s="161"/>
      <c r="AY23" s="160"/>
      <c r="AZ23" s="161"/>
      <c r="BA23" s="161"/>
      <c r="BB23" s="161"/>
      <c r="BC23" s="160"/>
      <c r="BD23" s="161"/>
      <c r="BE23" s="161"/>
      <c r="BF23" s="161"/>
      <c r="BG23" s="160"/>
      <c r="BH23" s="161"/>
      <c r="BI23" s="161"/>
      <c r="BJ23" s="161"/>
      <c r="BK23" s="160"/>
      <c r="BL23" s="161"/>
      <c r="BM23" s="161"/>
      <c r="BN23" s="161"/>
      <c r="BO23" s="160"/>
      <c r="BP23" s="161"/>
      <c r="BQ23" s="161"/>
      <c r="BR23" s="161"/>
      <c r="BS23" s="160"/>
    </row>
    <row r="24" spans="1:72" s="150" customFormat="1" ht="10.8">
      <c r="A24" s="155" t="s">
        <v>534</v>
      </c>
      <c r="B24" s="155" t="s">
        <v>535</v>
      </c>
      <c r="C24" s="160"/>
      <c r="D24" s="161"/>
      <c r="E24" s="161"/>
      <c r="F24" s="161"/>
      <c r="G24" s="160"/>
      <c r="H24" s="161"/>
      <c r="I24" s="161"/>
      <c r="J24" s="162"/>
      <c r="K24" s="160"/>
      <c r="L24" s="161"/>
      <c r="M24" s="161"/>
      <c r="N24" s="162"/>
      <c r="O24" s="160"/>
      <c r="P24" s="161"/>
      <c r="Q24" s="161"/>
      <c r="R24" s="162"/>
      <c r="S24" s="160"/>
      <c r="T24" s="161"/>
      <c r="U24" s="161"/>
      <c r="V24" s="162"/>
      <c r="W24" s="161"/>
      <c r="X24" s="161"/>
      <c r="Y24" s="161"/>
      <c r="Z24" s="162"/>
      <c r="AA24" s="160"/>
      <c r="AB24" s="161"/>
      <c r="AC24" s="161"/>
      <c r="AD24" s="162"/>
      <c r="AE24" s="160"/>
      <c r="AF24" s="161"/>
      <c r="AG24" s="161"/>
      <c r="AH24" s="162"/>
      <c r="AI24" s="45"/>
      <c r="AJ24" s="45"/>
      <c r="AK24" s="45"/>
      <c r="AL24" s="46"/>
      <c r="AM24" s="45"/>
      <c r="AN24" s="45"/>
      <c r="AO24" s="45"/>
      <c r="AP24" s="46"/>
      <c r="AQ24" s="45"/>
      <c r="AR24" s="45"/>
      <c r="AS24" s="45"/>
      <c r="AT24" s="45"/>
      <c r="AU24" s="44"/>
      <c r="AV24" s="45"/>
      <c r="AW24" s="45"/>
      <c r="AX24" s="45"/>
      <c r="AY24" s="44"/>
      <c r="AZ24" s="45"/>
      <c r="BA24" s="45"/>
      <c r="BB24" s="45"/>
      <c r="BC24" s="44"/>
      <c r="BD24" s="45"/>
      <c r="BE24" s="45"/>
      <c r="BF24" s="45"/>
      <c r="BG24" s="44"/>
      <c r="BH24" s="45"/>
      <c r="BI24" s="45"/>
      <c r="BJ24" s="45"/>
      <c r="BK24" s="44"/>
      <c r="BL24" s="45"/>
      <c r="BM24" s="45"/>
      <c r="BN24" s="45"/>
      <c r="BO24" s="44"/>
      <c r="BP24" s="45"/>
      <c r="BQ24" s="45"/>
      <c r="BR24" s="45"/>
      <c r="BS24" s="44"/>
      <c r="BT24" s="610"/>
    </row>
    <row r="25" spans="1:72" s="150" customFormat="1" ht="10.8">
      <c r="A25" s="155" t="s">
        <v>536</v>
      </c>
      <c r="B25" s="155" t="s">
        <v>537</v>
      </c>
      <c r="C25" s="160"/>
      <c r="D25" s="161"/>
      <c r="E25" s="161"/>
      <c r="F25" s="161"/>
      <c r="G25" s="160"/>
      <c r="H25" s="161"/>
      <c r="I25" s="161"/>
      <c r="J25" s="162"/>
      <c r="K25" s="160"/>
      <c r="L25" s="161"/>
      <c r="M25" s="161"/>
      <c r="N25" s="162"/>
      <c r="O25" s="160"/>
      <c r="P25" s="161"/>
      <c r="Q25" s="161"/>
      <c r="R25" s="162"/>
      <c r="S25" s="160"/>
      <c r="T25" s="161"/>
      <c r="U25" s="161"/>
      <c r="V25" s="162"/>
      <c r="W25" s="161"/>
      <c r="X25" s="161"/>
      <c r="Y25" s="161"/>
      <c r="Z25" s="162"/>
      <c r="AA25" s="160"/>
      <c r="AB25" s="161"/>
      <c r="AC25" s="161"/>
      <c r="AD25" s="162"/>
      <c r="AE25" s="160"/>
      <c r="AF25" s="161"/>
      <c r="AG25" s="161"/>
      <c r="AH25" s="162"/>
      <c r="AI25" s="45"/>
      <c r="AJ25" s="45"/>
      <c r="AK25" s="45"/>
      <c r="AL25" s="46"/>
      <c r="AM25" s="45"/>
      <c r="AN25" s="45"/>
      <c r="AO25" s="45"/>
      <c r="AP25" s="46"/>
      <c r="AQ25" s="45"/>
      <c r="AR25" s="45"/>
      <c r="AS25" s="45"/>
      <c r="AT25" s="45"/>
      <c r="AU25" s="44"/>
      <c r="AV25" s="45"/>
      <c r="AW25" s="45"/>
      <c r="AX25" s="45"/>
      <c r="AY25" s="44"/>
      <c r="AZ25" s="45"/>
      <c r="BA25" s="45"/>
      <c r="BB25" s="45"/>
      <c r="BC25" s="44"/>
      <c r="BD25" s="45"/>
      <c r="BE25" s="45"/>
      <c r="BF25" s="45"/>
      <c r="BG25" s="44"/>
      <c r="BH25" s="45"/>
      <c r="BI25" s="45"/>
      <c r="BJ25" s="45"/>
      <c r="BK25" s="44"/>
      <c r="BL25" s="45"/>
      <c r="BM25" s="45"/>
      <c r="BN25" s="45"/>
      <c r="BO25" s="44"/>
      <c r="BP25" s="45"/>
      <c r="BQ25" s="45"/>
      <c r="BR25" s="45"/>
      <c r="BS25" s="44"/>
      <c r="BT25" s="610"/>
    </row>
    <row r="26" spans="1:72" s="150" customFormat="1" ht="10.8">
      <c r="A26" s="159" t="s">
        <v>538</v>
      </c>
      <c r="B26" s="159" t="s">
        <v>539</v>
      </c>
      <c r="C26" s="160">
        <v>0</v>
      </c>
      <c r="D26" s="161">
        <v>0</v>
      </c>
      <c r="E26" s="161">
        <v>0</v>
      </c>
      <c r="F26" s="161">
        <v>0</v>
      </c>
      <c r="G26" s="160">
        <v>0</v>
      </c>
      <c r="H26" s="161">
        <v>0</v>
      </c>
      <c r="I26" s="161">
        <v>0</v>
      </c>
      <c r="J26" s="162">
        <v>5932.1</v>
      </c>
      <c r="K26" s="160">
        <v>4020.1</v>
      </c>
      <c r="L26" s="161">
        <v>0</v>
      </c>
      <c r="M26" s="161">
        <v>0</v>
      </c>
      <c r="N26" s="162">
        <v>0</v>
      </c>
      <c r="O26" s="160">
        <v>0</v>
      </c>
      <c r="P26" s="161">
        <v>0</v>
      </c>
      <c r="Q26" s="161">
        <v>0</v>
      </c>
      <c r="R26" s="162">
        <v>0</v>
      </c>
      <c r="S26" s="160">
        <v>0</v>
      </c>
      <c r="T26" s="161">
        <v>0</v>
      </c>
      <c r="U26" s="161">
        <v>0</v>
      </c>
      <c r="V26" s="162">
        <v>0</v>
      </c>
      <c r="W26" s="161">
        <v>0</v>
      </c>
      <c r="X26" s="161">
        <v>0</v>
      </c>
      <c r="Y26" s="161">
        <v>0</v>
      </c>
      <c r="Z26" s="162">
        <v>0</v>
      </c>
      <c r="AA26" s="160">
        <v>0</v>
      </c>
      <c r="AB26" s="161">
        <v>0</v>
      </c>
      <c r="AC26" s="161">
        <v>0</v>
      </c>
      <c r="AD26" s="162">
        <v>0</v>
      </c>
      <c r="AE26" s="160">
        <v>0</v>
      </c>
      <c r="AF26" s="161">
        <v>0</v>
      </c>
      <c r="AG26" s="161">
        <v>0</v>
      </c>
      <c r="AH26" s="162">
        <v>0</v>
      </c>
      <c r="AI26" s="45">
        <v>0</v>
      </c>
      <c r="AJ26" s="45">
        <v>0</v>
      </c>
      <c r="AK26" s="45">
        <v>0</v>
      </c>
      <c r="AL26" s="46">
        <v>0</v>
      </c>
      <c r="AM26" s="45">
        <v>0</v>
      </c>
      <c r="AN26" s="45">
        <v>0</v>
      </c>
      <c r="AO26" s="45">
        <v>0</v>
      </c>
      <c r="AP26" s="46">
        <v>0</v>
      </c>
      <c r="AQ26" s="45">
        <v>0</v>
      </c>
      <c r="AR26" s="45">
        <v>0</v>
      </c>
      <c r="AS26" s="45">
        <v>0</v>
      </c>
      <c r="AT26" s="45">
        <v>0</v>
      </c>
      <c r="AU26" s="44">
        <v>0</v>
      </c>
      <c r="AV26" s="45">
        <v>0</v>
      </c>
      <c r="AW26" s="45">
        <v>0</v>
      </c>
      <c r="AX26" s="45">
        <v>0</v>
      </c>
      <c r="AY26" s="44">
        <v>0</v>
      </c>
      <c r="AZ26" s="45">
        <v>0</v>
      </c>
      <c r="BA26" s="45">
        <v>0</v>
      </c>
      <c r="BB26" s="45">
        <v>0</v>
      </c>
      <c r="BC26" s="44">
        <v>0</v>
      </c>
      <c r="BD26" s="45">
        <v>0</v>
      </c>
      <c r="BE26" s="45">
        <v>0</v>
      </c>
      <c r="BF26" s="45">
        <v>0</v>
      </c>
      <c r="BG26" s="44">
        <v>0</v>
      </c>
      <c r="BH26" s="45">
        <v>0</v>
      </c>
      <c r="BI26" s="45">
        <v>0</v>
      </c>
      <c r="BJ26" s="45">
        <v>0</v>
      </c>
      <c r="BK26" s="44">
        <v>0</v>
      </c>
      <c r="BL26" s="45">
        <v>0</v>
      </c>
      <c r="BM26" s="45">
        <v>0</v>
      </c>
      <c r="BN26" s="45">
        <v>0</v>
      </c>
      <c r="BO26" s="44">
        <v>0</v>
      </c>
      <c r="BP26" s="45">
        <v>0</v>
      </c>
      <c r="BQ26" s="45">
        <v>0</v>
      </c>
      <c r="BR26" s="45">
        <v>0</v>
      </c>
      <c r="BS26" s="44">
        <v>0</v>
      </c>
      <c r="BT26" s="610"/>
    </row>
    <row r="27" spans="1:72" s="150" customFormat="1" ht="10.8">
      <c r="A27" s="159" t="s">
        <v>540</v>
      </c>
      <c r="B27" s="159" t="s">
        <v>541</v>
      </c>
      <c r="C27" s="160">
        <v>5598.6</v>
      </c>
      <c r="D27" s="161">
        <v>3868.4</v>
      </c>
      <c r="E27" s="161">
        <v>5592.2</v>
      </c>
      <c r="F27" s="161">
        <v>1810.2</v>
      </c>
      <c r="G27" s="160">
        <v>5212.3</v>
      </c>
      <c r="H27" s="161">
        <v>6024.8</v>
      </c>
      <c r="I27" s="161">
        <v>5153.5</v>
      </c>
      <c r="J27" s="162">
        <v>6015.9</v>
      </c>
      <c r="K27" s="160">
        <v>8073.1</v>
      </c>
      <c r="L27" s="161">
        <v>9535.2999999999993</v>
      </c>
      <c r="M27" s="161">
        <v>6355.9000000000005</v>
      </c>
      <c r="N27" s="162">
        <v>3927.8</v>
      </c>
      <c r="O27" s="160">
        <v>5359.0999999999995</v>
      </c>
      <c r="P27" s="161">
        <v>5121.8</v>
      </c>
      <c r="Q27" s="161">
        <v>3115.6000000000004</v>
      </c>
      <c r="R27" s="162">
        <v>3991</v>
      </c>
      <c r="S27" s="160">
        <v>10409.200000000001</v>
      </c>
      <c r="T27" s="161">
        <v>8913.5</v>
      </c>
      <c r="U27" s="161">
        <v>7573.3</v>
      </c>
      <c r="V27" s="162">
        <v>4917.2999999999993</v>
      </c>
      <c r="W27" s="161">
        <v>5381.4</v>
      </c>
      <c r="X27" s="161">
        <v>4079.3</v>
      </c>
      <c r="Y27" s="161">
        <v>4932.7</v>
      </c>
      <c r="Z27" s="162">
        <v>4513.7000000000007</v>
      </c>
      <c r="AA27" s="160">
        <v>4773.2999999999993</v>
      </c>
      <c r="AB27" s="161">
        <v>4139.6000000000004</v>
      </c>
      <c r="AC27" s="161">
        <v>4513.2</v>
      </c>
      <c r="AD27" s="162">
        <v>4609.8</v>
      </c>
      <c r="AE27" s="160">
        <v>10542.5</v>
      </c>
      <c r="AF27" s="161">
        <v>11859.5</v>
      </c>
      <c r="AG27" s="161">
        <v>7043.3</v>
      </c>
      <c r="AH27" s="162">
        <v>6123.4000000000005</v>
      </c>
      <c r="AI27" s="45">
        <v>5807.5000000000009</v>
      </c>
      <c r="AJ27" s="45">
        <v>8493</v>
      </c>
      <c r="AK27" s="45">
        <v>10917.1</v>
      </c>
      <c r="AL27" s="46">
        <v>3913.5</v>
      </c>
      <c r="AM27" s="45">
        <v>4236</v>
      </c>
      <c r="AN27" s="45">
        <v>5082.3</v>
      </c>
      <c r="AO27" s="45">
        <v>7032.5</v>
      </c>
      <c r="AP27" s="46">
        <v>5043</v>
      </c>
      <c r="AQ27" s="45">
        <v>5606.6</v>
      </c>
      <c r="AR27" s="45">
        <v>6140.5</v>
      </c>
      <c r="AS27" s="45">
        <v>5637.8</v>
      </c>
      <c r="AT27" s="45">
        <v>4109</v>
      </c>
      <c r="AU27" s="44">
        <v>6288.8</v>
      </c>
      <c r="AV27" s="45">
        <v>4882</v>
      </c>
      <c r="AW27" s="45">
        <v>6882.2</v>
      </c>
      <c r="AX27" s="45">
        <v>5195.8</v>
      </c>
      <c r="AY27" s="44">
        <v>5004.3</v>
      </c>
      <c r="AZ27" s="45">
        <v>7359.2</v>
      </c>
      <c r="BA27" s="45">
        <v>7593.0999999999995</v>
      </c>
      <c r="BB27" s="45">
        <v>6256.1</v>
      </c>
      <c r="BC27" s="44">
        <v>6624.3</v>
      </c>
      <c r="BD27" s="45">
        <v>4594.6000000000004</v>
      </c>
      <c r="BE27" s="45">
        <v>4883.1000000000004</v>
      </c>
      <c r="BF27" s="45">
        <v>8228</v>
      </c>
      <c r="BG27" s="44">
        <v>10333.799999999999</v>
      </c>
      <c r="BH27" s="45">
        <v>9422.5</v>
      </c>
      <c r="BI27" s="45">
        <v>10306.1</v>
      </c>
      <c r="BJ27" s="45">
        <v>10051</v>
      </c>
      <c r="BK27" s="44">
        <v>16491.8</v>
      </c>
      <c r="BL27" s="45">
        <v>8788</v>
      </c>
      <c r="BM27" s="45">
        <v>9151</v>
      </c>
      <c r="BN27" s="45">
        <v>5639.6</v>
      </c>
      <c r="BO27" s="44">
        <v>7144.8</v>
      </c>
      <c r="BP27" s="45">
        <v>7381.4</v>
      </c>
      <c r="BQ27" s="45">
        <v>7253.4</v>
      </c>
      <c r="BR27" s="45">
        <v>13654.8</v>
      </c>
      <c r="BS27" s="44">
        <v>13590.5</v>
      </c>
      <c r="BT27" s="610"/>
    </row>
    <row r="28" spans="1:72" s="150" customFormat="1" ht="10.8">
      <c r="A28" s="159" t="s">
        <v>542</v>
      </c>
      <c r="B28" s="159" t="s">
        <v>543</v>
      </c>
      <c r="C28" s="160">
        <v>5390.8</v>
      </c>
      <c r="D28" s="161">
        <v>4344.3999999999996</v>
      </c>
      <c r="E28" s="161">
        <v>2189.8000000000002</v>
      </c>
      <c r="F28" s="161">
        <v>1215</v>
      </c>
      <c r="G28" s="160">
        <v>4565.6000000000004</v>
      </c>
      <c r="H28" s="161">
        <v>1637.7</v>
      </c>
      <c r="I28" s="161">
        <v>3271.1000000000004</v>
      </c>
      <c r="J28" s="162">
        <v>5146.7000000000007</v>
      </c>
      <c r="K28" s="160">
        <v>3578.1</v>
      </c>
      <c r="L28" s="161">
        <v>3084.5</v>
      </c>
      <c r="M28" s="161">
        <v>5042</v>
      </c>
      <c r="N28" s="162">
        <v>2192</v>
      </c>
      <c r="O28" s="160">
        <v>3758.8999999999996</v>
      </c>
      <c r="P28" s="161">
        <v>3338.8</v>
      </c>
      <c r="Q28" s="161">
        <v>3782.6000000000004</v>
      </c>
      <c r="R28" s="162">
        <v>5974.0999999999995</v>
      </c>
      <c r="S28" s="160">
        <v>1430.5</v>
      </c>
      <c r="T28" s="161">
        <v>2582.5</v>
      </c>
      <c r="U28" s="161">
        <v>7236</v>
      </c>
      <c r="V28" s="162">
        <v>3508.8</v>
      </c>
      <c r="W28" s="161">
        <v>5621.3</v>
      </c>
      <c r="X28" s="161">
        <v>2966.4</v>
      </c>
      <c r="Y28" s="161">
        <v>4258.6000000000004</v>
      </c>
      <c r="Z28" s="162">
        <v>4781.5</v>
      </c>
      <c r="AA28" s="160">
        <v>3788.8</v>
      </c>
      <c r="AB28" s="161">
        <v>2509.5</v>
      </c>
      <c r="AC28" s="161">
        <v>2066.2000000000003</v>
      </c>
      <c r="AD28" s="162">
        <v>2727.2</v>
      </c>
      <c r="AE28" s="160">
        <v>2826.2</v>
      </c>
      <c r="AF28" s="161">
        <v>3055.2</v>
      </c>
      <c r="AG28" s="161">
        <v>4236.3999999999996</v>
      </c>
      <c r="AH28" s="162">
        <v>3439.0000000000005</v>
      </c>
      <c r="AI28" s="45">
        <v>3932.5</v>
      </c>
      <c r="AJ28" s="45">
        <v>2474.7999999999997</v>
      </c>
      <c r="AK28" s="45">
        <v>2971.5</v>
      </c>
      <c r="AL28" s="46">
        <v>2632.1000000000004</v>
      </c>
      <c r="AM28" s="45">
        <v>1845</v>
      </c>
      <c r="AN28" s="45">
        <v>1636.2</v>
      </c>
      <c r="AO28" s="45">
        <v>1700.5</v>
      </c>
      <c r="AP28" s="46">
        <v>1590.8</v>
      </c>
      <c r="AQ28" s="45">
        <v>1736.6</v>
      </c>
      <c r="AR28" s="45">
        <v>1154.3</v>
      </c>
      <c r="AS28" s="45">
        <v>2621.4</v>
      </c>
      <c r="AT28" s="45">
        <v>1903.2</v>
      </c>
      <c r="AU28" s="44">
        <v>1283.7</v>
      </c>
      <c r="AV28" s="45">
        <v>1565.6</v>
      </c>
      <c r="AW28" s="45">
        <v>1502.3000000000002</v>
      </c>
      <c r="AX28" s="45">
        <v>1687.6</v>
      </c>
      <c r="AY28" s="44">
        <v>1329.9</v>
      </c>
      <c r="AZ28" s="45">
        <v>1560.5000000000002</v>
      </c>
      <c r="BA28" s="45">
        <v>991.49999999999989</v>
      </c>
      <c r="BB28" s="45">
        <v>915.10000000000014</v>
      </c>
      <c r="BC28" s="44">
        <v>1027.5999999999999</v>
      </c>
      <c r="BD28" s="45">
        <v>617.20000000000005</v>
      </c>
      <c r="BE28" s="45">
        <v>696.9</v>
      </c>
      <c r="BF28" s="45">
        <v>1530.8</v>
      </c>
      <c r="BG28" s="44">
        <v>1194.3</v>
      </c>
      <c r="BH28" s="45">
        <v>1040.4000000000001</v>
      </c>
      <c r="BI28" s="45">
        <v>1434.3999999999999</v>
      </c>
      <c r="BJ28" s="45">
        <v>1679.6000000000001</v>
      </c>
      <c r="BK28" s="44">
        <v>1794.4</v>
      </c>
      <c r="BL28" s="45">
        <v>3294.7999999999997</v>
      </c>
      <c r="BM28" s="45">
        <v>3478.5</v>
      </c>
      <c r="BN28" s="45">
        <v>2203.7999999999997</v>
      </c>
      <c r="BO28" s="44">
        <v>1702.3000000000002</v>
      </c>
      <c r="BP28" s="45">
        <v>1589.2999999999997</v>
      </c>
      <c r="BQ28" s="45">
        <v>1466.9</v>
      </c>
      <c r="BR28" s="45">
        <v>1821.6000000000001</v>
      </c>
      <c r="BS28" s="44">
        <v>1314.4</v>
      </c>
      <c r="BT28" s="610"/>
    </row>
    <row r="29" spans="1:72" s="150" customFormat="1" ht="10.8">
      <c r="A29" s="171" t="s">
        <v>508</v>
      </c>
      <c r="B29" s="171" t="s">
        <v>509</v>
      </c>
      <c r="C29" s="160">
        <v>0</v>
      </c>
      <c r="D29" s="161">
        <v>0</v>
      </c>
      <c r="E29" s="161">
        <v>0</v>
      </c>
      <c r="F29" s="161">
        <v>0</v>
      </c>
      <c r="G29" s="160">
        <v>10.1</v>
      </c>
      <c r="H29" s="161">
        <v>24.5</v>
      </c>
      <c r="I29" s="161">
        <v>110.8</v>
      </c>
      <c r="J29" s="162">
        <v>420</v>
      </c>
      <c r="K29" s="160">
        <v>610.9</v>
      </c>
      <c r="L29" s="161">
        <v>382.1</v>
      </c>
      <c r="M29" s="161">
        <v>493.7</v>
      </c>
      <c r="N29" s="162">
        <v>482.6</v>
      </c>
      <c r="O29" s="160">
        <v>557</v>
      </c>
      <c r="P29" s="161">
        <v>663.3</v>
      </c>
      <c r="Q29" s="161">
        <v>776</v>
      </c>
      <c r="R29" s="162">
        <v>600.4</v>
      </c>
      <c r="S29" s="160">
        <v>421.1</v>
      </c>
      <c r="T29" s="161">
        <v>427.5</v>
      </c>
      <c r="U29" s="161">
        <v>813.1</v>
      </c>
      <c r="V29" s="162">
        <v>900.6</v>
      </c>
      <c r="W29" s="161">
        <v>851.5</v>
      </c>
      <c r="X29" s="161">
        <v>871.7</v>
      </c>
      <c r="Y29" s="161">
        <v>1069</v>
      </c>
      <c r="Z29" s="162">
        <v>1364</v>
      </c>
      <c r="AA29" s="160">
        <v>1267.9000000000001</v>
      </c>
      <c r="AB29" s="161">
        <v>1082.3</v>
      </c>
      <c r="AC29" s="161">
        <v>1084.2</v>
      </c>
      <c r="AD29" s="162">
        <v>1114.4000000000001</v>
      </c>
      <c r="AE29" s="160">
        <v>1122.3</v>
      </c>
      <c r="AF29" s="161">
        <v>1251.7</v>
      </c>
      <c r="AG29" s="161">
        <v>1637.8</v>
      </c>
      <c r="AH29" s="162">
        <v>2032.8</v>
      </c>
      <c r="AI29" s="45">
        <v>2062.5</v>
      </c>
      <c r="AJ29" s="45">
        <v>1900.5</v>
      </c>
      <c r="AK29" s="45">
        <v>1842.8</v>
      </c>
      <c r="AL29" s="46">
        <v>1830.9</v>
      </c>
      <c r="AM29" s="45">
        <v>1818</v>
      </c>
      <c r="AN29" s="45">
        <v>1730.1</v>
      </c>
      <c r="AO29" s="45">
        <v>1614.3</v>
      </c>
      <c r="AP29" s="46">
        <v>1468.1</v>
      </c>
      <c r="AQ29" s="45">
        <v>1206.4000000000001</v>
      </c>
      <c r="AR29" s="45">
        <v>1015</v>
      </c>
      <c r="AS29" s="45">
        <v>799.9</v>
      </c>
      <c r="AT29" s="45">
        <v>699.2</v>
      </c>
      <c r="AU29" s="44">
        <v>622.6</v>
      </c>
      <c r="AV29" s="45">
        <v>677.7</v>
      </c>
      <c r="AW29" s="45">
        <v>574</v>
      </c>
      <c r="AX29" s="45">
        <v>611.79999999999995</v>
      </c>
      <c r="AY29" s="44">
        <v>727.4</v>
      </c>
      <c r="AZ29" s="45">
        <v>505.1</v>
      </c>
      <c r="BA29" s="45">
        <v>569.70000000000005</v>
      </c>
      <c r="BB29" s="45">
        <v>546</v>
      </c>
      <c r="BC29" s="44">
        <v>510.4</v>
      </c>
      <c r="BD29" s="45">
        <v>480.9</v>
      </c>
      <c r="BE29" s="45">
        <v>449.7</v>
      </c>
      <c r="BF29" s="45">
        <v>558.5</v>
      </c>
      <c r="BG29" s="44">
        <v>549.6</v>
      </c>
      <c r="BH29" s="45">
        <v>454</v>
      </c>
      <c r="BI29" s="45">
        <v>406</v>
      </c>
      <c r="BJ29" s="45">
        <v>235.4</v>
      </c>
      <c r="BK29" s="44">
        <v>362.5</v>
      </c>
      <c r="BL29" s="45">
        <v>1144.4000000000001</v>
      </c>
      <c r="BM29" s="45">
        <v>842</v>
      </c>
      <c r="BN29" s="45">
        <v>369.5</v>
      </c>
      <c r="BO29" s="44">
        <v>418.7</v>
      </c>
      <c r="BP29" s="45">
        <v>328.4</v>
      </c>
      <c r="BQ29" s="45">
        <v>390</v>
      </c>
      <c r="BR29" s="45">
        <v>280.3</v>
      </c>
      <c r="BS29" s="44">
        <v>411.1</v>
      </c>
      <c r="BT29" s="610"/>
    </row>
    <row r="30" spans="1:72" s="150" customFormat="1" ht="10.8">
      <c r="A30" s="171" t="s">
        <v>544</v>
      </c>
      <c r="B30" s="171" t="s">
        <v>545</v>
      </c>
      <c r="C30" s="160">
        <v>40774.6</v>
      </c>
      <c r="D30" s="161">
        <v>40253.4</v>
      </c>
      <c r="E30" s="161">
        <v>40658.1</v>
      </c>
      <c r="F30" s="161">
        <v>44501.8</v>
      </c>
      <c r="G30" s="160">
        <v>45359.100000000006</v>
      </c>
      <c r="H30" s="161">
        <v>47651.4</v>
      </c>
      <c r="I30" s="161">
        <v>51303.5</v>
      </c>
      <c r="J30" s="162">
        <v>47111.9</v>
      </c>
      <c r="K30" s="160">
        <v>46583.4</v>
      </c>
      <c r="L30" s="161">
        <v>45927.9</v>
      </c>
      <c r="M30" s="161">
        <v>46520</v>
      </c>
      <c r="N30" s="162">
        <v>47630.7</v>
      </c>
      <c r="O30" s="160">
        <v>46197.299999999996</v>
      </c>
      <c r="P30" s="161">
        <v>46022.6</v>
      </c>
      <c r="Q30" s="161">
        <v>47701.599999999999</v>
      </c>
      <c r="R30" s="162">
        <v>47448.200000000004</v>
      </c>
      <c r="S30" s="160">
        <v>46487.900000000009</v>
      </c>
      <c r="T30" s="161">
        <v>48310.7</v>
      </c>
      <c r="U30" s="161">
        <v>50782.5</v>
      </c>
      <c r="V30" s="162">
        <v>52976.69999999999</v>
      </c>
      <c r="W30" s="161">
        <v>52465.499999999993</v>
      </c>
      <c r="X30" s="161">
        <v>54186.000000000007</v>
      </c>
      <c r="Y30" s="161">
        <v>54896.2</v>
      </c>
      <c r="Z30" s="162">
        <v>57898.399999999994</v>
      </c>
      <c r="AA30" s="160">
        <v>58126.799999999996</v>
      </c>
      <c r="AB30" s="161">
        <v>64159.100000000006</v>
      </c>
      <c r="AC30" s="161">
        <v>66911.399999999994</v>
      </c>
      <c r="AD30" s="162">
        <v>67981.399999999994</v>
      </c>
      <c r="AE30" s="160">
        <v>67036.3</v>
      </c>
      <c r="AF30" s="161">
        <v>70975.3</v>
      </c>
      <c r="AG30" s="161">
        <v>71979.60000000002</v>
      </c>
      <c r="AH30" s="162">
        <v>75688.599999999991</v>
      </c>
      <c r="AI30" s="45">
        <v>77661.500000000015</v>
      </c>
      <c r="AJ30" s="45">
        <v>80755.099999999991</v>
      </c>
      <c r="AK30" s="45">
        <v>83830</v>
      </c>
      <c r="AL30" s="46">
        <v>87866</v>
      </c>
      <c r="AM30" s="45">
        <v>90413.4</v>
      </c>
      <c r="AN30" s="45">
        <v>93492.400000000009</v>
      </c>
      <c r="AO30" s="45">
        <v>92304.6</v>
      </c>
      <c r="AP30" s="46">
        <v>95825.4</v>
      </c>
      <c r="AQ30" s="45">
        <v>96620.7</v>
      </c>
      <c r="AR30" s="45">
        <v>97708.800000000003</v>
      </c>
      <c r="AS30" s="45">
        <v>98459.8</v>
      </c>
      <c r="AT30" s="45">
        <v>104503.3</v>
      </c>
      <c r="AU30" s="44">
        <v>104662.1</v>
      </c>
      <c r="AV30" s="45">
        <v>109174.1</v>
      </c>
      <c r="AW30" s="45">
        <v>110205</v>
      </c>
      <c r="AX30" s="45">
        <v>117682.5</v>
      </c>
      <c r="AY30" s="44">
        <v>120414</v>
      </c>
      <c r="AZ30" s="45">
        <v>122992</v>
      </c>
      <c r="BA30" s="45">
        <v>125786.3</v>
      </c>
      <c r="BB30" s="45">
        <v>130473.5</v>
      </c>
      <c r="BC30" s="44">
        <v>139648.70000000001</v>
      </c>
      <c r="BD30" s="45">
        <v>150979.29999999999</v>
      </c>
      <c r="BE30" s="45">
        <v>154399.79999999999</v>
      </c>
      <c r="BF30" s="45">
        <v>151028.5</v>
      </c>
      <c r="BG30" s="44">
        <v>158931.1</v>
      </c>
      <c r="BH30" s="45">
        <v>161998.29999999999</v>
      </c>
      <c r="BI30" s="45">
        <v>164586.30000000002</v>
      </c>
      <c r="BJ30" s="45">
        <v>170609.9</v>
      </c>
      <c r="BK30" s="44">
        <v>174661.9</v>
      </c>
      <c r="BL30" s="45">
        <v>185095.1</v>
      </c>
      <c r="BM30" s="45">
        <v>186580.5</v>
      </c>
      <c r="BN30" s="45">
        <v>192731.3</v>
      </c>
      <c r="BO30" s="44">
        <v>201651.9</v>
      </c>
      <c r="BP30" s="45">
        <v>199740.2</v>
      </c>
      <c r="BQ30" s="45">
        <v>202417.4</v>
      </c>
      <c r="BR30" s="45">
        <v>205289.9</v>
      </c>
      <c r="BS30" s="44">
        <v>214125.8</v>
      </c>
      <c r="BT30" s="610"/>
    </row>
    <row r="31" spans="1:72" s="150" customFormat="1" ht="10.8">
      <c r="A31" s="171" t="s">
        <v>546</v>
      </c>
      <c r="B31" s="171" t="s">
        <v>547</v>
      </c>
      <c r="C31" s="160">
        <v>0</v>
      </c>
      <c r="D31" s="161">
        <v>0</v>
      </c>
      <c r="E31" s="161">
        <v>0</v>
      </c>
      <c r="F31" s="161">
        <v>0</v>
      </c>
      <c r="G31" s="160">
        <v>0</v>
      </c>
      <c r="H31" s="161">
        <v>0</v>
      </c>
      <c r="I31" s="161">
        <v>0</v>
      </c>
      <c r="J31" s="162">
        <v>0</v>
      </c>
      <c r="K31" s="160">
        <v>0</v>
      </c>
      <c r="L31" s="161">
        <v>0</v>
      </c>
      <c r="M31" s="161">
        <v>0</v>
      </c>
      <c r="N31" s="162">
        <v>0</v>
      </c>
      <c r="O31" s="160">
        <v>0</v>
      </c>
      <c r="P31" s="161">
        <v>0</v>
      </c>
      <c r="Q31" s="161">
        <v>0</v>
      </c>
      <c r="R31" s="162">
        <v>0</v>
      </c>
      <c r="S31" s="160">
        <v>0</v>
      </c>
      <c r="T31" s="161">
        <v>0</v>
      </c>
      <c r="U31" s="161">
        <v>0</v>
      </c>
      <c r="V31" s="162">
        <v>0</v>
      </c>
      <c r="W31" s="161">
        <v>0</v>
      </c>
      <c r="X31" s="161">
        <v>0</v>
      </c>
      <c r="Y31" s="161">
        <v>0</v>
      </c>
      <c r="Z31" s="162">
        <v>567.1</v>
      </c>
      <c r="AA31" s="160">
        <v>574.5</v>
      </c>
      <c r="AB31" s="161">
        <v>566.4</v>
      </c>
      <c r="AC31" s="161">
        <v>571.5</v>
      </c>
      <c r="AD31" s="162">
        <v>566.4</v>
      </c>
      <c r="AE31" s="160">
        <v>571.4</v>
      </c>
      <c r="AF31" s="161">
        <v>566.4</v>
      </c>
      <c r="AG31" s="161">
        <v>571.6</v>
      </c>
      <c r="AH31" s="162">
        <v>866.5</v>
      </c>
      <c r="AI31" s="45">
        <v>872.7</v>
      </c>
      <c r="AJ31" s="45">
        <v>866.3</v>
      </c>
      <c r="AK31" s="45">
        <v>872</v>
      </c>
      <c r="AL31" s="46">
        <v>866.3</v>
      </c>
      <c r="AM31" s="45">
        <v>872</v>
      </c>
      <c r="AN31" s="45">
        <v>866.3</v>
      </c>
      <c r="AO31" s="45">
        <v>871.9</v>
      </c>
      <c r="AP31" s="46">
        <v>866.4</v>
      </c>
      <c r="AQ31" s="45">
        <v>872</v>
      </c>
      <c r="AR31" s="45">
        <v>866.3</v>
      </c>
      <c r="AS31" s="45">
        <v>872.1</v>
      </c>
      <c r="AT31" s="45">
        <v>300.3</v>
      </c>
      <c r="AU31" s="44">
        <v>302.2</v>
      </c>
      <c r="AV31" s="45">
        <v>300.2</v>
      </c>
      <c r="AW31" s="45">
        <v>302.2</v>
      </c>
      <c r="AX31" s="45">
        <v>300.3</v>
      </c>
      <c r="AY31" s="44">
        <v>302.2</v>
      </c>
      <c r="AZ31" s="45">
        <v>300.2</v>
      </c>
      <c r="BA31" s="45">
        <v>302.2</v>
      </c>
      <c r="BB31" s="45">
        <v>399.7</v>
      </c>
      <c r="BC31" s="44">
        <v>397.6</v>
      </c>
      <c r="BD31" s="45">
        <v>395.4</v>
      </c>
      <c r="BE31" s="45">
        <v>397.3</v>
      </c>
      <c r="BF31" s="45">
        <v>1370.5</v>
      </c>
      <c r="BG31" s="44">
        <v>596.5</v>
      </c>
      <c r="BH31" s="45">
        <v>546.20000000000005</v>
      </c>
      <c r="BI31" s="45">
        <v>547.20000000000005</v>
      </c>
      <c r="BJ31" s="45">
        <v>972.4</v>
      </c>
      <c r="BK31" s="44">
        <v>398</v>
      </c>
      <c r="BL31" s="45">
        <v>401.8</v>
      </c>
      <c r="BM31" s="45">
        <v>407.9</v>
      </c>
      <c r="BN31" s="45">
        <v>404.8</v>
      </c>
      <c r="BO31" s="44">
        <v>413</v>
      </c>
      <c r="BP31" s="45">
        <v>404.8</v>
      </c>
      <c r="BQ31" s="45">
        <v>412.7</v>
      </c>
      <c r="BR31" s="45">
        <v>404.4</v>
      </c>
      <c r="BS31" s="44">
        <v>410.9</v>
      </c>
      <c r="BT31" s="610"/>
    </row>
    <row r="32" spans="1:72" s="150" customFormat="1" ht="10.8">
      <c r="A32" s="171" t="s">
        <v>548</v>
      </c>
      <c r="B32" s="171" t="s">
        <v>549</v>
      </c>
      <c r="C32" s="160">
        <v>0</v>
      </c>
      <c r="D32" s="161">
        <v>0</v>
      </c>
      <c r="E32" s="161">
        <v>0</v>
      </c>
      <c r="F32" s="161">
        <v>0</v>
      </c>
      <c r="G32" s="160">
        <v>0</v>
      </c>
      <c r="H32" s="161">
        <v>0</v>
      </c>
      <c r="I32" s="161">
        <v>0</v>
      </c>
      <c r="J32" s="162">
        <v>0</v>
      </c>
      <c r="K32" s="160">
        <v>0</v>
      </c>
      <c r="L32" s="161">
        <v>0</v>
      </c>
      <c r="M32" s="161">
        <v>0</v>
      </c>
      <c r="N32" s="162">
        <v>0</v>
      </c>
      <c r="O32" s="160">
        <v>0</v>
      </c>
      <c r="P32" s="161">
        <v>0</v>
      </c>
      <c r="Q32" s="161">
        <v>0</v>
      </c>
      <c r="R32" s="162">
        <v>0</v>
      </c>
      <c r="S32" s="160">
        <v>0</v>
      </c>
      <c r="T32" s="161">
        <v>0</v>
      </c>
      <c r="U32" s="161">
        <v>0</v>
      </c>
      <c r="V32" s="162">
        <v>0</v>
      </c>
      <c r="W32" s="161">
        <v>0</v>
      </c>
      <c r="X32" s="161">
        <v>0</v>
      </c>
      <c r="Y32" s="161">
        <v>0</v>
      </c>
      <c r="Z32" s="162">
        <v>0</v>
      </c>
      <c r="AA32" s="160">
        <v>0</v>
      </c>
      <c r="AB32" s="161">
        <v>0</v>
      </c>
      <c r="AC32" s="161">
        <v>0</v>
      </c>
      <c r="AD32" s="162">
        <v>0</v>
      </c>
      <c r="AE32" s="160">
        <v>0</v>
      </c>
      <c r="AF32" s="161">
        <v>0</v>
      </c>
      <c r="AG32" s="161">
        <v>0</v>
      </c>
      <c r="AH32" s="162">
        <v>0</v>
      </c>
      <c r="AI32" s="45">
        <v>0</v>
      </c>
      <c r="AJ32" s="45">
        <v>0</v>
      </c>
      <c r="AK32" s="45">
        <v>0</v>
      </c>
      <c r="AL32" s="46">
        <v>0</v>
      </c>
      <c r="AM32" s="45">
        <v>641.6</v>
      </c>
      <c r="AN32" s="45">
        <v>665.2</v>
      </c>
      <c r="AO32" s="45">
        <v>648.1</v>
      </c>
      <c r="AP32" s="46">
        <v>664.9</v>
      </c>
      <c r="AQ32" s="45">
        <v>634.20000000000005</v>
      </c>
      <c r="AR32" s="45">
        <v>635.29999999999995</v>
      </c>
      <c r="AS32" s="45">
        <v>647.70000000000005</v>
      </c>
      <c r="AT32" s="45">
        <v>626.9</v>
      </c>
      <c r="AU32" s="44">
        <v>632.4</v>
      </c>
      <c r="AV32" s="45">
        <v>655.6</v>
      </c>
      <c r="AW32" s="45">
        <v>641.9</v>
      </c>
      <c r="AX32" s="45">
        <v>1076.9000000000001</v>
      </c>
      <c r="AY32" s="44">
        <v>1077.2</v>
      </c>
      <c r="AZ32" s="45">
        <v>1065</v>
      </c>
      <c r="BA32" s="45">
        <v>2188.6999999999998</v>
      </c>
      <c r="BB32" s="45">
        <v>2131.1</v>
      </c>
      <c r="BC32" s="44">
        <v>2278.1</v>
      </c>
      <c r="BD32" s="45">
        <v>2235.1</v>
      </c>
      <c r="BE32" s="45">
        <v>2265.1999999999998</v>
      </c>
      <c r="BF32" s="45">
        <v>2309.1999999999998</v>
      </c>
      <c r="BG32" s="44">
        <v>2331.9</v>
      </c>
      <c r="BH32" s="45">
        <v>2262.1</v>
      </c>
      <c r="BI32" s="45">
        <v>2318.1999999999998</v>
      </c>
      <c r="BJ32" s="45">
        <v>1610.3</v>
      </c>
      <c r="BK32" s="44">
        <v>1628.9</v>
      </c>
      <c r="BL32" s="45">
        <v>1638.8</v>
      </c>
      <c r="BM32" s="45">
        <v>1705.7</v>
      </c>
      <c r="BN32" s="45">
        <v>1643.9</v>
      </c>
      <c r="BO32" s="44">
        <v>1639.6</v>
      </c>
      <c r="BP32" s="45">
        <v>1561.2</v>
      </c>
      <c r="BQ32" s="45">
        <v>1626.7</v>
      </c>
      <c r="BR32" s="45">
        <v>1526.2</v>
      </c>
      <c r="BS32" s="44">
        <v>1509.7</v>
      </c>
      <c r="BT32" s="610"/>
    </row>
    <row r="33" spans="1:72" s="150" customFormat="1" ht="10.8">
      <c r="A33" s="171" t="s">
        <v>550</v>
      </c>
      <c r="B33" s="171" t="s">
        <v>551</v>
      </c>
      <c r="C33" s="160">
        <v>82</v>
      </c>
      <c r="D33" s="161">
        <v>83</v>
      </c>
      <c r="E33" s="161">
        <v>75.900000000000006</v>
      </c>
      <c r="F33" s="161">
        <v>72.5</v>
      </c>
      <c r="G33" s="160">
        <v>69.3</v>
      </c>
      <c r="H33" s="161">
        <v>55.6</v>
      </c>
      <c r="I33" s="161">
        <v>62.7</v>
      </c>
      <c r="J33" s="162">
        <v>50.6</v>
      </c>
      <c r="K33" s="160">
        <v>57.3</v>
      </c>
      <c r="L33" s="161">
        <v>49</v>
      </c>
      <c r="M33" s="161">
        <v>49.7</v>
      </c>
      <c r="N33" s="162">
        <v>55.2</v>
      </c>
      <c r="O33" s="160">
        <v>48.3</v>
      </c>
      <c r="P33" s="161">
        <v>46.5</v>
      </c>
      <c r="Q33" s="161">
        <v>49.8</v>
      </c>
      <c r="R33" s="162">
        <v>55.8</v>
      </c>
      <c r="S33" s="160">
        <v>54</v>
      </c>
      <c r="T33" s="161">
        <v>66.900000000000006</v>
      </c>
      <c r="U33" s="161">
        <v>52.8</v>
      </c>
      <c r="V33" s="162">
        <v>58.1</v>
      </c>
      <c r="W33" s="161">
        <v>64.599999999999994</v>
      </c>
      <c r="X33" s="161">
        <v>64.2</v>
      </c>
      <c r="Y33" s="161">
        <v>65.400000000000006</v>
      </c>
      <c r="Z33" s="162">
        <v>72.8</v>
      </c>
      <c r="AA33" s="160">
        <v>73.899999999999991</v>
      </c>
      <c r="AB33" s="161">
        <v>77.600000000000009</v>
      </c>
      <c r="AC33" s="161">
        <v>67.3</v>
      </c>
      <c r="AD33" s="162">
        <v>67.799999999999983</v>
      </c>
      <c r="AE33" s="160">
        <v>68.900000000000006</v>
      </c>
      <c r="AF33" s="161">
        <v>71.099999999999994</v>
      </c>
      <c r="AG33" s="161">
        <v>71.699999999999989</v>
      </c>
      <c r="AH33" s="162">
        <v>74.8</v>
      </c>
      <c r="AI33" s="45">
        <v>70.59999999999998</v>
      </c>
      <c r="AJ33" s="45">
        <v>69.5</v>
      </c>
      <c r="AK33" s="45">
        <v>70.3</v>
      </c>
      <c r="AL33" s="46">
        <v>67.2</v>
      </c>
      <c r="AM33" s="45">
        <v>82.7</v>
      </c>
      <c r="AN33" s="45">
        <v>82</v>
      </c>
      <c r="AO33" s="45">
        <v>79.8</v>
      </c>
      <c r="AP33" s="46">
        <v>60.3</v>
      </c>
      <c r="AQ33" s="45">
        <v>59.400000000000006</v>
      </c>
      <c r="AR33" s="45">
        <v>69.5</v>
      </c>
      <c r="AS33" s="45">
        <v>77.3</v>
      </c>
      <c r="AT33" s="45">
        <v>108.8</v>
      </c>
      <c r="AU33" s="44">
        <v>115.60000000000001</v>
      </c>
      <c r="AV33" s="45">
        <v>125.1</v>
      </c>
      <c r="AW33" s="45">
        <v>164.9</v>
      </c>
      <c r="AX33" s="45">
        <v>152.4</v>
      </c>
      <c r="AY33" s="44">
        <v>152.19999999999999</v>
      </c>
      <c r="AZ33" s="45">
        <v>158.69999999999999</v>
      </c>
      <c r="BA33" s="45">
        <v>227.9</v>
      </c>
      <c r="BB33" s="45">
        <v>205.7</v>
      </c>
      <c r="BC33" s="44">
        <v>186.3</v>
      </c>
      <c r="BD33" s="45">
        <v>203</v>
      </c>
      <c r="BE33" s="45">
        <v>196.1</v>
      </c>
      <c r="BF33" s="45">
        <v>256.3</v>
      </c>
      <c r="BG33" s="44">
        <v>240.1</v>
      </c>
      <c r="BH33" s="45">
        <v>248.4</v>
      </c>
      <c r="BI33" s="45">
        <v>252.9</v>
      </c>
      <c r="BJ33" s="45">
        <v>336.9</v>
      </c>
      <c r="BK33" s="44">
        <v>350.2</v>
      </c>
      <c r="BL33" s="45">
        <v>338.7</v>
      </c>
      <c r="BM33" s="45">
        <v>346.5</v>
      </c>
      <c r="BN33" s="45">
        <v>359</v>
      </c>
      <c r="BO33" s="44">
        <v>347.2</v>
      </c>
      <c r="BP33" s="45">
        <v>367.1</v>
      </c>
      <c r="BQ33" s="45">
        <v>370.6</v>
      </c>
      <c r="BR33" s="45">
        <v>541.79999999999995</v>
      </c>
      <c r="BS33" s="44">
        <v>522.5</v>
      </c>
      <c r="BT33" s="610"/>
    </row>
    <row r="34" spans="1:72" s="150" customFormat="1" ht="10.8">
      <c r="A34" s="171" t="s">
        <v>552</v>
      </c>
      <c r="B34" s="171" t="s">
        <v>553</v>
      </c>
      <c r="C34" s="160">
        <v>0</v>
      </c>
      <c r="D34" s="161">
        <v>0</v>
      </c>
      <c r="E34" s="161">
        <v>0</v>
      </c>
      <c r="F34" s="161">
        <v>0</v>
      </c>
      <c r="G34" s="160">
        <v>0</v>
      </c>
      <c r="H34" s="161">
        <v>0</v>
      </c>
      <c r="I34" s="161">
        <v>0</v>
      </c>
      <c r="J34" s="162">
        <v>0</v>
      </c>
      <c r="K34" s="160">
        <v>0</v>
      </c>
      <c r="L34" s="161">
        <v>55.6</v>
      </c>
      <c r="M34" s="161">
        <v>0</v>
      </c>
      <c r="N34" s="162">
        <v>0</v>
      </c>
      <c r="O34" s="160">
        <v>0</v>
      </c>
      <c r="P34" s="161">
        <v>0</v>
      </c>
      <c r="Q34" s="161">
        <v>0</v>
      </c>
      <c r="R34" s="162">
        <v>0</v>
      </c>
      <c r="S34" s="160">
        <v>0</v>
      </c>
      <c r="T34" s="161">
        <v>0</v>
      </c>
      <c r="U34" s="161">
        <v>0</v>
      </c>
      <c r="V34" s="162">
        <v>0</v>
      </c>
      <c r="W34" s="161">
        <v>1.5</v>
      </c>
      <c r="X34" s="161">
        <v>1.8</v>
      </c>
      <c r="Y34" s="161">
        <v>2.3000000000000003</v>
      </c>
      <c r="Z34" s="162">
        <v>29</v>
      </c>
      <c r="AA34" s="160">
        <v>2.5</v>
      </c>
      <c r="AB34" s="161">
        <v>2.6</v>
      </c>
      <c r="AC34" s="161">
        <v>2.7</v>
      </c>
      <c r="AD34" s="162">
        <v>2.2999999999999998</v>
      </c>
      <c r="AE34" s="160">
        <v>2.5</v>
      </c>
      <c r="AF34" s="161">
        <v>138.9</v>
      </c>
      <c r="AG34" s="161">
        <v>254</v>
      </c>
      <c r="AH34" s="162">
        <v>234.79999999999998</v>
      </c>
      <c r="AI34" s="45">
        <v>246.99999999999997</v>
      </c>
      <c r="AJ34" s="45">
        <v>0</v>
      </c>
      <c r="AK34" s="45">
        <v>92.9</v>
      </c>
      <c r="AL34" s="46">
        <v>132</v>
      </c>
      <c r="AM34" s="45">
        <v>218.3</v>
      </c>
      <c r="AN34" s="45">
        <v>94.5</v>
      </c>
      <c r="AO34" s="45">
        <v>36.4</v>
      </c>
      <c r="AP34" s="46">
        <v>0</v>
      </c>
      <c r="AQ34" s="45">
        <v>0</v>
      </c>
      <c r="AR34" s="45">
        <v>0</v>
      </c>
      <c r="AS34" s="45">
        <v>0</v>
      </c>
      <c r="AT34" s="45">
        <v>0</v>
      </c>
      <c r="AU34" s="44">
        <v>0</v>
      </c>
      <c r="AV34" s="45">
        <v>0</v>
      </c>
      <c r="AW34" s="45">
        <v>0</v>
      </c>
      <c r="AX34" s="45">
        <v>0</v>
      </c>
      <c r="AY34" s="44">
        <v>0</v>
      </c>
      <c r="AZ34" s="45">
        <v>0</v>
      </c>
      <c r="BA34" s="45">
        <v>0</v>
      </c>
      <c r="BB34" s="45">
        <v>0</v>
      </c>
      <c r="BC34" s="44">
        <v>5.2</v>
      </c>
      <c r="BD34" s="45">
        <v>5.3</v>
      </c>
      <c r="BE34" s="45">
        <v>5.3</v>
      </c>
      <c r="BF34" s="45">
        <v>0</v>
      </c>
      <c r="BG34" s="44">
        <v>0</v>
      </c>
      <c r="BH34" s="45">
        <v>0</v>
      </c>
      <c r="BI34" s="45">
        <v>0</v>
      </c>
      <c r="BJ34" s="45">
        <v>0</v>
      </c>
      <c r="BK34" s="44">
        <v>0</v>
      </c>
      <c r="BL34" s="45">
        <v>0</v>
      </c>
      <c r="BM34" s="45">
        <v>0.4</v>
      </c>
      <c r="BN34" s="45">
        <v>0.4</v>
      </c>
      <c r="BO34" s="44">
        <v>0.3</v>
      </c>
      <c r="BP34" s="45">
        <v>0.2</v>
      </c>
      <c r="BQ34" s="45">
        <v>0.1</v>
      </c>
      <c r="BR34" s="45">
        <v>0</v>
      </c>
      <c r="BS34" s="44">
        <v>0</v>
      </c>
      <c r="BT34" s="610"/>
    </row>
    <row r="35" spans="1:72" s="150" customFormat="1" ht="10.8">
      <c r="A35" s="171" t="s">
        <v>554</v>
      </c>
      <c r="B35" s="171" t="s">
        <v>555</v>
      </c>
      <c r="C35" s="160">
        <v>66.3</v>
      </c>
      <c r="D35" s="161">
        <v>51</v>
      </c>
      <c r="E35" s="161">
        <v>4.5999999999999996</v>
      </c>
      <c r="F35" s="161">
        <v>0.1</v>
      </c>
      <c r="G35" s="160">
        <v>0.2</v>
      </c>
      <c r="H35" s="161">
        <v>53.6</v>
      </c>
      <c r="I35" s="161">
        <v>46.6</v>
      </c>
      <c r="J35" s="162">
        <v>39.1</v>
      </c>
      <c r="K35" s="160">
        <v>0</v>
      </c>
      <c r="L35" s="161">
        <v>0.1</v>
      </c>
      <c r="M35" s="161">
        <v>101.1</v>
      </c>
      <c r="N35" s="162">
        <v>156.1</v>
      </c>
      <c r="O35" s="160">
        <v>19.8</v>
      </c>
      <c r="P35" s="161">
        <v>55.4</v>
      </c>
      <c r="Q35" s="161">
        <v>60.5</v>
      </c>
      <c r="R35" s="162">
        <v>138.5</v>
      </c>
      <c r="S35" s="160">
        <v>0</v>
      </c>
      <c r="T35" s="161">
        <v>0.6</v>
      </c>
      <c r="U35" s="161">
        <v>0.4</v>
      </c>
      <c r="V35" s="162">
        <v>0</v>
      </c>
      <c r="W35" s="161">
        <v>2.2000000000000002</v>
      </c>
      <c r="X35" s="161">
        <v>25.200000000000003</v>
      </c>
      <c r="Y35" s="161">
        <v>12.699999999999998</v>
      </c>
      <c r="Z35" s="162">
        <v>74</v>
      </c>
      <c r="AA35" s="160">
        <v>95.199999999999989</v>
      </c>
      <c r="AB35" s="161">
        <v>17.400000000000006</v>
      </c>
      <c r="AC35" s="161">
        <v>39.5</v>
      </c>
      <c r="AD35" s="162">
        <v>109.4</v>
      </c>
      <c r="AE35" s="160">
        <v>1.2</v>
      </c>
      <c r="AF35" s="161">
        <v>5.1000000000000005</v>
      </c>
      <c r="AG35" s="161">
        <v>0.5</v>
      </c>
      <c r="AH35" s="162">
        <v>30.8</v>
      </c>
      <c r="AI35" s="45">
        <v>0.3</v>
      </c>
      <c r="AJ35" s="45">
        <v>10.199999999999999</v>
      </c>
      <c r="AK35" s="45">
        <v>30</v>
      </c>
      <c r="AL35" s="46">
        <v>24.8</v>
      </c>
      <c r="AM35" s="45">
        <v>3.4</v>
      </c>
      <c r="AN35" s="45">
        <v>86.9</v>
      </c>
      <c r="AO35" s="45">
        <v>110.4</v>
      </c>
      <c r="AP35" s="46">
        <v>121.3</v>
      </c>
      <c r="AQ35" s="45">
        <v>24.1</v>
      </c>
      <c r="AR35" s="45">
        <v>121.4</v>
      </c>
      <c r="AS35" s="45">
        <v>181.1</v>
      </c>
      <c r="AT35" s="45">
        <v>232.9</v>
      </c>
      <c r="AU35" s="44">
        <v>244.8</v>
      </c>
      <c r="AV35" s="45">
        <v>68.3</v>
      </c>
      <c r="AW35" s="45">
        <v>53.8</v>
      </c>
      <c r="AX35" s="45">
        <v>280.3</v>
      </c>
      <c r="AY35" s="44">
        <v>345.4</v>
      </c>
      <c r="AZ35" s="45">
        <v>212.3</v>
      </c>
      <c r="BA35" s="45">
        <v>389</v>
      </c>
      <c r="BB35" s="45">
        <v>381.3</v>
      </c>
      <c r="BC35" s="44">
        <v>700.3</v>
      </c>
      <c r="BD35" s="45">
        <v>426.2</v>
      </c>
      <c r="BE35" s="45">
        <v>445.20000000000005</v>
      </c>
      <c r="BF35" s="45">
        <v>389.6</v>
      </c>
      <c r="BG35" s="44">
        <v>200</v>
      </c>
      <c r="BH35" s="45">
        <v>1.8</v>
      </c>
      <c r="BI35" s="45">
        <v>3.5</v>
      </c>
      <c r="BJ35" s="45">
        <v>3.9</v>
      </c>
      <c r="BK35" s="44">
        <v>5.3</v>
      </c>
      <c r="BL35" s="45">
        <v>11.7</v>
      </c>
      <c r="BM35" s="45">
        <v>13.3</v>
      </c>
      <c r="BN35" s="45">
        <v>19.899999999999999</v>
      </c>
      <c r="BO35" s="44">
        <v>16.8</v>
      </c>
      <c r="BP35" s="45">
        <v>124.4</v>
      </c>
      <c r="BQ35" s="45">
        <v>211.4</v>
      </c>
      <c r="BR35" s="45">
        <v>114.8</v>
      </c>
      <c r="BS35" s="44">
        <v>17.100000000000001</v>
      </c>
      <c r="BT35" s="610"/>
    </row>
    <row r="36" spans="1:72" s="150" customFormat="1" ht="10.8">
      <c r="A36" s="171" t="s">
        <v>253</v>
      </c>
      <c r="B36" s="171" t="s">
        <v>556</v>
      </c>
      <c r="C36" s="160">
        <v>776.4</v>
      </c>
      <c r="D36" s="161">
        <v>952</v>
      </c>
      <c r="E36" s="161">
        <v>903.9</v>
      </c>
      <c r="F36" s="161">
        <v>570.70000000000005</v>
      </c>
      <c r="G36" s="160">
        <v>1002.4</v>
      </c>
      <c r="H36" s="161">
        <v>1086.3</v>
      </c>
      <c r="I36" s="161">
        <v>1034.7</v>
      </c>
      <c r="J36" s="162">
        <v>669.7</v>
      </c>
      <c r="K36" s="160">
        <v>999.7</v>
      </c>
      <c r="L36" s="161">
        <v>965.1</v>
      </c>
      <c r="M36" s="161">
        <v>949.6</v>
      </c>
      <c r="N36" s="162">
        <v>552.29999999999995</v>
      </c>
      <c r="O36" s="160">
        <v>1024.7</v>
      </c>
      <c r="P36" s="161">
        <v>1052.1000000000001</v>
      </c>
      <c r="Q36" s="161">
        <v>1147.5</v>
      </c>
      <c r="R36" s="162">
        <v>656.4</v>
      </c>
      <c r="S36" s="160">
        <v>1252.8</v>
      </c>
      <c r="T36" s="161">
        <v>1245.4000000000001</v>
      </c>
      <c r="U36" s="161">
        <v>1041.0999999999999</v>
      </c>
      <c r="V36" s="162">
        <v>945.9</v>
      </c>
      <c r="W36" s="161">
        <v>1121.7</v>
      </c>
      <c r="X36" s="161">
        <v>1084.3999999999999</v>
      </c>
      <c r="Y36" s="161">
        <v>973.69999999999993</v>
      </c>
      <c r="Z36" s="162">
        <v>830.2</v>
      </c>
      <c r="AA36" s="160">
        <v>812.1</v>
      </c>
      <c r="AB36" s="161">
        <v>1102.6000000000004</v>
      </c>
      <c r="AC36" s="161">
        <v>1112</v>
      </c>
      <c r="AD36" s="162">
        <v>943.3</v>
      </c>
      <c r="AE36" s="160">
        <v>1185.5000000000005</v>
      </c>
      <c r="AF36" s="161">
        <v>1177.5</v>
      </c>
      <c r="AG36" s="161">
        <v>1119.3999999999999</v>
      </c>
      <c r="AH36" s="162">
        <v>913.39999999999975</v>
      </c>
      <c r="AI36" s="45">
        <v>1681.6000000000001</v>
      </c>
      <c r="AJ36" s="45">
        <v>1190.8</v>
      </c>
      <c r="AK36" s="45">
        <v>1249.7</v>
      </c>
      <c r="AL36" s="46">
        <v>879.80000000000007</v>
      </c>
      <c r="AM36" s="45">
        <v>1932.1</v>
      </c>
      <c r="AN36" s="45">
        <v>1091.2</v>
      </c>
      <c r="AO36" s="45">
        <v>1172.5</v>
      </c>
      <c r="AP36" s="46">
        <v>1360.3</v>
      </c>
      <c r="AQ36" s="45">
        <v>1301.0999999999999</v>
      </c>
      <c r="AR36" s="45">
        <v>1332.4</v>
      </c>
      <c r="AS36" s="45">
        <v>1506.7</v>
      </c>
      <c r="AT36" s="45">
        <v>1953.9</v>
      </c>
      <c r="AU36" s="44">
        <v>1338</v>
      </c>
      <c r="AV36" s="45">
        <v>1718</v>
      </c>
      <c r="AW36" s="45">
        <v>1910.1999999999998</v>
      </c>
      <c r="AX36" s="45">
        <v>1503.7</v>
      </c>
      <c r="AY36" s="44">
        <v>2951.5</v>
      </c>
      <c r="AZ36" s="45">
        <v>2536.3000000000002</v>
      </c>
      <c r="BA36" s="45">
        <v>2702.7</v>
      </c>
      <c r="BB36" s="45">
        <v>2078.9</v>
      </c>
      <c r="BC36" s="44">
        <v>2522.1</v>
      </c>
      <c r="BD36" s="45">
        <v>2466.8000000000002</v>
      </c>
      <c r="BE36" s="45">
        <v>2525.1</v>
      </c>
      <c r="BF36" s="45">
        <v>2306</v>
      </c>
      <c r="BG36" s="44">
        <v>2883.7</v>
      </c>
      <c r="BH36" s="45">
        <v>3451</v>
      </c>
      <c r="BI36" s="45">
        <v>3247.9</v>
      </c>
      <c r="BJ36" s="45">
        <v>2623.4</v>
      </c>
      <c r="BK36" s="44">
        <v>3220.2</v>
      </c>
      <c r="BL36" s="45">
        <v>3964.8</v>
      </c>
      <c r="BM36" s="45">
        <v>3063.5</v>
      </c>
      <c r="BN36" s="45">
        <v>4549.6000000000004</v>
      </c>
      <c r="BO36" s="44">
        <v>3082.8</v>
      </c>
      <c r="BP36" s="45">
        <v>3276.2</v>
      </c>
      <c r="BQ36" s="45">
        <v>3508.6</v>
      </c>
      <c r="BR36" s="45">
        <v>4991.6000000000004</v>
      </c>
      <c r="BS36" s="44">
        <v>3379</v>
      </c>
      <c r="BT36" s="610"/>
    </row>
    <row r="37" spans="1:72" s="164" customFormat="1" ht="10.8">
      <c r="A37" s="143" t="s">
        <v>557</v>
      </c>
      <c r="B37" s="143" t="s">
        <v>558</v>
      </c>
      <c r="C37" s="172">
        <f t="shared" ref="C37:AP37" si="2">SUM(C26:C36)</f>
        <v>52688.700000000004</v>
      </c>
      <c r="D37" s="173">
        <f t="shared" si="2"/>
        <v>49552.2</v>
      </c>
      <c r="E37" s="173">
        <f t="shared" si="2"/>
        <v>49424.5</v>
      </c>
      <c r="F37" s="173">
        <f t="shared" si="2"/>
        <v>48170.299999999996</v>
      </c>
      <c r="G37" s="172">
        <f t="shared" si="2"/>
        <v>56219.000000000007</v>
      </c>
      <c r="H37" s="173">
        <f t="shared" si="2"/>
        <v>56533.9</v>
      </c>
      <c r="I37" s="173">
        <f t="shared" si="2"/>
        <v>60982.899999999994</v>
      </c>
      <c r="J37" s="173">
        <f t="shared" si="2"/>
        <v>65386</v>
      </c>
      <c r="K37" s="172">
        <f t="shared" si="2"/>
        <v>63922.600000000006</v>
      </c>
      <c r="L37" s="173">
        <f t="shared" si="2"/>
        <v>59999.6</v>
      </c>
      <c r="M37" s="173">
        <f t="shared" si="2"/>
        <v>59512</v>
      </c>
      <c r="N37" s="173">
        <f t="shared" si="2"/>
        <v>54996.7</v>
      </c>
      <c r="O37" s="172">
        <f t="shared" si="2"/>
        <v>56965.1</v>
      </c>
      <c r="P37" s="173">
        <f t="shared" si="2"/>
        <v>56300.5</v>
      </c>
      <c r="Q37" s="173">
        <f t="shared" si="2"/>
        <v>56633.600000000006</v>
      </c>
      <c r="R37" s="173">
        <f t="shared" si="2"/>
        <v>58864.400000000009</v>
      </c>
      <c r="S37" s="172">
        <f t="shared" si="2"/>
        <v>60055.500000000015</v>
      </c>
      <c r="T37" s="173">
        <f t="shared" si="2"/>
        <v>61547.1</v>
      </c>
      <c r="U37" s="173">
        <f t="shared" si="2"/>
        <v>67499.199999999997</v>
      </c>
      <c r="V37" s="173">
        <f t="shared" si="2"/>
        <v>63307.399999999987</v>
      </c>
      <c r="W37" s="173">
        <f t="shared" si="2"/>
        <v>65509.69999999999</v>
      </c>
      <c r="X37" s="173">
        <f t="shared" si="2"/>
        <v>63279.000000000007</v>
      </c>
      <c r="Y37" s="173">
        <f t="shared" si="2"/>
        <v>66210.600000000006</v>
      </c>
      <c r="Z37" s="174">
        <f t="shared" si="2"/>
        <v>70130.7</v>
      </c>
      <c r="AA37" s="172">
        <f t="shared" si="2"/>
        <v>69514.999999999985</v>
      </c>
      <c r="AB37" s="173">
        <f t="shared" si="2"/>
        <v>73657.100000000006</v>
      </c>
      <c r="AC37" s="173">
        <f t="shared" si="2"/>
        <v>76368</v>
      </c>
      <c r="AD37" s="174">
        <f t="shared" si="2"/>
        <v>78121.999999999985</v>
      </c>
      <c r="AE37" s="172">
        <f t="shared" si="2"/>
        <v>83356.799999999988</v>
      </c>
      <c r="AF37" s="173">
        <f t="shared" si="2"/>
        <v>89100.700000000012</v>
      </c>
      <c r="AG37" s="173">
        <f t="shared" si="2"/>
        <v>86914.300000000017</v>
      </c>
      <c r="AH37" s="174">
        <f t="shared" si="2"/>
        <v>89404.099999999991</v>
      </c>
      <c r="AI37" s="173">
        <f t="shared" si="2"/>
        <v>92336.200000000026</v>
      </c>
      <c r="AJ37" s="173">
        <f t="shared" si="2"/>
        <v>95760.2</v>
      </c>
      <c r="AK37" s="173">
        <f t="shared" si="2"/>
        <v>101876.29999999999</v>
      </c>
      <c r="AL37" s="174">
        <f t="shared" si="2"/>
        <v>98212.6</v>
      </c>
      <c r="AM37" s="173">
        <f t="shared" si="2"/>
        <v>102062.5</v>
      </c>
      <c r="AN37" s="173">
        <f t="shared" si="2"/>
        <v>104827.1</v>
      </c>
      <c r="AO37" s="173">
        <f t="shared" si="2"/>
        <v>105571</v>
      </c>
      <c r="AP37" s="174">
        <f t="shared" si="2"/>
        <v>107000.49999999999</v>
      </c>
      <c r="AQ37" s="173">
        <f t="shared" ref="AQ37:BS37" si="3">SUM(AQ26:AQ36)</f>
        <v>108061.1</v>
      </c>
      <c r="AR37" s="173">
        <f t="shared" si="3"/>
        <v>109043.5</v>
      </c>
      <c r="AS37" s="173">
        <f t="shared" si="3"/>
        <v>110803.80000000002</v>
      </c>
      <c r="AT37" s="173">
        <f t="shared" si="3"/>
        <v>114437.49999999999</v>
      </c>
      <c r="AU37" s="172">
        <f t="shared" si="3"/>
        <v>115490.20000000001</v>
      </c>
      <c r="AV37" s="173">
        <f t="shared" si="3"/>
        <v>119166.60000000002</v>
      </c>
      <c r="AW37" s="173">
        <f t="shared" si="3"/>
        <v>122236.49999999999</v>
      </c>
      <c r="AX37" s="173">
        <f t="shared" si="3"/>
        <v>128491.29999999999</v>
      </c>
      <c r="AY37" s="172">
        <f t="shared" si="3"/>
        <v>132304.09999999998</v>
      </c>
      <c r="AZ37" s="173">
        <f t="shared" si="3"/>
        <v>136689.29999999999</v>
      </c>
      <c r="BA37" s="173">
        <f t="shared" si="3"/>
        <v>140751.10000000003</v>
      </c>
      <c r="BB37" s="173">
        <f t="shared" si="3"/>
        <v>143387.40000000002</v>
      </c>
      <c r="BC37" s="172">
        <f t="shared" si="3"/>
        <v>153900.6</v>
      </c>
      <c r="BD37" s="173">
        <f t="shared" si="3"/>
        <v>162403.79999999999</v>
      </c>
      <c r="BE37" s="173">
        <f t="shared" si="3"/>
        <v>166263.70000000001</v>
      </c>
      <c r="BF37" s="173">
        <f t="shared" si="3"/>
        <v>167977.4</v>
      </c>
      <c r="BG37" s="172">
        <f t="shared" si="3"/>
        <v>177261.00000000003</v>
      </c>
      <c r="BH37" s="173">
        <f t="shared" si="3"/>
        <v>179424.69999999998</v>
      </c>
      <c r="BI37" s="173">
        <f t="shared" si="3"/>
        <v>183102.50000000003</v>
      </c>
      <c r="BJ37" s="173">
        <f t="shared" si="3"/>
        <v>188122.79999999996</v>
      </c>
      <c r="BK37" s="172">
        <f t="shared" si="3"/>
        <v>198913.2</v>
      </c>
      <c r="BL37" s="173">
        <f t="shared" si="3"/>
        <v>204678.1</v>
      </c>
      <c r="BM37" s="173">
        <f t="shared" si="3"/>
        <v>205589.3</v>
      </c>
      <c r="BN37" s="173">
        <f t="shared" si="3"/>
        <v>207921.79999999996</v>
      </c>
      <c r="BO37" s="172">
        <f t="shared" si="3"/>
        <v>216417.39999999997</v>
      </c>
      <c r="BP37" s="173">
        <f t="shared" si="3"/>
        <v>214773.20000000004</v>
      </c>
      <c r="BQ37" s="173">
        <f t="shared" si="3"/>
        <v>217657.80000000002</v>
      </c>
      <c r="BR37" s="173">
        <f t="shared" si="3"/>
        <v>228625.4</v>
      </c>
      <c r="BS37" s="172">
        <f t="shared" si="3"/>
        <v>235281</v>
      </c>
    </row>
    <row r="38" spans="1:72" s="150" customFormat="1" ht="10.8">
      <c r="A38" s="155" t="s">
        <v>559</v>
      </c>
      <c r="B38" s="155" t="s">
        <v>560</v>
      </c>
      <c r="C38" s="160"/>
      <c r="D38" s="161"/>
      <c r="E38" s="161"/>
      <c r="F38" s="161"/>
      <c r="G38" s="160"/>
      <c r="H38" s="161"/>
      <c r="I38" s="161"/>
      <c r="J38" s="162"/>
      <c r="K38" s="160"/>
      <c r="L38" s="161"/>
      <c r="M38" s="161"/>
      <c r="N38" s="162"/>
      <c r="O38" s="160"/>
      <c r="P38" s="161"/>
      <c r="Q38" s="161"/>
      <c r="R38" s="162"/>
      <c r="S38" s="160"/>
      <c r="T38" s="161"/>
      <c r="U38" s="161"/>
      <c r="V38" s="162"/>
      <c r="W38" s="161"/>
      <c r="X38" s="161"/>
      <c r="Y38" s="161"/>
      <c r="Z38" s="162"/>
      <c r="AA38" s="160"/>
      <c r="AB38" s="161"/>
      <c r="AC38" s="161"/>
      <c r="AD38" s="162"/>
      <c r="AE38" s="160"/>
      <c r="AF38" s="161"/>
      <c r="AG38" s="161"/>
      <c r="AH38" s="162"/>
      <c r="AI38" s="161"/>
      <c r="AJ38" s="161"/>
      <c r="AK38" s="161"/>
      <c r="AL38" s="162"/>
      <c r="AM38" s="161"/>
      <c r="AN38" s="161"/>
      <c r="AO38" s="161"/>
      <c r="AP38" s="162"/>
      <c r="AQ38" s="161"/>
      <c r="AR38" s="161"/>
      <c r="AS38" s="161"/>
      <c r="AT38" s="161"/>
      <c r="AU38" s="160"/>
      <c r="AV38" s="161"/>
      <c r="AW38" s="161"/>
      <c r="AX38" s="161"/>
      <c r="AY38" s="160"/>
      <c r="AZ38" s="161"/>
      <c r="BA38" s="161"/>
      <c r="BB38" s="161"/>
      <c r="BC38" s="160"/>
      <c r="BD38" s="161"/>
      <c r="BE38" s="161"/>
      <c r="BF38" s="161"/>
      <c r="BG38" s="160"/>
      <c r="BH38" s="161"/>
      <c r="BI38" s="161"/>
      <c r="BJ38" s="161"/>
      <c r="BK38" s="160"/>
      <c r="BL38" s="161"/>
      <c r="BM38" s="161"/>
      <c r="BN38" s="161"/>
      <c r="BO38" s="160"/>
      <c r="BP38" s="161"/>
      <c r="BQ38" s="161"/>
      <c r="BR38" s="161"/>
      <c r="BS38" s="160"/>
    </row>
    <row r="39" spans="1:72" s="150" customFormat="1" ht="10.8">
      <c r="A39" s="171" t="s">
        <v>561</v>
      </c>
      <c r="B39" s="171" t="s">
        <v>562</v>
      </c>
      <c r="C39" s="160">
        <v>130.1</v>
      </c>
      <c r="D39" s="161">
        <v>130.1</v>
      </c>
      <c r="E39" s="161">
        <v>130.1</v>
      </c>
      <c r="F39" s="161">
        <v>130.1</v>
      </c>
      <c r="G39" s="160">
        <v>130.1</v>
      </c>
      <c r="H39" s="161">
        <v>130.1</v>
      </c>
      <c r="I39" s="161">
        <v>130.1</v>
      </c>
      <c r="J39" s="162">
        <v>130.1</v>
      </c>
      <c r="K39" s="160">
        <v>130.1</v>
      </c>
      <c r="L39" s="161">
        <v>130.1</v>
      </c>
      <c r="M39" s="161">
        <v>130.1</v>
      </c>
      <c r="N39" s="162">
        <v>130.1</v>
      </c>
      <c r="O39" s="160">
        <v>130.1</v>
      </c>
      <c r="P39" s="161">
        <v>130.1</v>
      </c>
      <c r="Q39" s="161">
        <v>130.1</v>
      </c>
      <c r="R39" s="162">
        <v>130.1</v>
      </c>
      <c r="S39" s="160">
        <v>130.1</v>
      </c>
      <c r="T39" s="161">
        <v>130.1</v>
      </c>
      <c r="U39" s="161">
        <v>130.1</v>
      </c>
      <c r="V39" s="162">
        <v>130.1</v>
      </c>
      <c r="W39" s="161">
        <v>130.10000000000002</v>
      </c>
      <c r="X39" s="161">
        <v>130.10000000000002</v>
      </c>
      <c r="Y39" s="161">
        <v>130.10000000000002</v>
      </c>
      <c r="Z39" s="162">
        <v>130.10000000000002</v>
      </c>
      <c r="AA39" s="160">
        <v>130.10000000000002</v>
      </c>
      <c r="AB39" s="161">
        <v>130.10000000000002</v>
      </c>
      <c r="AC39" s="161">
        <v>130.10000000000002</v>
      </c>
      <c r="AD39" s="162">
        <v>130.10000000000002</v>
      </c>
      <c r="AE39" s="160">
        <v>130.10000000000002</v>
      </c>
      <c r="AF39" s="161">
        <v>130.10000000000002</v>
      </c>
      <c r="AG39" s="161">
        <v>130.1</v>
      </c>
      <c r="AH39" s="162">
        <v>130.1</v>
      </c>
      <c r="AI39" s="161">
        <v>130.1</v>
      </c>
      <c r="AJ39" s="161">
        <v>130.10000000000002</v>
      </c>
      <c r="AK39" s="161">
        <v>130.10000000000002</v>
      </c>
      <c r="AL39" s="162">
        <v>130.1</v>
      </c>
      <c r="AM39" s="161">
        <v>130.1</v>
      </c>
      <c r="AN39" s="161">
        <v>130.10000000000002</v>
      </c>
      <c r="AO39" s="161">
        <v>130.10000000000002</v>
      </c>
      <c r="AP39" s="46">
        <v>130.1</v>
      </c>
      <c r="AQ39" s="45">
        <v>130.1</v>
      </c>
      <c r="AR39" s="45">
        <v>130.1</v>
      </c>
      <c r="AS39" s="45">
        <v>130.1</v>
      </c>
      <c r="AT39" s="45">
        <v>130.1</v>
      </c>
      <c r="AU39" s="44">
        <v>130.1</v>
      </c>
      <c r="AV39" s="45">
        <v>130.1</v>
      </c>
      <c r="AW39" s="45">
        <v>130.1</v>
      </c>
      <c r="AX39" s="45">
        <v>130.1</v>
      </c>
      <c r="AY39" s="44">
        <v>130.1</v>
      </c>
      <c r="AZ39" s="45">
        <v>130.1</v>
      </c>
      <c r="BA39" s="45">
        <v>130.1</v>
      </c>
      <c r="BB39" s="45">
        <v>130.1</v>
      </c>
      <c r="BC39" s="44">
        <v>130.1</v>
      </c>
      <c r="BD39" s="45">
        <v>130.1</v>
      </c>
      <c r="BE39" s="45">
        <v>130.1</v>
      </c>
      <c r="BF39" s="45">
        <v>130.1</v>
      </c>
      <c r="BG39" s="44">
        <v>130.1</v>
      </c>
      <c r="BH39" s="45">
        <v>130.1</v>
      </c>
      <c r="BI39" s="45">
        <v>130.1</v>
      </c>
      <c r="BJ39" s="45">
        <v>130.1</v>
      </c>
      <c r="BK39" s="44">
        <v>130.1</v>
      </c>
      <c r="BL39" s="45">
        <v>130.1</v>
      </c>
      <c r="BM39" s="45">
        <v>130.1</v>
      </c>
      <c r="BN39" s="45">
        <v>130.1</v>
      </c>
      <c r="BO39" s="44">
        <v>130.1</v>
      </c>
      <c r="BP39" s="45">
        <v>130.1</v>
      </c>
      <c r="BQ39" s="45">
        <v>130.1</v>
      </c>
      <c r="BR39" s="45">
        <v>130.1</v>
      </c>
      <c r="BS39" s="44">
        <v>130.1</v>
      </c>
      <c r="BT39" s="610"/>
    </row>
    <row r="40" spans="1:72" s="150" customFormat="1" ht="10.8">
      <c r="A40" s="171" t="s">
        <v>563</v>
      </c>
      <c r="B40" s="171" t="s">
        <v>564</v>
      </c>
      <c r="C40" s="160">
        <f>993.8-37.5</f>
        <v>956.3</v>
      </c>
      <c r="D40" s="161">
        <f>993.8-37.5</f>
        <v>956.3</v>
      </c>
      <c r="E40" s="161">
        <f>993.8-37.5</f>
        <v>956.3</v>
      </c>
      <c r="F40" s="161">
        <v>956.3</v>
      </c>
      <c r="G40" s="160">
        <v>956.3</v>
      </c>
      <c r="H40" s="161">
        <v>956.3</v>
      </c>
      <c r="I40" s="161">
        <v>956.3</v>
      </c>
      <c r="J40" s="162">
        <v>956.3</v>
      </c>
      <c r="K40" s="160">
        <v>956.3</v>
      </c>
      <c r="L40" s="161">
        <v>956.3</v>
      </c>
      <c r="M40" s="161">
        <v>956.3</v>
      </c>
      <c r="N40" s="162">
        <v>956.3</v>
      </c>
      <c r="O40" s="160">
        <v>956.3</v>
      </c>
      <c r="P40" s="161">
        <v>956.3</v>
      </c>
      <c r="Q40" s="161">
        <v>956.3</v>
      </c>
      <c r="R40" s="162">
        <v>956.3</v>
      </c>
      <c r="S40" s="160">
        <v>956.3</v>
      </c>
      <c r="T40" s="161">
        <v>956.3</v>
      </c>
      <c r="U40" s="161">
        <v>956.3</v>
      </c>
      <c r="V40" s="162">
        <v>956.3</v>
      </c>
      <c r="W40" s="161">
        <v>956.3</v>
      </c>
      <c r="X40" s="161">
        <v>956.3</v>
      </c>
      <c r="Y40" s="161">
        <v>956.3</v>
      </c>
      <c r="Z40" s="162">
        <v>956.3</v>
      </c>
      <c r="AA40" s="160">
        <v>956.3</v>
      </c>
      <c r="AB40" s="161">
        <v>956.3</v>
      </c>
      <c r="AC40" s="161">
        <v>956.3</v>
      </c>
      <c r="AD40" s="162">
        <v>956.3</v>
      </c>
      <c r="AE40" s="160">
        <v>956.3</v>
      </c>
      <c r="AF40" s="161">
        <v>956.3</v>
      </c>
      <c r="AG40" s="161">
        <v>956.3</v>
      </c>
      <c r="AH40" s="162">
        <v>956.3</v>
      </c>
      <c r="AI40" s="161">
        <v>956.3</v>
      </c>
      <c r="AJ40" s="161">
        <v>956.3</v>
      </c>
      <c r="AK40" s="161">
        <v>956.3</v>
      </c>
      <c r="AL40" s="162">
        <v>956.3</v>
      </c>
      <c r="AM40" s="161">
        <v>956.3</v>
      </c>
      <c r="AN40" s="161">
        <v>956.3</v>
      </c>
      <c r="AO40" s="161">
        <v>956.3</v>
      </c>
      <c r="AP40" s="46">
        <v>956.3</v>
      </c>
      <c r="AQ40" s="45">
        <v>956.3</v>
      </c>
      <c r="AR40" s="45">
        <v>956.3</v>
      </c>
      <c r="AS40" s="45">
        <v>956.3</v>
      </c>
      <c r="AT40" s="45">
        <v>956.3</v>
      </c>
      <c r="AU40" s="44">
        <v>956.3</v>
      </c>
      <c r="AV40" s="45">
        <v>956.3</v>
      </c>
      <c r="AW40" s="45">
        <v>956.3</v>
      </c>
      <c r="AX40" s="45">
        <v>956.3</v>
      </c>
      <c r="AY40" s="44">
        <v>956.3</v>
      </c>
      <c r="AZ40" s="45">
        <v>956.3</v>
      </c>
      <c r="BA40" s="45">
        <v>956.3</v>
      </c>
      <c r="BB40" s="45">
        <v>956.3</v>
      </c>
      <c r="BC40" s="44">
        <v>956.3</v>
      </c>
      <c r="BD40" s="45">
        <v>956.3</v>
      </c>
      <c r="BE40" s="45">
        <v>956.3</v>
      </c>
      <c r="BF40" s="45">
        <v>956.3</v>
      </c>
      <c r="BG40" s="44">
        <v>956.3</v>
      </c>
      <c r="BH40" s="45">
        <v>956.3</v>
      </c>
      <c r="BI40" s="45">
        <v>956.3</v>
      </c>
      <c r="BJ40" s="45">
        <v>956.3</v>
      </c>
      <c r="BK40" s="44">
        <v>956.3</v>
      </c>
      <c r="BL40" s="45">
        <v>956.3</v>
      </c>
      <c r="BM40" s="45">
        <v>956.3</v>
      </c>
      <c r="BN40" s="45">
        <v>956.3</v>
      </c>
      <c r="BO40" s="44">
        <v>956.3</v>
      </c>
      <c r="BP40" s="45">
        <v>956.3</v>
      </c>
      <c r="BQ40" s="45">
        <v>956.3</v>
      </c>
      <c r="BR40" s="45">
        <v>956.3</v>
      </c>
      <c r="BS40" s="44">
        <v>956.3</v>
      </c>
      <c r="BT40" s="610"/>
    </row>
    <row r="41" spans="1:72" s="150" customFormat="1" ht="10.8">
      <c r="A41" s="171" t="s">
        <v>565</v>
      </c>
      <c r="B41" s="171" t="s">
        <v>566</v>
      </c>
      <c r="C41" s="160">
        <v>74.2</v>
      </c>
      <c r="D41" s="161">
        <v>-11.399999999999991</v>
      </c>
      <c r="E41" s="161">
        <v>-12.5</v>
      </c>
      <c r="F41" s="161">
        <v>-91.6</v>
      </c>
      <c r="G41" s="160">
        <v>-90.000000000000014</v>
      </c>
      <c r="H41" s="161">
        <v>-208.5</v>
      </c>
      <c r="I41" s="161">
        <v>-75.2</v>
      </c>
      <c r="J41" s="162">
        <v>-2.5</v>
      </c>
      <c r="K41" s="160">
        <v>-24.600000000000009</v>
      </c>
      <c r="L41" s="161">
        <v>12.2</v>
      </c>
      <c r="M41" s="161">
        <v>28.099999999999994</v>
      </c>
      <c r="N41" s="162">
        <v>48.7</v>
      </c>
      <c r="O41" s="160">
        <v>117.5</v>
      </c>
      <c r="P41" s="161">
        <v>73.2</v>
      </c>
      <c r="Q41" s="161">
        <v>128.5</v>
      </c>
      <c r="R41" s="162">
        <v>56.4</v>
      </c>
      <c r="S41" s="160">
        <v>-28.500000000000004</v>
      </c>
      <c r="T41" s="161">
        <v>99.100000000000009</v>
      </c>
      <c r="U41" s="161">
        <v>118.20000000000002</v>
      </c>
      <c r="V41" s="162">
        <v>118.29999999999995</v>
      </c>
      <c r="W41" s="161">
        <v>187.1</v>
      </c>
      <c r="X41" s="161">
        <v>244.2</v>
      </c>
      <c r="Y41" s="161">
        <v>483.59999999999997</v>
      </c>
      <c r="Z41" s="162">
        <v>999.69999999999993</v>
      </c>
      <c r="AA41" s="160">
        <v>840.1</v>
      </c>
      <c r="AB41" s="161">
        <v>516.79999999999995</v>
      </c>
      <c r="AC41" s="161">
        <v>419.29999999999995</v>
      </c>
      <c r="AD41" s="162">
        <v>524.29999999999995</v>
      </c>
      <c r="AE41" s="160">
        <v>526.5</v>
      </c>
      <c r="AF41" s="161">
        <v>1085.9000000000001</v>
      </c>
      <c r="AG41" s="161">
        <v>1584.5</v>
      </c>
      <c r="AH41" s="162">
        <v>1874.3000000000002</v>
      </c>
      <c r="AI41" s="161">
        <v>1908.8000000000002</v>
      </c>
      <c r="AJ41" s="161">
        <v>888.30000000000007</v>
      </c>
      <c r="AK41" s="161">
        <v>1316.9</v>
      </c>
      <c r="AL41" s="162">
        <v>1485</v>
      </c>
      <c r="AM41" s="161">
        <v>1774.8000000000002</v>
      </c>
      <c r="AN41" s="161">
        <v>1508</v>
      </c>
      <c r="AO41" s="161">
        <v>1341.8</v>
      </c>
      <c r="AP41" s="46">
        <v>577.5</v>
      </c>
      <c r="AQ41" s="45">
        <v>589.6</v>
      </c>
      <c r="AR41" s="45">
        <v>596.20000000000005</v>
      </c>
      <c r="AS41" s="45">
        <v>551.80000000000007</v>
      </c>
      <c r="AT41" s="45">
        <v>494.29999999999995</v>
      </c>
      <c r="AU41" s="44">
        <v>683.99999999999989</v>
      </c>
      <c r="AV41" s="45">
        <v>556.99999999999989</v>
      </c>
      <c r="AW41" s="45">
        <v>450.59999999999997</v>
      </c>
      <c r="AX41" s="45">
        <v>1169.6999999999998</v>
      </c>
      <c r="AY41" s="44">
        <v>1392.1999999999998</v>
      </c>
      <c r="AZ41" s="45">
        <v>1729.1999999999998</v>
      </c>
      <c r="BA41" s="45">
        <v>2357.3000000000002</v>
      </c>
      <c r="BB41" s="45">
        <v>1867.3</v>
      </c>
      <c r="BC41" s="44">
        <v>3717.7</v>
      </c>
      <c r="BD41" s="45">
        <v>4296</v>
      </c>
      <c r="BE41" s="45">
        <v>4216.1000000000004</v>
      </c>
      <c r="BF41" s="45">
        <v>3923.4</v>
      </c>
      <c r="BG41" s="44">
        <v>2479.7999999999997</v>
      </c>
      <c r="BH41" s="45">
        <v>2158.7000000000003</v>
      </c>
      <c r="BI41" s="45">
        <v>1103</v>
      </c>
      <c r="BJ41" s="45">
        <v>-2821</v>
      </c>
      <c r="BK41" s="44">
        <v>-5989.5</v>
      </c>
      <c r="BL41" s="45">
        <v>-9311.9</v>
      </c>
      <c r="BM41" s="45">
        <v>-9291.9</v>
      </c>
      <c r="BN41" s="45">
        <v>-8039.2999999999993</v>
      </c>
      <c r="BO41" s="44">
        <v>-7055.1</v>
      </c>
      <c r="BP41" s="45">
        <v>-6431.0999999999995</v>
      </c>
      <c r="BQ41" s="45">
        <v>-5376</v>
      </c>
      <c r="BR41" s="45">
        <v>-5094.7</v>
      </c>
      <c r="BS41" s="44">
        <v>-5379.3</v>
      </c>
      <c r="BT41" s="610"/>
    </row>
    <row r="42" spans="1:72" s="150" customFormat="1" ht="10.8">
      <c r="A42" s="171" t="s">
        <v>567</v>
      </c>
      <c r="B42" s="171" t="s">
        <v>568</v>
      </c>
      <c r="C42" s="160">
        <v>2741.7</v>
      </c>
      <c r="D42" s="161">
        <v>2547</v>
      </c>
      <c r="E42" s="161">
        <v>2746.5</v>
      </c>
      <c r="F42" s="161">
        <v>2844</v>
      </c>
      <c r="G42" s="160">
        <v>3017.3</v>
      </c>
      <c r="H42" s="161">
        <v>3099.7</v>
      </c>
      <c r="I42" s="161">
        <v>3266.7</v>
      </c>
      <c r="J42" s="162">
        <v>3138.3</v>
      </c>
      <c r="K42" s="160">
        <v>3219.1</v>
      </c>
      <c r="L42" s="161">
        <v>3416</v>
      </c>
      <c r="M42" s="161">
        <v>3627.6</v>
      </c>
      <c r="N42" s="162">
        <v>3749.3</v>
      </c>
      <c r="O42" s="160">
        <v>3927.8</v>
      </c>
      <c r="P42" s="161">
        <v>4120.6000000000004</v>
      </c>
      <c r="Q42" s="161">
        <v>4314.5999999999995</v>
      </c>
      <c r="R42" s="162">
        <v>4508</v>
      </c>
      <c r="S42" s="160">
        <v>4724.1000000000004</v>
      </c>
      <c r="T42" s="161">
        <v>4766</v>
      </c>
      <c r="U42" s="161">
        <v>4990</v>
      </c>
      <c r="V42" s="162">
        <v>5209</v>
      </c>
      <c r="W42" s="161">
        <v>5477.6</v>
      </c>
      <c r="X42" s="161">
        <v>5648.2</v>
      </c>
      <c r="Y42" s="161">
        <v>5854.9</v>
      </c>
      <c r="Z42" s="162">
        <v>6047.7</v>
      </c>
      <c r="AA42" s="160">
        <v>6310</v>
      </c>
      <c r="AB42" s="161">
        <v>6528</v>
      </c>
      <c r="AC42" s="161">
        <v>6763.5</v>
      </c>
      <c r="AD42" s="162">
        <v>7015.5999999999995</v>
      </c>
      <c r="AE42" s="160">
        <v>7272.6999999999989</v>
      </c>
      <c r="AF42" s="161">
        <v>6986.3999999999987</v>
      </c>
      <c r="AG42" s="161">
        <v>7260.6999999999989</v>
      </c>
      <c r="AH42" s="162">
        <v>7493.2999999999993</v>
      </c>
      <c r="AI42" s="161">
        <v>7234.2999999999993</v>
      </c>
      <c r="AJ42" s="161">
        <v>7581.4</v>
      </c>
      <c r="AK42" s="161">
        <v>7898.4999999999991</v>
      </c>
      <c r="AL42" s="162">
        <v>8106.4999999999991</v>
      </c>
      <c r="AM42" s="161">
        <v>7806.5</v>
      </c>
      <c r="AN42" s="161">
        <v>8215.6999999999989</v>
      </c>
      <c r="AO42" s="161">
        <v>8548.5</v>
      </c>
      <c r="AP42" s="46">
        <v>8811</v>
      </c>
      <c r="AQ42" s="45">
        <v>9111.2999999999993</v>
      </c>
      <c r="AR42" s="45">
        <v>9471.5</v>
      </c>
      <c r="AS42" s="45">
        <v>9847.9999999999982</v>
      </c>
      <c r="AT42" s="45">
        <v>9953.5999999999985</v>
      </c>
      <c r="AU42" s="44">
        <v>10288.5</v>
      </c>
      <c r="AV42" s="45">
        <v>10232.499999999998</v>
      </c>
      <c r="AW42" s="45">
        <v>10610.800000000001</v>
      </c>
      <c r="AX42" s="45">
        <v>11065.500000000004</v>
      </c>
      <c r="AY42" s="44">
        <v>10934.7</v>
      </c>
      <c r="AZ42" s="45">
        <v>11404.2</v>
      </c>
      <c r="BA42" s="45">
        <v>11819</v>
      </c>
      <c r="BB42" s="45">
        <v>12269.6</v>
      </c>
      <c r="BC42" s="44">
        <v>12536.9</v>
      </c>
      <c r="BD42" s="45">
        <v>12853.1</v>
      </c>
      <c r="BE42" s="45">
        <v>13293.300000000001</v>
      </c>
      <c r="BF42" s="45">
        <v>13608.500000000002</v>
      </c>
      <c r="BG42" s="44">
        <v>13994.100000000002</v>
      </c>
      <c r="BH42" s="45">
        <v>14612.5</v>
      </c>
      <c r="BI42" s="45">
        <v>15251.4</v>
      </c>
      <c r="BJ42" s="45">
        <v>15266</v>
      </c>
      <c r="BK42" s="44">
        <v>16058.900000000001</v>
      </c>
      <c r="BL42" s="45">
        <v>15942.4</v>
      </c>
      <c r="BM42" s="45">
        <v>15628.400000000001</v>
      </c>
      <c r="BN42" s="45">
        <v>16297.2</v>
      </c>
      <c r="BO42" s="44">
        <v>17207.900000000001</v>
      </c>
      <c r="BP42" s="45">
        <v>18311.5</v>
      </c>
      <c r="BQ42" s="45">
        <v>19472</v>
      </c>
      <c r="BR42" s="45">
        <v>20749.600000000002</v>
      </c>
      <c r="BS42" s="44">
        <v>21743.9</v>
      </c>
      <c r="BT42" s="610"/>
    </row>
    <row r="43" spans="1:72" s="150" customFormat="1" ht="10.8">
      <c r="A43" s="430" t="s">
        <v>569</v>
      </c>
      <c r="B43" s="430" t="s">
        <v>570</v>
      </c>
      <c r="C43" s="160"/>
      <c r="D43" s="161"/>
      <c r="E43" s="161"/>
      <c r="F43" s="161"/>
      <c r="G43" s="160"/>
      <c r="H43" s="161"/>
      <c r="I43" s="161"/>
      <c r="J43" s="161"/>
      <c r="K43" s="160"/>
      <c r="L43" s="161"/>
      <c r="M43" s="161"/>
      <c r="N43" s="161"/>
      <c r="O43" s="160"/>
      <c r="P43" s="161"/>
      <c r="Q43" s="161"/>
      <c r="R43" s="161"/>
      <c r="S43" s="160"/>
      <c r="T43" s="161"/>
      <c r="U43" s="161"/>
      <c r="V43" s="161"/>
      <c r="W43" s="161"/>
      <c r="X43" s="161"/>
      <c r="Y43" s="161"/>
      <c r="Z43" s="162"/>
      <c r="AA43" s="160"/>
      <c r="AB43" s="161"/>
      <c r="AC43" s="161"/>
      <c r="AD43" s="162"/>
      <c r="AE43" s="160"/>
      <c r="AF43" s="161"/>
      <c r="AG43" s="161"/>
      <c r="AH43" s="162"/>
      <c r="AI43" s="161"/>
      <c r="AJ43" s="161"/>
      <c r="AK43" s="161"/>
      <c r="AL43" s="162"/>
      <c r="AM43" s="161"/>
      <c r="AN43" s="161"/>
      <c r="AO43" s="161"/>
      <c r="AP43" s="46"/>
      <c r="AQ43" s="45"/>
      <c r="AR43" s="45"/>
      <c r="AS43" s="45"/>
      <c r="AT43" s="45"/>
      <c r="AU43" s="44"/>
      <c r="AV43" s="45"/>
      <c r="AW43" s="45"/>
      <c r="AX43" s="45"/>
      <c r="AY43" s="44"/>
      <c r="AZ43" s="45"/>
      <c r="BA43" s="45"/>
      <c r="BB43" s="45"/>
      <c r="BC43" s="44"/>
      <c r="BD43" s="45"/>
      <c r="BE43" s="45"/>
      <c r="BF43" s="45"/>
      <c r="BG43" s="44"/>
      <c r="BH43" s="45"/>
      <c r="BI43" s="45"/>
      <c r="BJ43" s="45"/>
      <c r="BK43" s="44"/>
      <c r="BL43" s="45"/>
      <c r="BM43" s="45"/>
      <c r="BN43" s="45"/>
      <c r="BO43" s="44"/>
      <c r="BP43" s="45">
        <v>-4.2</v>
      </c>
      <c r="BQ43" s="45">
        <v>0</v>
      </c>
      <c r="BR43" s="45">
        <v>-5.3</v>
      </c>
      <c r="BS43" s="44">
        <v>-11.3</v>
      </c>
      <c r="BT43" s="610"/>
    </row>
    <row r="44" spans="1:72" s="164" customFormat="1" ht="10.8">
      <c r="A44" s="143" t="s">
        <v>571</v>
      </c>
      <c r="B44" s="143" t="s">
        <v>572</v>
      </c>
      <c r="C44" s="172">
        <f t="shared" ref="C44:AP44" si="4">SUM(C39:C42)</f>
        <v>3902.2999999999997</v>
      </c>
      <c r="D44" s="173">
        <f t="shared" si="4"/>
        <v>3622</v>
      </c>
      <c r="E44" s="173">
        <f t="shared" si="4"/>
        <v>3820.3999999999996</v>
      </c>
      <c r="F44" s="173">
        <f t="shared" si="4"/>
        <v>3838.7999999999997</v>
      </c>
      <c r="G44" s="172">
        <f t="shared" si="4"/>
        <v>4013.7</v>
      </c>
      <c r="H44" s="173">
        <f t="shared" si="4"/>
        <v>3977.5999999999995</v>
      </c>
      <c r="I44" s="173">
        <f t="shared" si="4"/>
        <v>4277.8999999999996</v>
      </c>
      <c r="J44" s="173">
        <f t="shared" si="4"/>
        <v>4222.2</v>
      </c>
      <c r="K44" s="172">
        <f t="shared" si="4"/>
        <v>4280.8999999999996</v>
      </c>
      <c r="L44" s="173">
        <f t="shared" si="4"/>
        <v>4514.6000000000004</v>
      </c>
      <c r="M44" s="173">
        <f t="shared" si="4"/>
        <v>4742.0999999999995</v>
      </c>
      <c r="N44" s="173">
        <f t="shared" si="4"/>
        <v>4884.3999999999996</v>
      </c>
      <c r="O44" s="172">
        <f t="shared" si="4"/>
        <v>5131.7</v>
      </c>
      <c r="P44" s="173">
        <f t="shared" si="4"/>
        <v>5280.2000000000007</v>
      </c>
      <c r="Q44" s="173">
        <f t="shared" si="4"/>
        <v>5529.4999999999991</v>
      </c>
      <c r="R44" s="173">
        <f t="shared" si="4"/>
        <v>5650.8</v>
      </c>
      <c r="S44" s="172">
        <f t="shared" si="4"/>
        <v>5782</v>
      </c>
      <c r="T44" s="173">
        <f t="shared" si="4"/>
        <v>5951.5</v>
      </c>
      <c r="U44" s="173">
        <f t="shared" si="4"/>
        <v>6194.6</v>
      </c>
      <c r="V44" s="173">
        <f t="shared" si="4"/>
        <v>6413.7</v>
      </c>
      <c r="W44" s="172">
        <f t="shared" si="4"/>
        <v>6751.1</v>
      </c>
      <c r="X44" s="173">
        <f t="shared" si="4"/>
        <v>6978.8</v>
      </c>
      <c r="Y44" s="173">
        <f t="shared" si="4"/>
        <v>7424.9</v>
      </c>
      <c r="Z44" s="174">
        <f t="shared" si="4"/>
        <v>8133.7999999999993</v>
      </c>
      <c r="AA44" s="172">
        <f t="shared" si="4"/>
        <v>8236.5</v>
      </c>
      <c r="AB44" s="173">
        <f t="shared" si="4"/>
        <v>8131.2</v>
      </c>
      <c r="AC44" s="173">
        <f t="shared" si="4"/>
        <v>8269.2000000000007</v>
      </c>
      <c r="AD44" s="174">
        <f t="shared" si="4"/>
        <v>8626.2999999999993</v>
      </c>
      <c r="AE44" s="172">
        <f t="shared" si="4"/>
        <v>8885.5999999999985</v>
      </c>
      <c r="AF44" s="173">
        <f t="shared" si="4"/>
        <v>9158.6999999999989</v>
      </c>
      <c r="AG44" s="173">
        <f t="shared" si="4"/>
        <v>9931.5999999999985</v>
      </c>
      <c r="AH44" s="174">
        <f t="shared" si="4"/>
        <v>10454</v>
      </c>
      <c r="AI44" s="173">
        <f t="shared" si="4"/>
        <v>10229.5</v>
      </c>
      <c r="AJ44" s="173">
        <f t="shared" si="4"/>
        <v>9556.1</v>
      </c>
      <c r="AK44" s="173">
        <f t="shared" si="4"/>
        <v>10301.799999999999</v>
      </c>
      <c r="AL44" s="174">
        <f t="shared" si="4"/>
        <v>10677.899999999998</v>
      </c>
      <c r="AM44" s="173">
        <f t="shared" si="4"/>
        <v>10667.7</v>
      </c>
      <c r="AN44" s="173">
        <f t="shared" si="4"/>
        <v>10810.099999999999</v>
      </c>
      <c r="AO44" s="173">
        <f t="shared" si="4"/>
        <v>10976.7</v>
      </c>
      <c r="AP44" s="174">
        <f t="shared" si="4"/>
        <v>10474.9</v>
      </c>
      <c r="AQ44" s="173">
        <f t="shared" ref="AQ44:BJ44" si="5">SUM(AQ39:AQ42)</f>
        <v>10787.3</v>
      </c>
      <c r="AR44" s="173">
        <f t="shared" si="5"/>
        <v>11154.1</v>
      </c>
      <c r="AS44" s="173">
        <f t="shared" si="5"/>
        <v>11486.199999999997</v>
      </c>
      <c r="AT44" s="173">
        <f t="shared" si="5"/>
        <v>11534.3</v>
      </c>
      <c r="AU44" s="172">
        <f t="shared" si="5"/>
        <v>12058.9</v>
      </c>
      <c r="AV44" s="173">
        <f t="shared" si="5"/>
        <v>11875.899999999998</v>
      </c>
      <c r="AW44" s="173">
        <f t="shared" si="5"/>
        <v>12147.800000000001</v>
      </c>
      <c r="AX44" s="173">
        <f t="shared" si="5"/>
        <v>13321.600000000002</v>
      </c>
      <c r="AY44" s="172">
        <f t="shared" si="5"/>
        <v>13413.3</v>
      </c>
      <c r="AZ44" s="173">
        <f t="shared" si="5"/>
        <v>14219.8</v>
      </c>
      <c r="BA44" s="173">
        <f t="shared" si="5"/>
        <v>15262.7</v>
      </c>
      <c r="BB44" s="173">
        <f t="shared" si="5"/>
        <v>15223.3</v>
      </c>
      <c r="BC44" s="172">
        <f t="shared" si="5"/>
        <v>17341</v>
      </c>
      <c r="BD44" s="173">
        <f t="shared" si="5"/>
        <v>18235.5</v>
      </c>
      <c r="BE44" s="173">
        <f t="shared" si="5"/>
        <v>18595.800000000003</v>
      </c>
      <c r="BF44" s="173">
        <f t="shared" si="5"/>
        <v>18618.300000000003</v>
      </c>
      <c r="BG44" s="172">
        <f t="shared" si="5"/>
        <v>17560.300000000003</v>
      </c>
      <c r="BH44" s="173">
        <f t="shared" si="5"/>
        <v>17857.599999999999</v>
      </c>
      <c r="BI44" s="173">
        <f t="shared" si="5"/>
        <v>17440.8</v>
      </c>
      <c r="BJ44" s="173">
        <f t="shared" si="5"/>
        <v>13531.4</v>
      </c>
      <c r="BK44" s="172">
        <f>SUM(BK39:BK42)</f>
        <v>11155.800000000001</v>
      </c>
      <c r="BL44" s="173">
        <f>SUM(BL39:BL42)</f>
        <v>7716.9</v>
      </c>
      <c r="BM44" s="173">
        <f>SUM(BM39:BM42)</f>
        <v>7422.9000000000015</v>
      </c>
      <c r="BN44" s="173">
        <f>SUM(BN39:BN42)</f>
        <v>9344.3000000000011</v>
      </c>
      <c r="BO44" s="172">
        <f>SUM(BO39:BO42)</f>
        <v>11239.2</v>
      </c>
      <c r="BP44" s="173">
        <f>SUM(BP39:BP43)</f>
        <v>12962.599999999999</v>
      </c>
      <c r="BQ44" s="173">
        <f>SUM(BQ39:BQ43)</f>
        <v>15182.4</v>
      </c>
      <c r="BR44" s="173">
        <f>SUM(BR39:BR43)</f>
        <v>16736.000000000004</v>
      </c>
      <c r="BS44" s="172">
        <f>SUM(BS39:BS43)</f>
        <v>17439.7</v>
      </c>
    </row>
    <row r="45" spans="1:72" s="150" customFormat="1" ht="10.8">
      <c r="A45" s="171" t="s">
        <v>573</v>
      </c>
      <c r="B45" s="171" t="s">
        <v>574</v>
      </c>
      <c r="C45" s="44">
        <v>25.9</v>
      </c>
      <c r="D45" s="45">
        <v>28.9</v>
      </c>
      <c r="E45" s="45">
        <v>1.7</v>
      </c>
      <c r="F45" s="45">
        <v>1.7</v>
      </c>
      <c r="G45" s="44">
        <v>1.7</v>
      </c>
      <c r="H45" s="45">
        <v>1.7</v>
      </c>
      <c r="I45" s="45">
        <v>1.8</v>
      </c>
      <c r="J45" s="46">
        <v>2.2999999999999998</v>
      </c>
      <c r="K45" s="44">
        <v>2.2999999999999998</v>
      </c>
      <c r="L45" s="45">
        <v>2.2999999999999998</v>
      </c>
      <c r="M45" s="45">
        <v>2.2999999999999998</v>
      </c>
      <c r="N45" s="46">
        <v>2.2999999999999998</v>
      </c>
      <c r="O45" s="44">
        <v>2.2999999999999998</v>
      </c>
      <c r="P45" s="45">
        <v>2.2999999999999998</v>
      </c>
      <c r="Q45" s="45">
        <v>2.4</v>
      </c>
      <c r="R45" s="46">
        <v>2.2999999999999998</v>
      </c>
      <c r="S45" s="44">
        <v>2.2999999999999998</v>
      </c>
      <c r="T45" s="45">
        <v>2.2999999999999998</v>
      </c>
      <c r="U45" s="45">
        <v>2.2999999999999998</v>
      </c>
      <c r="V45" s="46">
        <v>2.2999999999999998</v>
      </c>
      <c r="W45" s="45">
        <v>2.2999999999999998</v>
      </c>
      <c r="X45" s="45">
        <v>2.2999999999999998</v>
      </c>
      <c r="Y45" s="45">
        <v>2.2999999999999998</v>
      </c>
      <c r="Z45" s="46">
        <v>2.2999999999999998</v>
      </c>
      <c r="AA45" s="44">
        <v>2.2999999999999998</v>
      </c>
      <c r="AB45" s="45">
        <v>2.2999999999999998</v>
      </c>
      <c r="AC45" s="45">
        <v>2.2999999999999998</v>
      </c>
      <c r="AD45" s="46">
        <v>2.2999999999999998</v>
      </c>
      <c r="AE45" s="44">
        <v>2.2999999999999998</v>
      </c>
      <c r="AF45" s="45">
        <v>2.4000000000000012</v>
      </c>
      <c r="AG45" s="45">
        <v>2.6</v>
      </c>
      <c r="AH45" s="46">
        <v>2.6</v>
      </c>
      <c r="AI45" s="45">
        <v>2.6</v>
      </c>
      <c r="AJ45" s="45">
        <v>2.6</v>
      </c>
      <c r="AK45" s="45">
        <v>2.6</v>
      </c>
      <c r="AL45" s="46">
        <v>2.6</v>
      </c>
      <c r="AM45" s="45">
        <v>2.5</v>
      </c>
      <c r="AN45" s="45">
        <v>2.5</v>
      </c>
      <c r="AO45" s="45">
        <v>2.2999999999999998</v>
      </c>
      <c r="AP45" s="46">
        <v>2.2999999999999998</v>
      </c>
      <c r="AQ45" s="45">
        <v>2.1</v>
      </c>
      <c r="AR45" s="45">
        <v>0</v>
      </c>
      <c r="AS45" s="45">
        <v>0</v>
      </c>
      <c r="AT45" s="45">
        <v>0</v>
      </c>
      <c r="AU45" s="44">
        <v>0</v>
      </c>
      <c r="AV45" s="45">
        <v>0</v>
      </c>
      <c r="AW45" s="45">
        <v>0</v>
      </c>
      <c r="AX45" s="45">
        <v>0</v>
      </c>
      <c r="AY45" s="44">
        <v>0</v>
      </c>
      <c r="AZ45" s="45">
        <v>0</v>
      </c>
      <c r="BA45" s="45">
        <v>0</v>
      </c>
      <c r="BB45" s="45">
        <v>0</v>
      </c>
      <c r="BC45" s="44">
        <v>0</v>
      </c>
      <c r="BD45" s="45">
        <v>0</v>
      </c>
      <c r="BE45" s="45">
        <v>0</v>
      </c>
      <c r="BF45" s="45">
        <v>0</v>
      </c>
      <c r="BG45" s="44">
        <v>0</v>
      </c>
      <c r="BH45" s="45">
        <v>0</v>
      </c>
      <c r="BI45" s="45">
        <v>0</v>
      </c>
      <c r="BJ45" s="45">
        <v>0</v>
      </c>
      <c r="BK45" s="44">
        <v>0</v>
      </c>
      <c r="BL45" s="45">
        <v>0</v>
      </c>
      <c r="BM45" s="45">
        <v>0</v>
      </c>
      <c r="BN45" s="45">
        <v>0</v>
      </c>
      <c r="BO45" s="44">
        <v>0</v>
      </c>
      <c r="BP45" s="45">
        <v>0</v>
      </c>
      <c r="BQ45" s="45">
        <v>0</v>
      </c>
      <c r="BR45" s="45">
        <v>0</v>
      </c>
      <c r="BS45" s="44">
        <v>0</v>
      </c>
      <c r="BT45" s="610"/>
    </row>
    <row r="46" spans="1:72" s="150" customFormat="1" ht="6" customHeight="1">
      <c r="A46" s="171"/>
      <c r="B46" s="171"/>
      <c r="C46" s="160"/>
      <c r="D46" s="161"/>
      <c r="E46" s="161"/>
      <c r="F46" s="161"/>
      <c r="G46" s="160"/>
      <c r="H46" s="161"/>
      <c r="I46" s="161"/>
      <c r="J46" s="162"/>
      <c r="K46" s="160"/>
      <c r="L46" s="161"/>
      <c r="M46" s="161"/>
      <c r="N46" s="162"/>
      <c r="O46" s="160"/>
      <c r="P46" s="161"/>
      <c r="Q46" s="161"/>
      <c r="R46" s="162"/>
      <c r="S46" s="160"/>
      <c r="T46" s="161"/>
      <c r="U46" s="161"/>
      <c r="V46" s="162"/>
      <c r="W46" s="161"/>
      <c r="X46" s="161"/>
      <c r="Y46" s="161"/>
      <c r="Z46" s="162"/>
      <c r="AA46" s="160"/>
      <c r="AB46" s="161"/>
      <c r="AC46" s="161"/>
      <c r="AD46" s="162"/>
      <c r="AE46" s="160"/>
      <c r="AF46" s="161"/>
      <c r="AG46" s="161"/>
      <c r="AH46" s="162"/>
      <c r="AI46" s="161"/>
      <c r="AJ46" s="161"/>
      <c r="AK46" s="161"/>
      <c r="AL46" s="162"/>
      <c r="AM46" s="161"/>
      <c r="AN46" s="161"/>
      <c r="AO46" s="161"/>
      <c r="AP46" s="162"/>
      <c r="AQ46" s="161"/>
      <c r="AR46" s="161"/>
      <c r="AS46" s="161"/>
      <c r="AT46" s="161"/>
      <c r="AU46" s="160"/>
      <c r="AV46" s="161"/>
      <c r="AW46" s="161"/>
      <c r="AX46" s="161"/>
      <c r="AY46" s="160"/>
      <c r="AZ46" s="161"/>
      <c r="BA46" s="161"/>
      <c r="BB46" s="161"/>
      <c r="BC46" s="160"/>
      <c r="BD46" s="161"/>
      <c r="BE46" s="161"/>
      <c r="BF46" s="161"/>
      <c r="BG46" s="160"/>
      <c r="BH46" s="161"/>
      <c r="BI46" s="161"/>
      <c r="BJ46" s="161"/>
      <c r="BK46" s="160"/>
      <c r="BL46" s="161"/>
      <c r="BM46" s="161"/>
      <c r="BN46" s="161"/>
      <c r="BO46" s="160"/>
      <c r="BP46" s="161"/>
      <c r="BQ46" s="161"/>
      <c r="BR46" s="161"/>
      <c r="BS46" s="160"/>
    </row>
    <row r="47" spans="1:72" s="164" customFormat="1" ht="10.8">
      <c r="A47" s="143" t="s">
        <v>575</v>
      </c>
      <c r="B47" s="143" t="s">
        <v>576</v>
      </c>
      <c r="C47" s="172">
        <f t="shared" ref="C47:BN47" si="6">C44+C45</f>
        <v>3928.2</v>
      </c>
      <c r="D47" s="173">
        <f t="shared" si="6"/>
        <v>3650.9</v>
      </c>
      <c r="E47" s="173">
        <f t="shared" si="6"/>
        <v>3822.0999999999995</v>
      </c>
      <c r="F47" s="173">
        <f t="shared" si="6"/>
        <v>3840.4999999999995</v>
      </c>
      <c r="G47" s="172">
        <f t="shared" si="6"/>
        <v>4015.3999999999996</v>
      </c>
      <c r="H47" s="173">
        <f t="shared" si="6"/>
        <v>3979.2999999999993</v>
      </c>
      <c r="I47" s="173">
        <f t="shared" si="6"/>
        <v>4279.7</v>
      </c>
      <c r="J47" s="173">
        <f t="shared" si="6"/>
        <v>4224.5</v>
      </c>
      <c r="K47" s="172">
        <f t="shared" si="6"/>
        <v>4283.2</v>
      </c>
      <c r="L47" s="173">
        <f t="shared" si="6"/>
        <v>4516.9000000000005</v>
      </c>
      <c r="M47" s="173">
        <f t="shared" si="6"/>
        <v>4744.3999999999996</v>
      </c>
      <c r="N47" s="173">
        <f t="shared" si="6"/>
        <v>4886.7</v>
      </c>
      <c r="O47" s="172">
        <f t="shared" si="6"/>
        <v>5134</v>
      </c>
      <c r="P47" s="173">
        <f t="shared" si="6"/>
        <v>5282.5000000000009</v>
      </c>
      <c r="Q47" s="173">
        <f t="shared" si="6"/>
        <v>5531.8999999999987</v>
      </c>
      <c r="R47" s="173">
        <f t="shared" si="6"/>
        <v>5653.1</v>
      </c>
      <c r="S47" s="172">
        <f t="shared" si="6"/>
        <v>5784.3</v>
      </c>
      <c r="T47" s="173">
        <f t="shared" si="6"/>
        <v>5953.8</v>
      </c>
      <c r="U47" s="173">
        <f t="shared" si="6"/>
        <v>6196.9000000000005</v>
      </c>
      <c r="V47" s="173">
        <f t="shared" si="6"/>
        <v>6416</v>
      </c>
      <c r="W47" s="172">
        <f t="shared" si="6"/>
        <v>6753.4000000000005</v>
      </c>
      <c r="X47" s="173">
        <f t="shared" si="6"/>
        <v>6981.1</v>
      </c>
      <c r="Y47" s="173">
        <f t="shared" si="6"/>
        <v>7427.2</v>
      </c>
      <c r="Z47" s="174">
        <f t="shared" si="6"/>
        <v>8136.0999999999995</v>
      </c>
      <c r="AA47" s="172">
        <f t="shared" si="6"/>
        <v>8238.7999999999993</v>
      </c>
      <c r="AB47" s="173">
        <f t="shared" si="6"/>
        <v>8133.5</v>
      </c>
      <c r="AC47" s="173">
        <f t="shared" si="6"/>
        <v>8271.5</v>
      </c>
      <c r="AD47" s="174">
        <f t="shared" si="6"/>
        <v>8628.5999999999985</v>
      </c>
      <c r="AE47" s="172">
        <f t="shared" si="6"/>
        <v>8887.8999999999978</v>
      </c>
      <c r="AF47" s="173">
        <f t="shared" si="6"/>
        <v>9161.0999999999985</v>
      </c>
      <c r="AG47" s="173">
        <f t="shared" si="6"/>
        <v>9934.1999999999989</v>
      </c>
      <c r="AH47" s="174">
        <f t="shared" si="6"/>
        <v>10456.6</v>
      </c>
      <c r="AI47" s="173">
        <f t="shared" si="6"/>
        <v>10232.1</v>
      </c>
      <c r="AJ47" s="173">
        <f t="shared" si="6"/>
        <v>9558.7000000000007</v>
      </c>
      <c r="AK47" s="173">
        <f t="shared" si="6"/>
        <v>10304.4</v>
      </c>
      <c r="AL47" s="174">
        <f t="shared" si="6"/>
        <v>10680.499999999998</v>
      </c>
      <c r="AM47" s="173">
        <f t="shared" si="6"/>
        <v>10670.2</v>
      </c>
      <c r="AN47" s="173">
        <f t="shared" si="6"/>
        <v>10812.599999999999</v>
      </c>
      <c r="AO47" s="173">
        <f t="shared" si="6"/>
        <v>10979</v>
      </c>
      <c r="AP47" s="174">
        <f t="shared" si="6"/>
        <v>10477.199999999999</v>
      </c>
      <c r="AQ47" s="173">
        <f t="shared" si="6"/>
        <v>10789.4</v>
      </c>
      <c r="AR47" s="173">
        <f t="shared" si="6"/>
        <v>11154.1</v>
      </c>
      <c r="AS47" s="173">
        <f t="shared" si="6"/>
        <v>11486.199999999997</v>
      </c>
      <c r="AT47" s="173">
        <f t="shared" si="6"/>
        <v>11534.3</v>
      </c>
      <c r="AU47" s="172">
        <f t="shared" si="6"/>
        <v>12058.9</v>
      </c>
      <c r="AV47" s="173">
        <f t="shared" si="6"/>
        <v>11875.899999999998</v>
      </c>
      <c r="AW47" s="173">
        <f t="shared" si="6"/>
        <v>12147.800000000001</v>
      </c>
      <c r="AX47" s="173">
        <f t="shared" si="6"/>
        <v>13321.600000000002</v>
      </c>
      <c r="AY47" s="172">
        <f t="shared" si="6"/>
        <v>13413.3</v>
      </c>
      <c r="AZ47" s="173">
        <f t="shared" si="6"/>
        <v>14219.8</v>
      </c>
      <c r="BA47" s="173">
        <f t="shared" si="6"/>
        <v>15262.7</v>
      </c>
      <c r="BB47" s="173">
        <f t="shared" si="6"/>
        <v>15223.3</v>
      </c>
      <c r="BC47" s="172">
        <f t="shared" si="6"/>
        <v>17341</v>
      </c>
      <c r="BD47" s="173">
        <f t="shared" si="6"/>
        <v>18235.5</v>
      </c>
      <c r="BE47" s="173">
        <f t="shared" si="6"/>
        <v>18595.800000000003</v>
      </c>
      <c r="BF47" s="173">
        <f t="shared" si="6"/>
        <v>18618.300000000003</v>
      </c>
      <c r="BG47" s="172">
        <f t="shared" si="6"/>
        <v>17560.300000000003</v>
      </c>
      <c r="BH47" s="173">
        <f t="shared" si="6"/>
        <v>17857.599999999999</v>
      </c>
      <c r="BI47" s="173">
        <f t="shared" si="6"/>
        <v>17440.8</v>
      </c>
      <c r="BJ47" s="173">
        <f t="shared" si="6"/>
        <v>13531.4</v>
      </c>
      <c r="BK47" s="172">
        <f t="shared" si="6"/>
        <v>11155.800000000001</v>
      </c>
      <c r="BL47" s="173">
        <f t="shared" si="6"/>
        <v>7716.9</v>
      </c>
      <c r="BM47" s="173">
        <f t="shared" si="6"/>
        <v>7422.9000000000015</v>
      </c>
      <c r="BN47" s="173">
        <f t="shared" si="6"/>
        <v>9344.3000000000011</v>
      </c>
      <c r="BO47" s="172">
        <f t="shared" ref="BO47:BP47" si="7">BO44+BO45</f>
        <v>11239.2</v>
      </c>
      <c r="BP47" s="173">
        <f t="shared" si="7"/>
        <v>12962.599999999999</v>
      </c>
      <c r="BQ47" s="173">
        <f>BQ44+BQ45</f>
        <v>15182.4</v>
      </c>
      <c r="BR47" s="173">
        <f>BR44+BR45</f>
        <v>16736.000000000004</v>
      </c>
      <c r="BS47" s="172">
        <f>BS44+BS45</f>
        <v>17439.7</v>
      </c>
    </row>
    <row r="48" spans="1:72" s="150" customFormat="1" ht="10.8">
      <c r="A48" s="171"/>
      <c r="B48" s="171"/>
      <c r="C48" s="160"/>
      <c r="D48" s="161"/>
      <c r="E48" s="161"/>
      <c r="F48" s="161"/>
      <c r="G48" s="160"/>
      <c r="H48" s="161"/>
      <c r="I48" s="161"/>
      <c r="J48" s="162"/>
      <c r="K48" s="160"/>
      <c r="L48" s="161"/>
      <c r="M48" s="161"/>
      <c r="N48" s="162"/>
      <c r="O48" s="160"/>
      <c r="P48" s="161"/>
      <c r="Q48" s="161"/>
      <c r="R48" s="162"/>
      <c r="S48" s="160"/>
      <c r="T48" s="161"/>
      <c r="U48" s="161"/>
      <c r="V48" s="162"/>
      <c r="W48" s="161"/>
      <c r="X48" s="161"/>
      <c r="Y48" s="161"/>
      <c r="Z48" s="162"/>
      <c r="AA48" s="160"/>
      <c r="AB48" s="161"/>
      <c r="AC48" s="161"/>
      <c r="AD48" s="162"/>
      <c r="AE48" s="160"/>
      <c r="AF48" s="161"/>
      <c r="AG48" s="161"/>
      <c r="AH48" s="162"/>
      <c r="AI48" s="161"/>
      <c r="AJ48" s="161"/>
      <c r="AK48" s="161"/>
      <c r="AL48" s="162"/>
      <c r="AM48" s="161"/>
      <c r="AN48" s="161"/>
      <c r="AO48" s="161"/>
      <c r="AP48" s="162"/>
      <c r="AQ48" s="161"/>
      <c r="AR48" s="161"/>
      <c r="AS48" s="161"/>
      <c r="AT48" s="161"/>
      <c r="AU48" s="160"/>
      <c r="AV48" s="161"/>
      <c r="AW48" s="161"/>
      <c r="AX48" s="161"/>
      <c r="AY48" s="160"/>
      <c r="AZ48" s="161"/>
      <c r="BA48" s="161"/>
      <c r="BB48" s="161"/>
      <c r="BC48" s="160"/>
      <c r="BD48" s="161"/>
      <c r="BE48" s="161"/>
      <c r="BF48" s="161"/>
      <c r="BG48" s="160"/>
      <c r="BH48" s="161"/>
      <c r="BI48" s="161"/>
      <c r="BJ48" s="161"/>
      <c r="BK48" s="160"/>
      <c r="BL48" s="161"/>
      <c r="BM48" s="161"/>
      <c r="BN48" s="161"/>
      <c r="BO48" s="160"/>
      <c r="BP48" s="161"/>
      <c r="BQ48" s="161"/>
      <c r="BR48" s="161"/>
      <c r="BS48" s="160"/>
    </row>
    <row r="49" spans="1:71" s="164" customFormat="1" ht="10.8">
      <c r="A49" s="143" t="s">
        <v>577</v>
      </c>
      <c r="B49" s="143" t="s">
        <v>578</v>
      </c>
      <c r="C49" s="172">
        <f t="shared" ref="C49:BN49" si="8">C37+C47</f>
        <v>56616.9</v>
      </c>
      <c r="D49" s="173">
        <f t="shared" si="8"/>
        <v>53203.1</v>
      </c>
      <c r="E49" s="173">
        <f t="shared" si="8"/>
        <v>53246.6</v>
      </c>
      <c r="F49" s="173">
        <f t="shared" si="8"/>
        <v>52010.799999999996</v>
      </c>
      <c r="G49" s="172">
        <f t="shared" si="8"/>
        <v>60234.400000000009</v>
      </c>
      <c r="H49" s="173">
        <f t="shared" si="8"/>
        <v>60513.2</v>
      </c>
      <c r="I49" s="173">
        <f t="shared" si="8"/>
        <v>65262.599999999991</v>
      </c>
      <c r="J49" s="173">
        <f t="shared" si="8"/>
        <v>69610.5</v>
      </c>
      <c r="K49" s="172">
        <f t="shared" si="8"/>
        <v>68205.8</v>
      </c>
      <c r="L49" s="173">
        <f t="shared" si="8"/>
        <v>64516.5</v>
      </c>
      <c r="M49" s="173">
        <f t="shared" si="8"/>
        <v>64256.4</v>
      </c>
      <c r="N49" s="173">
        <f t="shared" si="8"/>
        <v>59883.399999999994</v>
      </c>
      <c r="O49" s="172">
        <f t="shared" si="8"/>
        <v>62099.1</v>
      </c>
      <c r="P49" s="173">
        <f t="shared" si="8"/>
        <v>61583</v>
      </c>
      <c r="Q49" s="173">
        <f t="shared" si="8"/>
        <v>62165.500000000007</v>
      </c>
      <c r="R49" s="173">
        <f t="shared" si="8"/>
        <v>64517.500000000007</v>
      </c>
      <c r="S49" s="172">
        <f t="shared" si="8"/>
        <v>65839.800000000017</v>
      </c>
      <c r="T49" s="173">
        <f t="shared" si="8"/>
        <v>67500.899999999994</v>
      </c>
      <c r="U49" s="173">
        <f t="shared" si="8"/>
        <v>73696.099999999991</v>
      </c>
      <c r="V49" s="173">
        <f t="shared" si="8"/>
        <v>69723.399999999994</v>
      </c>
      <c r="W49" s="172">
        <f t="shared" si="8"/>
        <v>72263.099999999991</v>
      </c>
      <c r="X49" s="173">
        <f t="shared" si="8"/>
        <v>70260.100000000006</v>
      </c>
      <c r="Y49" s="173">
        <f t="shared" si="8"/>
        <v>73637.8</v>
      </c>
      <c r="Z49" s="174">
        <f t="shared" si="8"/>
        <v>78266.8</v>
      </c>
      <c r="AA49" s="172">
        <f t="shared" si="8"/>
        <v>77753.799999999988</v>
      </c>
      <c r="AB49" s="173">
        <f t="shared" si="8"/>
        <v>81790.600000000006</v>
      </c>
      <c r="AC49" s="173">
        <f t="shared" si="8"/>
        <v>84639.5</v>
      </c>
      <c r="AD49" s="174">
        <f t="shared" si="8"/>
        <v>86750.599999999977</v>
      </c>
      <c r="AE49" s="172">
        <f t="shared" si="8"/>
        <v>92244.699999999983</v>
      </c>
      <c r="AF49" s="173">
        <f t="shared" si="8"/>
        <v>98261.800000000017</v>
      </c>
      <c r="AG49" s="173">
        <f t="shared" si="8"/>
        <v>96848.500000000015</v>
      </c>
      <c r="AH49" s="174">
        <f t="shared" si="8"/>
        <v>99860.7</v>
      </c>
      <c r="AI49" s="173">
        <f t="shared" si="8"/>
        <v>102568.30000000003</v>
      </c>
      <c r="AJ49" s="173">
        <f t="shared" si="8"/>
        <v>105318.9</v>
      </c>
      <c r="AK49" s="173">
        <f t="shared" si="8"/>
        <v>112180.69999999998</v>
      </c>
      <c r="AL49" s="174">
        <f t="shared" si="8"/>
        <v>108893.1</v>
      </c>
      <c r="AM49" s="173">
        <f t="shared" si="8"/>
        <v>112732.7</v>
      </c>
      <c r="AN49" s="173">
        <f t="shared" si="8"/>
        <v>115639.70000000001</v>
      </c>
      <c r="AO49" s="173">
        <f t="shared" si="8"/>
        <v>116550</v>
      </c>
      <c r="AP49" s="174">
        <f t="shared" si="8"/>
        <v>117477.69999999998</v>
      </c>
      <c r="AQ49" s="173">
        <f t="shared" si="8"/>
        <v>118850.5</v>
      </c>
      <c r="AR49" s="173">
        <f t="shared" si="8"/>
        <v>120197.6</v>
      </c>
      <c r="AS49" s="173">
        <f t="shared" si="8"/>
        <v>122290.00000000001</v>
      </c>
      <c r="AT49" s="173">
        <f t="shared" si="8"/>
        <v>125971.79999999999</v>
      </c>
      <c r="AU49" s="172">
        <f t="shared" si="8"/>
        <v>127549.1</v>
      </c>
      <c r="AV49" s="173">
        <f t="shared" si="8"/>
        <v>131042.50000000001</v>
      </c>
      <c r="AW49" s="173">
        <f t="shared" si="8"/>
        <v>134384.29999999999</v>
      </c>
      <c r="AX49" s="173">
        <f t="shared" si="8"/>
        <v>141812.9</v>
      </c>
      <c r="AY49" s="172">
        <f t="shared" si="8"/>
        <v>145717.39999999997</v>
      </c>
      <c r="AZ49" s="173">
        <f t="shared" si="8"/>
        <v>150909.09999999998</v>
      </c>
      <c r="BA49" s="173">
        <f t="shared" si="8"/>
        <v>156013.80000000005</v>
      </c>
      <c r="BB49" s="173">
        <f t="shared" si="8"/>
        <v>158610.70000000001</v>
      </c>
      <c r="BC49" s="172">
        <f t="shared" si="8"/>
        <v>171241.60000000001</v>
      </c>
      <c r="BD49" s="173">
        <f t="shared" si="8"/>
        <v>180639.3</v>
      </c>
      <c r="BE49" s="173">
        <f t="shared" si="8"/>
        <v>184859.5</v>
      </c>
      <c r="BF49" s="173">
        <f t="shared" si="8"/>
        <v>186595.7</v>
      </c>
      <c r="BG49" s="172">
        <f t="shared" si="8"/>
        <v>194821.30000000005</v>
      </c>
      <c r="BH49" s="173">
        <f t="shared" si="8"/>
        <v>197282.3</v>
      </c>
      <c r="BI49" s="173">
        <f t="shared" si="8"/>
        <v>200543.30000000002</v>
      </c>
      <c r="BJ49" s="173">
        <f t="shared" si="8"/>
        <v>201654.19999999995</v>
      </c>
      <c r="BK49" s="172">
        <f t="shared" si="8"/>
        <v>210069</v>
      </c>
      <c r="BL49" s="173">
        <f t="shared" si="8"/>
        <v>212395</v>
      </c>
      <c r="BM49" s="173">
        <f t="shared" si="8"/>
        <v>213012.19999999998</v>
      </c>
      <c r="BN49" s="173">
        <f t="shared" si="8"/>
        <v>217266.09999999995</v>
      </c>
      <c r="BO49" s="172">
        <f t="shared" ref="BO49:BP49" si="9">BO37+BO47</f>
        <v>227656.59999999998</v>
      </c>
      <c r="BP49" s="173">
        <f t="shared" si="9"/>
        <v>227735.80000000005</v>
      </c>
      <c r="BQ49" s="173">
        <f>BQ37+BQ47</f>
        <v>232840.2</v>
      </c>
      <c r="BR49" s="173">
        <f>BR37+BR47</f>
        <v>245361.4</v>
      </c>
      <c r="BS49" s="172">
        <f>BS37+BS47</f>
        <v>252720.7</v>
      </c>
    </row>
    <row r="50" spans="1:71">
      <c r="A50" s="2"/>
      <c r="B50" s="2"/>
      <c r="C50" s="431"/>
      <c r="D50" s="431"/>
      <c r="E50" s="431"/>
      <c r="F50" s="431"/>
      <c r="G50" s="431"/>
      <c r="H50" s="431"/>
      <c r="I50" s="431"/>
      <c r="J50" s="431"/>
      <c r="K50" s="431"/>
      <c r="L50" s="431"/>
      <c r="M50" s="431"/>
      <c r="N50" s="431"/>
      <c r="O50" s="431"/>
      <c r="P50" s="431"/>
      <c r="Q50" s="431"/>
      <c r="R50" s="431"/>
      <c r="S50" s="431"/>
      <c r="T50" s="431"/>
      <c r="U50" s="431"/>
      <c r="V50" s="431"/>
      <c r="W50" s="431"/>
      <c r="X50" s="431"/>
      <c r="Y50" s="431"/>
      <c r="Z50" s="431"/>
      <c r="AA50" s="431"/>
      <c r="AB50" s="431"/>
      <c r="AC50" s="431"/>
      <c r="AD50" s="431"/>
      <c r="AE50" s="431"/>
      <c r="AF50" s="431"/>
      <c r="AG50" s="431"/>
      <c r="AH50" s="431"/>
      <c r="AI50" s="431"/>
      <c r="AJ50" s="431"/>
      <c r="AK50" s="431"/>
      <c r="AL50" s="431"/>
      <c r="AM50" s="431"/>
      <c r="AN50" s="431"/>
      <c r="AO50" s="431"/>
      <c r="AP50" s="431"/>
      <c r="AQ50" s="431"/>
      <c r="AR50" s="431"/>
      <c r="AS50" s="431"/>
      <c r="AT50" s="431"/>
      <c r="AU50" s="431"/>
      <c r="AV50" s="431"/>
      <c r="AW50" s="431"/>
      <c r="AX50" s="431"/>
      <c r="AY50" s="431"/>
      <c r="AZ50" s="431"/>
      <c r="BA50" s="431"/>
      <c r="BB50" s="431"/>
      <c r="BC50" s="431"/>
      <c r="BD50" s="431"/>
      <c r="BE50" s="431"/>
      <c r="BF50" s="431"/>
      <c r="BG50" s="431"/>
      <c r="BH50" s="431"/>
      <c r="BI50" s="431"/>
      <c r="BJ50" s="431"/>
      <c r="BK50" s="431"/>
      <c r="BL50" s="431"/>
      <c r="BM50" s="431"/>
      <c r="BN50" s="431"/>
      <c r="BO50" s="431"/>
      <c r="BP50" s="431"/>
      <c r="BQ50" s="431"/>
      <c r="BR50" s="431"/>
      <c r="BS50" s="431"/>
    </row>
    <row r="51" spans="1:71" ht="13.5" hidden="1" customHeight="1">
      <c r="AA51" s="431"/>
      <c r="AB51" s="431"/>
      <c r="AC51" s="431"/>
      <c r="AD51" s="431"/>
      <c r="AE51" s="431"/>
      <c r="AF51" s="431"/>
      <c r="AG51" s="431"/>
      <c r="AH51" s="431"/>
      <c r="AI51" s="431"/>
      <c r="AJ51" s="431"/>
      <c r="AK51" s="431"/>
      <c r="AL51" s="431"/>
      <c r="AM51" s="431"/>
      <c r="AN51" s="431"/>
      <c r="AO51" s="431"/>
      <c r="AP51" s="431"/>
      <c r="AQ51" s="431"/>
      <c r="AS51" s="431"/>
      <c r="AT51" s="431"/>
      <c r="AU51" s="431"/>
      <c r="AW51" s="431"/>
      <c r="AX51" s="431"/>
      <c r="AY51" s="431"/>
      <c r="BA51" s="431"/>
      <c r="BB51" s="431"/>
      <c r="BC51" s="431"/>
      <c r="BE51" s="431"/>
      <c r="BF51" s="431"/>
      <c r="BG51" s="431"/>
      <c r="BI51" s="431"/>
      <c r="BJ51" s="431"/>
      <c r="BK51" s="431"/>
      <c r="BM51" s="431"/>
      <c r="BN51" s="431"/>
      <c r="BO51" s="431"/>
      <c r="BQ51" s="431"/>
      <c r="BR51" s="431"/>
    </row>
    <row r="52" spans="1:71">
      <c r="BQ52" s="431"/>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BD20A209-6D85-459C-91B7-919A0A514CC4}"/>
    <hyperlink ref="A1" location="'Spis tresci_Table of content'!A1" display="Go back to Table of content" xr:uid="{5961B94E-F2AD-4458-AC29-E059451C126D}"/>
    <hyperlink ref="B1" location="'Spis tresci_Table of content'!A1" display="Powrót do spisu treści" xr:uid="{0DD5BAB1-0E98-4D69-8103-C6973F6138A3}"/>
  </hyperlinks>
  <printOptions horizontalCentered="1"/>
  <pageMargins left="0.23622047244094491" right="0.23622047244094491" top="0.74803149606299213" bottom="0.74803149606299213" header="0.31496062992125984" footer="0.31496062992125984"/>
  <pageSetup paperSize="9" scale="23" orientation="landscape" r:id="rId1"/>
  <headerFooter alignWithMargins="0">
    <oddHeader xml:space="preserve">&amp;C&amp;"Times New Roman,Kursywa"&amp;12
</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32FD6-4C93-4864-AEA1-07BC37D45E11}">
  <dimension ref="A1:BV84"/>
  <sheetViews>
    <sheetView showGridLines="0" workbookViewId="0">
      <pane xSplit="41" ySplit="4" topLeftCell="BL65" activePane="bottomRight" state="frozen"/>
      <selection pane="topRight" activeCell="AP1" sqref="AP1"/>
      <selection pane="bottomLeft" activeCell="A5" sqref="A5"/>
      <selection pane="bottomRight" activeCell="BL1" sqref="BL1"/>
    </sheetView>
  </sheetViews>
  <sheetFormatPr defaultColWidth="0" defaultRowHeight="13.2" outlineLevelCol="1"/>
  <cols>
    <col min="1" max="1" width="61.6640625" style="249" customWidth="1" outlineLevel="1"/>
    <col min="2" max="2" width="54.33203125" style="249" customWidth="1"/>
    <col min="3" max="41" width="0" style="249" hidden="1" customWidth="1"/>
    <col min="42" max="74" width="8.88671875" style="249" customWidth="1"/>
    <col min="75" max="16384" width="8.88671875" style="249" hidden="1"/>
  </cols>
  <sheetData>
    <row r="1" spans="1:74" ht="13.8">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2"/>
      <c r="AC1" s="2"/>
      <c r="AD1" s="2"/>
      <c r="AE1" s="2"/>
      <c r="AF1" s="2"/>
      <c r="AG1" s="2"/>
      <c r="AH1" s="2"/>
      <c r="AI1" s="2"/>
      <c r="AJ1" s="2"/>
      <c r="AK1" s="2"/>
      <c r="AL1" s="2"/>
      <c r="AM1" s="2"/>
      <c r="AN1" s="2"/>
      <c r="AO1" s="2"/>
      <c r="AP1" s="2"/>
      <c r="AQ1" s="2"/>
      <c r="AR1" s="2"/>
      <c r="AS1" s="2"/>
      <c r="AT1" s="2"/>
      <c r="AU1" s="2"/>
      <c r="AV1" s="2"/>
      <c r="AW1" s="2"/>
      <c r="AX1" s="338"/>
      <c r="AY1" s="219"/>
      <c r="AZ1" s="2"/>
      <c r="BA1" s="2"/>
      <c r="BB1" s="2"/>
      <c r="BC1" s="2"/>
      <c r="BD1" s="2"/>
      <c r="BE1" s="2"/>
      <c r="BF1" s="2"/>
      <c r="BG1" s="2"/>
      <c r="BH1" s="2"/>
      <c r="BI1" s="2"/>
      <c r="BJ1" s="2"/>
      <c r="BK1" s="2"/>
      <c r="BL1" s="2"/>
      <c r="BM1" s="2"/>
      <c r="BN1" s="2"/>
      <c r="BO1" s="2"/>
      <c r="BP1" s="2"/>
      <c r="BQ1" s="2"/>
      <c r="BR1" s="2"/>
    </row>
    <row r="2" spans="1:74" ht="14.4">
      <c r="A2" s="152" t="s">
        <v>4</v>
      </c>
      <c r="B2" s="152" t="s">
        <v>5</v>
      </c>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8"/>
      <c r="AY2" s="219" t="s">
        <v>295</v>
      </c>
      <c r="AZ2" s="150"/>
      <c r="BA2" s="150"/>
      <c r="BB2" s="150"/>
      <c r="BC2" s="339"/>
      <c r="BD2" s="339"/>
      <c r="BE2" s="339"/>
      <c r="BF2" s="339"/>
      <c r="BG2" s="339"/>
      <c r="BH2" s="339"/>
      <c r="BI2" s="339"/>
      <c r="BJ2" s="339"/>
      <c r="BK2" s="339"/>
      <c r="BL2" s="339"/>
      <c r="BM2" s="339"/>
      <c r="BN2" s="339"/>
      <c r="BO2" s="339"/>
      <c r="BP2" s="339"/>
      <c r="BQ2" s="339"/>
      <c r="BR2" s="339"/>
    </row>
    <row r="3" spans="1:74" ht="13.8">
      <c r="A3" s="567" t="s">
        <v>445</v>
      </c>
      <c r="B3" s="567" t="s">
        <v>118</v>
      </c>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c r="AH3" s="340"/>
      <c r="AI3" s="340"/>
      <c r="AJ3" s="340"/>
      <c r="AK3" s="340"/>
      <c r="AL3" s="340"/>
      <c r="AM3" s="340"/>
      <c r="AN3" s="340"/>
      <c r="AO3" s="340"/>
      <c r="AP3" s="341">
        <v>2016</v>
      </c>
      <c r="AQ3" s="568">
        <v>2017</v>
      </c>
      <c r="AR3" s="568"/>
      <c r="AS3" s="568"/>
      <c r="AT3" s="568"/>
      <c r="AU3" s="569">
        <v>2018</v>
      </c>
      <c r="AV3" s="570"/>
      <c r="AW3" s="570"/>
      <c r="AX3" s="571"/>
      <c r="AY3" s="570">
        <v>2019</v>
      </c>
      <c r="AZ3" s="570"/>
      <c r="BA3" s="570"/>
      <c r="BB3" s="572"/>
      <c r="BC3" s="564">
        <v>2020</v>
      </c>
      <c r="BD3" s="565"/>
      <c r="BE3" s="565"/>
      <c r="BF3" s="573"/>
      <c r="BG3" s="564">
        <v>2021</v>
      </c>
      <c r="BH3" s="565"/>
      <c r="BI3" s="565"/>
      <c r="BJ3" s="573"/>
      <c r="BK3" s="564">
        <v>2022</v>
      </c>
      <c r="BL3" s="565"/>
      <c r="BM3" s="565"/>
      <c r="BN3" s="573"/>
      <c r="BO3" s="564">
        <v>2023</v>
      </c>
      <c r="BP3" s="565"/>
      <c r="BQ3" s="565"/>
      <c r="BR3" s="573"/>
      <c r="BS3" s="564">
        <v>2024</v>
      </c>
      <c r="BT3" s="565"/>
      <c r="BU3" s="565"/>
      <c r="BV3" s="573"/>
    </row>
    <row r="4" spans="1:74" ht="13.8">
      <c r="A4" s="567"/>
      <c r="B4" s="567"/>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0"/>
      <c r="AM4" s="340"/>
      <c r="AN4" s="340"/>
      <c r="AO4" s="340"/>
      <c r="AP4" s="342" t="s">
        <v>11</v>
      </c>
      <c r="AQ4" s="343" t="s">
        <v>8</v>
      </c>
      <c r="AR4" s="343" t="s">
        <v>9</v>
      </c>
      <c r="AS4" s="343" t="s">
        <v>10</v>
      </c>
      <c r="AT4" s="343" t="s">
        <v>11</v>
      </c>
      <c r="AU4" s="344" t="s">
        <v>8</v>
      </c>
      <c r="AV4" s="343" t="s">
        <v>9</v>
      </c>
      <c r="AW4" s="343" t="s">
        <v>10</v>
      </c>
      <c r="AX4" s="345" t="s">
        <v>11</v>
      </c>
      <c r="AY4" s="346" t="s">
        <v>8</v>
      </c>
      <c r="AZ4" s="343" t="s">
        <v>9</v>
      </c>
      <c r="BA4" s="343" t="s">
        <v>10</v>
      </c>
      <c r="BB4" s="343" t="s">
        <v>11</v>
      </c>
      <c r="BC4" s="344" t="s">
        <v>8</v>
      </c>
      <c r="BD4" s="343" t="s">
        <v>9</v>
      </c>
      <c r="BE4" s="343" t="s">
        <v>10</v>
      </c>
      <c r="BF4" s="343" t="s">
        <v>11</v>
      </c>
      <c r="BG4" s="344" t="s">
        <v>8</v>
      </c>
      <c r="BH4" s="343" t="s">
        <v>9</v>
      </c>
      <c r="BI4" s="343" t="s">
        <v>10</v>
      </c>
      <c r="BJ4" s="343" t="s">
        <v>11</v>
      </c>
      <c r="BK4" s="344" t="s">
        <v>8</v>
      </c>
      <c r="BL4" s="343" t="s">
        <v>9</v>
      </c>
      <c r="BM4" s="343" t="s">
        <v>10</v>
      </c>
      <c r="BN4" s="343" t="s">
        <v>11</v>
      </c>
      <c r="BO4" s="344" t="s">
        <v>8</v>
      </c>
      <c r="BP4" s="343" t="s">
        <v>9</v>
      </c>
      <c r="BQ4" s="343" t="s">
        <v>10</v>
      </c>
      <c r="BR4" s="343" t="s">
        <v>11</v>
      </c>
      <c r="BS4" s="344" t="s">
        <v>8</v>
      </c>
      <c r="BT4" s="343" t="s">
        <v>9</v>
      </c>
      <c r="BU4" s="343" t="s">
        <v>10</v>
      </c>
      <c r="BV4" s="343" t="s">
        <v>11</v>
      </c>
    </row>
    <row r="5" spans="1:74" ht="21.6">
      <c r="A5" s="347" t="s">
        <v>12</v>
      </c>
      <c r="B5" s="348" t="s">
        <v>13</v>
      </c>
      <c r="C5" s="349"/>
      <c r="D5" s="347"/>
      <c r="E5" s="347"/>
      <c r="F5" s="347"/>
      <c r="G5" s="347"/>
      <c r="H5" s="347"/>
      <c r="I5" s="347"/>
      <c r="J5" s="347"/>
      <c r="K5" s="347"/>
      <c r="L5" s="347"/>
      <c r="M5" s="347"/>
      <c r="N5" s="347"/>
      <c r="O5" s="347"/>
      <c r="P5" s="347"/>
      <c r="Q5" s="347"/>
      <c r="R5" s="347"/>
      <c r="S5" s="347"/>
      <c r="T5" s="347"/>
      <c r="U5" s="347"/>
      <c r="V5" s="347"/>
      <c r="W5" s="347"/>
      <c r="X5" s="347"/>
      <c r="Y5" s="347"/>
      <c r="Z5" s="347"/>
      <c r="AA5" s="347"/>
      <c r="AB5" s="347"/>
      <c r="AC5" s="347"/>
      <c r="AD5" s="347"/>
      <c r="AE5" s="347"/>
      <c r="AF5" s="347"/>
      <c r="AG5" s="347"/>
      <c r="AH5" s="347"/>
      <c r="AI5" s="347"/>
      <c r="AJ5" s="347"/>
      <c r="AK5" s="347"/>
      <c r="AL5" s="347"/>
      <c r="AM5" s="347"/>
      <c r="AN5" s="347"/>
      <c r="AO5" s="347"/>
      <c r="AP5" s="350" t="s">
        <v>446</v>
      </c>
      <c r="AQ5" s="351" t="s">
        <v>446</v>
      </c>
      <c r="AR5" s="351" t="s">
        <v>446</v>
      </c>
      <c r="AS5" s="351" t="s">
        <v>446</v>
      </c>
      <c r="AT5" s="351" t="s">
        <v>446</v>
      </c>
      <c r="AU5" s="352" t="s">
        <v>447</v>
      </c>
      <c r="AV5" s="351" t="s">
        <v>447</v>
      </c>
      <c r="AW5" s="351" t="s">
        <v>447</v>
      </c>
      <c r="AX5" s="353" t="s">
        <v>447</v>
      </c>
      <c r="AY5" s="354" t="s">
        <v>447</v>
      </c>
      <c r="AZ5" s="351" t="s">
        <v>447</v>
      </c>
      <c r="BA5" s="351" t="s">
        <v>447</v>
      </c>
      <c r="BB5" s="351" t="s">
        <v>447</v>
      </c>
      <c r="BC5" s="352" t="s">
        <v>447</v>
      </c>
      <c r="BD5" s="351" t="s">
        <v>447</v>
      </c>
      <c r="BE5" s="351" t="s">
        <v>447</v>
      </c>
      <c r="BF5" s="351" t="s">
        <v>447</v>
      </c>
      <c r="BG5" s="352" t="s">
        <v>447</v>
      </c>
      <c r="BH5" s="351" t="s">
        <v>447</v>
      </c>
      <c r="BI5" s="351" t="s">
        <v>447</v>
      </c>
      <c r="BJ5" s="351" t="s">
        <v>447</v>
      </c>
      <c r="BK5" s="352" t="s">
        <v>447</v>
      </c>
      <c r="BL5" s="351" t="s">
        <v>447</v>
      </c>
      <c r="BM5" s="351" t="s">
        <v>447</v>
      </c>
      <c r="BN5" s="351" t="s">
        <v>447</v>
      </c>
      <c r="BO5" s="352" t="s">
        <v>447</v>
      </c>
      <c r="BP5" s="351" t="s">
        <v>447</v>
      </c>
      <c r="BQ5" s="351" t="s">
        <v>447</v>
      </c>
      <c r="BR5" s="351" t="s">
        <v>447</v>
      </c>
      <c r="BS5" s="352" t="s">
        <v>447</v>
      </c>
    </row>
    <row r="6" spans="1:74">
      <c r="A6" s="355" t="s">
        <v>448</v>
      </c>
      <c r="B6" s="356" t="s">
        <v>449</v>
      </c>
      <c r="C6" s="357"/>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358"/>
      <c r="AH6" s="358"/>
      <c r="AI6" s="358"/>
      <c r="AJ6" s="358"/>
      <c r="AK6" s="358"/>
      <c r="AL6" s="358"/>
      <c r="AM6" s="358"/>
      <c r="AN6" s="358"/>
      <c r="AO6" s="358"/>
      <c r="AP6" s="359">
        <f t="shared" ref="AP6:BP6" si="0">AP61</f>
        <v>81979.5</v>
      </c>
      <c r="AQ6" s="360">
        <f t="shared" si="0"/>
        <v>84399.5</v>
      </c>
      <c r="AR6" s="360">
        <f t="shared" si="0"/>
        <v>86922.299999999988</v>
      </c>
      <c r="AS6" s="360">
        <f t="shared" si="0"/>
        <v>90106.999999999985</v>
      </c>
      <c r="AT6" s="360">
        <f t="shared" si="0"/>
        <v>87274.6</v>
      </c>
      <c r="AU6" s="361">
        <f t="shared" si="0"/>
        <v>90028.2</v>
      </c>
      <c r="AV6" s="360">
        <f t="shared" si="0"/>
        <v>94475.3</v>
      </c>
      <c r="AW6" s="360">
        <f t="shared" si="0"/>
        <v>98986</v>
      </c>
      <c r="AX6" s="362">
        <f t="shared" si="0"/>
        <v>102907.40000000001</v>
      </c>
      <c r="AY6" s="363">
        <f t="shared" si="0"/>
        <v>107181.3</v>
      </c>
      <c r="AZ6" s="360">
        <f t="shared" si="0"/>
        <v>110316.40000000001</v>
      </c>
      <c r="BA6" s="360">
        <f t="shared" si="0"/>
        <v>115551</v>
      </c>
      <c r="BB6" s="360">
        <f t="shared" si="0"/>
        <v>118127.79999999999</v>
      </c>
      <c r="BC6" s="361">
        <f t="shared" si="0"/>
        <v>123459.7</v>
      </c>
      <c r="BD6" s="360">
        <f t="shared" si="0"/>
        <v>120598.09999999998</v>
      </c>
      <c r="BE6" s="360">
        <f t="shared" si="0"/>
        <v>122382</v>
      </c>
      <c r="BF6" s="360">
        <f t="shared" si="0"/>
        <v>124655.29999999999</v>
      </c>
      <c r="BG6" s="361">
        <f t="shared" si="0"/>
        <v>129453.19999999998</v>
      </c>
      <c r="BH6" s="360">
        <f t="shared" si="0"/>
        <v>133768.80000000002</v>
      </c>
      <c r="BI6" s="360">
        <f t="shared" si="0"/>
        <v>141168.59999999998</v>
      </c>
      <c r="BJ6" s="360">
        <f t="shared" si="0"/>
        <v>146536</v>
      </c>
      <c r="BK6" s="361">
        <f t="shared" si="0"/>
        <v>149709.69999999998</v>
      </c>
      <c r="BL6" s="360">
        <f t="shared" si="0"/>
        <v>152117.69999999998</v>
      </c>
      <c r="BM6" s="360">
        <f t="shared" si="0"/>
        <v>154350.20000000001</v>
      </c>
      <c r="BN6" s="360">
        <f t="shared" si="0"/>
        <v>154974.6</v>
      </c>
      <c r="BO6" s="361">
        <f t="shared" si="0"/>
        <v>156050.9</v>
      </c>
      <c r="BP6" s="360">
        <f t="shared" si="0"/>
        <v>156213.4</v>
      </c>
      <c r="BQ6" s="360">
        <f>BQ61</f>
        <v>158085.69999999998</v>
      </c>
      <c r="BR6" s="360">
        <f>BR61</f>
        <v>156520.69999999998</v>
      </c>
      <c r="BS6" s="361">
        <f>BS61</f>
        <v>158425.49999999997</v>
      </c>
    </row>
    <row r="7" spans="1:74">
      <c r="A7" s="355" t="s">
        <v>450</v>
      </c>
      <c r="B7" s="356" t="s">
        <v>451</v>
      </c>
      <c r="C7" s="357"/>
      <c r="D7" s="358"/>
      <c r="E7" s="358"/>
      <c r="F7" s="358"/>
      <c r="G7" s="358"/>
      <c r="H7" s="358"/>
      <c r="I7" s="358"/>
      <c r="J7" s="358"/>
      <c r="K7" s="358"/>
      <c r="L7" s="358"/>
      <c r="M7" s="358"/>
      <c r="N7" s="358"/>
      <c r="O7" s="358"/>
      <c r="P7" s="358"/>
      <c r="Q7" s="358"/>
      <c r="R7" s="358"/>
      <c r="S7" s="358"/>
      <c r="T7" s="358"/>
      <c r="U7" s="358"/>
      <c r="V7" s="358"/>
      <c r="W7" s="358"/>
      <c r="X7" s="358"/>
      <c r="Y7" s="358"/>
      <c r="Z7" s="358"/>
      <c r="AA7" s="358"/>
      <c r="AB7" s="358"/>
      <c r="AC7" s="358"/>
      <c r="AD7" s="358"/>
      <c r="AE7" s="358"/>
      <c r="AF7" s="358"/>
      <c r="AG7" s="358"/>
      <c r="AH7" s="358"/>
      <c r="AI7" s="358"/>
      <c r="AJ7" s="358"/>
      <c r="AK7" s="358"/>
      <c r="AL7" s="358"/>
      <c r="AM7" s="358"/>
      <c r="AN7" s="358"/>
      <c r="AO7" s="358"/>
      <c r="AP7" s="817" t="s">
        <v>28</v>
      </c>
      <c r="AQ7" s="818" t="s">
        <v>28</v>
      </c>
      <c r="AR7" s="818" t="s">
        <v>28</v>
      </c>
      <c r="AS7" s="818" t="s">
        <v>28</v>
      </c>
      <c r="AT7" s="818" t="s">
        <v>28</v>
      </c>
      <c r="AU7" s="819">
        <v>262.3</v>
      </c>
      <c r="AV7" s="818">
        <v>249</v>
      </c>
      <c r="AW7" s="818">
        <v>237.8</v>
      </c>
      <c r="AX7" s="820">
        <v>218.4</v>
      </c>
      <c r="AY7" s="821">
        <v>206.1</v>
      </c>
      <c r="AZ7" s="818">
        <v>193.5</v>
      </c>
      <c r="BA7" s="818">
        <v>177.9</v>
      </c>
      <c r="BB7" s="818">
        <v>160.30000000000001</v>
      </c>
      <c r="BC7" s="819">
        <v>148.69999999999999</v>
      </c>
      <c r="BD7" s="818">
        <v>233.4</v>
      </c>
      <c r="BE7" s="818">
        <v>219.8</v>
      </c>
      <c r="BF7" s="818">
        <v>106.2</v>
      </c>
      <c r="BG7" s="819">
        <v>100.2</v>
      </c>
      <c r="BH7" s="818">
        <v>94.3</v>
      </c>
      <c r="BI7" s="818">
        <v>87.5</v>
      </c>
      <c r="BJ7" s="818">
        <v>78.400000000000006</v>
      </c>
      <c r="BK7" s="819">
        <v>72.900000000000006</v>
      </c>
      <c r="BL7" s="818">
        <v>63.2</v>
      </c>
      <c r="BM7" s="818">
        <v>60.4</v>
      </c>
      <c r="BN7" s="818">
        <v>54.6</v>
      </c>
      <c r="BO7" s="819">
        <v>50.2</v>
      </c>
      <c r="BP7" s="818">
        <v>42.3</v>
      </c>
      <c r="BQ7" s="818">
        <v>40.700000000000003</v>
      </c>
      <c r="BR7" s="818">
        <v>38.6</v>
      </c>
      <c r="BS7" s="819">
        <v>27.1</v>
      </c>
      <c r="BT7" s="822"/>
    </row>
    <row r="8" spans="1:74">
      <c r="A8" s="364" t="s">
        <v>184</v>
      </c>
      <c r="B8" s="365" t="s">
        <v>185</v>
      </c>
      <c r="C8" s="366"/>
      <c r="D8" s="364"/>
      <c r="E8" s="364"/>
      <c r="F8" s="364"/>
      <c r="G8" s="364"/>
      <c r="H8" s="364"/>
      <c r="I8" s="364"/>
      <c r="J8" s="364"/>
      <c r="K8" s="364"/>
      <c r="L8" s="364"/>
      <c r="M8" s="364"/>
      <c r="N8" s="364"/>
      <c r="O8" s="364"/>
      <c r="P8" s="364"/>
      <c r="Q8" s="364"/>
      <c r="R8" s="364"/>
      <c r="S8" s="364"/>
      <c r="T8" s="364"/>
      <c r="U8" s="364"/>
      <c r="V8" s="364"/>
      <c r="W8" s="364"/>
      <c r="X8" s="364"/>
      <c r="Y8" s="364"/>
      <c r="Z8" s="364"/>
      <c r="AA8" s="364"/>
      <c r="AB8" s="364"/>
      <c r="AC8" s="364"/>
      <c r="AD8" s="364"/>
      <c r="AE8" s="364"/>
      <c r="AF8" s="364"/>
      <c r="AG8" s="364"/>
      <c r="AH8" s="364"/>
      <c r="AI8" s="364"/>
      <c r="AJ8" s="364"/>
      <c r="AK8" s="364"/>
      <c r="AL8" s="364"/>
      <c r="AM8" s="364"/>
      <c r="AN8" s="364"/>
      <c r="AO8" s="364"/>
      <c r="AP8" s="367">
        <f>SUM(AP6:AP7)</f>
        <v>81979.5</v>
      </c>
      <c r="AQ8" s="368">
        <f t="shared" ref="AQ8:BQ8" si="1">SUM(AQ6:AQ7)</f>
        <v>84399.5</v>
      </c>
      <c r="AR8" s="368">
        <f t="shared" si="1"/>
        <v>86922.299999999988</v>
      </c>
      <c r="AS8" s="368">
        <f t="shared" si="1"/>
        <v>90106.999999999985</v>
      </c>
      <c r="AT8" s="368">
        <f t="shared" si="1"/>
        <v>87274.6</v>
      </c>
      <c r="AU8" s="369">
        <f t="shared" si="1"/>
        <v>90290.5</v>
      </c>
      <c r="AV8" s="368">
        <f t="shared" si="1"/>
        <v>94724.3</v>
      </c>
      <c r="AW8" s="368">
        <f t="shared" si="1"/>
        <v>99223.8</v>
      </c>
      <c r="AX8" s="370">
        <f t="shared" si="1"/>
        <v>103125.8</v>
      </c>
      <c r="AY8" s="371">
        <f t="shared" si="1"/>
        <v>107387.40000000001</v>
      </c>
      <c r="AZ8" s="368">
        <f t="shared" si="1"/>
        <v>110509.90000000001</v>
      </c>
      <c r="BA8" s="368">
        <f t="shared" si="1"/>
        <v>115728.9</v>
      </c>
      <c r="BB8" s="368">
        <f t="shared" si="1"/>
        <v>118288.09999999999</v>
      </c>
      <c r="BC8" s="369">
        <f t="shared" si="1"/>
        <v>123608.4</v>
      </c>
      <c r="BD8" s="368">
        <f t="shared" si="1"/>
        <v>120831.49999999997</v>
      </c>
      <c r="BE8" s="368">
        <f t="shared" si="1"/>
        <v>122601.8</v>
      </c>
      <c r="BF8" s="368">
        <f t="shared" si="1"/>
        <v>124761.49999999999</v>
      </c>
      <c r="BG8" s="369">
        <f t="shared" si="1"/>
        <v>129553.39999999998</v>
      </c>
      <c r="BH8" s="368">
        <f t="shared" si="1"/>
        <v>133863.1</v>
      </c>
      <c r="BI8" s="368">
        <f t="shared" si="1"/>
        <v>141256.09999999998</v>
      </c>
      <c r="BJ8" s="368">
        <f t="shared" si="1"/>
        <v>146614.39999999999</v>
      </c>
      <c r="BK8" s="369">
        <f t="shared" si="1"/>
        <v>149782.59999999998</v>
      </c>
      <c r="BL8" s="368">
        <f t="shared" si="1"/>
        <v>152180.9</v>
      </c>
      <c r="BM8" s="368">
        <f t="shared" si="1"/>
        <v>154410.6</v>
      </c>
      <c r="BN8" s="368">
        <f t="shared" si="1"/>
        <v>155029.20000000001</v>
      </c>
      <c r="BO8" s="369">
        <f t="shared" si="1"/>
        <v>156101.1</v>
      </c>
      <c r="BP8" s="368">
        <f t="shared" si="1"/>
        <v>156255.69999999998</v>
      </c>
      <c r="BQ8" s="368">
        <f t="shared" si="1"/>
        <v>158126.39999999999</v>
      </c>
      <c r="BR8" s="368">
        <f>SUM(BR6:BR7)</f>
        <v>156559.29999999999</v>
      </c>
      <c r="BS8" s="369">
        <f>SUM(BS6:BS7)</f>
        <v>158452.59999999998</v>
      </c>
    </row>
    <row r="9" spans="1:74">
      <c r="A9" s="372"/>
      <c r="B9" s="372"/>
      <c r="C9" s="372"/>
      <c r="D9" s="372"/>
      <c r="E9" s="372"/>
      <c r="F9" s="372"/>
      <c r="G9" s="372"/>
      <c r="H9" s="372"/>
      <c r="I9" s="372"/>
      <c r="J9" s="372"/>
      <c r="K9" s="372"/>
      <c r="L9" s="372"/>
      <c r="M9" s="372"/>
      <c r="N9" s="372"/>
      <c r="O9" s="372"/>
      <c r="P9" s="372"/>
      <c r="Q9" s="372"/>
      <c r="R9" s="372"/>
      <c r="S9" s="372"/>
      <c r="T9" s="372"/>
      <c r="U9" s="372"/>
      <c r="V9" s="372"/>
      <c r="W9" s="372"/>
      <c r="X9" s="372"/>
      <c r="Y9" s="372"/>
      <c r="Z9" s="372"/>
      <c r="AA9" s="372"/>
      <c r="AB9" s="372"/>
      <c r="AC9" s="372"/>
      <c r="AD9" s="372"/>
      <c r="AE9" s="372"/>
      <c r="AF9" s="372"/>
      <c r="AG9" s="372"/>
      <c r="AH9" s="372"/>
      <c r="AI9" s="372"/>
      <c r="AJ9" s="372"/>
      <c r="AK9" s="372"/>
      <c r="AL9" s="372"/>
      <c r="AM9" s="372"/>
      <c r="AN9" s="372"/>
      <c r="AO9" s="372"/>
      <c r="AP9" s="372"/>
      <c r="AQ9" s="372"/>
      <c r="AR9" s="372"/>
      <c r="AS9" s="372"/>
      <c r="AT9" s="372"/>
      <c r="AU9" s="373"/>
      <c r="AV9" s="372"/>
      <c r="AW9" s="372"/>
      <c r="AX9" s="374"/>
      <c r="AY9" s="375"/>
      <c r="AZ9" s="372"/>
      <c r="BA9" s="372"/>
      <c r="BB9" s="372"/>
      <c r="BC9" s="373"/>
      <c r="BD9" s="372"/>
      <c r="BE9" s="372"/>
      <c r="BF9" s="372"/>
      <c r="BG9" s="373"/>
      <c r="BH9" s="372"/>
      <c r="BI9" s="372"/>
      <c r="BJ9" s="372"/>
      <c r="BK9" s="373"/>
      <c r="BL9" s="372"/>
      <c r="BM9" s="372"/>
      <c r="BN9" s="372"/>
      <c r="BO9" s="373"/>
      <c r="BP9" s="372"/>
      <c r="BQ9" s="372"/>
      <c r="BR9" s="372"/>
      <c r="BS9" s="376"/>
    </row>
    <row r="10" spans="1:74" ht="13.8">
      <c r="A10" s="574" t="s">
        <v>452</v>
      </c>
      <c r="B10" s="575" t="s">
        <v>453</v>
      </c>
      <c r="C10" s="377"/>
      <c r="D10" s="378"/>
      <c r="E10" s="378"/>
      <c r="F10" s="378"/>
      <c r="G10" s="378"/>
      <c r="H10" s="378"/>
      <c r="I10" s="378"/>
      <c r="J10" s="378"/>
      <c r="K10" s="378"/>
      <c r="L10" s="378"/>
      <c r="M10" s="378"/>
      <c r="N10" s="378"/>
      <c r="O10" s="378"/>
      <c r="P10" s="378"/>
      <c r="Q10" s="378"/>
      <c r="R10" s="378"/>
      <c r="S10" s="378"/>
      <c r="T10" s="378"/>
      <c r="U10" s="378"/>
      <c r="V10" s="378"/>
      <c r="W10" s="378"/>
      <c r="X10" s="378"/>
      <c r="Y10" s="378"/>
      <c r="Z10" s="378"/>
      <c r="AA10" s="378"/>
      <c r="AB10" s="378"/>
      <c r="AC10" s="378"/>
      <c r="AD10" s="378"/>
      <c r="AE10" s="378"/>
      <c r="AF10" s="378"/>
      <c r="AG10" s="378"/>
      <c r="AH10" s="378"/>
      <c r="AI10" s="378"/>
      <c r="AJ10" s="378"/>
      <c r="AK10" s="378"/>
      <c r="AL10" s="378"/>
      <c r="AM10" s="378"/>
      <c r="AN10" s="378"/>
      <c r="AO10" s="378"/>
      <c r="AP10" s="341">
        <v>2016</v>
      </c>
      <c r="AQ10" s="568">
        <v>2017</v>
      </c>
      <c r="AR10" s="568"/>
      <c r="AS10" s="568"/>
      <c r="AT10" s="568"/>
      <c r="AU10" s="569">
        <v>2018</v>
      </c>
      <c r="AV10" s="570"/>
      <c r="AW10" s="570"/>
      <c r="AX10" s="571"/>
      <c r="AY10" s="570">
        <v>2019</v>
      </c>
      <c r="AZ10" s="570"/>
      <c r="BA10" s="570"/>
      <c r="BB10" s="572"/>
      <c r="BC10" s="564">
        <v>2020</v>
      </c>
      <c r="BD10" s="565"/>
      <c r="BE10" s="565"/>
      <c r="BF10" s="566"/>
      <c r="BG10" s="564">
        <v>2021</v>
      </c>
      <c r="BH10" s="565"/>
      <c r="BI10" s="565"/>
      <c r="BJ10" s="566"/>
      <c r="BK10" s="564">
        <v>2022</v>
      </c>
      <c r="BL10" s="565"/>
      <c r="BM10" s="565"/>
      <c r="BN10" s="566"/>
      <c r="BO10" s="564">
        <v>2023</v>
      </c>
      <c r="BP10" s="565"/>
      <c r="BQ10" s="565"/>
      <c r="BR10" s="565"/>
      <c r="BS10" s="564">
        <v>2024</v>
      </c>
      <c r="BT10" s="565"/>
      <c r="BU10" s="565"/>
      <c r="BV10" s="573"/>
    </row>
    <row r="11" spans="1:74" ht="13.8">
      <c r="A11" s="574"/>
      <c r="B11" s="575"/>
      <c r="C11" s="377"/>
      <c r="D11" s="378"/>
      <c r="E11" s="378"/>
      <c r="F11" s="378"/>
      <c r="G11" s="378"/>
      <c r="H11" s="378"/>
      <c r="I11" s="378"/>
      <c r="J11" s="378"/>
      <c r="K11" s="378"/>
      <c r="L11" s="378"/>
      <c r="M11" s="378"/>
      <c r="N11" s="378"/>
      <c r="O11" s="378"/>
      <c r="P11" s="378"/>
      <c r="Q11" s="378"/>
      <c r="R11" s="378"/>
      <c r="S11" s="378"/>
      <c r="T11" s="378"/>
      <c r="U11" s="378"/>
      <c r="V11" s="378"/>
      <c r="W11" s="378"/>
      <c r="X11" s="378"/>
      <c r="Y11" s="378"/>
      <c r="Z11" s="378"/>
      <c r="AA11" s="378"/>
      <c r="AB11" s="378"/>
      <c r="AC11" s="378"/>
      <c r="AD11" s="378"/>
      <c r="AE11" s="378"/>
      <c r="AF11" s="378"/>
      <c r="AG11" s="378"/>
      <c r="AH11" s="378"/>
      <c r="AI11" s="378"/>
      <c r="AJ11" s="378"/>
      <c r="AK11" s="378"/>
      <c r="AL11" s="378"/>
      <c r="AM11" s="378"/>
      <c r="AN11" s="378"/>
      <c r="AO11" s="378"/>
      <c r="AP11" s="342" t="s">
        <v>11</v>
      </c>
      <c r="AQ11" s="343" t="s">
        <v>8</v>
      </c>
      <c r="AR11" s="343" t="s">
        <v>9</v>
      </c>
      <c r="AS11" s="343" t="s">
        <v>10</v>
      </c>
      <c r="AT11" s="343" t="s">
        <v>11</v>
      </c>
      <c r="AU11" s="344" t="s">
        <v>8</v>
      </c>
      <c r="AV11" s="343" t="s">
        <v>9</v>
      </c>
      <c r="AW11" s="343" t="s">
        <v>10</v>
      </c>
      <c r="AX11" s="345" t="s">
        <v>11</v>
      </c>
      <c r="AY11" s="346" t="s">
        <v>8</v>
      </c>
      <c r="AZ11" s="343" t="s">
        <v>9</v>
      </c>
      <c r="BA11" s="343" t="s">
        <v>10</v>
      </c>
      <c r="BB11" s="343" t="s">
        <v>11</v>
      </c>
      <c r="BC11" s="344" t="s">
        <v>8</v>
      </c>
      <c r="BD11" s="343" t="s">
        <v>9</v>
      </c>
      <c r="BE11" s="343" t="s">
        <v>10</v>
      </c>
      <c r="BF11" s="343" t="s">
        <v>11</v>
      </c>
      <c r="BG11" s="344" t="s">
        <v>8</v>
      </c>
      <c r="BH11" s="343" t="s">
        <v>9</v>
      </c>
      <c r="BI11" s="343" t="s">
        <v>10</v>
      </c>
      <c r="BJ11" s="343" t="s">
        <v>11</v>
      </c>
      <c r="BK11" s="344" t="s">
        <v>8</v>
      </c>
      <c r="BL11" s="343" t="s">
        <v>9</v>
      </c>
      <c r="BM11" s="343" t="s">
        <v>10</v>
      </c>
      <c r="BN11" s="343" t="s">
        <v>11</v>
      </c>
      <c r="BO11" s="344" t="s">
        <v>8</v>
      </c>
      <c r="BP11" s="343" t="s">
        <v>9</v>
      </c>
      <c r="BQ11" s="343" t="s">
        <v>10</v>
      </c>
      <c r="BR11" s="343" t="s">
        <v>11</v>
      </c>
      <c r="BS11" s="344" t="s">
        <v>8</v>
      </c>
      <c r="BT11" s="343" t="s">
        <v>9</v>
      </c>
      <c r="BU11" s="343" t="s">
        <v>10</v>
      </c>
      <c r="BV11" s="343" t="s">
        <v>11</v>
      </c>
    </row>
    <row r="12" spans="1:74">
      <c r="A12" s="379"/>
      <c r="B12" s="380"/>
      <c r="C12" s="381"/>
      <c r="D12" s="379"/>
      <c r="E12" s="379"/>
      <c r="F12" s="379"/>
      <c r="G12" s="379"/>
      <c r="H12" s="379"/>
      <c r="I12" s="379"/>
      <c r="J12" s="379"/>
      <c r="K12" s="379"/>
      <c r="L12" s="379"/>
      <c r="M12" s="379"/>
      <c r="N12" s="379"/>
      <c r="O12" s="379"/>
      <c r="P12" s="379"/>
      <c r="Q12" s="379"/>
      <c r="R12" s="379"/>
      <c r="S12" s="379"/>
      <c r="T12" s="379"/>
      <c r="U12" s="379"/>
      <c r="V12" s="379"/>
      <c r="W12" s="379"/>
      <c r="X12" s="379"/>
      <c r="Y12" s="379"/>
      <c r="Z12" s="379"/>
      <c r="AA12" s="379"/>
      <c r="AB12" s="379"/>
      <c r="AC12" s="379"/>
      <c r="AD12" s="379"/>
      <c r="AE12" s="379"/>
      <c r="AF12" s="379"/>
      <c r="AG12" s="379"/>
      <c r="AH12" s="379"/>
      <c r="AI12" s="379"/>
      <c r="AJ12" s="379"/>
      <c r="AK12" s="379"/>
      <c r="AL12" s="379"/>
      <c r="AM12" s="379"/>
      <c r="AN12" s="379"/>
      <c r="AO12" s="379"/>
      <c r="AP12" s="382"/>
      <c r="AQ12" s="383"/>
      <c r="AR12" s="383"/>
      <c r="AS12" s="383"/>
      <c r="AT12" s="383"/>
      <c r="AU12" s="384"/>
      <c r="AV12" s="383"/>
      <c r="AW12" s="383"/>
      <c r="AX12" s="385"/>
      <c r="AY12" s="386"/>
      <c r="AZ12" s="383"/>
      <c r="BA12" s="383"/>
      <c r="BB12" s="383"/>
      <c r="BC12" s="384"/>
      <c r="BD12" s="383"/>
      <c r="BE12" s="383"/>
      <c r="BF12" s="383"/>
      <c r="BG12" s="384"/>
      <c r="BH12" s="383"/>
      <c r="BI12" s="383"/>
      <c r="BJ12" s="383"/>
      <c r="BK12" s="384"/>
      <c r="BL12" s="383"/>
      <c r="BM12" s="383"/>
      <c r="BN12" s="383"/>
      <c r="BO12" s="384"/>
      <c r="BP12" s="383"/>
      <c r="BQ12" s="383"/>
      <c r="BR12" s="383"/>
      <c r="BS12" s="376"/>
    </row>
    <row r="13" spans="1:74" ht="21.6">
      <c r="A13" s="387" t="s">
        <v>454</v>
      </c>
      <c r="B13" s="388" t="s">
        <v>455</v>
      </c>
      <c r="C13" s="389"/>
      <c r="D13" s="387"/>
      <c r="E13" s="387"/>
      <c r="F13" s="387"/>
      <c r="G13" s="387"/>
      <c r="H13" s="387"/>
      <c r="I13" s="387"/>
      <c r="J13" s="387"/>
      <c r="K13" s="387"/>
      <c r="L13" s="387"/>
      <c r="M13" s="387"/>
      <c r="N13" s="387"/>
      <c r="O13" s="387"/>
      <c r="P13" s="387"/>
      <c r="Q13" s="387"/>
      <c r="R13" s="387"/>
      <c r="S13" s="387"/>
      <c r="T13" s="387"/>
      <c r="U13" s="387"/>
      <c r="V13" s="387"/>
      <c r="W13" s="387"/>
      <c r="X13" s="387"/>
      <c r="Y13" s="387"/>
      <c r="Z13" s="387"/>
      <c r="AA13" s="387"/>
      <c r="AB13" s="387"/>
      <c r="AC13" s="387"/>
      <c r="AD13" s="387"/>
      <c r="AE13" s="387"/>
      <c r="AF13" s="387"/>
      <c r="AG13" s="387"/>
      <c r="AH13" s="387"/>
      <c r="AI13" s="387"/>
      <c r="AJ13" s="387"/>
      <c r="AK13" s="387"/>
      <c r="AL13" s="387"/>
      <c r="AM13" s="387"/>
      <c r="AN13" s="387"/>
      <c r="AO13" s="387"/>
      <c r="AP13" s="390">
        <f t="shared" ref="AP13:BP13" si="2">SUM(AP15,AP31)</f>
        <v>83447.199999999997</v>
      </c>
      <c r="AQ13" s="391">
        <f t="shared" si="2"/>
        <v>85915.6</v>
      </c>
      <c r="AR13" s="391">
        <f t="shared" si="2"/>
        <v>88458.2</v>
      </c>
      <c r="AS13" s="391">
        <f t="shared" si="2"/>
        <v>91699.7</v>
      </c>
      <c r="AT13" s="391">
        <f t="shared" si="2"/>
        <v>88942.1</v>
      </c>
      <c r="AU13" s="392">
        <f t="shared" si="2"/>
        <v>92114.4</v>
      </c>
      <c r="AV13" s="391">
        <f t="shared" si="2"/>
        <v>96711.299999999988</v>
      </c>
      <c r="AW13" s="391">
        <f t="shared" si="2"/>
        <v>101189.90000000001</v>
      </c>
      <c r="AX13" s="393">
        <f t="shared" si="2"/>
        <v>105177.40000000001</v>
      </c>
      <c r="AY13" s="394">
        <f t="shared" si="2"/>
        <v>109465.7</v>
      </c>
      <c r="AZ13" s="391">
        <f t="shared" si="2"/>
        <v>112739.2</v>
      </c>
      <c r="BA13" s="391">
        <f t="shared" si="2"/>
        <v>118085.90000000001</v>
      </c>
      <c r="BB13" s="391">
        <f t="shared" si="2"/>
        <v>120573.79999999999</v>
      </c>
      <c r="BC13" s="391">
        <f t="shared" si="2"/>
        <v>126225.9</v>
      </c>
      <c r="BD13" s="391">
        <f t="shared" si="2"/>
        <v>123646.2</v>
      </c>
      <c r="BE13" s="391">
        <f t="shared" si="2"/>
        <v>125567.8</v>
      </c>
      <c r="BF13" s="391">
        <f t="shared" si="2"/>
        <v>127925.7</v>
      </c>
      <c r="BG13" s="391">
        <f t="shared" si="2"/>
        <v>132843.20000000001</v>
      </c>
      <c r="BH13" s="391">
        <f t="shared" si="2"/>
        <v>136777.30000000002</v>
      </c>
      <c r="BI13" s="391">
        <f t="shared" si="2"/>
        <v>144201.9</v>
      </c>
      <c r="BJ13" s="391">
        <f t="shared" si="2"/>
        <v>149649.60000000001</v>
      </c>
      <c r="BK13" s="391">
        <f t="shared" si="2"/>
        <v>152702.09999999998</v>
      </c>
      <c r="BL13" s="391">
        <f t="shared" si="2"/>
        <v>155314.50000000003</v>
      </c>
      <c r="BM13" s="391">
        <f t="shared" si="2"/>
        <v>157433.9</v>
      </c>
      <c r="BN13" s="391">
        <f t="shared" si="2"/>
        <v>158243.79999999999</v>
      </c>
      <c r="BO13" s="391">
        <f t="shared" si="2"/>
        <v>159418.6</v>
      </c>
      <c r="BP13" s="391">
        <f t="shared" si="2"/>
        <v>159763.00000000003</v>
      </c>
      <c r="BQ13" s="391">
        <f>SUM(BQ15,BQ31)</f>
        <v>161814.20000000001</v>
      </c>
      <c r="BR13" s="391">
        <f>SUM(BR15,BR31)</f>
        <v>160028.79999999999</v>
      </c>
      <c r="BS13" s="392">
        <f>SUM(BS15,BS31)</f>
        <v>162159</v>
      </c>
    </row>
    <row r="14" spans="1:74">
      <c r="A14" s="379"/>
      <c r="B14" s="380"/>
      <c r="C14" s="381"/>
      <c r="D14" s="379"/>
      <c r="E14" s="379"/>
      <c r="F14" s="379"/>
      <c r="G14" s="379"/>
      <c r="H14" s="379"/>
      <c r="I14" s="379"/>
      <c r="J14" s="379"/>
      <c r="K14" s="379"/>
      <c r="L14" s="379"/>
      <c r="M14" s="379"/>
      <c r="N14" s="379"/>
      <c r="O14" s="379"/>
      <c r="P14" s="379"/>
      <c r="Q14" s="379"/>
      <c r="R14" s="379"/>
      <c r="S14" s="379"/>
      <c r="T14" s="379"/>
      <c r="U14" s="379"/>
      <c r="V14" s="379"/>
      <c r="W14" s="379"/>
      <c r="X14" s="379"/>
      <c r="Y14" s="379"/>
      <c r="Z14" s="379"/>
      <c r="AA14" s="379"/>
      <c r="AB14" s="379"/>
      <c r="AC14" s="379"/>
      <c r="AD14" s="379"/>
      <c r="AE14" s="379"/>
      <c r="AF14" s="379"/>
      <c r="AG14" s="379"/>
      <c r="AH14" s="379"/>
      <c r="AI14" s="379"/>
      <c r="AJ14" s="379"/>
      <c r="AK14" s="379"/>
      <c r="AL14" s="379"/>
      <c r="AM14" s="379"/>
      <c r="AN14" s="379"/>
      <c r="AO14" s="379"/>
      <c r="AP14" s="382"/>
      <c r="AQ14" s="383"/>
      <c r="AR14" s="383"/>
      <c r="AS14" s="383"/>
      <c r="AT14" s="383"/>
      <c r="AU14" s="384"/>
      <c r="AV14" s="383"/>
      <c r="AW14" s="383"/>
      <c r="AX14" s="385"/>
      <c r="AY14" s="386"/>
      <c r="AZ14" s="383"/>
      <c r="BA14" s="383"/>
      <c r="BB14" s="383"/>
      <c r="BC14" s="384"/>
      <c r="BD14" s="383"/>
      <c r="BE14" s="383"/>
      <c r="BF14" s="383"/>
      <c r="BG14" s="384"/>
      <c r="BH14" s="383"/>
      <c r="BI14" s="383"/>
      <c r="BJ14" s="383"/>
      <c r="BK14" s="384"/>
      <c r="BL14" s="383"/>
      <c r="BM14" s="383"/>
      <c r="BN14" s="383"/>
      <c r="BO14" s="384"/>
      <c r="BP14" s="383"/>
      <c r="BQ14" s="383"/>
      <c r="BR14" s="383"/>
      <c r="BS14" s="384"/>
    </row>
    <row r="15" spans="1:74">
      <c r="A15" s="395" t="s">
        <v>456</v>
      </c>
      <c r="B15" s="396" t="s">
        <v>457</v>
      </c>
      <c r="C15" s="397"/>
      <c r="D15" s="395"/>
      <c r="E15" s="395"/>
      <c r="F15" s="395"/>
      <c r="G15" s="395"/>
      <c r="H15" s="395"/>
      <c r="I15" s="395"/>
      <c r="J15" s="395"/>
      <c r="K15" s="395"/>
      <c r="L15" s="395"/>
      <c r="M15" s="395"/>
      <c r="N15" s="395"/>
      <c r="O15" s="395"/>
      <c r="P15" s="395"/>
      <c r="Q15" s="395"/>
      <c r="R15" s="395"/>
      <c r="S15" s="395"/>
      <c r="T15" s="395"/>
      <c r="U15" s="395"/>
      <c r="V15" s="395"/>
      <c r="W15" s="395"/>
      <c r="X15" s="395"/>
      <c r="Y15" s="395"/>
      <c r="Z15" s="395"/>
      <c r="AA15" s="395"/>
      <c r="AB15" s="395"/>
      <c r="AC15" s="395"/>
      <c r="AD15" s="395"/>
      <c r="AE15" s="395"/>
      <c r="AF15" s="395"/>
      <c r="AG15" s="395"/>
      <c r="AH15" s="395"/>
      <c r="AI15" s="395"/>
      <c r="AJ15" s="395"/>
      <c r="AK15" s="395"/>
      <c r="AL15" s="395"/>
      <c r="AM15" s="395"/>
      <c r="AN15" s="395"/>
      <c r="AO15" s="395"/>
      <c r="AP15" s="398">
        <f>SUM(AP16:AP18)</f>
        <v>79100.599999999991</v>
      </c>
      <c r="AQ15" s="399">
        <f t="shared" ref="AQ15:BP15" si="3">SUM(AQ16:AQ18)</f>
        <v>81785.8</v>
      </c>
      <c r="AR15" s="399">
        <f t="shared" si="3"/>
        <v>84277.2</v>
      </c>
      <c r="AS15" s="399">
        <f t="shared" si="3"/>
        <v>87356.3</v>
      </c>
      <c r="AT15" s="399">
        <f t="shared" si="3"/>
        <v>88223.1</v>
      </c>
      <c r="AU15" s="400">
        <f t="shared" si="3"/>
        <v>91367.2</v>
      </c>
      <c r="AV15" s="399">
        <f t="shared" si="3"/>
        <v>95902.299999999988</v>
      </c>
      <c r="AW15" s="399">
        <f t="shared" si="3"/>
        <v>100398.8</v>
      </c>
      <c r="AX15" s="401">
        <f t="shared" si="3"/>
        <v>104226.8</v>
      </c>
      <c r="AY15" s="402">
        <f t="shared" si="3"/>
        <v>108238.7</v>
      </c>
      <c r="AZ15" s="399">
        <f t="shared" si="3"/>
        <v>111280</v>
      </c>
      <c r="BA15" s="399">
        <f t="shared" si="3"/>
        <v>116205.50000000001</v>
      </c>
      <c r="BB15" s="399">
        <f t="shared" si="3"/>
        <v>118276.99999999999</v>
      </c>
      <c r="BC15" s="399">
        <f t="shared" si="3"/>
        <v>123869.2</v>
      </c>
      <c r="BD15" s="399">
        <f t="shared" si="3"/>
        <v>121463.2</v>
      </c>
      <c r="BE15" s="399">
        <f t="shared" si="3"/>
        <v>123745.2</v>
      </c>
      <c r="BF15" s="399">
        <f t="shared" si="3"/>
        <v>125992.4</v>
      </c>
      <c r="BG15" s="399">
        <f t="shared" si="3"/>
        <v>130904.3</v>
      </c>
      <c r="BH15" s="399">
        <f t="shared" si="3"/>
        <v>134620.20000000001</v>
      </c>
      <c r="BI15" s="399">
        <f t="shared" si="3"/>
        <v>141163</v>
      </c>
      <c r="BJ15" s="399">
        <f t="shared" si="3"/>
        <v>146400.30000000002</v>
      </c>
      <c r="BK15" s="399">
        <f t="shared" si="3"/>
        <v>150023.29999999999</v>
      </c>
      <c r="BL15" s="399">
        <f t="shared" si="3"/>
        <v>153760.10000000003</v>
      </c>
      <c r="BM15" s="399">
        <f t="shared" si="3"/>
        <v>155922</v>
      </c>
      <c r="BN15" s="399">
        <f t="shared" si="3"/>
        <v>156360.4</v>
      </c>
      <c r="BO15" s="399">
        <f t="shared" si="3"/>
        <v>157978.6</v>
      </c>
      <c r="BP15" s="399">
        <f t="shared" si="3"/>
        <v>158099.60000000003</v>
      </c>
      <c r="BQ15" s="399">
        <f>SUM(BQ16:BQ18)</f>
        <v>160271.70000000001</v>
      </c>
      <c r="BR15" s="399">
        <f>SUM(BR16:BR18)</f>
        <v>158255.79999999999</v>
      </c>
      <c r="BS15" s="400">
        <f>SUM(BS16:BS18)</f>
        <v>160251.1</v>
      </c>
    </row>
    <row r="16" spans="1:74">
      <c r="A16" s="403" t="s">
        <v>299</v>
      </c>
      <c r="B16" s="823" t="s">
        <v>300</v>
      </c>
      <c r="C16" s="824"/>
      <c r="D16" s="825"/>
      <c r="E16" s="825"/>
      <c r="F16" s="825"/>
      <c r="G16" s="825"/>
      <c r="H16" s="825"/>
      <c r="I16" s="825"/>
      <c r="J16" s="825"/>
      <c r="K16" s="825"/>
      <c r="L16" s="825"/>
      <c r="M16" s="825"/>
      <c r="N16" s="825"/>
      <c r="O16" s="825"/>
      <c r="P16" s="825"/>
      <c r="Q16" s="825"/>
      <c r="R16" s="825"/>
      <c r="S16" s="825"/>
      <c r="T16" s="825"/>
      <c r="U16" s="825"/>
      <c r="V16" s="825"/>
      <c r="W16" s="825"/>
      <c r="X16" s="825"/>
      <c r="Y16" s="825"/>
      <c r="Z16" s="825"/>
      <c r="AA16" s="825"/>
      <c r="AB16" s="825"/>
      <c r="AC16" s="825"/>
      <c r="AD16" s="825"/>
      <c r="AE16" s="825"/>
      <c r="AF16" s="825"/>
      <c r="AG16" s="825"/>
      <c r="AH16" s="825"/>
      <c r="AI16" s="825"/>
      <c r="AJ16" s="825"/>
      <c r="AK16" s="825"/>
      <c r="AL16" s="825"/>
      <c r="AM16" s="825"/>
      <c r="AN16" s="825"/>
      <c r="AO16" s="825"/>
      <c r="AP16" s="817">
        <v>33450</v>
      </c>
      <c r="AQ16" s="818">
        <v>34675.199999999997</v>
      </c>
      <c r="AR16" s="818">
        <v>36236.1</v>
      </c>
      <c r="AS16" s="818">
        <v>38046.5</v>
      </c>
      <c r="AT16" s="818">
        <v>39536</v>
      </c>
      <c r="AU16" s="819">
        <v>42477.4</v>
      </c>
      <c r="AV16" s="818">
        <v>44811.199999999997</v>
      </c>
      <c r="AW16" s="818">
        <v>46785.7</v>
      </c>
      <c r="AX16" s="820">
        <v>48631.3</v>
      </c>
      <c r="AY16" s="821">
        <v>50644.9</v>
      </c>
      <c r="AZ16" s="818">
        <v>53434.3</v>
      </c>
      <c r="BA16" s="818">
        <v>56220.3</v>
      </c>
      <c r="BB16" s="818">
        <v>58488.799999999996</v>
      </c>
      <c r="BC16" s="819">
        <v>61282.6</v>
      </c>
      <c r="BD16" s="818">
        <v>62526.7</v>
      </c>
      <c r="BE16" s="818">
        <v>64045.399999999994</v>
      </c>
      <c r="BF16" s="818">
        <v>65039.7</v>
      </c>
      <c r="BG16" s="819">
        <v>68072.399999999994</v>
      </c>
      <c r="BH16" s="818">
        <v>71315.199999999997</v>
      </c>
      <c r="BI16" s="818">
        <v>74785.899999999994</v>
      </c>
      <c r="BJ16" s="818">
        <v>77014.8</v>
      </c>
      <c r="BK16" s="819">
        <v>77490.899999999994</v>
      </c>
      <c r="BL16" s="818">
        <v>76618.600000000006</v>
      </c>
      <c r="BM16" s="818">
        <v>74865.3</v>
      </c>
      <c r="BN16" s="818">
        <v>74499.8</v>
      </c>
      <c r="BO16" s="819">
        <v>74231.199999999997</v>
      </c>
      <c r="BP16" s="818">
        <v>75013.100000000006</v>
      </c>
      <c r="BQ16" s="818">
        <v>75814.600000000006</v>
      </c>
      <c r="BR16" s="818">
        <v>74527.600000000006</v>
      </c>
      <c r="BS16" s="819">
        <v>73209.099999999991</v>
      </c>
      <c r="BT16" s="822"/>
    </row>
    <row r="17" spans="1:72">
      <c r="A17" s="403" t="s">
        <v>301</v>
      </c>
      <c r="B17" s="823" t="s">
        <v>302</v>
      </c>
      <c r="C17" s="824"/>
      <c r="D17" s="825"/>
      <c r="E17" s="825"/>
      <c r="F17" s="825"/>
      <c r="G17" s="825"/>
      <c r="H17" s="825"/>
      <c r="I17" s="825"/>
      <c r="J17" s="825"/>
      <c r="K17" s="825"/>
      <c r="L17" s="825"/>
      <c r="M17" s="825"/>
      <c r="N17" s="825"/>
      <c r="O17" s="825"/>
      <c r="P17" s="825"/>
      <c r="Q17" s="825"/>
      <c r="R17" s="825"/>
      <c r="S17" s="825"/>
      <c r="T17" s="825"/>
      <c r="U17" s="825"/>
      <c r="V17" s="825"/>
      <c r="W17" s="825"/>
      <c r="X17" s="825"/>
      <c r="Y17" s="825"/>
      <c r="Z17" s="825"/>
      <c r="AA17" s="825"/>
      <c r="AB17" s="825"/>
      <c r="AC17" s="825"/>
      <c r="AD17" s="825"/>
      <c r="AE17" s="825"/>
      <c r="AF17" s="825"/>
      <c r="AG17" s="825"/>
      <c r="AH17" s="825"/>
      <c r="AI17" s="825"/>
      <c r="AJ17" s="825"/>
      <c r="AK17" s="825"/>
      <c r="AL17" s="825"/>
      <c r="AM17" s="825"/>
      <c r="AN17" s="825"/>
      <c r="AO17" s="825"/>
      <c r="AP17" s="817">
        <v>42233.4</v>
      </c>
      <c r="AQ17" s="818">
        <v>43730</v>
      </c>
      <c r="AR17" s="818">
        <v>44806.6</v>
      </c>
      <c r="AS17" s="818">
        <v>46243.1</v>
      </c>
      <c r="AT17" s="818">
        <v>45838.6</v>
      </c>
      <c r="AU17" s="819">
        <v>46239.5</v>
      </c>
      <c r="AV17" s="818">
        <v>48533.7</v>
      </c>
      <c r="AW17" s="818">
        <v>50952.299999999996</v>
      </c>
      <c r="AX17" s="820">
        <v>52388.2</v>
      </c>
      <c r="AY17" s="821">
        <v>54460.5</v>
      </c>
      <c r="AZ17" s="818">
        <v>54600.800000000003</v>
      </c>
      <c r="BA17" s="818">
        <v>56793.9</v>
      </c>
      <c r="BB17" s="818">
        <v>56769</v>
      </c>
      <c r="BC17" s="819">
        <v>59611.3</v>
      </c>
      <c r="BD17" s="818">
        <v>55989.5</v>
      </c>
      <c r="BE17" s="818">
        <v>56604.2</v>
      </c>
      <c r="BF17" s="818">
        <v>57634.6</v>
      </c>
      <c r="BG17" s="819">
        <v>59592.6</v>
      </c>
      <c r="BH17" s="818">
        <v>60143.4</v>
      </c>
      <c r="BI17" s="818">
        <v>63303.1</v>
      </c>
      <c r="BJ17" s="818">
        <v>66439.600000000006</v>
      </c>
      <c r="BK17" s="819">
        <v>69638.5</v>
      </c>
      <c r="BL17" s="818">
        <v>74272.3</v>
      </c>
      <c r="BM17" s="818">
        <v>78137.8</v>
      </c>
      <c r="BN17" s="818">
        <v>78784.5</v>
      </c>
      <c r="BO17" s="819">
        <v>80629.2</v>
      </c>
      <c r="BP17" s="818">
        <v>80021.8</v>
      </c>
      <c r="BQ17" s="818">
        <v>81314.399999999994</v>
      </c>
      <c r="BR17" s="818">
        <v>80571.399999999994</v>
      </c>
      <c r="BS17" s="819">
        <v>83903.1</v>
      </c>
      <c r="BT17" s="822"/>
    </row>
    <row r="18" spans="1:72">
      <c r="A18" s="403" t="s">
        <v>303</v>
      </c>
      <c r="B18" s="823" t="s">
        <v>304</v>
      </c>
      <c r="C18" s="824"/>
      <c r="D18" s="825"/>
      <c r="E18" s="825"/>
      <c r="F18" s="825"/>
      <c r="G18" s="825"/>
      <c r="H18" s="825"/>
      <c r="I18" s="825"/>
      <c r="J18" s="825"/>
      <c r="K18" s="825"/>
      <c r="L18" s="825"/>
      <c r="M18" s="825"/>
      <c r="N18" s="825"/>
      <c r="O18" s="825"/>
      <c r="P18" s="825"/>
      <c r="Q18" s="825"/>
      <c r="R18" s="825"/>
      <c r="S18" s="825"/>
      <c r="T18" s="825"/>
      <c r="U18" s="825"/>
      <c r="V18" s="825"/>
      <c r="W18" s="825"/>
      <c r="X18" s="825"/>
      <c r="Y18" s="825"/>
      <c r="Z18" s="825"/>
      <c r="AA18" s="825"/>
      <c r="AB18" s="825"/>
      <c r="AC18" s="825"/>
      <c r="AD18" s="825"/>
      <c r="AE18" s="825"/>
      <c r="AF18" s="825"/>
      <c r="AG18" s="825"/>
      <c r="AH18" s="825"/>
      <c r="AI18" s="825"/>
      <c r="AJ18" s="825"/>
      <c r="AK18" s="825"/>
      <c r="AL18" s="825"/>
      <c r="AM18" s="825"/>
      <c r="AN18" s="825"/>
      <c r="AO18" s="825"/>
      <c r="AP18" s="817">
        <v>3417.2</v>
      </c>
      <c r="AQ18" s="818">
        <v>3380.6</v>
      </c>
      <c r="AR18" s="818">
        <v>3234.5</v>
      </c>
      <c r="AS18" s="818">
        <v>3066.7</v>
      </c>
      <c r="AT18" s="818">
        <v>2848.5</v>
      </c>
      <c r="AU18" s="819">
        <v>2650.3</v>
      </c>
      <c r="AV18" s="818">
        <v>2557.4</v>
      </c>
      <c r="AW18" s="818">
        <v>2660.8</v>
      </c>
      <c r="AX18" s="820">
        <v>3207.3</v>
      </c>
      <c r="AY18" s="821">
        <v>3133.3</v>
      </c>
      <c r="AZ18" s="818">
        <v>3244.9</v>
      </c>
      <c r="BA18" s="818">
        <v>3191.3</v>
      </c>
      <c r="BB18" s="818">
        <v>3019.2</v>
      </c>
      <c r="BC18" s="819">
        <v>2975.3</v>
      </c>
      <c r="BD18" s="818">
        <v>2947</v>
      </c>
      <c r="BE18" s="818">
        <v>3095.6</v>
      </c>
      <c r="BF18" s="818">
        <v>3318.1</v>
      </c>
      <c r="BG18" s="819">
        <v>3239.3</v>
      </c>
      <c r="BH18" s="818">
        <v>3161.6</v>
      </c>
      <c r="BI18" s="818">
        <v>3074</v>
      </c>
      <c r="BJ18" s="818">
        <v>2945.9</v>
      </c>
      <c r="BK18" s="819">
        <v>2893.9</v>
      </c>
      <c r="BL18" s="818">
        <v>2869.2</v>
      </c>
      <c r="BM18" s="818">
        <v>2918.9</v>
      </c>
      <c r="BN18" s="818">
        <v>3076.1</v>
      </c>
      <c r="BO18" s="819">
        <v>3118.2</v>
      </c>
      <c r="BP18" s="818">
        <v>3064.7</v>
      </c>
      <c r="BQ18" s="818">
        <v>3142.7</v>
      </c>
      <c r="BR18" s="818">
        <v>3156.8</v>
      </c>
      <c r="BS18" s="819">
        <v>3138.9</v>
      </c>
      <c r="BT18" s="822"/>
    </row>
    <row r="19" spans="1:72">
      <c r="A19" s="406" t="s">
        <v>458</v>
      </c>
      <c r="B19" s="826" t="s">
        <v>459</v>
      </c>
      <c r="C19" s="827"/>
      <c r="D19" s="828"/>
      <c r="E19" s="828"/>
      <c r="F19" s="828"/>
      <c r="G19" s="828"/>
      <c r="H19" s="828"/>
      <c r="I19" s="828"/>
      <c r="J19" s="828"/>
      <c r="K19" s="828"/>
      <c r="L19" s="828"/>
      <c r="M19" s="828"/>
      <c r="N19" s="828"/>
      <c r="O19" s="828"/>
      <c r="P19" s="828"/>
      <c r="Q19" s="828"/>
      <c r="R19" s="828"/>
      <c r="S19" s="828"/>
      <c r="T19" s="828"/>
      <c r="U19" s="828"/>
      <c r="V19" s="828"/>
      <c r="W19" s="828"/>
      <c r="X19" s="828"/>
      <c r="Y19" s="828"/>
      <c r="Z19" s="828"/>
      <c r="AA19" s="828"/>
      <c r="AB19" s="828"/>
      <c r="AC19" s="828"/>
      <c r="AD19" s="828"/>
      <c r="AE19" s="828"/>
      <c r="AF19" s="828"/>
      <c r="AG19" s="828"/>
      <c r="AH19" s="828"/>
      <c r="AI19" s="828"/>
      <c r="AJ19" s="828"/>
      <c r="AK19" s="828"/>
      <c r="AL19" s="828"/>
      <c r="AM19" s="828"/>
      <c r="AN19" s="828"/>
      <c r="AO19" s="828"/>
      <c r="AP19" s="829">
        <f t="shared" ref="AP19:BP19" si="4">SUM(AP20,AP26)</f>
        <v>79100.599999999991</v>
      </c>
      <c r="AQ19" s="830">
        <f t="shared" si="4"/>
        <v>81785.8</v>
      </c>
      <c r="AR19" s="830">
        <f t="shared" si="4"/>
        <v>84277.2</v>
      </c>
      <c r="AS19" s="830">
        <f t="shared" si="4"/>
        <v>87356.3</v>
      </c>
      <c r="AT19" s="830">
        <f t="shared" si="4"/>
        <v>88223.1</v>
      </c>
      <c r="AU19" s="831">
        <f t="shared" si="4"/>
        <v>91367.2</v>
      </c>
      <c r="AV19" s="830">
        <f t="shared" si="4"/>
        <v>95902.3</v>
      </c>
      <c r="AW19" s="830">
        <f t="shared" si="4"/>
        <v>100398.8</v>
      </c>
      <c r="AX19" s="832">
        <f t="shared" si="4"/>
        <v>104226.79999999999</v>
      </c>
      <c r="AY19" s="833">
        <f t="shared" si="4"/>
        <v>108238.70000000001</v>
      </c>
      <c r="AZ19" s="830">
        <f t="shared" si="4"/>
        <v>111280</v>
      </c>
      <c r="BA19" s="830">
        <f t="shared" si="4"/>
        <v>116205.49999999999</v>
      </c>
      <c r="BB19" s="830">
        <f t="shared" si="4"/>
        <v>118277</v>
      </c>
      <c r="BC19" s="831">
        <f t="shared" si="4"/>
        <v>123869.19999999998</v>
      </c>
      <c r="BD19" s="830">
        <f t="shared" si="4"/>
        <v>121463.20000000001</v>
      </c>
      <c r="BE19" s="830">
        <f t="shared" si="4"/>
        <v>123745.20000000001</v>
      </c>
      <c r="BF19" s="830">
        <f t="shared" si="4"/>
        <v>125992.40000000002</v>
      </c>
      <c r="BG19" s="831">
        <f t="shared" si="4"/>
        <v>130904.29999999999</v>
      </c>
      <c r="BH19" s="830">
        <f t="shared" si="4"/>
        <v>134620.20000000001</v>
      </c>
      <c r="BI19" s="830">
        <f t="shared" si="4"/>
        <v>141163</v>
      </c>
      <c r="BJ19" s="830">
        <f t="shared" si="4"/>
        <v>146400.29999999999</v>
      </c>
      <c r="BK19" s="831">
        <f t="shared" si="4"/>
        <v>150023.29999999999</v>
      </c>
      <c r="BL19" s="830">
        <f t="shared" si="4"/>
        <v>153760.1</v>
      </c>
      <c r="BM19" s="830">
        <f t="shared" si="4"/>
        <v>155922</v>
      </c>
      <c r="BN19" s="830">
        <f t="shared" si="4"/>
        <v>156360.40000000002</v>
      </c>
      <c r="BO19" s="831">
        <f t="shared" si="4"/>
        <v>157978.6</v>
      </c>
      <c r="BP19" s="830">
        <f t="shared" si="4"/>
        <v>158099.59999999998</v>
      </c>
      <c r="BQ19" s="830">
        <f>SUM(BQ20,BQ26)</f>
        <v>160271.70000000001</v>
      </c>
      <c r="BR19" s="830">
        <f>SUM(BR20,BR26)</f>
        <v>158255.79999999999</v>
      </c>
      <c r="BS19" s="831">
        <f>SUM(BS20,BS26)</f>
        <v>160251.09999999998</v>
      </c>
      <c r="BT19" s="822"/>
    </row>
    <row r="20" spans="1:72">
      <c r="A20" s="414" t="s">
        <v>307</v>
      </c>
      <c r="B20" s="834" t="s">
        <v>308</v>
      </c>
      <c r="C20" s="835"/>
      <c r="D20" s="836"/>
      <c r="E20" s="836"/>
      <c r="F20" s="836"/>
      <c r="G20" s="836"/>
      <c r="H20" s="836"/>
      <c r="I20" s="836"/>
      <c r="J20" s="836"/>
      <c r="K20" s="836"/>
      <c r="L20" s="836"/>
      <c r="M20" s="836"/>
      <c r="N20" s="836"/>
      <c r="O20" s="836"/>
      <c r="P20" s="836"/>
      <c r="Q20" s="836"/>
      <c r="R20" s="836"/>
      <c r="S20" s="836"/>
      <c r="T20" s="836"/>
      <c r="U20" s="836"/>
      <c r="V20" s="836"/>
      <c r="W20" s="836"/>
      <c r="X20" s="836"/>
      <c r="Y20" s="836"/>
      <c r="Z20" s="836"/>
      <c r="AA20" s="836"/>
      <c r="AB20" s="836"/>
      <c r="AC20" s="836"/>
      <c r="AD20" s="836"/>
      <c r="AE20" s="836"/>
      <c r="AF20" s="836"/>
      <c r="AG20" s="836"/>
      <c r="AH20" s="836"/>
      <c r="AI20" s="836"/>
      <c r="AJ20" s="836"/>
      <c r="AK20" s="836"/>
      <c r="AL20" s="836"/>
      <c r="AM20" s="836"/>
      <c r="AN20" s="836"/>
      <c r="AO20" s="836"/>
      <c r="AP20" s="829">
        <f t="shared" ref="AP20:AU20" si="5">SUM(AP21:AP25)</f>
        <v>47459.999999999993</v>
      </c>
      <c r="AQ20" s="830">
        <f t="shared" si="5"/>
        <v>48999.6</v>
      </c>
      <c r="AR20" s="830">
        <f t="shared" si="5"/>
        <v>49955.9</v>
      </c>
      <c r="AS20" s="830">
        <f t="shared" si="5"/>
        <v>51561</v>
      </c>
      <c r="AT20" s="830">
        <f t="shared" si="5"/>
        <v>50714.100000000006</v>
      </c>
      <c r="AU20" s="831">
        <f t="shared" si="5"/>
        <v>51942.5</v>
      </c>
      <c r="AV20" s="830">
        <f t="shared" ref="AV20:BP20" si="6">SUM(AV21:AV25)</f>
        <v>54179.199999999997</v>
      </c>
      <c r="AW20" s="830">
        <f t="shared" si="6"/>
        <v>56859</v>
      </c>
      <c r="AX20" s="832">
        <f t="shared" si="6"/>
        <v>58863.500000000007</v>
      </c>
      <c r="AY20" s="833">
        <f t="shared" si="6"/>
        <v>66846.600000000006</v>
      </c>
      <c r="AZ20" s="830">
        <f t="shared" si="6"/>
        <v>67579</v>
      </c>
      <c r="BA20" s="830">
        <f t="shared" si="6"/>
        <v>70010.499999999985</v>
      </c>
      <c r="BB20" s="830">
        <f t="shared" si="6"/>
        <v>69916.7</v>
      </c>
      <c r="BC20" s="831">
        <f t="shared" si="6"/>
        <v>72928.799999999988</v>
      </c>
      <c r="BD20" s="830">
        <f t="shared" si="6"/>
        <v>68854.400000000009</v>
      </c>
      <c r="BE20" s="830">
        <f t="shared" si="6"/>
        <v>69981.100000000006</v>
      </c>
      <c r="BF20" s="830">
        <f t="shared" si="6"/>
        <v>70159.900000000009</v>
      </c>
      <c r="BG20" s="831">
        <f t="shared" si="6"/>
        <v>72299</v>
      </c>
      <c r="BH20" s="830">
        <f t="shared" si="6"/>
        <v>73115.600000000006</v>
      </c>
      <c r="BI20" s="830">
        <f t="shared" si="6"/>
        <v>76654.599999999991</v>
      </c>
      <c r="BJ20" s="830">
        <f t="shared" si="6"/>
        <v>79914.5</v>
      </c>
      <c r="BK20" s="831">
        <f t="shared" si="6"/>
        <v>83155.099999999977</v>
      </c>
      <c r="BL20" s="830">
        <f t="shared" si="6"/>
        <v>87857.1</v>
      </c>
      <c r="BM20" s="830">
        <f t="shared" si="6"/>
        <v>91722.4</v>
      </c>
      <c r="BN20" s="830">
        <f t="shared" si="6"/>
        <v>92478.000000000015</v>
      </c>
      <c r="BO20" s="831">
        <f t="shared" si="6"/>
        <v>94617</v>
      </c>
      <c r="BP20" s="830">
        <f t="shared" si="6"/>
        <v>94172.299999999988</v>
      </c>
      <c r="BQ20" s="830">
        <f>SUM(BQ21:BQ25)</f>
        <v>95550</v>
      </c>
      <c r="BR20" s="830">
        <f>SUM(BR21:BR25)</f>
        <v>93364.099999999991</v>
      </c>
      <c r="BS20" s="831">
        <f>SUM(BS21:BS25)</f>
        <v>94177.699999999983</v>
      </c>
      <c r="BT20" s="822"/>
    </row>
    <row r="21" spans="1:72">
      <c r="A21" s="417" t="s">
        <v>460</v>
      </c>
      <c r="B21" s="837" t="s">
        <v>461</v>
      </c>
      <c r="C21" s="838"/>
      <c r="D21" s="839"/>
      <c r="E21" s="839"/>
      <c r="F21" s="839"/>
      <c r="G21" s="839"/>
      <c r="H21" s="839"/>
      <c r="I21" s="839"/>
      <c r="J21" s="839"/>
      <c r="K21" s="839"/>
      <c r="L21" s="839"/>
      <c r="M21" s="839"/>
      <c r="N21" s="839"/>
      <c r="O21" s="839"/>
      <c r="P21" s="839"/>
      <c r="Q21" s="839"/>
      <c r="R21" s="839"/>
      <c r="S21" s="839"/>
      <c r="T21" s="839"/>
      <c r="U21" s="839"/>
      <c r="V21" s="839"/>
      <c r="W21" s="839"/>
      <c r="X21" s="839"/>
      <c r="Y21" s="839"/>
      <c r="Z21" s="839"/>
      <c r="AA21" s="839"/>
      <c r="AB21" s="839"/>
      <c r="AC21" s="839"/>
      <c r="AD21" s="839"/>
      <c r="AE21" s="839"/>
      <c r="AF21" s="839"/>
      <c r="AG21" s="839"/>
      <c r="AH21" s="839"/>
      <c r="AI21" s="839"/>
      <c r="AJ21" s="839"/>
      <c r="AK21" s="839"/>
      <c r="AL21" s="839"/>
      <c r="AM21" s="839"/>
      <c r="AN21" s="839"/>
      <c r="AO21" s="839"/>
      <c r="AP21" s="817">
        <v>7544.2000000000007</v>
      </c>
      <c r="AQ21" s="818">
        <v>9431</v>
      </c>
      <c r="AR21" s="818">
        <v>9538.6</v>
      </c>
      <c r="AS21" s="818">
        <v>9904.2000000000007</v>
      </c>
      <c r="AT21" s="818">
        <v>9230.7000000000007</v>
      </c>
      <c r="AU21" s="819">
        <v>10622.500000000002</v>
      </c>
      <c r="AV21" s="818">
        <v>10393.199999999999</v>
      </c>
      <c r="AW21" s="818">
        <v>11222.6</v>
      </c>
      <c r="AX21" s="820">
        <v>10782.9</v>
      </c>
      <c r="AY21" s="821">
        <v>12286.3</v>
      </c>
      <c r="AZ21" s="818">
        <v>12478.399999999998</v>
      </c>
      <c r="BA21" s="818">
        <v>9239.6</v>
      </c>
      <c r="BB21" s="818">
        <v>11515.3</v>
      </c>
      <c r="BC21" s="819">
        <v>11871.7</v>
      </c>
      <c r="BD21" s="818">
        <v>10095.900000000001</v>
      </c>
      <c r="BE21" s="818">
        <v>9949.8000000000011</v>
      </c>
      <c r="BF21" s="818">
        <v>9549.9000000000015</v>
      </c>
      <c r="BG21" s="819">
        <v>10892</v>
      </c>
      <c r="BH21" s="818">
        <v>11507.999999999998</v>
      </c>
      <c r="BI21" s="818">
        <v>12523.5</v>
      </c>
      <c r="BJ21" s="818">
        <v>12408.6</v>
      </c>
      <c r="BK21" s="819">
        <v>9823.1000000000022</v>
      </c>
      <c r="BL21" s="818">
        <v>15642.7</v>
      </c>
      <c r="BM21" s="818">
        <v>16498.7</v>
      </c>
      <c r="BN21" s="818">
        <v>15444.800000000001</v>
      </c>
      <c r="BO21" s="819">
        <v>15937.1</v>
      </c>
      <c r="BP21" s="818">
        <v>16234.999999999998</v>
      </c>
      <c r="BQ21" s="818">
        <v>15933.699999999999</v>
      </c>
      <c r="BR21" s="818">
        <v>13739.3</v>
      </c>
      <c r="BS21" s="819">
        <v>14799.2</v>
      </c>
      <c r="BT21" s="822"/>
    </row>
    <row r="22" spans="1:72">
      <c r="A22" s="417" t="s">
        <v>462</v>
      </c>
      <c r="B22" s="837" t="s">
        <v>463</v>
      </c>
      <c r="C22" s="838"/>
      <c r="D22" s="839"/>
      <c r="E22" s="839"/>
      <c r="F22" s="839"/>
      <c r="G22" s="839"/>
      <c r="H22" s="839"/>
      <c r="I22" s="839"/>
      <c r="J22" s="839"/>
      <c r="K22" s="839"/>
      <c r="L22" s="839"/>
      <c r="M22" s="839"/>
      <c r="N22" s="839"/>
      <c r="O22" s="839"/>
      <c r="P22" s="839"/>
      <c r="Q22" s="839"/>
      <c r="R22" s="839"/>
      <c r="S22" s="839"/>
      <c r="T22" s="839"/>
      <c r="U22" s="839"/>
      <c r="V22" s="839"/>
      <c r="W22" s="839"/>
      <c r="X22" s="839"/>
      <c r="Y22" s="839"/>
      <c r="Z22" s="839"/>
      <c r="AA22" s="839"/>
      <c r="AB22" s="839"/>
      <c r="AC22" s="839"/>
      <c r="AD22" s="839"/>
      <c r="AE22" s="839"/>
      <c r="AF22" s="839"/>
      <c r="AG22" s="839"/>
      <c r="AH22" s="839"/>
      <c r="AI22" s="839"/>
      <c r="AJ22" s="839"/>
      <c r="AK22" s="839"/>
      <c r="AL22" s="839"/>
      <c r="AM22" s="839"/>
      <c r="AN22" s="839"/>
      <c r="AO22" s="839"/>
      <c r="AP22" s="817">
        <v>27754</v>
      </c>
      <c r="AQ22" s="818">
        <v>27293.1</v>
      </c>
      <c r="AR22" s="818">
        <v>27919.200000000001</v>
      </c>
      <c r="AS22" s="818">
        <v>28932.800000000003</v>
      </c>
      <c r="AT22" s="818">
        <v>28413.1</v>
      </c>
      <c r="AU22" s="819">
        <v>28311.799999999996</v>
      </c>
      <c r="AV22" s="818">
        <v>30441.599999999999</v>
      </c>
      <c r="AW22" s="818">
        <v>31819.8</v>
      </c>
      <c r="AX22" s="820">
        <v>33243.9</v>
      </c>
      <c r="AY22" s="821">
        <v>38337.100000000006</v>
      </c>
      <c r="AZ22" s="818">
        <v>38453.800000000003</v>
      </c>
      <c r="BA22" s="818">
        <v>43348.1</v>
      </c>
      <c r="BB22" s="818">
        <v>41166.6</v>
      </c>
      <c r="BC22" s="819">
        <v>43599.299999999988</v>
      </c>
      <c r="BD22" s="818">
        <v>42455.3</v>
      </c>
      <c r="BE22" s="818">
        <v>42733.599999999999</v>
      </c>
      <c r="BF22" s="818">
        <v>42928.5</v>
      </c>
      <c r="BG22" s="819">
        <v>43293.600000000006</v>
      </c>
      <c r="BH22" s="818">
        <v>42726.600000000006</v>
      </c>
      <c r="BI22" s="818">
        <v>44603.5</v>
      </c>
      <c r="BJ22" s="818">
        <v>46117.299999999996</v>
      </c>
      <c r="BK22" s="819">
        <v>52001.299999999996</v>
      </c>
      <c r="BL22" s="818">
        <v>49648.499999999993</v>
      </c>
      <c r="BM22" s="818">
        <v>51807.999999999993</v>
      </c>
      <c r="BN22" s="818">
        <v>53021</v>
      </c>
      <c r="BO22" s="819">
        <v>53994.5</v>
      </c>
      <c r="BP22" s="818">
        <v>53608.200000000004</v>
      </c>
      <c r="BQ22" s="818">
        <v>54863.899999999994</v>
      </c>
      <c r="BR22" s="818">
        <v>55373.1</v>
      </c>
      <c r="BS22" s="819">
        <v>55110.5</v>
      </c>
      <c r="BT22" s="822"/>
    </row>
    <row r="23" spans="1:72">
      <c r="A23" s="417" t="s">
        <v>464</v>
      </c>
      <c r="B23" s="837" t="s">
        <v>465</v>
      </c>
      <c r="C23" s="838"/>
      <c r="D23" s="839"/>
      <c r="E23" s="839"/>
      <c r="F23" s="839"/>
      <c r="G23" s="839"/>
      <c r="H23" s="839"/>
      <c r="I23" s="839"/>
      <c r="J23" s="839"/>
      <c r="K23" s="839"/>
      <c r="L23" s="839"/>
      <c r="M23" s="839"/>
      <c r="N23" s="839"/>
      <c r="O23" s="839"/>
      <c r="P23" s="839"/>
      <c r="Q23" s="839"/>
      <c r="R23" s="839"/>
      <c r="S23" s="839"/>
      <c r="T23" s="839"/>
      <c r="U23" s="839"/>
      <c r="V23" s="839"/>
      <c r="W23" s="839"/>
      <c r="X23" s="839"/>
      <c r="Y23" s="839"/>
      <c r="Z23" s="839"/>
      <c r="AA23" s="839"/>
      <c r="AB23" s="839"/>
      <c r="AC23" s="839"/>
      <c r="AD23" s="839"/>
      <c r="AE23" s="839"/>
      <c r="AF23" s="839"/>
      <c r="AG23" s="839"/>
      <c r="AH23" s="839"/>
      <c r="AI23" s="839"/>
      <c r="AJ23" s="839"/>
      <c r="AK23" s="839"/>
      <c r="AL23" s="839"/>
      <c r="AM23" s="839"/>
      <c r="AN23" s="839"/>
      <c r="AO23" s="839"/>
      <c r="AP23" s="817">
        <v>5258.2000000000007</v>
      </c>
      <c r="AQ23" s="818">
        <v>5278</v>
      </c>
      <c r="AR23" s="818">
        <v>5549.6</v>
      </c>
      <c r="AS23" s="818">
        <v>5725</v>
      </c>
      <c r="AT23" s="818">
        <v>5902.2999999999993</v>
      </c>
      <c r="AU23" s="819">
        <v>6116.6</v>
      </c>
      <c r="AV23" s="818">
        <v>6481.0999999999995</v>
      </c>
      <c r="AW23" s="818">
        <v>6782.5999999999995</v>
      </c>
      <c r="AX23" s="820">
        <v>7165.0000000000009</v>
      </c>
      <c r="AY23" s="821">
        <v>8673.6</v>
      </c>
      <c r="AZ23" s="818">
        <v>9135.1</v>
      </c>
      <c r="BA23" s="818">
        <v>9469.6</v>
      </c>
      <c r="BB23" s="818">
        <v>9396.7999999999993</v>
      </c>
      <c r="BC23" s="819">
        <v>9608.4</v>
      </c>
      <c r="BD23" s="818">
        <v>9477.2000000000007</v>
      </c>
      <c r="BE23" s="818">
        <v>9626.1999999999989</v>
      </c>
      <c r="BF23" s="818">
        <v>9832.1</v>
      </c>
      <c r="BG23" s="819">
        <v>10154.000000000002</v>
      </c>
      <c r="BH23" s="818">
        <v>10406</v>
      </c>
      <c r="BI23" s="818">
        <v>10648.3</v>
      </c>
      <c r="BJ23" s="818">
        <v>11180</v>
      </c>
      <c r="BK23" s="819">
        <v>11571.9</v>
      </c>
      <c r="BL23" s="818">
        <v>11978.5</v>
      </c>
      <c r="BM23" s="818">
        <v>12545.699999999999</v>
      </c>
      <c r="BN23" s="818">
        <v>12479.100000000002</v>
      </c>
      <c r="BO23" s="819">
        <v>12641.9</v>
      </c>
      <c r="BP23" s="818">
        <v>12694.800000000001</v>
      </c>
      <c r="BQ23" s="818">
        <v>13285.5</v>
      </c>
      <c r="BR23" s="818">
        <v>13208.5</v>
      </c>
      <c r="BS23" s="819">
        <v>13281.899999999998</v>
      </c>
      <c r="BT23" s="822"/>
    </row>
    <row r="24" spans="1:72">
      <c r="A24" s="417" t="s">
        <v>466</v>
      </c>
      <c r="B24" s="837" t="s">
        <v>467</v>
      </c>
      <c r="C24" s="838"/>
      <c r="D24" s="839"/>
      <c r="E24" s="839"/>
      <c r="F24" s="839"/>
      <c r="G24" s="839"/>
      <c r="H24" s="839"/>
      <c r="I24" s="839"/>
      <c r="J24" s="839"/>
      <c r="K24" s="839"/>
      <c r="L24" s="839"/>
      <c r="M24" s="839"/>
      <c r="N24" s="839"/>
      <c r="O24" s="839"/>
      <c r="P24" s="839"/>
      <c r="Q24" s="839"/>
      <c r="R24" s="839"/>
      <c r="S24" s="839"/>
      <c r="T24" s="839"/>
      <c r="U24" s="839"/>
      <c r="V24" s="839"/>
      <c r="W24" s="839"/>
      <c r="X24" s="839"/>
      <c r="Y24" s="839"/>
      <c r="Z24" s="839"/>
      <c r="AA24" s="839"/>
      <c r="AB24" s="839"/>
      <c r="AC24" s="839"/>
      <c r="AD24" s="839"/>
      <c r="AE24" s="839"/>
      <c r="AF24" s="839"/>
      <c r="AG24" s="839"/>
      <c r="AH24" s="839"/>
      <c r="AI24" s="839"/>
      <c r="AJ24" s="839"/>
      <c r="AK24" s="839"/>
      <c r="AL24" s="839"/>
      <c r="AM24" s="839"/>
      <c r="AN24" s="839"/>
      <c r="AO24" s="839"/>
      <c r="AP24" s="817">
        <v>4373.7000000000007</v>
      </c>
      <c r="AQ24" s="818">
        <v>4536.8999999999996</v>
      </c>
      <c r="AR24" s="818">
        <v>4643.2</v>
      </c>
      <c r="AS24" s="818">
        <v>4742.6000000000004</v>
      </c>
      <c r="AT24" s="818">
        <v>4619.8</v>
      </c>
      <c r="AU24" s="819">
        <v>4583.8</v>
      </c>
      <c r="AV24" s="818">
        <v>4773.9000000000005</v>
      </c>
      <c r="AW24" s="818">
        <v>4793.2999999999993</v>
      </c>
      <c r="AX24" s="820">
        <v>4861.8999999999996</v>
      </c>
      <c r="AY24" s="821">
        <v>5038.5</v>
      </c>
      <c r="AZ24" s="818">
        <v>5173.8999999999996</v>
      </c>
      <c r="BA24" s="818">
        <v>5333.5</v>
      </c>
      <c r="BB24" s="818">
        <v>5333.4</v>
      </c>
      <c r="BC24" s="819">
        <v>5373.9</v>
      </c>
      <c r="BD24" s="818">
        <v>4597.6000000000004</v>
      </c>
      <c r="BE24" s="818">
        <v>4674.2000000000007</v>
      </c>
      <c r="BF24" s="818">
        <v>4857.1000000000004</v>
      </c>
      <c r="BG24" s="819">
        <v>5118.2</v>
      </c>
      <c r="BH24" s="818">
        <v>5756.4</v>
      </c>
      <c r="BI24" s="818">
        <v>6241.9</v>
      </c>
      <c r="BJ24" s="818">
        <v>6890</v>
      </c>
      <c r="BK24" s="819">
        <v>6534.9</v>
      </c>
      <c r="BL24" s="818">
        <v>7287.8</v>
      </c>
      <c r="BM24" s="818">
        <v>7525.9</v>
      </c>
      <c r="BN24" s="818">
        <v>7751</v>
      </c>
      <c r="BO24" s="819">
        <v>7753.5</v>
      </c>
      <c r="BP24" s="818">
        <v>7390.4</v>
      </c>
      <c r="BQ24" s="818">
        <v>7217.8</v>
      </c>
      <c r="BR24" s="818">
        <v>6851.5</v>
      </c>
      <c r="BS24" s="819">
        <v>6774.4</v>
      </c>
      <c r="BT24" s="822"/>
    </row>
    <row r="25" spans="1:72">
      <c r="A25" s="417" t="s">
        <v>468</v>
      </c>
      <c r="B25" s="837" t="s">
        <v>469</v>
      </c>
      <c r="C25" s="838"/>
      <c r="D25" s="839"/>
      <c r="E25" s="839"/>
      <c r="F25" s="839"/>
      <c r="G25" s="839"/>
      <c r="H25" s="839"/>
      <c r="I25" s="839"/>
      <c r="J25" s="839"/>
      <c r="K25" s="839"/>
      <c r="L25" s="839"/>
      <c r="M25" s="839"/>
      <c r="N25" s="839"/>
      <c r="O25" s="839"/>
      <c r="P25" s="839"/>
      <c r="Q25" s="839"/>
      <c r="R25" s="839"/>
      <c r="S25" s="839"/>
      <c r="T25" s="839"/>
      <c r="U25" s="839"/>
      <c r="V25" s="839"/>
      <c r="W25" s="839"/>
      <c r="X25" s="839"/>
      <c r="Y25" s="839"/>
      <c r="Z25" s="839"/>
      <c r="AA25" s="839"/>
      <c r="AB25" s="839"/>
      <c r="AC25" s="839"/>
      <c r="AD25" s="839"/>
      <c r="AE25" s="839"/>
      <c r="AF25" s="839"/>
      <c r="AG25" s="839"/>
      <c r="AH25" s="839"/>
      <c r="AI25" s="839"/>
      <c r="AJ25" s="839"/>
      <c r="AK25" s="839"/>
      <c r="AL25" s="839"/>
      <c r="AM25" s="839"/>
      <c r="AN25" s="839"/>
      <c r="AO25" s="839"/>
      <c r="AP25" s="817">
        <v>2529.8999999999996</v>
      </c>
      <c r="AQ25" s="818">
        <v>2460.6000000000004</v>
      </c>
      <c r="AR25" s="818">
        <v>2305.3000000000002</v>
      </c>
      <c r="AS25" s="818">
        <v>2256.4</v>
      </c>
      <c r="AT25" s="818">
        <v>2548.1999999999998</v>
      </c>
      <c r="AU25" s="819">
        <v>2307.8000000000002</v>
      </c>
      <c r="AV25" s="818">
        <v>2089.4</v>
      </c>
      <c r="AW25" s="818">
        <v>2240.6999999999998</v>
      </c>
      <c r="AX25" s="820">
        <v>2809.8</v>
      </c>
      <c r="AY25" s="821">
        <v>2511.1</v>
      </c>
      <c r="AZ25" s="818">
        <v>2337.8000000000002</v>
      </c>
      <c r="BA25" s="818">
        <v>2619.6999999999998</v>
      </c>
      <c r="BB25" s="818">
        <v>2504.6000000000004</v>
      </c>
      <c r="BC25" s="819">
        <v>2475.5</v>
      </c>
      <c r="BD25" s="818">
        <v>2228.3999999999996</v>
      </c>
      <c r="BE25" s="818">
        <v>2997.3</v>
      </c>
      <c r="BF25" s="818">
        <v>2992.3</v>
      </c>
      <c r="BG25" s="819">
        <v>2841.2</v>
      </c>
      <c r="BH25" s="818">
        <v>2718.6</v>
      </c>
      <c r="BI25" s="818">
        <v>2637.3999999999996</v>
      </c>
      <c r="BJ25" s="818">
        <v>3318.6</v>
      </c>
      <c r="BK25" s="819">
        <v>3223.9</v>
      </c>
      <c r="BL25" s="818">
        <v>3299.6000000000004</v>
      </c>
      <c r="BM25" s="818">
        <v>3344.1</v>
      </c>
      <c r="BN25" s="818">
        <v>3782.1</v>
      </c>
      <c r="BO25" s="819">
        <v>4290</v>
      </c>
      <c r="BP25" s="818">
        <v>4243.8999999999996</v>
      </c>
      <c r="BQ25" s="818">
        <v>4249.0999999999995</v>
      </c>
      <c r="BR25" s="818">
        <v>4191.7</v>
      </c>
      <c r="BS25" s="819">
        <v>4211.7</v>
      </c>
      <c r="BT25" s="822"/>
    </row>
    <row r="26" spans="1:72">
      <c r="A26" s="414" t="s">
        <v>315</v>
      </c>
      <c r="B26" s="834" t="s">
        <v>316</v>
      </c>
      <c r="C26" s="835"/>
      <c r="D26" s="836"/>
      <c r="E26" s="836"/>
      <c r="F26" s="836"/>
      <c r="G26" s="836"/>
      <c r="H26" s="836"/>
      <c r="I26" s="836"/>
      <c r="J26" s="836"/>
      <c r="K26" s="836"/>
      <c r="L26" s="836"/>
      <c r="M26" s="836"/>
      <c r="N26" s="836"/>
      <c r="O26" s="836"/>
      <c r="P26" s="836"/>
      <c r="Q26" s="836"/>
      <c r="R26" s="836"/>
      <c r="S26" s="836"/>
      <c r="T26" s="836"/>
      <c r="U26" s="836"/>
      <c r="V26" s="836"/>
      <c r="W26" s="836"/>
      <c r="X26" s="836"/>
      <c r="Y26" s="836"/>
      <c r="Z26" s="836"/>
      <c r="AA26" s="836"/>
      <c r="AB26" s="836"/>
      <c r="AC26" s="836"/>
      <c r="AD26" s="836"/>
      <c r="AE26" s="836"/>
      <c r="AF26" s="836"/>
      <c r="AG26" s="836"/>
      <c r="AH26" s="836"/>
      <c r="AI26" s="836"/>
      <c r="AJ26" s="836"/>
      <c r="AK26" s="836"/>
      <c r="AL26" s="836"/>
      <c r="AM26" s="836"/>
      <c r="AN26" s="836"/>
      <c r="AO26" s="836"/>
      <c r="AP26" s="829">
        <f>SUM(AP27:AP30)</f>
        <v>31640.600000000002</v>
      </c>
      <c r="AQ26" s="830">
        <f t="shared" ref="AQ26:BP26" si="7">SUM(AQ27:AQ30)</f>
        <v>32786.200000000004</v>
      </c>
      <c r="AR26" s="830">
        <f t="shared" si="7"/>
        <v>34321.299999999996</v>
      </c>
      <c r="AS26" s="830">
        <f t="shared" si="7"/>
        <v>35795.300000000003</v>
      </c>
      <c r="AT26" s="830">
        <f t="shared" si="7"/>
        <v>37509</v>
      </c>
      <c r="AU26" s="831">
        <f t="shared" si="7"/>
        <v>39424.699999999997</v>
      </c>
      <c r="AV26" s="830">
        <f t="shared" si="7"/>
        <v>41723.100000000006</v>
      </c>
      <c r="AW26" s="830">
        <f t="shared" si="7"/>
        <v>43539.8</v>
      </c>
      <c r="AX26" s="832">
        <f t="shared" si="7"/>
        <v>45363.299999999988</v>
      </c>
      <c r="AY26" s="833">
        <f t="shared" si="7"/>
        <v>41392.1</v>
      </c>
      <c r="AZ26" s="830">
        <f t="shared" si="7"/>
        <v>43701</v>
      </c>
      <c r="BA26" s="830">
        <f t="shared" si="7"/>
        <v>46195</v>
      </c>
      <c r="BB26" s="830">
        <f t="shared" si="7"/>
        <v>48360.299999999996</v>
      </c>
      <c r="BC26" s="831">
        <f t="shared" si="7"/>
        <v>50940.4</v>
      </c>
      <c r="BD26" s="830">
        <f t="shared" si="7"/>
        <v>52608.800000000003</v>
      </c>
      <c r="BE26" s="830">
        <f t="shared" si="7"/>
        <v>53764.100000000006</v>
      </c>
      <c r="BF26" s="830">
        <f t="shared" si="7"/>
        <v>55832.500000000007</v>
      </c>
      <c r="BG26" s="831">
        <f t="shared" si="7"/>
        <v>58605.299999999996</v>
      </c>
      <c r="BH26" s="830">
        <f t="shared" si="7"/>
        <v>61504.6</v>
      </c>
      <c r="BI26" s="830">
        <f t="shared" si="7"/>
        <v>64508.400000000009</v>
      </c>
      <c r="BJ26" s="830">
        <f t="shared" si="7"/>
        <v>66485.8</v>
      </c>
      <c r="BK26" s="831">
        <f t="shared" si="7"/>
        <v>66868.2</v>
      </c>
      <c r="BL26" s="830">
        <f t="shared" si="7"/>
        <v>65903</v>
      </c>
      <c r="BM26" s="830">
        <f t="shared" si="7"/>
        <v>64199.6</v>
      </c>
      <c r="BN26" s="830">
        <f t="shared" si="7"/>
        <v>63882.400000000009</v>
      </c>
      <c r="BO26" s="831">
        <f t="shared" si="7"/>
        <v>63361.600000000006</v>
      </c>
      <c r="BP26" s="830">
        <f t="shared" si="7"/>
        <v>63927.299999999996</v>
      </c>
      <c r="BQ26" s="830">
        <f>SUM(BQ27:BQ30)</f>
        <v>64721.7</v>
      </c>
      <c r="BR26" s="830">
        <f>SUM(BR27:BR30)</f>
        <v>64891.7</v>
      </c>
      <c r="BS26" s="831">
        <f>SUM(BS27:BS30)</f>
        <v>66073.399999999994</v>
      </c>
      <c r="BT26" s="822"/>
    </row>
    <row r="27" spans="1:72">
      <c r="A27" s="417" t="s">
        <v>470</v>
      </c>
      <c r="B27" s="837" t="s">
        <v>471</v>
      </c>
      <c r="C27" s="838"/>
      <c r="D27" s="839"/>
      <c r="E27" s="839"/>
      <c r="F27" s="839"/>
      <c r="G27" s="839"/>
      <c r="H27" s="839"/>
      <c r="I27" s="839"/>
      <c r="J27" s="839"/>
      <c r="K27" s="839"/>
      <c r="L27" s="839"/>
      <c r="M27" s="839"/>
      <c r="N27" s="839"/>
      <c r="O27" s="839"/>
      <c r="P27" s="839"/>
      <c r="Q27" s="839"/>
      <c r="R27" s="839"/>
      <c r="S27" s="839"/>
      <c r="T27" s="839"/>
      <c r="U27" s="839"/>
      <c r="V27" s="839"/>
      <c r="W27" s="839"/>
      <c r="X27" s="839"/>
      <c r="Y27" s="839"/>
      <c r="Z27" s="839"/>
      <c r="AA27" s="839"/>
      <c r="AB27" s="839"/>
      <c r="AC27" s="839"/>
      <c r="AD27" s="839"/>
      <c r="AE27" s="839"/>
      <c r="AF27" s="839"/>
      <c r="AG27" s="839"/>
      <c r="AH27" s="839"/>
      <c r="AI27" s="839"/>
      <c r="AJ27" s="839"/>
      <c r="AK27" s="839"/>
      <c r="AL27" s="839"/>
      <c r="AM27" s="839"/>
      <c r="AN27" s="839"/>
      <c r="AO27" s="839"/>
      <c r="AP27" s="817">
        <v>23469.3</v>
      </c>
      <c r="AQ27" s="818">
        <v>24171.600000000002</v>
      </c>
      <c r="AR27" s="818">
        <v>25179.599999999999</v>
      </c>
      <c r="AS27" s="818">
        <v>26234.600000000002</v>
      </c>
      <c r="AT27" s="818">
        <v>27539.8</v>
      </c>
      <c r="AU27" s="819">
        <v>28892.1</v>
      </c>
      <c r="AV27" s="818">
        <v>30540.9</v>
      </c>
      <c r="AW27" s="818">
        <v>31988.899999999998</v>
      </c>
      <c r="AX27" s="820">
        <v>33371.699999999997</v>
      </c>
      <c r="AY27" s="821">
        <v>34589.5</v>
      </c>
      <c r="AZ27" s="818">
        <v>36464.6</v>
      </c>
      <c r="BA27" s="818">
        <v>38618.200000000004</v>
      </c>
      <c r="BB27" s="818">
        <v>40771.699999999997</v>
      </c>
      <c r="BC27" s="819">
        <v>43178.9</v>
      </c>
      <c r="BD27" s="818">
        <v>44932.800000000003</v>
      </c>
      <c r="BE27" s="818">
        <v>45923.9</v>
      </c>
      <c r="BF27" s="818">
        <v>47901.100000000006</v>
      </c>
      <c r="BG27" s="819">
        <v>50406</v>
      </c>
      <c r="BH27" s="818">
        <v>52983</v>
      </c>
      <c r="BI27" s="818">
        <v>55535.600000000006</v>
      </c>
      <c r="BJ27" s="818">
        <v>57410.200000000004</v>
      </c>
      <c r="BK27" s="819">
        <v>57860.9</v>
      </c>
      <c r="BL27" s="818">
        <v>56899.799999999996</v>
      </c>
      <c r="BM27" s="818">
        <v>55467.7</v>
      </c>
      <c r="BN27" s="818">
        <v>55155.600000000006</v>
      </c>
      <c r="BO27" s="819">
        <v>54698.200000000004</v>
      </c>
      <c r="BP27" s="818">
        <v>54997.5</v>
      </c>
      <c r="BQ27" s="818">
        <v>55567.299999999996</v>
      </c>
      <c r="BR27" s="818">
        <v>55718.5</v>
      </c>
      <c r="BS27" s="819">
        <v>56715.1</v>
      </c>
      <c r="BT27" s="822"/>
    </row>
    <row r="28" spans="1:72">
      <c r="A28" s="417" t="s">
        <v>460</v>
      </c>
      <c r="B28" s="837" t="s">
        <v>461</v>
      </c>
      <c r="C28" s="838"/>
      <c r="D28" s="839"/>
      <c r="E28" s="839"/>
      <c r="F28" s="839"/>
      <c r="G28" s="839"/>
      <c r="H28" s="839"/>
      <c r="I28" s="839"/>
      <c r="J28" s="839"/>
      <c r="K28" s="839"/>
      <c r="L28" s="839"/>
      <c r="M28" s="839"/>
      <c r="N28" s="839"/>
      <c r="O28" s="839"/>
      <c r="P28" s="839"/>
      <c r="Q28" s="839"/>
      <c r="R28" s="839"/>
      <c r="S28" s="839"/>
      <c r="T28" s="839"/>
      <c r="U28" s="839"/>
      <c r="V28" s="839"/>
      <c r="W28" s="839"/>
      <c r="X28" s="839"/>
      <c r="Y28" s="839"/>
      <c r="Z28" s="839"/>
      <c r="AA28" s="839"/>
      <c r="AB28" s="839"/>
      <c r="AC28" s="839"/>
      <c r="AD28" s="839"/>
      <c r="AE28" s="839"/>
      <c r="AF28" s="839"/>
      <c r="AG28" s="839"/>
      <c r="AH28" s="839"/>
      <c r="AI28" s="839"/>
      <c r="AJ28" s="839"/>
      <c r="AK28" s="839"/>
      <c r="AL28" s="839"/>
      <c r="AM28" s="839"/>
      <c r="AN28" s="839"/>
      <c r="AO28" s="839"/>
      <c r="AP28" s="817">
        <v>1217.9000000000001</v>
      </c>
      <c r="AQ28" s="818">
        <v>1281.0999999999999</v>
      </c>
      <c r="AR28" s="818">
        <v>1328.1</v>
      </c>
      <c r="AS28" s="818">
        <v>1367.6</v>
      </c>
      <c r="AT28" s="818">
        <v>1315</v>
      </c>
      <c r="AU28" s="819">
        <v>1394.1999999999998</v>
      </c>
      <c r="AV28" s="818">
        <v>1403.4</v>
      </c>
      <c r="AW28" s="818">
        <v>1376.8000000000002</v>
      </c>
      <c r="AX28" s="820">
        <v>1329.2</v>
      </c>
      <c r="AY28" s="821">
        <v>588.9</v>
      </c>
      <c r="AZ28" s="818">
        <v>611.9</v>
      </c>
      <c r="BA28" s="818">
        <v>650.1</v>
      </c>
      <c r="BB28" s="818">
        <v>645.20000000000005</v>
      </c>
      <c r="BC28" s="819">
        <v>627.29999999999995</v>
      </c>
      <c r="BD28" s="818">
        <v>612.5</v>
      </c>
      <c r="BE28" s="818">
        <v>654.29999999999995</v>
      </c>
      <c r="BF28" s="818">
        <v>655</v>
      </c>
      <c r="BG28" s="819">
        <v>647.1</v>
      </c>
      <c r="BH28" s="818">
        <v>652.70000000000005</v>
      </c>
      <c r="BI28" s="818">
        <v>692</v>
      </c>
      <c r="BJ28" s="818">
        <v>685.9</v>
      </c>
      <c r="BK28" s="819">
        <v>682.2</v>
      </c>
      <c r="BL28" s="818">
        <v>694.4</v>
      </c>
      <c r="BM28" s="818">
        <v>682.9</v>
      </c>
      <c r="BN28" s="818">
        <v>697.5</v>
      </c>
      <c r="BO28" s="819">
        <v>680.6</v>
      </c>
      <c r="BP28" s="818">
        <v>693.7</v>
      </c>
      <c r="BQ28" s="818">
        <v>702</v>
      </c>
      <c r="BR28" s="818">
        <v>706.4</v>
      </c>
      <c r="BS28" s="819">
        <v>678.9</v>
      </c>
      <c r="BT28" s="822"/>
    </row>
    <row r="29" spans="1:72">
      <c r="A29" s="417" t="s">
        <v>464</v>
      </c>
      <c r="B29" s="837" t="s">
        <v>465</v>
      </c>
      <c r="C29" s="838"/>
      <c r="D29" s="839"/>
      <c r="E29" s="839"/>
      <c r="F29" s="839"/>
      <c r="G29" s="839"/>
      <c r="H29" s="839"/>
      <c r="I29" s="839"/>
      <c r="J29" s="839"/>
      <c r="K29" s="839"/>
      <c r="L29" s="839"/>
      <c r="M29" s="839"/>
      <c r="N29" s="839"/>
      <c r="O29" s="839"/>
      <c r="P29" s="839"/>
      <c r="Q29" s="839"/>
      <c r="R29" s="839"/>
      <c r="S29" s="839"/>
      <c r="T29" s="839"/>
      <c r="U29" s="839"/>
      <c r="V29" s="839"/>
      <c r="W29" s="839"/>
      <c r="X29" s="839"/>
      <c r="Y29" s="839"/>
      <c r="Z29" s="839"/>
      <c r="AA29" s="839"/>
      <c r="AB29" s="839"/>
      <c r="AC29" s="839"/>
      <c r="AD29" s="839"/>
      <c r="AE29" s="839"/>
      <c r="AF29" s="839"/>
      <c r="AG29" s="839"/>
      <c r="AH29" s="839"/>
      <c r="AI29" s="839"/>
      <c r="AJ29" s="839"/>
      <c r="AK29" s="839"/>
      <c r="AL29" s="839"/>
      <c r="AM29" s="839"/>
      <c r="AN29" s="839"/>
      <c r="AO29" s="839"/>
      <c r="AP29" s="817">
        <v>502.4</v>
      </c>
      <c r="AQ29" s="818">
        <v>536.4</v>
      </c>
      <c r="AR29" s="818">
        <v>576.9</v>
      </c>
      <c r="AS29" s="818">
        <v>631.1</v>
      </c>
      <c r="AT29" s="818">
        <v>690.7</v>
      </c>
      <c r="AU29" s="819">
        <v>753</v>
      </c>
      <c r="AV29" s="818">
        <v>811.2</v>
      </c>
      <c r="AW29" s="818">
        <v>872.9</v>
      </c>
      <c r="AX29" s="820">
        <v>979.1</v>
      </c>
      <c r="AY29" s="821">
        <v>0</v>
      </c>
      <c r="AZ29" s="818">
        <v>0</v>
      </c>
      <c r="BA29" s="818">
        <v>0</v>
      </c>
      <c r="BB29" s="818">
        <v>0</v>
      </c>
      <c r="BC29" s="819">
        <v>0</v>
      </c>
      <c r="BD29" s="818">
        <v>0</v>
      </c>
      <c r="BE29" s="818">
        <v>0</v>
      </c>
      <c r="BF29" s="818">
        <v>0</v>
      </c>
      <c r="BG29" s="819">
        <v>0</v>
      </c>
      <c r="BH29" s="818">
        <v>0</v>
      </c>
      <c r="BI29" s="818">
        <v>0</v>
      </c>
      <c r="BJ29" s="818">
        <v>0</v>
      </c>
      <c r="BK29" s="819">
        <v>0</v>
      </c>
      <c r="BL29" s="818">
        <v>0</v>
      </c>
      <c r="BM29" s="818">
        <v>0</v>
      </c>
      <c r="BN29" s="818">
        <v>0</v>
      </c>
      <c r="BO29" s="819">
        <v>0</v>
      </c>
      <c r="BP29" s="818">
        <v>0</v>
      </c>
      <c r="BQ29" s="818">
        <v>0</v>
      </c>
      <c r="BR29" s="818">
        <v>0</v>
      </c>
      <c r="BS29" s="819">
        <v>0</v>
      </c>
      <c r="BT29" s="822"/>
    </row>
    <row r="30" spans="1:72">
      <c r="A30" s="417" t="s">
        <v>472</v>
      </c>
      <c r="B30" s="837" t="s">
        <v>473</v>
      </c>
      <c r="C30" s="838"/>
      <c r="D30" s="839"/>
      <c r="E30" s="839"/>
      <c r="F30" s="839"/>
      <c r="G30" s="839"/>
      <c r="H30" s="839"/>
      <c r="I30" s="839"/>
      <c r="J30" s="839"/>
      <c r="K30" s="839"/>
      <c r="L30" s="839"/>
      <c r="M30" s="839"/>
      <c r="N30" s="839"/>
      <c r="O30" s="839"/>
      <c r="P30" s="839"/>
      <c r="Q30" s="839"/>
      <c r="R30" s="839"/>
      <c r="S30" s="839"/>
      <c r="T30" s="839"/>
      <c r="U30" s="839"/>
      <c r="V30" s="839"/>
      <c r="W30" s="839"/>
      <c r="X30" s="839"/>
      <c r="Y30" s="839"/>
      <c r="Z30" s="839"/>
      <c r="AA30" s="839"/>
      <c r="AB30" s="839"/>
      <c r="AC30" s="839"/>
      <c r="AD30" s="839"/>
      <c r="AE30" s="839"/>
      <c r="AF30" s="839"/>
      <c r="AG30" s="839"/>
      <c r="AH30" s="839"/>
      <c r="AI30" s="839"/>
      <c r="AJ30" s="839"/>
      <c r="AK30" s="839"/>
      <c r="AL30" s="839"/>
      <c r="AM30" s="839"/>
      <c r="AN30" s="839"/>
      <c r="AO30" s="839"/>
      <c r="AP30" s="817">
        <v>6451</v>
      </c>
      <c r="AQ30" s="818">
        <v>6797.1</v>
      </c>
      <c r="AR30" s="818">
        <v>7236.7</v>
      </c>
      <c r="AS30" s="818">
        <v>7562</v>
      </c>
      <c r="AT30" s="818">
        <v>7963.5000000000009</v>
      </c>
      <c r="AU30" s="819">
        <v>8385.4</v>
      </c>
      <c r="AV30" s="818">
        <v>8967.6</v>
      </c>
      <c r="AW30" s="818">
        <v>9301.2000000000007</v>
      </c>
      <c r="AX30" s="820">
        <v>9683.2999999999993</v>
      </c>
      <c r="AY30" s="821">
        <v>6213.7</v>
      </c>
      <c r="AZ30" s="818">
        <v>6624.5</v>
      </c>
      <c r="BA30" s="818">
        <v>6926.7</v>
      </c>
      <c r="BB30" s="818">
        <v>6943.4</v>
      </c>
      <c r="BC30" s="819">
        <v>7134.2</v>
      </c>
      <c r="BD30" s="818">
        <v>7063.5</v>
      </c>
      <c r="BE30" s="818">
        <v>7185.9</v>
      </c>
      <c r="BF30" s="818">
        <v>7276.4</v>
      </c>
      <c r="BG30" s="819">
        <v>7552.2</v>
      </c>
      <c r="BH30" s="818">
        <v>7868.9000000000005</v>
      </c>
      <c r="BI30" s="818">
        <v>8280.8000000000011</v>
      </c>
      <c r="BJ30" s="818">
        <v>8389.6999999999989</v>
      </c>
      <c r="BK30" s="819">
        <v>8325.1</v>
      </c>
      <c r="BL30" s="818">
        <v>8308.8000000000011</v>
      </c>
      <c r="BM30" s="818">
        <v>8049</v>
      </c>
      <c r="BN30" s="818">
        <v>8029.3</v>
      </c>
      <c r="BO30" s="819">
        <v>7982.8</v>
      </c>
      <c r="BP30" s="818">
        <v>8236.1</v>
      </c>
      <c r="BQ30" s="818">
        <v>8452.4</v>
      </c>
      <c r="BR30" s="818">
        <v>8466.7999999999993</v>
      </c>
      <c r="BS30" s="819">
        <v>8679.4</v>
      </c>
      <c r="BT30" s="822"/>
    </row>
    <row r="31" spans="1:72">
      <c r="A31" s="395" t="s">
        <v>474</v>
      </c>
      <c r="B31" s="396" t="s">
        <v>475</v>
      </c>
      <c r="C31" s="397"/>
      <c r="D31" s="395"/>
      <c r="E31" s="395"/>
      <c r="F31" s="395"/>
      <c r="G31" s="395"/>
      <c r="H31" s="395"/>
      <c r="I31" s="395"/>
      <c r="J31" s="395"/>
      <c r="K31" s="395"/>
      <c r="L31" s="395"/>
      <c r="M31" s="395"/>
      <c r="N31" s="395"/>
      <c r="O31" s="395"/>
      <c r="P31" s="395"/>
      <c r="Q31" s="395"/>
      <c r="R31" s="395"/>
      <c r="S31" s="395"/>
      <c r="T31" s="395"/>
      <c r="U31" s="395"/>
      <c r="V31" s="395"/>
      <c r="W31" s="395"/>
      <c r="X31" s="395"/>
      <c r="Y31" s="395"/>
      <c r="Z31" s="395"/>
      <c r="AA31" s="395"/>
      <c r="AB31" s="395"/>
      <c r="AC31" s="395"/>
      <c r="AD31" s="395"/>
      <c r="AE31" s="395"/>
      <c r="AF31" s="395"/>
      <c r="AG31" s="395"/>
      <c r="AH31" s="395"/>
      <c r="AI31" s="395"/>
      <c r="AJ31" s="395"/>
      <c r="AK31" s="395"/>
      <c r="AL31" s="395"/>
      <c r="AM31" s="395"/>
      <c r="AN31" s="395"/>
      <c r="AO31" s="395"/>
      <c r="AP31" s="398">
        <f>SUM(AP32:AP35)</f>
        <v>4346.5999999999995</v>
      </c>
      <c r="AQ31" s="399">
        <f t="shared" ref="AQ31:BP31" si="8">SUM(AQ32:AQ35)</f>
        <v>4129.8</v>
      </c>
      <c r="AR31" s="399">
        <f t="shared" si="8"/>
        <v>4181</v>
      </c>
      <c r="AS31" s="399">
        <f t="shared" si="8"/>
        <v>4343.4000000000005</v>
      </c>
      <c r="AT31" s="399">
        <f t="shared" si="8"/>
        <v>719</v>
      </c>
      <c r="AU31" s="400">
        <f t="shared" si="8"/>
        <v>747.2</v>
      </c>
      <c r="AV31" s="399">
        <f t="shared" si="8"/>
        <v>809</v>
      </c>
      <c r="AW31" s="399">
        <f t="shared" si="8"/>
        <v>791.1</v>
      </c>
      <c r="AX31" s="401">
        <f t="shared" si="8"/>
        <v>950.6</v>
      </c>
      <c r="AY31" s="402">
        <f t="shared" si="8"/>
        <v>1227</v>
      </c>
      <c r="AZ31" s="399">
        <f t="shared" si="8"/>
        <v>1459.1999999999998</v>
      </c>
      <c r="BA31" s="399">
        <f t="shared" si="8"/>
        <v>1880.4</v>
      </c>
      <c r="BB31" s="399">
        <f t="shared" si="8"/>
        <v>2296.7999999999997</v>
      </c>
      <c r="BC31" s="400">
        <f t="shared" si="8"/>
        <v>2356.6999999999998</v>
      </c>
      <c r="BD31" s="399">
        <f t="shared" si="8"/>
        <v>2183</v>
      </c>
      <c r="BE31" s="399">
        <f t="shared" si="8"/>
        <v>1822.6</v>
      </c>
      <c r="BF31" s="399">
        <f t="shared" si="8"/>
        <v>1933.3000000000002</v>
      </c>
      <c r="BG31" s="400">
        <f t="shared" si="8"/>
        <v>1938.9</v>
      </c>
      <c r="BH31" s="399">
        <f t="shared" si="8"/>
        <v>2157.1</v>
      </c>
      <c r="BI31" s="399">
        <f t="shared" si="8"/>
        <v>3038.9</v>
      </c>
      <c r="BJ31" s="399">
        <f t="shared" si="8"/>
        <v>3249.3</v>
      </c>
      <c r="BK31" s="400">
        <f t="shared" si="8"/>
        <v>2678.8</v>
      </c>
      <c r="BL31" s="399">
        <f t="shared" si="8"/>
        <v>1554.3999999999999</v>
      </c>
      <c r="BM31" s="399">
        <f t="shared" si="8"/>
        <v>1511.9</v>
      </c>
      <c r="BN31" s="399">
        <f t="shared" si="8"/>
        <v>1883.4</v>
      </c>
      <c r="BO31" s="400">
        <f t="shared" si="8"/>
        <v>1440</v>
      </c>
      <c r="BP31" s="399">
        <f t="shared" si="8"/>
        <v>1663.4</v>
      </c>
      <c r="BQ31" s="399">
        <f>SUM(BQ32:BQ35)</f>
        <v>1542.5</v>
      </c>
      <c r="BR31" s="399">
        <f>SUM(BR32:BR35)</f>
        <v>1773</v>
      </c>
      <c r="BS31" s="400">
        <f>SUM(BS32:BS35)</f>
        <v>1907.9</v>
      </c>
    </row>
    <row r="32" spans="1:72">
      <c r="A32" s="417" t="s">
        <v>476</v>
      </c>
      <c r="B32" s="837" t="s">
        <v>477</v>
      </c>
      <c r="C32" s="838"/>
      <c r="D32" s="839"/>
      <c r="E32" s="839"/>
      <c r="F32" s="839"/>
      <c r="G32" s="839"/>
      <c r="H32" s="839"/>
      <c r="I32" s="839"/>
      <c r="J32" s="839"/>
      <c r="K32" s="839"/>
      <c r="L32" s="839"/>
      <c r="M32" s="839"/>
      <c r="N32" s="839"/>
      <c r="O32" s="839"/>
      <c r="P32" s="839"/>
      <c r="Q32" s="839"/>
      <c r="R32" s="839"/>
      <c r="S32" s="839"/>
      <c r="T32" s="839"/>
      <c r="U32" s="839"/>
      <c r="V32" s="839"/>
      <c r="W32" s="839"/>
      <c r="X32" s="839"/>
      <c r="Y32" s="839"/>
      <c r="Z32" s="839"/>
      <c r="AA32" s="839"/>
      <c r="AB32" s="839"/>
      <c r="AC32" s="839"/>
      <c r="AD32" s="839"/>
      <c r="AE32" s="839"/>
      <c r="AF32" s="839"/>
      <c r="AG32" s="839"/>
      <c r="AH32" s="839"/>
      <c r="AI32" s="839"/>
      <c r="AJ32" s="839"/>
      <c r="AK32" s="839"/>
      <c r="AL32" s="839"/>
      <c r="AM32" s="839"/>
      <c r="AN32" s="839"/>
      <c r="AO32" s="839"/>
      <c r="AP32" s="817">
        <v>3910.7</v>
      </c>
      <c r="AQ32" s="818">
        <v>3686.4</v>
      </c>
      <c r="AR32" s="818">
        <v>3589.8</v>
      </c>
      <c r="AS32" s="818">
        <v>3674.4</v>
      </c>
      <c r="AT32" s="818">
        <v>0</v>
      </c>
      <c r="AU32" s="819">
        <v>0</v>
      </c>
      <c r="AV32" s="818">
        <v>0</v>
      </c>
      <c r="AW32" s="818">
        <v>0</v>
      </c>
      <c r="AX32" s="820">
        <v>0</v>
      </c>
      <c r="AY32" s="821">
        <v>0</v>
      </c>
      <c r="AZ32" s="818">
        <v>0</v>
      </c>
      <c r="BA32" s="818">
        <v>0</v>
      </c>
      <c r="BB32" s="818">
        <v>0</v>
      </c>
      <c r="BC32" s="819">
        <v>0</v>
      </c>
      <c r="BD32" s="818">
        <v>0</v>
      </c>
      <c r="BE32" s="818">
        <v>0</v>
      </c>
      <c r="BF32" s="818">
        <v>0</v>
      </c>
      <c r="BG32" s="819">
        <v>0</v>
      </c>
      <c r="BH32" s="818">
        <v>0</v>
      </c>
      <c r="BI32" s="818">
        <v>0</v>
      </c>
      <c r="BJ32" s="818">
        <v>0</v>
      </c>
      <c r="BK32" s="819">
        <v>0</v>
      </c>
      <c r="BL32" s="818">
        <v>0</v>
      </c>
      <c r="BM32" s="818">
        <v>0</v>
      </c>
      <c r="BN32" s="818">
        <v>0</v>
      </c>
      <c r="BO32" s="819">
        <v>0</v>
      </c>
      <c r="BP32" s="818">
        <v>0</v>
      </c>
      <c r="BQ32" s="818">
        <v>0</v>
      </c>
      <c r="BR32" s="818">
        <v>0</v>
      </c>
      <c r="BS32" s="819">
        <v>0</v>
      </c>
      <c r="BT32" s="822"/>
    </row>
    <row r="33" spans="1:72">
      <c r="A33" s="417" t="s">
        <v>478</v>
      </c>
      <c r="B33" s="837" t="s">
        <v>479</v>
      </c>
      <c r="C33" s="838"/>
      <c r="D33" s="839"/>
      <c r="E33" s="839"/>
      <c r="F33" s="839"/>
      <c r="G33" s="839"/>
      <c r="H33" s="839"/>
      <c r="I33" s="839"/>
      <c r="J33" s="839"/>
      <c r="K33" s="839"/>
      <c r="L33" s="839"/>
      <c r="M33" s="839"/>
      <c r="N33" s="839"/>
      <c r="O33" s="839"/>
      <c r="P33" s="839"/>
      <c r="Q33" s="839"/>
      <c r="R33" s="839"/>
      <c r="S33" s="839"/>
      <c r="T33" s="839"/>
      <c r="U33" s="839"/>
      <c r="V33" s="839"/>
      <c r="W33" s="839"/>
      <c r="X33" s="839"/>
      <c r="Y33" s="839"/>
      <c r="Z33" s="839"/>
      <c r="AA33" s="839"/>
      <c r="AB33" s="839"/>
      <c r="AC33" s="839"/>
      <c r="AD33" s="839"/>
      <c r="AE33" s="839"/>
      <c r="AF33" s="839"/>
      <c r="AG33" s="839"/>
      <c r="AH33" s="839"/>
      <c r="AI33" s="839"/>
      <c r="AJ33" s="839"/>
      <c r="AK33" s="839"/>
      <c r="AL33" s="839"/>
      <c r="AM33" s="839"/>
      <c r="AN33" s="839"/>
      <c r="AO33" s="839"/>
      <c r="AP33" s="817">
        <v>329</v>
      </c>
      <c r="AQ33" s="818">
        <v>324.60000000000002</v>
      </c>
      <c r="AR33" s="818">
        <v>483.4</v>
      </c>
      <c r="AS33" s="818">
        <v>521.20000000000005</v>
      </c>
      <c r="AT33" s="818">
        <v>540.1</v>
      </c>
      <c r="AU33" s="819">
        <v>603</v>
      </c>
      <c r="AV33" s="818">
        <v>651.70000000000005</v>
      </c>
      <c r="AW33" s="818">
        <v>612</v>
      </c>
      <c r="AX33" s="820">
        <v>733</v>
      </c>
      <c r="AY33" s="821">
        <v>1029.7</v>
      </c>
      <c r="AZ33" s="818">
        <v>1081.0999999999999</v>
      </c>
      <c r="BA33" s="818">
        <v>1451.7</v>
      </c>
      <c r="BB33" s="818">
        <v>1598.6</v>
      </c>
      <c r="BC33" s="819">
        <v>1936.5</v>
      </c>
      <c r="BD33" s="818">
        <v>1368.3</v>
      </c>
      <c r="BE33" s="818">
        <v>1213</v>
      </c>
      <c r="BF33" s="818">
        <v>1272.2</v>
      </c>
      <c r="BG33" s="819">
        <v>1325</v>
      </c>
      <c r="BH33" s="818">
        <v>1397.6</v>
      </c>
      <c r="BI33" s="818">
        <v>2257.3000000000002</v>
      </c>
      <c r="BJ33" s="818">
        <v>2531.5</v>
      </c>
      <c r="BK33" s="819">
        <v>1861.7</v>
      </c>
      <c r="BL33" s="818">
        <v>474.3</v>
      </c>
      <c r="BM33" s="818">
        <v>595.5</v>
      </c>
      <c r="BN33" s="818">
        <v>827.6</v>
      </c>
      <c r="BO33" s="819">
        <v>550.79999999999995</v>
      </c>
      <c r="BP33" s="818">
        <v>677</v>
      </c>
      <c r="BQ33" s="818">
        <v>526.79999999999995</v>
      </c>
      <c r="BR33" s="818">
        <v>606.9</v>
      </c>
      <c r="BS33" s="819">
        <v>814.5</v>
      </c>
      <c r="BT33" s="822"/>
    </row>
    <row r="34" spans="1:72">
      <c r="A34" s="417" t="s">
        <v>480</v>
      </c>
      <c r="B34" s="837" t="s">
        <v>481</v>
      </c>
      <c r="C34" s="838"/>
      <c r="D34" s="839"/>
      <c r="E34" s="839"/>
      <c r="F34" s="839"/>
      <c r="G34" s="839"/>
      <c r="H34" s="839"/>
      <c r="I34" s="839"/>
      <c r="J34" s="839"/>
      <c r="K34" s="839"/>
      <c r="L34" s="839"/>
      <c r="M34" s="839"/>
      <c r="N34" s="839"/>
      <c r="O34" s="839"/>
      <c r="P34" s="839"/>
      <c r="Q34" s="839"/>
      <c r="R34" s="839"/>
      <c r="S34" s="839"/>
      <c r="T34" s="839"/>
      <c r="U34" s="839"/>
      <c r="V34" s="839"/>
      <c r="W34" s="839"/>
      <c r="X34" s="839"/>
      <c r="Y34" s="839"/>
      <c r="Z34" s="839"/>
      <c r="AA34" s="839"/>
      <c r="AB34" s="839"/>
      <c r="AC34" s="839"/>
      <c r="AD34" s="839"/>
      <c r="AE34" s="839"/>
      <c r="AF34" s="839"/>
      <c r="AG34" s="839"/>
      <c r="AH34" s="839"/>
      <c r="AI34" s="839"/>
      <c r="AJ34" s="839"/>
      <c r="AK34" s="839"/>
      <c r="AL34" s="839"/>
      <c r="AM34" s="839"/>
      <c r="AN34" s="839"/>
      <c r="AO34" s="839"/>
      <c r="AP34" s="817">
        <v>0</v>
      </c>
      <c r="AQ34" s="818">
        <v>19.899999999999999</v>
      </c>
      <c r="AR34" s="818">
        <v>20</v>
      </c>
      <c r="AS34" s="818">
        <v>19.7</v>
      </c>
      <c r="AT34" s="818">
        <v>19.8</v>
      </c>
      <c r="AU34" s="819">
        <v>0</v>
      </c>
      <c r="AV34" s="818">
        <v>0</v>
      </c>
      <c r="AW34" s="818">
        <v>0</v>
      </c>
      <c r="AX34" s="820">
        <v>0</v>
      </c>
      <c r="AY34" s="821">
        <v>0</v>
      </c>
      <c r="AZ34" s="818">
        <v>0</v>
      </c>
      <c r="BA34" s="818">
        <v>0</v>
      </c>
      <c r="BB34" s="818">
        <v>0</v>
      </c>
      <c r="BC34" s="819">
        <v>0</v>
      </c>
      <c r="BD34" s="818">
        <v>0</v>
      </c>
      <c r="BE34" s="818">
        <v>0</v>
      </c>
      <c r="BF34" s="818">
        <v>0</v>
      </c>
      <c r="BG34" s="819">
        <v>0</v>
      </c>
      <c r="BH34" s="818">
        <v>0</v>
      </c>
      <c r="BI34" s="818">
        <v>0</v>
      </c>
      <c r="BJ34" s="818">
        <v>0</v>
      </c>
      <c r="BK34" s="819">
        <v>0</v>
      </c>
      <c r="BL34" s="818">
        <v>0</v>
      </c>
      <c r="BM34" s="818">
        <v>0</v>
      </c>
      <c r="BN34" s="818">
        <v>0</v>
      </c>
      <c r="BO34" s="819">
        <v>0</v>
      </c>
      <c r="BP34" s="818">
        <v>0</v>
      </c>
      <c r="BQ34" s="818">
        <v>0</v>
      </c>
      <c r="BR34" s="818">
        <v>0</v>
      </c>
      <c r="BS34" s="819">
        <v>0</v>
      </c>
      <c r="BT34" s="822"/>
    </row>
    <row r="35" spans="1:72">
      <c r="A35" s="417" t="s">
        <v>482</v>
      </c>
      <c r="B35" s="837" t="s">
        <v>483</v>
      </c>
      <c r="C35" s="838"/>
      <c r="D35" s="839"/>
      <c r="E35" s="839"/>
      <c r="F35" s="839"/>
      <c r="G35" s="839"/>
      <c r="H35" s="839"/>
      <c r="I35" s="839"/>
      <c r="J35" s="839"/>
      <c r="K35" s="839"/>
      <c r="L35" s="839"/>
      <c r="M35" s="839"/>
      <c r="N35" s="839"/>
      <c r="O35" s="839"/>
      <c r="P35" s="839"/>
      <c r="Q35" s="839"/>
      <c r="R35" s="839"/>
      <c r="S35" s="839"/>
      <c r="T35" s="839"/>
      <c r="U35" s="839"/>
      <c r="V35" s="839"/>
      <c r="W35" s="839"/>
      <c r="X35" s="839"/>
      <c r="Y35" s="839"/>
      <c r="Z35" s="839"/>
      <c r="AA35" s="839"/>
      <c r="AB35" s="839"/>
      <c r="AC35" s="839"/>
      <c r="AD35" s="839"/>
      <c r="AE35" s="839"/>
      <c r="AF35" s="839"/>
      <c r="AG35" s="839"/>
      <c r="AH35" s="839"/>
      <c r="AI35" s="839"/>
      <c r="AJ35" s="839"/>
      <c r="AK35" s="839"/>
      <c r="AL35" s="839"/>
      <c r="AM35" s="839"/>
      <c r="AN35" s="839"/>
      <c r="AO35" s="839"/>
      <c r="AP35" s="817">
        <v>106.9</v>
      </c>
      <c r="AQ35" s="818">
        <v>98.9</v>
      </c>
      <c r="AR35" s="818">
        <v>87.8</v>
      </c>
      <c r="AS35" s="818">
        <v>128.1</v>
      </c>
      <c r="AT35" s="818">
        <v>159.1</v>
      </c>
      <c r="AU35" s="819">
        <v>144.19999999999999</v>
      </c>
      <c r="AV35" s="818">
        <v>157.30000000000001</v>
      </c>
      <c r="AW35" s="818">
        <v>179.1</v>
      </c>
      <c r="AX35" s="820">
        <v>217.6</v>
      </c>
      <c r="AY35" s="821">
        <v>197.3</v>
      </c>
      <c r="AZ35" s="818">
        <v>378.1</v>
      </c>
      <c r="BA35" s="818">
        <v>428.7</v>
      </c>
      <c r="BB35" s="818">
        <v>698.19999999999993</v>
      </c>
      <c r="BC35" s="819">
        <v>420.2</v>
      </c>
      <c r="BD35" s="818">
        <v>814.7</v>
      </c>
      <c r="BE35" s="818">
        <v>609.6</v>
      </c>
      <c r="BF35" s="818">
        <v>661.1</v>
      </c>
      <c r="BG35" s="819">
        <v>613.9</v>
      </c>
      <c r="BH35" s="818">
        <v>759.5</v>
      </c>
      <c r="BI35" s="818">
        <v>781.6</v>
      </c>
      <c r="BJ35" s="818">
        <v>717.8</v>
      </c>
      <c r="BK35" s="819">
        <v>817.1</v>
      </c>
      <c r="BL35" s="818">
        <v>1080.0999999999999</v>
      </c>
      <c r="BM35" s="818">
        <v>916.4</v>
      </c>
      <c r="BN35" s="818">
        <v>1055.8</v>
      </c>
      <c r="BO35" s="819">
        <v>889.2</v>
      </c>
      <c r="BP35" s="818">
        <v>986.4</v>
      </c>
      <c r="BQ35" s="818">
        <v>1015.6999999999999</v>
      </c>
      <c r="BR35" s="818">
        <v>1166.1000000000001</v>
      </c>
      <c r="BS35" s="819">
        <v>1093.4000000000001</v>
      </c>
      <c r="BT35" s="822"/>
    </row>
    <row r="36" spans="1:72">
      <c r="A36" s="420"/>
      <c r="B36" s="421"/>
      <c r="C36" s="422"/>
      <c r="D36" s="420"/>
      <c r="E36" s="420"/>
      <c r="F36" s="420"/>
      <c r="G36" s="420"/>
      <c r="H36" s="420"/>
      <c r="I36" s="420"/>
      <c r="J36" s="420"/>
      <c r="K36" s="420"/>
      <c r="L36" s="420"/>
      <c r="M36" s="420"/>
      <c r="N36" s="420"/>
      <c r="O36" s="420"/>
      <c r="P36" s="420"/>
      <c r="Q36" s="420"/>
      <c r="R36" s="420"/>
      <c r="S36" s="420"/>
      <c r="T36" s="420"/>
      <c r="U36" s="420"/>
      <c r="V36" s="420"/>
      <c r="W36" s="420"/>
      <c r="X36" s="420"/>
      <c r="Y36" s="420"/>
      <c r="Z36" s="420"/>
      <c r="AA36" s="420"/>
      <c r="AB36" s="420"/>
      <c r="AC36" s="420"/>
      <c r="AD36" s="420"/>
      <c r="AE36" s="420"/>
      <c r="AF36" s="420"/>
      <c r="AG36" s="420"/>
      <c r="AH36" s="420"/>
      <c r="AI36" s="420"/>
      <c r="AJ36" s="420"/>
      <c r="AK36" s="420"/>
      <c r="AL36" s="420"/>
      <c r="AM36" s="420"/>
      <c r="AN36" s="420"/>
      <c r="AO36" s="420"/>
      <c r="AP36" s="423"/>
      <c r="AQ36" s="424"/>
      <c r="AR36" s="424"/>
      <c r="AS36" s="424"/>
      <c r="AT36" s="424"/>
      <c r="AU36" s="425"/>
      <c r="AV36" s="424"/>
      <c r="AW36" s="424"/>
      <c r="AX36" s="426"/>
      <c r="AY36" s="427"/>
      <c r="AZ36" s="424"/>
      <c r="BA36" s="424"/>
      <c r="BB36" s="424"/>
      <c r="BC36" s="425"/>
      <c r="BD36" s="424"/>
      <c r="BE36" s="424"/>
      <c r="BF36" s="424"/>
      <c r="BG36" s="425"/>
      <c r="BH36" s="424"/>
      <c r="BI36" s="424"/>
      <c r="BJ36" s="424"/>
      <c r="BK36" s="425"/>
      <c r="BL36" s="424"/>
      <c r="BM36" s="424"/>
      <c r="BN36" s="424"/>
      <c r="BO36" s="425"/>
      <c r="BP36" s="424"/>
      <c r="BQ36" s="424"/>
      <c r="BR36" s="424"/>
      <c r="BS36" s="425"/>
    </row>
    <row r="37" spans="1:72" ht="21.6">
      <c r="A37" s="387" t="s">
        <v>484</v>
      </c>
      <c r="B37" s="388" t="s">
        <v>485</v>
      </c>
      <c r="C37" s="389"/>
      <c r="D37" s="387"/>
      <c r="E37" s="387"/>
      <c r="F37" s="387"/>
      <c r="G37" s="387"/>
      <c r="H37" s="387"/>
      <c r="I37" s="387"/>
      <c r="J37" s="387"/>
      <c r="K37" s="387"/>
      <c r="L37" s="387"/>
      <c r="M37" s="387"/>
      <c r="N37" s="387"/>
      <c r="O37" s="387"/>
      <c r="P37" s="387"/>
      <c r="Q37" s="387"/>
      <c r="R37" s="387"/>
      <c r="S37" s="387"/>
      <c r="T37" s="387"/>
      <c r="U37" s="387"/>
      <c r="V37" s="387"/>
      <c r="W37" s="387"/>
      <c r="X37" s="387"/>
      <c r="Y37" s="387"/>
      <c r="Z37" s="387"/>
      <c r="AA37" s="387"/>
      <c r="AB37" s="387"/>
      <c r="AC37" s="387"/>
      <c r="AD37" s="387"/>
      <c r="AE37" s="387"/>
      <c r="AF37" s="387"/>
      <c r="AG37" s="387"/>
      <c r="AH37" s="387"/>
      <c r="AI37" s="387"/>
      <c r="AJ37" s="387"/>
      <c r="AK37" s="387"/>
      <c r="AL37" s="387"/>
      <c r="AM37" s="387"/>
      <c r="AN37" s="387"/>
      <c r="AO37" s="387"/>
      <c r="AP37" s="390">
        <f t="shared" ref="AP37:BP37" si="9">SUM(AP39,AP55)</f>
        <v>-1467.7000000000003</v>
      </c>
      <c r="AQ37" s="391">
        <f t="shared" si="9"/>
        <v>-1516.1</v>
      </c>
      <c r="AR37" s="391">
        <f t="shared" si="9"/>
        <v>-1535.9</v>
      </c>
      <c r="AS37" s="391">
        <f t="shared" si="9"/>
        <v>-1592.7</v>
      </c>
      <c r="AT37" s="391">
        <f t="shared" si="9"/>
        <v>-1667.5</v>
      </c>
      <c r="AU37" s="392">
        <f t="shared" si="9"/>
        <v>-2086.1999999999998</v>
      </c>
      <c r="AV37" s="391">
        <f t="shared" si="9"/>
        <v>-2235.9999999999995</v>
      </c>
      <c r="AW37" s="391">
        <f t="shared" si="9"/>
        <v>-2203.9</v>
      </c>
      <c r="AX37" s="393">
        <f t="shared" si="9"/>
        <v>-2269.9999999999995</v>
      </c>
      <c r="AY37" s="394">
        <f t="shared" si="9"/>
        <v>-2284.4000000000005</v>
      </c>
      <c r="AZ37" s="391">
        <f t="shared" si="9"/>
        <v>-2422.7999999999997</v>
      </c>
      <c r="BA37" s="391">
        <f t="shared" si="9"/>
        <v>-2534.9</v>
      </c>
      <c r="BB37" s="391">
        <f t="shared" si="9"/>
        <v>-2446</v>
      </c>
      <c r="BC37" s="392">
        <f t="shared" si="9"/>
        <v>-2766.2</v>
      </c>
      <c r="BD37" s="391">
        <f t="shared" si="9"/>
        <v>-3048.0999999999995</v>
      </c>
      <c r="BE37" s="391">
        <f t="shared" si="9"/>
        <v>-3185.7999999999997</v>
      </c>
      <c r="BF37" s="391">
        <f t="shared" si="9"/>
        <v>-3270.4</v>
      </c>
      <c r="BG37" s="392">
        <f t="shared" si="9"/>
        <v>-3390</v>
      </c>
      <c r="BH37" s="391">
        <f t="shared" si="9"/>
        <v>-3008.5</v>
      </c>
      <c r="BI37" s="391">
        <f t="shared" si="9"/>
        <v>-3033.2999999999997</v>
      </c>
      <c r="BJ37" s="391">
        <f t="shared" si="9"/>
        <v>-3113.6</v>
      </c>
      <c r="BK37" s="392">
        <f t="shared" si="9"/>
        <v>-2992.4</v>
      </c>
      <c r="BL37" s="391">
        <f t="shared" si="9"/>
        <v>-3196.8</v>
      </c>
      <c r="BM37" s="391">
        <f t="shared" si="9"/>
        <v>-3083.7000000000003</v>
      </c>
      <c r="BN37" s="391">
        <f t="shared" si="9"/>
        <v>-3269.2</v>
      </c>
      <c r="BO37" s="392">
        <f t="shared" si="9"/>
        <v>-3367.7000000000003</v>
      </c>
      <c r="BP37" s="391">
        <f t="shared" si="9"/>
        <v>-3549.6000000000004</v>
      </c>
      <c r="BQ37" s="391">
        <f>SUM(BQ39,BQ55)</f>
        <v>-3728.5</v>
      </c>
      <c r="BR37" s="391">
        <f>SUM(BR39,BR55)</f>
        <v>-3508.0999999999995</v>
      </c>
      <c r="BS37" s="392">
        <f>SUM(BS39,BS55)</f>
        <v>-3733.5</v>
      </c>
    </row>
    <row r="38" spans="1:72">
      <c r="A38" s="420"/>
      <c r="B38" s="421"/>
      <c r="C38" s="422"/>
      <c r="D38" s="420"/>
      <c r="E38" s="420"/>
      <c r="F38" s="420"/>
      <c r="G38" s="420"/>
      <c r="H38" s="420"/>
      <c r="I38" s="420"/>
      <c r="J38" s="420"/>
      <c r="K38" s="420"/>
      <c r="L38" s="420"/>
      <c r="M38" s="420"/>
      <c r="N38" s="420"/>
      <c r="O38" s="420"/>
      <c r="P38" s="420"/>
      <c r="Q38" s="420"/>
      <c r="R38" s="420"/>
      <c r="S38" s="420"/>
      <c r="T38" s="420"/>
      <c r="U38" s="420"/>
      <c r="V38" s="420"/>
      <c r="W38" s="420"/>
      <c r="X38" s="420"/>
      <c r="Y38" s="420"/>
      <c r="Z38" s="420"/>
      <c r="AA38" s="420"/>
      <c r="AB38" s="420"/>
      <c r="AC38" s="420"/>
      <c r="AD38" s="420"/>
      <c r="AE38" s="420"/>
      <c r="AF38" s="420"/>
      <c r="AG38" s="420"/>
      <c r="AH38" s="420"/>
      <c r="AI38" s="420"/>
      <c r="AJ38" s="420"/>
      <c r="AK38" s="420"/>
      <c r="AL38" s="420"/>
      <c r="AM38" s="420"/>
      <c r="AN38" s="420"/>
      <c r="AO38" s="420"/>
      <c r="AP38" s="423"/>
      <c r="AQ38" s="424"/>
      <c r="AR38" s="424"/>
      <c r="AS38" s="424"/>
      <c r="AT38" s="424"/>
      <c r="AU38" s="425"/>
      <c r="AV38" s="424"/>
      <c r="AW38" s="424"/>
      <c r="AX38" s="426"/>
      <c r="AY38" s="427"/>
      <c r="AZ38" s="424"/>
      <c r="BA38" s="424"/>
      <c r="BB38" s="424"/>
      <c r="BC38" s="425"/>
      <c r="BD38" s="424"/>
      <c r="BE38" s="424"/>
      <c r="BF38" s="424"/>
      <c r="BG38" s="425"/>
      <c r="BH38" s="424"/>
      <c r="BI38" s="424"/>
      <c r="BJ38" s="424"/>
      <c r="BK38" s="425"/>
      <c r="BL38" s="424"/>
      <c r="BM38" s="424"/>
      <c r="BN38" s="424"/>
      <c r="BO38" s="425"/>
      <c r="BP38" s="424"/>
      <c r="BQ38" s="424"/>
      <c r="BR38" s="424"/>
      <c r="BS38" s="376"/>
    </row>
    <row r="39" spans="1:72">
      <c r="A39" s="395" t="s">
        <v>486</v>
      </c>
      <c r="B39" s="396" t="s">
        <v>487</v>
      </c>
      <c r="C39" s="397"/>
      <c r="D39" s="395"/>
      <c r="E39" s="395"/>
      <c r="F39" s="395"/>
      <c r="G39" s="395"/>
      <c r="H39" s="395"/>
      <c r="I39" s="395"/>
      <c r="J39" s="395"/>
      <c r="K39" s="395"/>
      <c r="L39" s="395"/>
      <c r="M39" s="395"/>
      <c r="N39" s="395"/>
      <c r="O39" s="395"/>
      <c r="P39" s="395"/>
      <c r="Q39" s="395"/>
      <c r="R39" s="395"/>
      <c r="S39" s="395"/>
      <c r="T39" s="395"/>
      <c r="U39" s="395"/>
      <c r="V39" s="395"/>
      <c r="W39" s="395"/>
      <c r="X39" s="395"/>
      <c r="Y39" s="395"/>
      <c r="Z39" s="395"/>
      <c r="AA39" s="395"/>
      <c r="AB39" s="395"/>
      <c r="AC39" s="395"/>
      <c r="AD39" s="395"/>
      <c r="AE39" s="395"/>
      <c r="AF39" s="395"/>
      <c r="AG39" s="395"/>
      <c r="AH39" s="395"/>
      <c r="AI39" s="395"/>
      <c r="AJ39" s="395"/>
      <c r="AK39" s="395"/>
      <c r="AL39" s="395"/>
      <c r="AM39" s="395"/>
      <c r="AN39" s="395"/>
      <c r="AO39" s="395"/>
      <c r="AP39" s="398">
        <f t="shared" ref="AP39:AU39" si="10">SUM(AP40:AP42)</f>
        <v>-1467.0000000000002</v>
      </c>
      <c r="AQ39" s="399">
        <f t="shared" si="10"/>
        <v>-1515.3999999999999</v>
      </c>
      <c r="AR39" s="399">
        <f t="shared" si="10"/>
        <v>-1535.2</v>
      </c>
      <c r="AS39" s="399">
        <f t="shared" si="10"/>
        <v>-1592</v>
      </c>
      <c r="AT39" s="399">
        <f t="shared" si="10"/>
        <v>-1666.8</v>
      </c>
      <c r="AU39" s="400">
        <f t="shared" si="10"/>
        <v>-2086.1999999999998</v>
      </c>
      <c r="AV39" s="399">
        <f t="shared" ref="AV39:BP39" si="11">SUM(AV40:AV42)</f>
        <v>-2235.9999999999995</v>
      </c>
      <c r="AW39" s="399">
        <f t="shared" si="11"/>
        <v>-2203.9</v>
      </c>
      <c r="AX39" s="401">
        <f t="shared" si="11"/>
        <v>-2269.9999999999995</v>
      </c>
      <c r="AY39" s="402">
        <f t="shared" si="11"/>
        <v>-2284.4000000000005</v>
      </c>
      <c r="AZ39" s="399">
        <f t="shared" si="11"/>
        <v>-2422.7999999999997</v>
      </c>
      <c r="BA39" s="399">
        <f t="shared" si="11"/>
        <v>-2534.9</v>
      </c>
      <c r="BB39" s="399">
        <f t="shared" si="11"/>
        <v>-2446</v>
      </c>
      <c r="BC39" s="400">
        <f t="shared" si="11"/>
        <v>-2766.2</v>
      </c>
      <c r="BD39" s="399">
        <f t="shared" si="11"/>
        <v>-3047.9999999999995</v>
      </c>
      <c r="BE39" s="399">
        <f t="shared" si="11"/>
        <v>-3185.7</v>
      </c>
      <c r="BF39" s="399">
        <f t="shared" si="11"/>
        <v>-3270.3</v>
      </c>
      <c r="BG39" s="400">
        <f t="shared" si="11"/>
        <v>-3390</v>
      </c>
      <c r="BH39" s="399">
        <f t="shared" si="11"/>
        <v>-3008.5</v>
      </c>
      <c r="BI39" s="399">
        <f t="shared" si="11"/>
        <v>-3033.2999999999997</v>
      </c>
      <c r="BJ39" s="399">
        <f t="shared" si="11"/>
        <v>-3113.6</v>
      </c>
      <c r="BK39" s="400">
        <f t="shared" si="11"/>
        <v>-2992.4</v>
      </c>
      <c r="BL39" s="399">
        <f t="shared" si="11"/>
        <v>-3196.8</v>
      </c>
      <c r="BM39" s="399">
        <f t="shared" si="11"/>
        <v>-3083.7000000000003</v>
      </c>
      <c r="BN39" s="399">
        <f t="shared" si="11"/>
        <v>-3269.2</v>
      </c>
      <c r="BO39" s="400">
        <f t="shared" si="11"/>
        <v>-3367.7000000000003</v>
      </c>
      <c r="BP39" s="399">
        <f t="shared" si="11"/>
        <v>-3549.6000000000004</v>
      </c>
      <c r="BQ39" s="399">
        <f>SUM(BQ40:BQ42)</f>
        <v>-3728.5</v>
      </c>
      <c r="BR39" s="399">
        <f>SUM(BR40:BR42)</f>
        <v>-3508.0999999999995</v>
      </c>
      <c r="BS39" s="400">
        <f>SUM(BS40:BS42)</f>
        <v>-3733.5</v>
      </c>
    </row>
    <row r="40" spans="1:72">
      <c r="A40" s="403" t="s">
        <v>299</v>
      </c>
      <c r="B40" s="823" t="s">
        <v>300</v>
      </c>
      <c r="C40" s="824"/>
      <c r="D40" s="825"/>
      <c r="E40" s="825"/>
      <c r="F40" s="825"/>
      <c r="G40" s="825"/>
      <c r="H40" s="825"/>
      <c r="I40" s="825"/>
      <c r="J40" s="825"/>
      <c r="K40" s="825"/>
      <c r="L40" s="825"/>
      <c r="M40" s="825"/>
      <c r="N40" s="825"/>
      <c r="O40" s="825"/>
      <c r="P40" s="825"/>
      <c r="Q40" s="825"/>
      <c r="R40" s="825"/>
      <c r="S40" s="825"/>
      <c r="T40" s="825"/>
      <c r="U40" s="825"/>
      <c r="V40" s="825"/>
      <c r="W40" s="825"/>
      <c r="X40" s="825"/>
      <c r="Y40" s="825"/>
      <c r="Z40" s="825"/>
      <c r="AA40" s="825"/>
      <c r="AB40" s="825"/>
      <c r="AC40" s="825"/>
      <c r="AD40" s="825"/>
      <c r="AE40" s="825"/>
      <c r="AF40" s="825"/>
      <c r="AG40" s="825"/>
      <c r="AH40" s="825"/>
      <c r="AI40" s="825"/>
      <c r="AJ40" s="825"/>
      <c r="AK40" s="825"/>
      <c r="AL40" s="825"/>
      <c r="AM40" s="825"/>
      <c r="AN40" s="825"/>
      <c r="AO40" s="825"/>
      <c r="AP40" s="817">
        <v>-584.6</v>
      </c>
      <c r="AQ40" s="818">
        <v>-623.29999999999995</v>
      </c>
      <c r="AR40" s="818">
        <v>-659.4</v>
      </c>
      <c r="AS40" s="818">
        <v>-664.6</v>
      </c>
      <c r="AT40" s="818">
        <v>-695.6</v>
      </c>
      <c r="AU40" s="819">
        <v>-1004.4</v>
      </c>
      <c r="AV40" s="818">
        <v>-1103.8</v>
      </c>
      <c r="AW40" s="818">
        <v>-1021.7</v>
      </c>
      <c r="AX40" s="820">
        <v>-1105.5999999999999</v>
      </c>
      <c r="AY40" s="821">
        <v>-1151.9000000000001</v>
      </c>
      <c r="AZ40" s="818">
        <v>-1224.2</v>
      </c>
      <c r="BA40" s="818">
        <v>-1327.1</v>
      </c>
      <c r="BB40" s="818">
        <v>-1203.9000000000001</v>
      </c>
      <c r="BC40" s="819">
        <v>-1378.8</v>
      </c>
      <c r="BD40" s="818">
        <v>-1489.1</v>
      </c>
      <c r="BE40" s="818">
        <v>-1588.8</v>
      </c>
      <c r="BF40" s="818">
        <v>-1694.7</v>
      </c>
      <c r="BG40" s="819">
        <v>-1796.6000000000001</v>
      </c>
      <c r="BH40" s="818">
        <v>-1465.3</v>
      </c>
      <c r="BI40" s="818">
        <v>-1546.1</v>
      </c>
      <c r="BJ40" s="818">
        <v>-1596.1999999999998</v>
      </c>
      <c r="BK40" s="819">
        <v>-1723.2</v>
      </c>
      <c r="BL40" s="818">
        <v>-1883.5</v>
      </c>
      <c r="BM40" s="818">
        <v>-1643.7</v>
      </c>
      <c r="BN40" s="818">
        <v>-1784.8</v>
      </c>
      <c r="BO40" s="819">
        <v>-1822.5</v>
      </c>
      <c r="BP40" s="818">
        <v>-1901.5</v>
      </c>
      <c r="BQ40" s="818">
        <v>-2005.4</v>
      </c>
      <c r="BR40" s="818">
        <v>-1686.8</v>
      </c>
      <c r="BS40" s="819">
        <v>-1746.7</v>
      </c>
      <c r="BT40" s="822"/>
    </row>
    <row r="41" spans="1:72">
      <c r="A41" s="403" t="s">
        <v>301</v>
      </c>
      <c r="B41" s="823" t="s">
        <v>302</v>
      </c>
      <c r="C41" s="824"/>
      <c r="D41" s="825"/>
      <c r="E41" s="825"/>
      <c r="F41" s="825"/>
      <c r="G41" s="825"/>
      <c r="H41" s="825"/>
      <c r="I41" s="825"/>
      <c r="J41" s="825"/>
      <c r="K41" s="825"/>
      <c r="L41" s="825"/>
      <c r="M41" s="825"/>
      <c r="N41" s="825"/>
      <c r="O41" s="825"/>
      <c r="P41" s="825"/>
      <c r="Q41" s="825"/>
      <c r="R41" s="825"/>
      <c r="S41" s="825"/>
      <c r="T41" s="825"/>
      <c r="U41" s="825"/>
      <c r="V41" s="825"/>
      <c r="W41" s="825"/>
      <c r="X41" s="825"/>
      <c r="Y41" s="825"/>
      <c r="Z41" s="825"/>
      <c r="AA41" s="825"/>
      <c r="AB41" s="825"/>
      <c r="AC41" s="825"/>
      <c r="AD41" s="825"/>
      <c r="AE41" s="825"/>
      <c r="AF41" s="825"/>
      <c r="AG41" s="825"/>
      <c r="AH41" s="825"/>
      <c r="AI41" s="825"/>
      <c r="AJ41" s="825"/>
      <c r="AK41" s="825"/>
      <c r="AL41" s="825"/>
      <c r="AM41" s="825"/>
      <c r="AN41" s="825"/>
      <c r="AO41" s="825"/>
      <c r="AP41" s="817">
        <v>-881.2</v>
      </c>
      <c r="AQ41" s="818">
        <v>-890.9</v>
      </c>
      <c r="AR41" s="818">
        <v>-874.5</v>
      </c>
      <c r="AS41" s="818">
        <v>-926.1</v>
      </c>
      <c r="AT41" s="818">
        <v>-970</v>
      </c>
      <c r="AU41" s="819">
        <v>-1080.3</v>
      </c>
      <c r="AV41" s="818">
        <v>-1131.5999999999999</v>
      </c>
      <c r="AW41" s="818">
        <v>-1181.8</v>
      </c>
      <c r="AX41" s="820">
        <v>-1164.3</v>
      </c>
      <c r="AY41" s="821">
        <v>-1132.2</v>
      </c>
      <c r="AZ41" s="818">
        <v>-1198.5</v>
      </c>
      <c r="BA41" s="818">
        <v>-1207.4000000000001</v>
      </c>
      <c r="BB41" s="818">
        <v>-1241.8</v>
      </c>
      <c r="BC41" s="819">
        <v>-1387.2</v>
      </c>
      <c r="BD41" s="818">
        <v>-1558.3</v>
      </c>
      <c r="BE41" s="818">
        <v>-1596.4</v>
      </c>
      <c r="BF41" s="818">
        <v>-1574.9</v>
      </c>
      <c r="BG41" s="819">
        <v>-1592.9</v>
      </c>
      <c r="BH41" s="818">
        <v>-1542.8</v>
      </c>
      <c r="BI41" s="818">
        <v>-1486.8</v>
      </c>
      <c r="BJ41" s="818">
        <v>-1517.1</v>
      </c>
      <c r="BK41" s="819">
        <v>-1267.7</v>
      </c>
      <c r="BL41" s="818">
        <v>-1311.4</v>
      </c>
      <c r="BM41" s="818">
        <v>-1435.2</v>
      </c>
      <c r="BN41" s="818">
        <v>-1475.9</v>
      </c>
      <c r="BO41" s="819">
        <v>-1541.9</v>
      </c>
      <c r="BP41" s="818">
        <v>-1643.3</v>
      </c>
      <c r="BQ41" s="818">
        <v>-1719.8</v>
      </c>
      <c r="BR41" s="818">
        <v>-1818.1</v>
      </c>
      <c r="BS41" s="819">
        <v>-1985.2</v>
      </c>
      <c r="BT41" s="822"/>
    </row>
    <row r="42" spans="1:72">
      <c r="A42" s="403" t="s">
        <v>303</v>
      </c>
      <c r="B42" s="823" t="s">
        <v>304</v>
      </c>
      <c r="C42" s="824"/>
      <c r="D42" s="825"/>
      <c r="E42" s="825"/>
      <c r="F42" s="825"/>
      <c r="G42" s="825"/>
      <c r="H42" s="825"/>
      <c r="I42" s="825"/>
      <c r="J42" s="825"/>
      <c r="K42" s="825"/>
      <c r="L42" s="825"/>
      <c r="M42" s="825"/>
      <c r="N42" s="825"/>
      <c r="O42" s="825"/>
      <c r="P42" s="825"/>
      <c r="Q42" s="825"/>
      <c r="R42" s="825"/>
      <c r="S42" s="825"/>
      <c r="T42" s="825"/>
      <c r="U42" s="825"/>
      <c r="V42" s="825"/>
      <c r="W42" s="825"/>
      <c r="X42" s="825"/>
      <c r="Y42" s="825"/>
      <c r="Z42" s="825"/>
      <c r="AA42" s="825"/>
      <c r="AB42" s="825"/>
      <c r="AC42" s="825"/>
      <c r="AD42" s="825"/>
      <c r="AE42" s="825"/>
      <c r="AF42" s="825"/>
      <c r="AG42" s="825"/>
      <c r="AH42" s="825"/>
      <c r="AI42" s="825"/>
      <c r="AJ42" s="825"/>
      <c r="AK42" s="825"/>
      <c r="AL42" s="825"/>
      <c r="AM42" s="825"/>
      <c r="AN42" s="825"/>
      <c r="AO42" s="825"/>
      <c r="AP42" s="817">
        <v>-1.2</v>
      </c>
      <c r="AQ42" s="818">
        <v>-1.2</v>
      </c>
      <c r="AR42" s="818">
        <v>-1.3</v>
      </c>
      <c r="AS42" s="818">
        <v>-1.3</v>
      </c>
      <c r="AT42" s="818">
        <v>-1.2</v>
      </c>
      <c r="AU42" s="819">
        <v>-1.5</v>
      </c>
      <c r="AV42" s="818">
        <v>-0.6</v>
      </c>
      <c r="AW42" s="818">
        <v>-0.4</v>
      </c>
      <c r="AX42" s="820">
        <v>-0.1</v>
      </c>
      <c r="AY42" s="821">
        <v>-0.3</v>
      </c>
      <c r="AZ42" s="818">
        <v>-0.1</v>
      </c>
      <c r="BA42" s="818">
        <v>-0.4</v>
      </c>
      <c r="BB42" s="818">
        <v>-0.3</v>
      </c>
      <c r="BC42" s="819">
        <v>-0.2</v>
      </c>
      <c r="BD42" s="818">
        <v>-0.6</v>
      </c>
      <c r="BE42" s="818">
        <v>-0.5</v>
      </c>
      <c r="BF42" s="818">
        <v>-0.7</v>
      </c>
      <c r="BG42" s="819">
        <v>-0.5</v>
      </c>
      <c r="BH42" s="818">
        <v>-0.4</v>
      </c>
      <c r="BI42" s="818">
        <v>-0.4</v>
      </c>
      <c r="BJ42" s="818">
        <v>-0.3</v>
      </c>
      <c r="BK42" s="819">
        <v>-1.5</v>
      </c>
      <c r="BL42" s="818">
        <v>-1.9</v>
      </c>
      <c r="BM42" s="818">
        <v>-4.8</v>
      </c>
      <c r="BN42" s="818">
        <v>-8.5</v>
      </c>
      <c r="BO42" s="819">
        <v>-3.3</v>
      </c>
      <c r="BP42" s="818">
        <v>-4.8</v>
      </c>
      <c r="BQ42" s="818">
        <v>-3.3000000000000003</v>
      </c>
      <c r="BR42" s="818">
        <v>-3.2</v>
      </c>
      <c r="BS42" s="819">
        <v>-1.6</v>
      </c>
      <c r="BT42" s="822"/>
    </row>
    <row r="43" spans="1:72">
      <c r="A43" s="406" t="s">
        <v>458</v>
      </c>
      <c r="B43" s="826" t="s">
        <v>459</v>
      </c>
      <c r="C43" s="827"/>
      <c r="D43" s="828"/>
      <c r="E43" s="828"/>
      <c r="F43" s="828"/>
      <c r="G43" s="828"/>
      <c r="H43" s="828"/>
      <c r="I43" s="828"/>
      <c r="J43" s="828"/>
      <c r="K43" s="828"/>
      <c r="L43" s="828"/>
      <c r="M43" s="828"/>
      <c r="N43" s="828"/>
      <c r="O43" s="828"/>
      <c r="P43" s="828"/>
      <c r="Q43" s="828"/>
      <c r="R43" s="828"/>
      <c r="S43" s="828"/>
      <c r="T43" s="828"/>
      <c r="U43" s="828"/>
      <c r="V43" s="828"/>
      <c r="W43" s="828"/>
      <c r="X43" s="828"/>
      <c r="Y43" s="828"/>
      <c r="Z43" s="828"/>
      <c r="AA43" s="828"/>
      <c r="AB43" s="828"/>
      <c r="AC43" s="828"/>
      <c r="AD43" s="828"/>
      <c r="AE43" s="828"/>
      <c r="AF43" s="828"/>
      <c r="AG43" s="828"/>
      <c r="AH43" s="828"/>
      <c r="AI43" s="828"/>
      <c r="AJ43" s="828"/>
      <c r="AK43" s="828"/>
      <c r="AL43" s="828"/>
      <c r="AM43" s="828"/>
      <c r="AN43" s="828"/>
      <c r="AO43" s="828"/>
      <c r="AP43" s="829">
        <f t="shared" ref="AP43:AU43" si="12">SUM(AP44,AP50)</f>
        <v>-1467</v>
      </c>
      <c r="AQ43" s="830">
        <f t="shared" si="12"/>
        <v>-1515.3999999999999</v>
      </c>
      <c r="AR43" s="830">
        <f t="shared" si="12"/>
        <v>-1535.2</v>
      </c>
      <c r="AS43" s="830">
        <f t="shared" si="12"/>
        <v>-1592</v>
      </c>
      <c r="AT43" s="830">
        <f t="shared" si="12"/>
        <v>-1666.8</v>
      </c>
      <c r="AU43" s="831">
        <f t="shared" si="12"/>
        <v>-2086.2000000000003</v>
      </c>
      <c r="AV43" s="830">
        <f>SUM(AV44,AV50)</f>
        <v>-2236</v>
      </c>
      <c r="AW43" s="830">
        <f>SUM(AW44,AW50)</f>
        <v>-2203.8999999999996</v>
      </c>
      <c r="AX43" s="832">
        <f>SUM(AX44,AX50)</f>
        <v>-2270</v>
      </c>
      <c r="AY43" s="833">
        <f t="shared" ref="AY43:BP43" si="13">SUM(AY44,AY50)</f>
        <v>-2284.4</v>
      </c>
      <c r="AZ43" s="830">
        <f t="shared" si="13"/>
        <v>-2422.8000000000002</v>
      </c>
      <c r="BA43" s="830">
        <f t="shared" si="13"/>
        <v>-2534.8999999999996</v>
      </c>
      <c r="BB43" s="830">
        <f t="shared" si="13"/>
        <v>-2446</v>
      </c>
      <c r="BC43" s="831">
        <f t="shared" si="13"/>
        <v>-2766.2000000000003</v>
      </c>
      <c r="BD43" s="830">
        <f t="shared" si="13"/>
        <v>-3048</v>
      </c>
      <c r="BE43" s="830">
        <f t="shared" si="13"/>
        <v>-3185.7</v>
      </c>
      <c r="BF43" s="830">
        <f t="shared" si="13"/>
        <v>-3270.3</v>
      </c>
      <c r="BG43" s="831">
        <f t="shared" si="13"/>
        <v>-3390</v>
      </c>
      <c r="BH43" s="830">
        <f t="shared" si="13"/>
        <v>-3008.5</v>
      </c>
      <c r="BI43" s="830">
        <f t="shared" si="13"/>
        <v>-3033.3</v>
      </c>
      <c r="BJ43" s="830">
        <f t="shared" si="13"/>
        <v>-3113.6</v>
      </c>
      <c r="BK43" s="831">
        <f t="shared" si="13"/>
        <v>-2992.3999999999996</v>
      </c>
      <c r="BL43" s="830">
        <f t="shared" si="13"/>
        <v>-3196.8</v>
      </c>
      <c r="BM43" s="830">
        <f t="shared" si="13"/>
        <v>-3083.7</v>
      </c>
      <c r="BN43" s="830">
        <f t="shared" si="13"/>
        <v>-3269.2</v>
      </c>
      <c r="BO43" s="831">
        <f t="shared" si="13"/>
        <v>-3367.7</v>
      </c>
      <c r="BP43" s="830">
        <f t="shared" si="13"/>
        <v>-3549.6</v>
      </c>
      <c r="BQ43" s="830">
        <f>SUM(BQ44,BQ50)</f>
        <v>-3728.5</v>
      </c>
      <c r="BR43" s="830">
        <f>SUM(BR44,BR50)</f>
        <v>-3508.0999999999995</v>
      </c>
      <c r="BS43" s="831">
        <f>SUM(BS44,BS50)</f>
        <v>-3733.5</v>
      </c>
      <c r="BT43" s="822"/>
    </row>
    <row r="44" spans="1:72">
      <c r="A44" s="414" t="s">
        <v>307</v>
      </c>
      <c r="B44" s="834" t="s">
        <v>308</v>
      </c>
      <c r="C44" s="835"/>
      <c r="D44" s="836"/>
      <c r="E44" s="836"/>
      <c r="F44" s="836"/>
      <c r="G44" s="836"/>
      <c r="H44" s="836"/>
      <c r="I44" s="836"/>
      <c r="J44" s="836"/>
      <c r="K44" s="836"/>
      <c r="L44" s="836"/>
      <c r="M44" s="836"/>
      <c r="N44" s="836"/>
      <c r="O44" s="836"/>
      <c r="P44" s="836"/>
      <c r="Q44" s="836"/>
      <c r="R44" s="836"/>
      <c r="S44" s="836"/>
      <c r="T44" s="836"/>
      <c r="U44" s="836"/>
      <c r="V44" s="836"/>
      <c r="W44" s="836"/>
      <c r="X44" s="836"/>
      <c r="Y44" s="836"/>
      <c r="Z44" s="836"/>
      <c r="AA44" s="836"/>
      <c r="AB44" s="836"/>
      <c r="AC44" s="836"/>
      <c r="AD44" s="836"/>
      <c r="AE44" s="836"/>
      <c r="AF44" s="836"/>
      <c r="AG44" s="836"/>
      <c r="AH44" s="836"/>
      <c r="AI44" s="836"/>
      <c r="AJ44" s="836"/>
      <c r="AK44" s="836"/>
      <c r="AL44" s="836"/>
      <c r="AM44" s="836"/>
      <c r="AN44" s="836"/>
      <c r="AO44" s="836"/>
      <c r="AP44" s="829">
        <f t="shared" ref="AP44:AU44" si="14">SUM(AP45:AP49)</f>
        <v>-939.9</v>
      </c>
      <c r="AQ44" s="830">
        <f t="shared" si="14"/>
        <v>-952.39999999999986</v>
      </c>
      <c r="AR44" s="830">
        <f t="shared" si="14"/>
        <v>-933.60000000000014</v>
      </c>
      <c r="AS44" s="830">
        <f t="shared" si="14"/>
        <v>-989.9</v>
      </c>
      <c r="AT44" s="830">
        <f t="shared" si="14"/>
        <v>-1039</v>
      </c>
      <c r="AU44" s="831">
        <f t="shared" si="14"/>
        <v>-1157.5</v>
      </c>
      <c r="AV44" s="830">
        <f>SUM(AV45:AV49)</f>
        <v>-1211.5999999999999</v>
      </c>
      <c r="AW44" s="830">
        <f>SUM(AW45:AW49)</f>
        <v>-1275.8</v>
      </c>
      <c r="AX44" s="832">
        <f>SUM(AX45:AX49)</f>
        <v>-1261.5</v>
      </c>
      <c r="AY44" s="833">
        <f t="shared" ref="AY44:BP44" si="15">SUM(AY45:AY49)</f>
        <v>-1508.4</v>
      </c>
      <c r="AZ44" s="830">
        <f t="shared" si="15"/>
        <v>-1614</v>
      </c>
      <c r="BA44" s="830">
        <f t="shared" si="15"/>
        <v>-1659.5999999999997</v>
      </c>
      <c r="BB44" s="830">
        <f t="shared" si="15"/>
        <v>-1685.9999999999998</v>
      </c>
      <c r="BC44" s="831">
        <f t="shared" si="15"/>
        <v>-1891.8000000000002</v>
      </c>
      <c r="BD44" s="830">
        <f t="shared" si="15"/>
        <v>-2110.5</v>
      </c>
      <c r="BE44" s="830">
        <f t="shared" si="15"/>
        <v>-2181.6</v>
      </c>
      <c r="BF44" s="830">
        <f t="shared" si="15"/>
        <v>-2183.2000000000003</v>
      </c>
      <c r="BG44" s="831">
        <f t="shared" si="15"/>
        <v>-2235.1</v>
      </c>
      <c r="BH44" s="830">
        <f t="shared" si="15"/>
        <v>-2094.1</v>
      </c>
      <c r="BI44" s="830">
        <f t="shared" si="15"/>
        <v>-2085.0000000000005</v>
      </c>
      <c r="BJ44" s="830">
        <f t="shared" si="15"/>
        <v>-2158.1999999999998</v>
      </c>
      <c r="BK44" s="831">
        <f t="shared" si="15"/>
        <v>-1982.3</v>
      </c>
      <c r="BL44" s="830">
        <f t="shared" si="15"/>
        <v>-2074.3000000000002</v>
      </c>
      <c r="BM44" s="830">
        <f t="shared" si="15"/>
        <v>-2113</v>
      </c>
      <c r="BN44" s="830">
        <f t="shared" si="15"/>
        <v>-2192.1999999999998</v>
      </c>
      <c r="BO44" s="831">
        <f t="shared" si="15"/>
        <v>-2271.9</v>
      </c>
      <c r="BP44" s="830">
        <f t="shared" si="15"/>
        <v>-2389</v>
      </c>
      <c r="BQ44" s="830">
        <f>SUM(BQ45:BQ49)</f>
        <v>-2514.3000000000002</v>
      </c>
      <c r="BR44" s="830">
        <f>SUM(BR45:BR49)</f>
        <v>-2525.0999999999995</v>
      </c>
      <c r="BS44" s="831">
        <f>SUM(BS45:BS49)</f>
        <v>-2717.7000000000003</v>
      </c>
      <c r="BT44" s="822"/>
    </row>
    <row r="45" spans="1:72">
      <c r="A45" s="417" t="s">
        <v>460</v>
      </c>
      <c r="B45" s="837" t="s">
        <v>461</v>
      </c>
      <c r="C45" s="838"/>
      <c r="D45" s="839"/>
      <c r="E45" s="839"/>
      <c r="F45" s="839"/>
      <c r="G45" s="839"/>
      <c r="H45" s="839"/>
      <c r="I45" s="839"/>
      <c r="J45" s="839"/>
      <c r="K45" s="839"/>
      <c r="L45" s="839"/>
      <c r="M45" s="839"/>
      <c r="N45" s="839"/>
      <c r="O45" s="839"/>
      <c r="P45" s="839"/>
      <c r="Q45" s="839"/>
      <c r="R45" s="839"/>
      <c r="S45" s="839"/>
      <c r="T45" s="839"/>
      <c r="U45" s="839"/>
      <c r="V45" s="839"/>
      <c r="W45" s="839"/>
      <c r="X45" s="839"/>
      <c r="Y45" s="839"/>
      <c r="Z45" s="839"/>
      <c r="AA45" s="839"/>
      <c r="AB45" s="839"/>
      <c r="AC45" s="839"/>
      <c r="AD45" s="839"/>
      <c r="AE45" s="839"/>
      <c r="AF45" s="839"/>
      <c r="AG45" s="839"/>
      <c r="AH45" s="839"/>
      <c r="AI45" s="839"/>
      <c r="AJ45" s="839"/>
      <c r="AK45" s="839"/>
      <c r="AL45" s="839"/>
      <c r="AM45" s="839"/>
      <c r="AN45" s="839"/>
      <c r="AO45" s="839"/>
      <c r="AP45" s="817">
        <v>-265.29999999999995</v>
      </c>
      <c r="AQ45" s="818">
        <v>-289.89999999999998</v>
      </c>
      <c r="AR45" s="818">
        <v>-287.5</v>
      </c>
      <c r="AS45" s="818">
        <v>-287.60000000000002</v>
      </c>
      <c r="AT45" s="818">
        <v>-310.59999999999997</v>
      </c>
      <c r="AU45" s="819">
        <v>-390.4</v>
      </c>
      <c r="AV45" s="818">
        <v>-406.20000000000005</v>
      </c>
      <c r="AW45" s="818">
        <v>-423</v>
      </c>
      <c r="AX45" s="820">
        <v>-460.1</v>
      </c>
      <c r="AY45" s="821">
        <v>-472.40000000000003</v>
      </c>
      <c r="AZ45" s="818">
        <v>-503.9</v>
      </c>
      <c r="BA45" s="818">
        <v>-521.09999999999991</v>
      </c>
      <c r="BB45" s="818">
        <v>-515.79999999999995</v>
      </c>
      <c r="BC45" s="819">
        <v>-550.1</v>
      </c>
      <c r="BD45" s="818">
        <v>-565.6</v>
      </c>
      <c r="BE45" s="818">
        <v>-588.19999999999993</v>
      </c>
      <c r="BF45" s="818">
        <v>-567.80000000000007</v>
      </c>
      <c r="BG45" s="819">
        <v>-564.69999999999993</v>
      </c>
      <c r="BH45" s="818">
        <v>-517.70000000000005</v>
      </c>
      <c r="BI45" s="818">
        <v>-544.80000000000007</v>
      </c>
      <c r="BJ45" s="818">
        <v>-560</v>
      </c>
      <c r="BK45" s="819">
        <v>-429.2</v>
      </c>
      <c r="BL45" s="818">
        <v>-440.09999999999997</v>
      </c>
      <c r="BM45" s="818">
        <v>-462.59999999999997</v>
      </c>
      <c r="BN45" s="818">
        <v>-484</v>
      </c>
      <c r="BO45" s="819">
        <v>-535.5</v>
      </c>
      <c r="BP45" s="818">
        <v>-537.9</v>
      </c>
      <c r="BQ45" s="818">
        <v>-545.79999999999995</v>
      </c>
      <c r="BR45" s="818">
        <v>-140.1</v>
      </c>
      <c r="BS45" s="819">
        <v>-208.29999999999998</v>
      </c>
      <c r="BT45" s="822"/>
    </row>
    <row r="46" spans="1:72">
      <c r="A46" s="417" t="s">
        <v>462</v>
      </c>
      <c r="B46" s="837" t="s">
        <v>463</v>
      </c>
      <c r="C46" s="838"/>
      <c r="D46" s="839"/>
      <c r="E46" s="839"/>
      <c r="F46" s="839"/>
      <c r="G46" s="839"/>
      <c r="H46" s="839"/>
      <c r="I46" s="839"/>
      <c r="J46" s="839"/>
      <c r="K46" s="839"/>
      <c r="L46" s="839"/>
      <c r="M46" s="839"/>
      <c r="N46" s="839"/>
      <c r="O46" s="839"/>
      <c r="P46" s="839"/>
      <c r="Q46" s="839"/>
      <c r="R46" s="839"/>
      <c r="S46" s="839"/>
      <c r="T46" s="839"/>
      <c r="U46" s="839"/>
      <c r="V46" s="839"/>
      <c r="W46" s="839"/>
      <c r="X46" s="839"/>
      <c r="Y46" s="839"/>
      <c r="Z46" s="839"/>
      <c r="AA46" s="839"/>
      <c r="AB46" s="839"/>
      <c r="AC46" s="839"/>
      <c r="AD46" s="839"/>
      <c r="AE46" s="839"/>
      <c r="AF46" s="839"/>
      <c r="AG46" s="839"/>
      <c r="AH46" s="839"/>
      <c r="AI46" s="839"/>
      <c r="AJ46" s="839"/>
      <c r="AK46" s="839"/>
      <c r="AL46" s="839"/>
      <c r="AM46" s="839"/>
      <c r="AN46" s="839"/>
      <c r="AO46" s="839"/>
      <c r="AP46" s="817">
        <v>-585.20000000000005</v>
      </c>
      <c r="AQ46" s="818">
        <v>-583.19999999999993</v>
      </c>
      <c r="AR46" s="818">
        <v>-582.20000000000005</v>
      </c>
      <c r="AS46" s="818">
        <v>-631.79999999999995</v>
      </c>
      <c r="AT46" s="818">
        <v>-650.6</v>
      </c>
      <c r="AU46" s="819">
        <v>-702.5</v>
      </c>
      <c r="AV46" s="818">
        <v>-740.2</v>
      </c>
      <c r="AW46" s="818">
        <v>-782.2</v>
      </c>
      <c r="AX46" s="820">
        <v>-726.59999999999991</v>
      </c>
      <c r="AY46" s="821">
        <v>-953.40000000000009</v>
      </c>
      <c r="AZ46" s="818">
        <v>-1017.5</v>
      </c>
      <c r="BA46" s="818">
        <v>-1047.8</v>
      </c>
      <c r="BB46" s="818">
        <v>-1067.4000000000001</v>
      </c>
      <c r="BC46" s="819">
        <v>-1211.8</v>
      </c>
      <c r="BD46" s="818">
        <v>-1375.6000000000001</v>
      </c>
      <c r="BE46" s="818">
        <v>-1409</v>
      </c>
      <c r="BF46" s="818">
        <v>-1417.7000000000003</v>
      </c>
      <c r="BG46" s="819">
        <v>-1476.8999999999999</v>
      </c>
      <c r="BH46" s="818">
        <v>-1374.7</v>
      </c>
      <c r="BI46" s="818">
        <v>-1373.9</v>
      </c>
      <c r="BJ46" s="818">
        <v>-1441.6999999999998</v>
      </c>
      <c r="BK46" s="819">
        <v>-1408.2</v>
      </c>
      <c r="BL46" s="818">
        <v>-1489.6000000000001</v>
      </c>
      <c r="BM46" s="818">
        <v>-1479.5</v>
      </c>
      <c r="BN46" s="818">
        <v>-1518.9</v>
      </c>
      <c r="BO46" s="819">
        <v>-1544.6000000000001</v>
      </c>
      <c r="BP46" s="818">
        <v>-1671.7</v>
      </c>
      <c r="BQ46" s="818">
        <v>-1782.5</v>
      </c>
      <c r="BR46" s="818">
        <v>-2201</v>
      </c>
      <c r="BS46" s="819">
        <v>-2316.9</v>
      </c>
      <c r="BT46" s="822"/>
    </row>
    <row r="47" spans="1:72">
      <c r="A47" s="417" t="s">
        <v>464</v>
      </c>
      <c r="B47" s="837" t="s">
        <v>465</v>
      </c>
      <c r="C47" s="838"/>
      <c r="D47" s="839"/>
      <c r="E47" s="839"/>
      <c r="F47" s="839"/>
      <c r="G47" s="839"/>
      <c r="H47" s="839"/>
      <c r="I47" s="839"/>
      <c r="J47" s="839"/>
      <c r="K47" s="839"/>
      <c r="L47" s="839"/>
      <c r="M47" s="839"/>
      <c r="N47" s="839"/>
      <c r="O47" s="839"/>
      <c r="P47" s="839"/>
      <c r="Q47" s="839"/>
      <c r="R47" s="839"/>
      <c r="S47" s="839"/>
      <c r="T47" s="839"/>
      <c r="U47" s="839"/>
      <c r="V47" s="839"/>
      <c r="W47" s="839"/>
      <c r="X47" s="839"/>
      <c r="Y47" s="839"/>
      <c r="Z47" s="839"/>
      <c r="AA47" s="839"/>
      <c r="AB47" s="839"/>
      <c r="AC47" s="839"/>
      <c r="AD47" s="839"/>
      <c r="AE47" s="839"/>
      <c r="AF47" s="839"/>
      <c r="AG47" s="839"/>
      <c r="AH47" s="839"/>
      <c r="AI47" s="839"/>
      <c r="AJ47" s="839"/>
      <c r="AK47" s="839"/>
      <c r="AL47" s="839"/>
      <c r="AM47" s="839"/>
      <c r="AN47" s="839"/>
      <c r="AO47" s="839"/>
      <c r="AP47" s="817">
        <v>-49</v>
      </c>
      <c r="AQ47" s="818">
        <v>-39.299999999999997</v>
      </c>
      <c r="AR47" s="818">
        <v>-26.700000000000003</v>
      </c>
      <c r="AS47" s="818">
        <v>-26.9</v>
      </c>
      <c r="AT47" s="818">
        <v>-30.9</v>
      </c>
      <c r="AU47" s="819">
        <v>-42.3</v>
      </c>
      <c r="AV47" s="818">
        <v>-42.6</v>
      </c>
      <c r="AW47" s="818">
        <v>-43.5</v>
      </c>
      <c r="AX47" s="820">
        <v>-46.9</v>
      </c>
      <c r="AY47" s="821">
        <v>-55.5</v>
      </c>
      <c r="AZ47" s="818">
        <v>-57.199999999999996</v>
      </c>
      <c r="BA47" s="818">
        <v>-46.5</v>
      </c>
      <c r="BB47" s="818">
        <v>-62.1</v>
      </c>
      <c r="BC47" s="819">
        <v>-81.900000000000006</v>
      </c>
      <c r="BD47" s="818">
        <v>-113.2</v>
      </c>
      <c r="BE47" s="818">
        <v>-121.5</v>
      </c>
      <c r="BF47" s="818">
        <v>-134.5</v>
      </c>
      <c r="BG47" s="819">
        <v>-129.60000000000002</v>
      </c>
      <c r="BH47" s="818">
        <v>-138.10000000000002</v>
      </c>
      <c r="BI47" s="818">
        <v>-96.499999999999986</v>
      </c>
      <c r="BJ47" s="818">
        <v>-90.000000000000014</v>
      </c>
      <c r="BK47" s="819">
        <v>-87.100000000000009</v>
      </c>
      <c r="BL47" s="818">
        <v>-84.2</v>
      </c>
      <c r="BM47" s="818">
        <v>-106.7</v>
      </c>
      <c r="BN47" s="818">
        <v>-115.60000000000002</v>
      </c>
      <c r="BO47" s="819">
        <v>-116.5</v>
      </c>
      <c r="BP47" s="818">
        <v>-94.5</v>
      </c>
      <c r="BQ47" s="818">
        <v>-99.4</v>
      </c>
      <c r="BR47" s="818">
        <v>-78.099999999999994</v>
      </c>
      <c r="BS47" s="819">
        <v>-89.499999999999986</v>
      </c>
      <c r="BT47" s="822"/>
    </row>
    <row r="48" spans="1:72">
      <c r="A48" s="417" t="s">
        <v>466</v>
      </c>
      <c r="B48" s="837" t="s">
        <v>467</v>
      </c>
      <c r="C48" s="838"/>
      <c r="D48" s="839"/>
      <c r="E48" s="839"/>
      <c r="F48" s="839"/>
      <c r="G48" s="839"/>
      <c r="H48" s="839"/>
      <c r="I48" s="839"/>
      <c r="J48" s="839"/>
      <c r="K48" s="839"/>
      <c r="L48" s="839"/>
      <c r="M48" s="839"/>
      <c r="N48" s="839"/>
      <c r="O48" s="839"/>
      <c r="P48" s="839"/>
      <c r="Q48" s="839"/>
      <c r="R48" s="839"/>
      <c r="S48" s="839"/>
      <c r="T48" s="839"/>
      <c r="U48" s="839"/>
      <c r="V48" s="839"/>
      <c r="W48" s="839"/>
      <c r="X48" s="839"/>
      <c r="Y48" s="839"/>
      <c r="Z48" s="839"/>
      <c r="AA48" s="839"/>
      <c r="AB48" s="839"/>
      <c r="AC48" s="839"/>
      <c r="AD48" s="839"/>
      <c r="AE48" s="839"/>
      <c r="AF48" s="839"/>
      <c r="AG48" s="839"/>
      <c r="AH48" s="839"/>
      <c r="AI48" s="839"/>
      <c r="AJ48" s="839"/>
      <c r="AK48" s="839"/>
      <c r="AL48" s="839"/>
      <c r="AM48" s="839"/>
      <c r="AN48" s="839"/>
      <c r="AO48" s="839"/>
      <c r="AP48" s="817">
        <v>-23.3</v>
      </c>
      <c r="AQ48" s="818">
        <v>-23.5</v>
      </c>
      <c r="AR48" s="818">
        <v>-21</v>
      </c>
      <c r="AS48" s="818">
        <v>-27.5</v>
      </c>
      <c r="AT48" s="818">
        <v>-30.8</v>
      </c>
      <c r="AU48" s="819">
        <v>-21.2</v>
      </c>
      <c r="AV48" s="818">
        <v>-22.3</v>
      </c>
      <c r="AW48" s="818">
        <v>-26.3</v>
      </c>
      <c r="AX48" s="820">
        <v>-27.4</v>
      </c>
      <c r="AY48" s="821">
        <v>-26.6</v>
      </c>
      <c r="AZ48" s="818">
        <v>-35.1</v>
      </c>
      <c r="BA48" s="818">
        <v>-43.600000000000009</v>
      </c>
      <c r="BB48" s="818">
        <v>-40.1</v>
      </c>
      <c r="BC48" s="819">
        <v>-47.400000000000006</v>
      </c>
      <c r="BD48" s="818">
        <v>-55.2</v>
      </c>
      <c r="BE48" s="818">
        <v>-62.3</v>
      </c>
      <c r="BF48" s="818">
        <v>-62.599999999999994</v>
      </c>
      <c r="BG48" s="819">
        <v>-63.600000000000009</v>
      </c>
      <c r="BH48" s="818">
        <v>-63.2</v>
      </c>
      <c r="BI48" s="818">
        <v>-69.400000000000006</v>
      </c>
      <c r="BJ48" s="818">
        <v>-66.2</v>
      </c>
      <c r="BK48" s="819">
        <v>-57.3</v>
      </c>
      <c r="BL48" s="818">
        <v>-59.6</v>
      </c>
      <c r="BM48" s="818">
        <v>-61.900000000000006</v>
      </c>
      <c r="BN48" s="818">
        <v>-69</v>
      </c>
      <c r="BO48" s="819">
        <v>-73.7</v>
      </c>
      <c r="BP48" s="818">
        <v>-82.4</v>
      </c>
      <c r="BQ48" s="818">
        <v>-85.399999999999991</v>
      </c>
      <c r="BR48" s="818">
        <v>-104.2</v>
      </c>
      <c r="BS48" s="819">
        <v>-102.1</v>
      </c>
      <c r="BT48" s="822"/>
    </row>
    <row r="49" spans="1:73">
      <c r="A49" s="417" t="s">
        <v>468</v>
      </c>
      <c r="B49" s="837" t="s">
        <v>469</v>
      </c>
      <c r="C49" s="838"/>
      <c r="D49" s="839"/>
      <c r="E49" s="839"/>
      <c r="F49" s="839"/>
      <c r="G49" s="839"/>
      <c r="H49" s="839"/>
      <c r="I49" s="839"/>
      <c r="J49" s="839"/>
      <c r="K49" s="839"/>
      <c r="L49" s="839"/>
      <c r="M49" s="839"/>
      <c r="N49" s="839"/>
      <c r="O49" s="839"/>
      <c r="P49" s="839"/>
      <c r="Q49" s="839"/>
      <c r="R49" s="839"/>
      <c r="S49" s="839"/>
      <c r="T49" s="839"/>
      <c r="U49" s="839"/>
      <c r="V49" s="839"/>
      <c r="W49" s="839"/>
      <c r="X49" s="839"/>
      <c r="Y49" s="839"/>
      <c r="Z49" s="839"/>
      <c r="AA49" s="839"/>
      <c r="AB49" s="839"/>
      <c r="AC49" s="839"/>
      <c r="AD49" s="839"/>
      <c r="AE49" s="839"/>
      <c r="AF49" s="839"/>
      <c r="AG49" s="839"/>
      <c r="AH49" s="839"/>
      <c r="AI49" s="839"/>
      <c r="AJ49" s="839"/>
      <c r="AK49" s="839"/>
      <c r="AL49" s="839"/>
      <c r="AM49" s="839"/>
      <c r="AN49" s="839"/>
      <c r="AO49" s="839"/>
      <c r="AP49" s="817">
        <v>-17.100000000000001</v>
      </c>
      <c r="AQ49" s="818">
        <v>-16.5</v>
      </c>
      <c r="AR49" s="818">
        <v>-16.2</v>
      </c>
      <c r="AS49" s="818">
        <v>-16.100000000000001</v>
      </c>
      <c r="AT49" s="818">
        <v>-16.099999999999998</v>
      </c>
      <c r="AU49" s="819">
        <v>-1.1000000000000001</v>
      </c>
      <c r="AV49" s="818">
        <v>-0.30000000000000004</v>
      </c>
      <c r="AW49" s="818">
        <v>-0.8</v>
      </c>
      <c r="AX49" s="820">
        <v>-0.5</v>
      </c>
      <c r="AY49" s="821">
        <v>-0.5</v>
      </c>
      <c r="AZ49" s="818">
        <v>-0.3</v>
      </c>
      <c r="BA49" s="818">
        <v>-0.6</v>
      </c>
      <c r="BB49" s="818">
        <v>-0.60000000000000009</v>
      </c>
      <c r="BC49" s="819">
        <v>-0.60000000000000009</v>
      </c>
      <c r="BD49" s="818">
        <v>-0.9</v>
      </c>
      <c r="BE49" s="818">
        <v>-0.6</v>
      </c>
      <c r="BF49" s="818">
        <v>-0.6</v>
      </c>
      <c r="BG49" s="819">
        <v>-0.30000000000000004</v>
      </c>
      <c r="BH49" s="818">
        <v>-0.4</v>
      </c>
      <c r="BI49" s="818">
        <v>-0.4</v>
      </c>
      <c r="BJ49" s="818">
        <v>-0.30000000000000004</v>
      </c>
      <c r="BK49" s="819">
        <v>-0.5</v>
      </c>
      <c r="BL49" s="818">
        <v>-0.8</v>
      </c>
      <c r="BM49" s="818">
        <v>-2.2999999999999998</v>
      </c>
      <c r="BN49" s="818">
        <v>-4.7</v>
      </c>
      <c r="BO49" s="819">
        <v>-1.6</v>
      </c>
      <c r="BP49" s="818">
        <v>-2.5</v>
      </c>
      <c r="BQ49" s="818">
        <v>-1.2</v>
      </c>
      <c r="BR49" s="818">
        <v>-1.7</v>
      </c>
      <c r="BS49" s="819">
        <v>-0.89999999999999991</v>
      </c>
      <c r="BT49" s="822"/>
    </row>
    <row r="50" spans="1:73">
      <c r="A50" s="414" t="s">
        <v>315</v>
      </c>
      <c r="B50" s="834" t="s">
        <v>316</v>
      </c>
      <c r="C50" s="835"/>
      <c r="D50" s="836"/>
      <c r="E50" s="836"/>
      <c r="F50" s="836"/>
      <c r="G50" s="836"/>
      <c r="H50" s="836"/>
      <c r="I50" s="836"/>
      <c r="J50" s="836"/>
      <c r="K50" s="836"/>
      <c r="L50" s="836"/>
      <c r="M50" s="836"/>
      <c r="N50" s="836"/>
      <c r="O50" s="836"/>
      <c r="P50" s="836"/>
      <c r="Q50" s="836"/>
      <c r="R50" s="836"/>
      <c r="S50" s="836"/>
      <c r="T50" s="836"/>
      <c r="U50" s="836"/>
      <c r="V50" s="836"/>
      <c r="W50" s="836"/>
      <c r="X50" s="836"/>
      <c r="Y50" s="836"/>
      <c r="Z50" s="836"/>
      <c r="AA50" s="836"/>
      <c r="AB50" s="836"/>
      <c r="AC50" s="836"/>
      <c r="AD50" s="836"/>
      <c r="AE50" s="836"/>
      <c r="AF50" s="836"/>
      <c r="AG50" s="836"/>
      <c r="AH50" s="836"/>
      <c r="AI50" s="836"/>
      <c r="AJ50" s="836"/>
      <c r="AK50" s="836"/>
      <c r="AL50" s="836"/>
      <c r="AM50" s="836"/>
      <c r="AN50" s="836"/>
      <c r="AO50" s="836"/>
      <c r="AP50" s="829">
        <f t="shared" ref="AP50:AU50" si="16">SUM(AP51:AP54)</f>
        <v>-527.1</v>
      </c>
      <c r="AQ50" s="830">
        <f t="shared" si="16"/>
        <v>-563</v>
      </c>
      <c r="AR50" s="830">
        <f t="shared" si="16"/>
        <v>-601.59999999999991</v>
      </c>
      <c r="AS50" s="830">
        <f t="shared" si="16"/>
        <v>-602.1</v>
      </c>
      <c r="AT50" s="830">
        <f t="shared" si="16"/>
        <v>-627.79999999999995</v>
      </c>
      <c r="AU50" s="831">
        <f t="shared" si="16"/>
        <v>-928.70000000000016</v>
      </c>
      <c r="AV50" s="830">
        <f t="shared" ref="AV50:BP50" si="17">SUM(AV51:AV54)</f>
        <v>-1024.4000000000001</v>
      </c>
      <c r="AW50" s="830">
        <f t="shared" si="17"/>
        <v>-928.09999999999991</v>
      </c>
      <c r="AX50" s="832">
        <f t="shared" si="17"/>
        <v>-1008.5</v>
      </c>
      <c r="AY50" s="833">
        <f t="shared" si="17"/>
        <v>-776</v>
      </c>
      <c r="AZ50" s="830">
        <f t="shared" si="17"/>
        <v>-808.8</v>
      </c>
      <c r="BA50" s="830">
        <f t="shared" si="17"/>
        <v>-875.3</v>
      </c>
      <c r="BB50" s="830">
        <f t="shared" si="17"/>
        <v>-760</v>
      </c>
      <c r="BC50" s="831">
        <f t="shared" si="17"/>
        <v>-874.4</v>
      </c>
      <c r="BD50" s="830">
        <f t="shared" si="17"/>
        <v>-937.5</v>
      </c>
      <c r="BE50" s="830">
        <f t="shared" si="17"/>
        <v>-1004.1</v>
      </c>
      <c r="BF50" s="830">
        <f t="shared" si="17"/>
        <v>-1087.0999999999999</v>
      </c>
      <c r="BG50" s="831">
        <f t="shared" si="17"/>
        <v>-1154.9000000000001</v>
      </c>
      <c r="BH50" s="830">
        <f t="shared" si="17"/>
        <v>-914.4</v>
      </c>
      <c r="BI50" s="830">
        <f t="shared" si="17"/>
        <v>-948.3</v>
      </c>
      <c r="BJ50" s="830">
        <f t="shared" si="17"/>
        <v>-955.4</v>
      </c>
      <c r="BK50" s="831">
        <f t="shared" si="17"/>
        <v>-1010.0999999999999</v>
      </c>
      <c r="BL50" s="830">
        <f t="shared" si="17"/>
        <v>-1122.5</v>
      </c>
      <c r="BM50" s="830">
        <f t="shared" si="17"/>
        <v>-970.7</v>
      </c>
      <c r="BN50" s="830">
        <f t="shared" si="17"/>
        <v>-1077</v>
      </c>
      <c r="BO50" s="831">
        <f t="shared" si="17"/>
        <v>-1095.8</v>
      </c>
      <c r="BP50" s="830">
        <f t="shared" si="17"/>
        <v>-1160.5999999999999</v>
      </c>
      <c r="BQ50" s="830">
        <f>SUM(BQ51:BQ54)</f>
        <v>-1214.2</v>
      </c>
      <c r="BR50" s="830">
        <f>SUM(BR51:BR54)</f>
        <v>-983</v>
      </c>
      <c r="BS50" s="831">
        <f>SUM(BS51:BS54)</f>
        <v>-1015.8</v>
      </c>
      <c r="BT50" s="822"/>
    </row>
    <row r="51" spans="1:73">
      <c r="A51" s="417" t="s">
        <v>470</v>
      </c>
      <c r="B51" s="837" t="s">
        <v>471</v>
      </c>
      <c r="C51" s="838"/>
      <c r="D51" s="839"/>
      <c r="E51" s="839"/>
      <c r="F51" s="839"/>
      <c r="G51" s="839"/>
      <c r="H51" s="839"/>
      <c r="I51" s="839"/>
      <c r="J51" s="839"/>
      <c r="K51" s="839"/>
      <c r="L51" s="839"/>
      <c r="M51" s="839"/>
      <c r="N51" s="839"/>
      <c r="O51" s="839"/>
      <c r="P51" s="839"/>
      <c r="Q51" s="839"/>
      <c r="R51" s="839"/>
      <c r="S51" s="839"/>
      <c r="T51" s="839"/>
      <c r="U51" s="839"/>
      <c r="V51" s="839"/>
      <c r="W51" s="839"/>
      <c r="X51" s="839"/>
      <c r="Y51" s="839"/>
      <c r="Z51" s="839"/>
      <c r="AA51" s="839"/>
      <c r="AB51" s="839"/>
      <c r="AC51" s="839"/>
      <c r="AD51" s="839"/>
      <c r="AE51" s="839"/>
      <c r="AF51" s="839"/>
      <c r="AG51" s="839"/>
      <c r="AH51" s="839"/>
      <c r="AI51" s="839"/>
      <c r="AJ51" s="839"/>
      <c r="AK51" s="839"/>
      <c r="AL51" s="839"/>
      <c r="AM51" s="839"/>
      <c r="AN51" s="839"/>
      <c r="AO51" s="839"/>
      <c r="AP51" s="817">
        <v>-185.3</v>
      </c>
      <c r="AQ51" s="818">
        <v>-189.1</v>
      </c>
      <c r="AR51" s="818">
        <v>-181.20000000000002</v>
      </c>
      <c r="AS51" s="818">
        <v>-176.3</v>
      </c>
      <c r="AT51" s="818">
        <v>-170.39999999999998</v>
      </c>
      <c r="AU51" s="819">
        <v>-231</v>
      </c>
      <c r="AV51" s="818">
        <v>-245.5</v>
      </c>
      <c r="AW51" s="818">
        <v>-232.39999999999998</v>
      </c>
      <c r="AX51" s="820">
        <v>-224.9</v>
      </c>
      <c r="AY51" s="821">
        <v>-227.8</v>
      </c>
      <c r="AZ51" s="818">
        <v>-200.1</v>
      </c>
      <c r="BA51" s="818">
        <v>-209</v>
      </c>
      <c r="BB51" s="818">
        <v>-174.3</v>
      </c>
      <c r="BC51" s="819">
        <v>-202</v>
      </c>
      <c r="BD51" s="818">
        <v>-224.1</v>
      </c>
      <c r="BE51" s="818">
        <v>-255.2</v>
      </c>
      <c r="BF51" s="818">
        <v>-279.3</v>
      </c>
      <c r="BG51" s="819">
        <v>-289.2</v>
      </c>
      <c r="BH51" s="818">
        <v>-257.10000000000002</v>
      </c>
      <c r="BI51" s="818">
        <v>-245.2</v>
      </c>
      <c r="BJ51" s="818">
        <v>-217.9</v>
      </c>
      <c r="BK51" s="819">
        <v>-203.5</v>
      </c>
      <c r="BL51" s="818">
        <v>-228.2</v>
      </c>
      <c r="BM51" s="818">
        <v>-218.9</v>
      </c>
      <c r="BN51" s="818">
        <v>-269.10000000000002</v>
      </c>
      <c r="BO51" s="819">
        <v>-292</v>
      </c>
      <c r="BP51" s="818">
        <v>-307.8</v>
      </c>
      <c r="BQ51" s="818">
        <v>-315.59999999999997</v>
      </c>
      <c r="BR51" s="818">
        <v>-226.3</v>
      </c>
      <c r="BS51" s="819">
        <v>-220.7</v>
      </c>
      <c r="BT51" s="822"/>
    </row>
    <row r="52" spans="1:73">
      <c r="A52" s="417" t="s">
        <v>460</v>
      </c>
      <c r="B52" s="837" t="s">
        <v>461</v>
      </c>
      <c r="C52" s="838"/>
      <c r="D52" s="839"/>
      <c r="E52" s="839"/>
      <c r="F52" s="839"/>
      <c r="G52" s="839"/>
      <c r="H52" s="839"/>
      <c r="I52" s="839"/>
      <c r="J52" s="839"/>
      <c r="K52" s="839"/>
      <c r="L52" s="839"/>
      <c r="M52" s="839"/>
      <c r="N52" s="839"/>
      <c r="O52" s="839"/>
      <c r="P52" s="839"/>
      <c r="Q52" s="839"/>
      <c r="R52" s="839"/>
      <c r="S52" s="839"/>
      <c r="T52" s="839"/>
      <c r="U52" s="839"/>
      <c r="V52" s="839"/>
      <c r="W52" s="839"/>
      <c r="X52" s="839"/>
      <c r="Y52" s="839"/>
      <c r="Z52" s="839"/>
      <c r="AA52" s="839"/>
      <c r="AB52" s="839"/>
      <c r="AC52" s="839"/>
      <c r="AD52" s="839"/>
      <c r="AE52" s="839"/>
      <c r="AF52" s="839"/>
      <c r="AG52" s="839"/>
      <c r="AH52" s="839"/>
      <c r="AI52" s="839"/>
      <c r="AJ52" s="839"/>
      <c r="AK52" s="839"/>
      <c r="AL52" s="839"/>
      <c r="AM52" s="839"/>
      <c r="AN52" s="839"/>
      <c r="AO52" s="839"/>
      <c r="AP52" s="817">
        <v>-74</v>
      </c>
      <c r="AQ52" s="818">
        <v>-77.3</v>
      </c>
      <c r="AR52" s="818">
        <v>-83.300000000000011</v>
      </c>
      <c r="AS52" s="818">
        <v>-72.5</v>
      </c>
      <c r="AT52" s="818">
        <v>-75.2</v>
      </c>
      <c r="AU52" s="819">
        <v>-98.8</v>
      </c>
      <c r="AV52" s="818">
        <v>-104</v>
      </c>
      <c r="AW52" s="818">
        <v>-71.900000000000006</v>
      </c>
      <c r="AX52" s="820">
        <v>-105.8</v>
      </c>
      <c r="AY52" s="821">
        <v>-47.7</v>
      </c>
      <c r="AZ52" s="818">
        <v>-51.8</v>
      </c>
      <c r="BA52" s="818">
        <v>-55.9</v>
      </c>
      <c r="BB52" s="818">
        <v>-48.7</v>
      </c>
      <c r="BC52" s="819">
        <v>-54.4</v>
      </c>
      <c r="BD52" s="818">
        <v>-53.4</v>
      </c>
      <c r="BE52" s="818">
        <v>-53.2</v>
      </c>
      <c r="BF52" s="818">
        <v>-60.7</v>
      </c>
      <c r="BG52" s="819">
        <v>-64.099999999999994</v>
      </c>
      <c r="BH52" s="818">
        <v>-50.4</v>
      </c>
      <c r="BI52" s="818">
        <v>-51.3</v>
      </c>
      <c r="BJ52" s="818">
        <v>-54</v>
      </c>
      <c r="BK52" s="819">
        <v>-60.3</v>
      </c>
      <c r="BL52" s="818">
        <v>-67.900000000000006</v>
      </c>
      <c r="BM52" s="818">
        <v>-59.8</v>
      </c>
      <c r="BN52" s="818">
        <v>-63.5</v>
      </c>
      <c r="BO52" s="819">
        <v>-63</v>
      </c>
      <c r="BP52" s="818">
        <v>-68.099999999999994</v>
      </c>
      <c r="BQ52" s="818">
        <v>-72</v>
      </c>
      <c r="BR52" s="818">
        <v>-62.7</v>
      </c>
      <c r="BS52" s="819">
        <v>-64.3</v>
      </c>
      <c r="BT52" s="822"/>
    </row>
    <row r="53" spans="1:73">
      <c r="A53" s="417" t="s">
        <v>464</v>
      </c>
      <c r="B53" s="837" t="s">
        <v>465</v>
      </c>
      <c r="C53" s="838"/>
      <c r="D53" s="839"/>
      <c r="E53" s="839"/>
      <c r="F53" s="839"/>
      <c r="G53" s="839"/>
      <c r="H53" s="839"/>
      <c r="I53" s="839"/>
      <c r="J53" s="839"/>
      <c r="K53" s="839"/>
      <c r="L53" s="839"/>
      <c r="M53" s="839"/>
      <c r="N53" s="839"/>
      <c r="O53" s="839"/>
      <c r="P53" s="839"/>
      <c r="Q53" s="839"/>
      <c r="R53" s="839"/>
      <c r="S53" s="839"/>
      <c r="T53" s="839"/>
      <c r="U53" s="839"/>
      <c r="V53" s="839"/>
      <c r="W53" s="839"/>
      <c r="X53" s="839"/>
      <c r="Y53" s="839"/>
      <c r="Z53" s="839"/>
      <c r="AA53" s="839"/>
      <c r="AB53" s="839"/>
      <c r="AC53" s="839"/>
      <c r="AD53" s="839"/>
      <c r="AE53" s="839"/>
      <c r="AF53" s="839"/>
      <c r="AG53" s="839"/>
      <c r="AH53" s="839"/>
      <c r="AI53" s="839"/>
      <c r="AJ53" s="839"/>
      <c r="AK53" s="839"/>
      <c r="AL53" s="839"/>
      <c r="AM53" s="839"/>
      <c r="AN53" s="839"/>
      <c r="AO53" s="839"/>
      <c r="AP53" s="817">
        <v>-1</v>
      </c>
      <c r="AQ53" s="818">
        <v>-1</v>
      </c>
      <c r="AR53" s="818">
        <v>-1.2</v>
      </c>
      <c r="AS53" s="818">
        <v>-1.8</v>
      </c>
      <c r="AT53" s="818">
        <v>-2</v>
      </c>
      <c r="AU53" s="819">
        <v>-2.2999999999999998</v>
      </c>
      <c r="AV53" s="818">
        <v>-3.4</v>
      </c>
      <c r="AW53" s="818">
        <v>-3.7</v>
      </c>
      <c r="AX53" s="820">
        <v>-3.6</v>
      </c>
      <c r="AY53" s="821">
        <v>0</v>
      </c>
      <c r="AZ53" s="818">
        <v>0</v>
      </c>
      <c r="BA53" s="818">
        <v>0</v>
      </c>
      <c r="BB53" s="818">
        <v>0</v>
      </c>
      <c r="BC53" s="819">
        <v>0</v>
      </c>
      <c r="BD53" s="818">
        <v>0</v>
      </c>
      <c r="BE53" s="818">
        <v>0</v>
      </c>
      <c r="BF53" s="818">
        <v>0</v>
      </c>
      <c r="BG53" s="819">
        <v>0</v>
      </c>
      <c r="BH53" s="818">
        <v>0</v>
      </c>
      <c r="BI53" s="818">
        <v>0</v>
      </c>
      <c r="BJ53" s="818">
        <v>0</v>
      </c>
      <c r="BK53" s="819">
        <v>0</v>
      </c>
      <c r="BL53" s="818">
        <v>0</v>
      </c>
      <c r="BM53" s="818">
        <v>0</v>
      </c>
      <c r="BN53" s="818">
        <v>0</v>
      </c>
      <c r="BO53" s="819">
        <v>0</v>
      </c>
      <c r="BP53" s="818">
        <v>0</v>
      </c>
      <c r="BQ53" s="818">
        <v>0</v>
      </c>
      <c r="BR53" s="818">
        <v>0</v>
      </c>
      <c r="BS53" s="819">
        <v>0</v>
      </c>
      <c r="BT53" s="822"/>
    </row>
    <row r="54" spans="1:73">
      <c r="A54" s="417" t="s">
        <v>472</v>
      </c>
      <c r="B54" s="837" t="s">
        <v>473</v>
      </c>
      <c r="C54" s="838"/>
      <c r="D54" s="839"/>
      <c r="E54" s="839"/>
      <c r="F54" s="839"/>
      <c r="G54" s="839"/>
      <c r="H54" s="839"/>
      <c r="I54" s="839"/>
      <c r="J54" s="839"/>
      <c r="K54" s="839"/>
      <c r="L54" s="839"/>
      <c r="M54" s="839"/>
      <c r="N54" s="839"/>
      <c r="O54" s="839"/>
      <c r="P54" s="839"/>
      <c r="Q54" s="839"/>
      <c r="R54" s="839"/>
      <c r="S54" s="839"/>
      <c r="T54" s="839"/>
      <c r="U54" s="839"/>
      <c r="V54" s="839"/>
      <c r="W54" s="839"/>
      <c r="X54" s="839"/>
      <c r="Y54" s="839"/>
      <c r="Z54" s="839"/>
      <c r="AA54" s="839"/>
      <c r="AB54" s="839"/>
      <c r="AC54" s="839"/>
      <c r="AD54" s="839"/>
      <c r="AE54" s="839"/>
      <c r="AF54" s="839"/>
      <c r="AG54" s="839"/>
      <c r="AH54" s="839"/>
      <c r="AI54" s="839"/>
      <c r="AJ54" s="839"/>
      <c r="AK54" s="839"/>
      <c r="AL54" s="839"/>
      <c r="AM54" s="839"/>
      <c r="AN54" s="839"/>
      <c r="AO54" s="839"/>
      <c r="AP54" s="817">
        <v>-266.8</v>
      </c>
      <c r="AQ54" s="818">
        <v>-295.59999999999997</v>
      </c>
      <c r="AR54" s="818">
        <v>-335.9</v>
      </c>
      <c r="AS54" s="818">
        <v>-351.5</v>
      </c>
      <c r="AT54" s="818">
        <v>-380.2</v>
      </c>
      <c r="AU54" s="819">
        <v>-596.60000000000014</v>
      </c>
      <c r="AV54" s="818">
        <v>-671.5</v>
      </c>
      <c r="AW54" s="818">
        <v>-620.1</v>
      </c>
      <c r="AX54" s="820">
        <v>-674.2</v>
      </c>
      <c r="AY54" s="821">
        <v>-500.5</v>
      </c>
      <c r="AZ54" s="818">
        <v>-556.9</v>
      </c>
      <c r="BA54" s="818">
        <v>-610.4</v>
      </c>
      <c r="BB54" s="818">
        <v>-537</v>
      </c>
      <c r="BC54" s="819">
        <v>-618</v>
      </c>
      <c r="BD54" s="818">
        <v>-660</v>
      </c>
      <c r="BE54" s="818">
        <v>-695.7</v>
      </c>
      <c r="BF54" s="818">
        <v>-747.1</v>
      </c>
      <c r="BG54" s="819">
        <v>-801.6</v>
      </c>
      <c r="BH54" s="818">
        <v>-606.9</v>
      </c>
      <c r="BI54" s="818">
        <v>-651.79999999999995</v>
      </c>
      <c r="BJ54" s="818">
        <v>-683.5</v>
      </c>
      <c r="BK54" s="819">
        <v>-746.3</v>
      </c>
      <c r="BL54" s="818">
        <v>-826.4</v>
      </c>
      <c r="BM54" s="818">
        <v>-692</v>
      </c>
      <c r="BN54" s="818">
        <v>-744.4</v>
      </c>
      <c r="BO54" s="819">
        <v>-740.8</v>
      </c>
      <c r="BP54" s="818">
        <v>-784.69999999999993</v>
      </c>
      <c r="BQ54" s="818">
        <v>-826.6</v>
      </c>
      <c r="BR54" s="818">
        <v>-694</v>
      </c>
      <c r="BS54" s="819">
        <v>-730.8</v>
      </c>
      <c r="BT54" s="822"/>
    </row>
    <row r="55" spans="1:73">
      <c r="A55" s="395" t="s">
        <v>488</v>
      </c>
      <c r="B55" s="396" t="s">
        <v>489</v>
      </c>
      <c r="C55" s="397"/>
      <c r="D55" s="395"/>
      <c r="E55" s="395"/>
      <c r="F55" s="395"/>
      <c r="G55" s="395"/>
      <c r="H55" s="395"/>
      <c r="I55" s="395"/>
      <c r="J55" s="395"/>
      <c r="K55" s="395"/>
      <c r="L55" s="395"/>
      <c r="M55" s="395"/>
      <c r="N55" s="395"/>
      <c r="O55" s="395"/>
      <c r="P55" s="395"/>
      <c r="Q55" s="395"/>
      <c r="R55" s="395"/>
      <c r="S55" s="395"/>
      <c r="T55" s="395"/>
      <c r="U55" s="395"/>
      <c r="V55" s="395"/>
      <c r="W55" s="395"/>
      <c r="X55" s="395"/>
      <c r="Y55" s="395"/>
      <c r="Z55" s="395"/>
      <c r="AA55" s="395"/>
      <c r="AB55" s="395"/>
      <c r="AC55" s="395"/>
      <c r="AD55" s="395"/>
      <c r="AE55" s="395"/>
      <c r="AF55" s="395"/>
      <c r="AG55" s="395"/>
      <c r="AH55" s="395"/>
      <c r="AI55" s="395"/>
      <c r="AJ55" s="395"/>
      <c r="AK55" s="395"/>
      <c r="AL55" s="395"/>
      <c r="AM55" s="395"/>
      <c r="AN55" s="395"/>
      <c r="AO55" s="395"/>
      <c r="AP55" s="398">
        <f t="shared" ref="AP55:AU55" si="18">SUM(AP56:AP59)</f>
        <v>-0.7</v>
      </c>
      <c r="AQ55" s="399">
        <f t="shared" si="18"/>
        <v>-0.7</v>
      </c>
      <c r="AR55" s="399">
        <f t="shared" si="18"/>
        <v>-0.7</v>
      </c>
      <c r="AS55" s="399">
        <f t="shared" si="18"/>
        <v>-0.7</v>
      </c>
      <c r="AT55" s="399">
        <f t="shared" si="18"/>
        <v>-0.7</v>
      </c>
      <c r="AU55" s="400">
        <f t="shared" si="18"/>
        <v>0</v>
      </c>
      <c r="AV55" s="399">
        <f t="shared" ref="AV55:BP55" si="19">SUM(AV56:AV59)</f>
        <v>0</v>
      </c>
      <c r="AW55" s="399">
        <f t="shared" si="19"/>
        <v>0</v>
      </c>
      <c r="AX55" s="401">
        <f t="shared" si="19"/>
        <v>0</v>
      </c>
      <c r="AY55" s="402">
        <f t="shared" si="19"/>
        <v>0</v>
      </c>
      <c r="AZ55" s="399">
        <f t="shared" si="19"/>
        <v>0</v>
      </c>
      <c r="BA55" s="399">
        <f t="shared" si="19"/>
        <v>0</v>
      </c>
      <c r="BB55" s="399">
        <f t="shared" si="19"/>
        <v>0</v>
      </c>
      <c r="BC55" s="400">
        <f t="shared" si="19"/>
        <v>0</v>
      </c>
      <c r="BD55" s="399">
        <f t="shared" si="19"/>
        <v>-0.1</v>
      </c>
      <c r="BE55" s="399">
        <f t="shared" si="19"/>
        <v>-0.1</v>
      </c>
      <c r="BF55" s="399">
        <f t="shared" si="19"/>
        <v>-0.1</v>
      </c>
      <c r="BG55" s="400">
        <f t="shared" si="19"/>
        <v>0</v>
      </c>
      <c r="BH55" s="399">
        <f t="shared" si="19"/>
        <v>0</v>
      </c>
      <c r="BI55" s="399">
        <f t="shared" si="19"/>
        <v>0</v>
      </c>
      <c r="BJ55" s="399">
        <f t="shared" si="19"/>
        <v>0</v>
      </c>
      <c r="BK55" s="400">
        <f t="shared" si="19"/>
        <v>0</v>
      </c>
      <c r="BL55" s="399">
        <f t="shared" si="19"/>
        <v>0</v>
      </c>
      <c r="BM55" s="399">
        <f t="shared" si="19"/>
        <v>0</v>
      </c>
      <c r="BN55" s="399">
        <f t="shared" si="19"/>
        <v>0</v>
      </c>
      <c r="BO55" s="400">
        <f t="shared" si="19"/>
        <v>0</v>
      </c>
      <c r="BP55" s="399">
        <f t="shared" si="19"/>
        <v>0</v>
      </c>
      <c r="BQ55" s="399">
        <f>SUM(BQ56:BQ59)</f>
        <v>0</v>
      </c>
      <c r="BR55" s="399">
        <f>SUM(BR56:BR59)</f>
        <v>0</v>
      </c>
      <c r="BS55" s="400">
        <f>SUM(BS56:BS59)</f>
        <v>0</v>
      </c>
    </row>
    <row r="56" spans="1:73">
      <c r="A56" s="417" t="s">
        <v>476</v>
      </c>
      <c r="B56" s="837" t="s">
        <v>477</v>
      </c>
      <c r="C56" s="838"/>
      <c r="D56" s="839"/>
      <c r="E56" s="839"/>
      <c r="F56" s="839"/>
      <c r="G56" s="839"/>
      <c r="H56" s="839"/>
      <c r="I56" s="839"/>
      <c r="J56" s="839"/>
      <c r="K56" s="839"/>
      <c r="L56" s="839"/>
      <c r="M56" s="839"/>
      <c r="N56" s="839"/>
      <c r="O56" s="839"/>
      <c r="P56" s="839"/>
      <c r="Q56" s="839"/>
      <c r="R56" s="839"/>
      <c r="S56" s="839"/>
      <c r="T56" s="839"/>
      <c r="U56" s="839"/>
      <c r="V56" s="839"/>
      <c r="W56" s="839"/>
      <c r="X56" s="839"/>
      <c r="Y56" s="839"/>
      <c r="Z56" s="839"/>
      <c r="AA56" s="839"/>
      <c r="AB56" s="839"/>
      <c r="AC56" s="839"/>
      <c r="AD56" s="839"/>
      <c r="AE56" s="839"/>
      <c r="AF56" s="839"/>
      <c r="AG56" s="839"/>
      <c r="AH56" s="839"/>
      <c r="AI56" s="839"/>
      <c r="AJ56" s="839"/>
      <c r="AK56" s="839"/>
      <c r="AL56" s="839"/>
      <c r="AM56" s="839"/>
      <c r="AN56" s="839"/>
      <c r="AO56" s="839"/>
      <c r="AP56" s="817">
        <v>-0.7</v>
      </c>
      <c r="AQ56" s="818">
        <v>-0.7</v>
      </c>
      <c r="AR56" s="818">
        <v>-0.7</v>
      </c>
      <c r="AS56" s="818">
        <v>-0.7</v>
      </c>
      <c r="AT56" s="818">
        <v>-0.7</v>
      </c>
      <c r="AU56" s="819">
        <v>0</v>
      </c>
      <c r="AV56" s="818">
        <v>0</v>
      </c>
      <c r="AW56" s="818">
        <v>0</v>
      </c>
      <c r="AX56" s="820">
        <v>0</v>
      </c>
      <c r="AY56" s="821">
        <v>0</v>
      </c>
      <c r="AZ56" s="818">
        <v>0</v>
      </c>
      <c r="BA56" s="818">
        <v>0</v>
      </c>
      <c r="BB56" s="818">
        <v>0</v>
      </c>
      <c r="BC56" s="819">
        <v>0</v>
      </c>
      <c r="BD56" s="818">
        <v>0</v>
      </c>
      <c r="BE56" s="818">
        <v>0</v>
      </c>
      <c r="BF56" s="818">
        <v>0</v>
      </c>
      <c r="BG56" s="819">
        <v>0</v>
      </c>
      <c r="BH56" s="818">
        <v>0</v>
      </c>
      <c r="BI56" s="818">
        <v>0</v>
      </c>
      <c r="BJ56" s="818">
        <v>0</v>
      </c>
      <c r="BK56" s="819">
        <v>0</v>
      </c>
      <c r="BL56" s="818">
        <v>0</v>
      </c>
      <c r="BM56" s="818">
        <v>0</v>
      </c>
      <c r="BN56" s="818">
        <v>0</v>
      </c>
      <c r="BO56" s="819">
        <v>0</v>
      </c>
      <c r="BP56" s="818">
        <v>0</v>
      </c>
      <c r="BQ56" s="818">
        <v>0</v>
      </c>
      <c r="BR56" s="818">
        <v>0</v>
      </c>
      <c r="BS56" s="819">
        <v>0</v>
      </c>
      <c r="BT56" s="822"/>
      <c r="BU56" s="822"/>
    </row>
    <row r="57" spans="1:73">
      <c r="A57" s="417" t="s">
        <v>478</v>
      </c>
      <c r="B57" s="837" t="s">
        <v>479</v>
      </c>
      <c r="C57" s="838"/>
      <c r="D57" s="839"/>
      <c r="E57" s="839"/>
      <c r="F57" s="839"/>
      <c r="G57" s="839"/>
      <c r="H57" s="839"/>
      <c r="I57" s="839"/>
      <c r="J57" s="839"/>
      <c r="K57" s="839"/>
      <c r="L57" s="839"/>
      <c r="M57" s="839"/>
      <c r="N57" s="839"/>
      <c r="O57" s="839"/>
      <c r="P57" s="839"/>
      <c r="Q57" s="839"/>
      <c r="R57" s="839"/>
      <c r="S57" s="839"/>
      <c r="T57" s="839"/>
      <c r="U57" s="839"/>
      <c r="V57" s="839"/>
      <c r="W57" s="839"/>
      <c r="X57" s="839"/>
      <c r="Y57" s="839"/>
      <c r="Z57" s="839"/>
      <c r="AA57" s="839"/>
      <c r="AB57" s="839"/>
      <c r="AC57" s="839"/>
      <c r="AD57" s="839"/>
      <c r="AE57" s="839"/>
      <c r="AF57" s="839"/>
      <c r="AG57" s="839"/>
      <c r="AH57" s="839"/>
      <c r="AI57" s="839"/>
      <c r="AJ57" s="839"/>
      <c r="AK57" s="839"/>
      <c r="AL57" s="839"/>
      <c r="AM57" s="839"/>
      <c r="AN57" s="839"/>
      <c r="AO57" s="839"/>
      <c r="AP57" s="817">
        <v>0</v>
      </c>
      <c r="AQ57" s="818">
        <v>0</v>
      </c>
      <c r="AR57" s="818">
        <v>0</v>
      </c>
      <c r="AS57" s="818">
        <v>0</v>
      </c>
      <c r="AT57" s="818">
        <v>0</v>
      </c>
      <c r="AU57" s="819">
        <v>0</v>
      </c>
      <c r="AV57" s="818">
        <v>0</v>
      </c>
      <c r="AW57" s="818">
        <v>0</v>
      </c>
      <c r="AX57" s="820">
        <v>0</v>
      </c>
      <c r="AY57" s="821">
        <v>0</v>
      </c>
      <c r="AZ57" s="818">
        <v>0</v>
      </c>
      <c r="BA57" s="818">
        <v>0</v>
      </c>
      <c r="BB57" s="818">
        <v>0</v>
      </c>
      <c r="BC57" s="819">
        <v>0</v>
      </c>
      <c r="BD57" s="818">
        <v>-0.1</v>
      </c>
      <c r="BE57" s="818">
        <v>-0.1</v>
      </c>
      <c r="BF57" s="818">
        <v>0</v>
      </c>
      <c r="BG57" s="819">
        <v>0</v>
      </c>
      <c r="BH57" s="818">
        <v>0</v>
      </c>
      <c r="BI57" s="818">
        <v>0</v>
      </c>
      <c r="BJ57" s="818">
        <v>0</v>
      </c>
      <c r="BK57" s="819">
        <v>0</v>
      </c>
      <c r="BL57" s="818">
        <v>0</v>
      </c>
      <c r="BM57" s="818">
        <v>0</v>
      </c>
      <c r="BN57" s="818">
        <v>0</v>
      </c>
      <c r="BO57" s="819">
        <v>0</v>
      </c>
      <c r="BP57" s="818">
        <v>0</v>
      </c>
      <c r="BQ57" s="818">
        <v>0</v>
      </c>
      <c r="BR57" s="818">
        <v>0</v>
      </c>
      <c r="BS57" s="819">
        <v>0</v>
      </c>
      <c r="BT57" s="822"/>
      <c r="BU57" s="822"/>
    </row>
    <row r="58" spans="1:73">
      <c r="A58" s="417" t="s">
        <v>480</v>
      </c>
      <c r="B58" s="837" t="s">
        <v>481</v>
      </c>
      <c r="C58" s="838"/>
      <c r="D58" s="839"/>
      <c r="E58" s="839"/>
      <c r="F58" s="839"/>
      <c r="G58" s="839"/>
      <c r="H58" s="839"/>
      <c r="I58" s="839"/>
      <c r="J58" s="839"/>
      <c r="K58" s="839"/>
      <c r="L58" s="839"/>
      <c r="M58" s="839"/>
      <c r="N58" s="839"/>
      <c r="O58" s="839"/>
      <c r="P58" s="839"/>
      <c r="Q58" s="839"/>
      <c r="R58" s="839"/>
      <c r="S58" s="839"/>
      <c r="T58" s="839"/>
      <c r="U58" s="839"/>
      <c r="V58" s="839"/>
      <c r="W58" s="839"/>
      <c r="X58" s="839"/>
      <c r="Y58" s="839"/>
      <c r="Z58" s="839"/>
      <c r="AA58" s="839"/>
      <c r="AB58" s="839"/>
      <c r="AC58" s="839"/>
      <c r="AD58" s="839"/>
      <c r="AE58" s="839"/>
      <c r="AF58" s="839"/>
      <c r="AG58" s="839"/>
      <c r="AH58" s="839"/>
      <c r="AI58" s="839"/>
      <c r="AJ58" s="839"/>
      <c r="AK58" s="839"/>
      <c r="AL58" s="839"/>
      <c r="AM58" s="839"/>
      <c r="AN58" s="839"/>
      <c r="AO58" s="839"/>
      <c r="AP58" s="817">
        <v>0</v>
      </c>
      <c r="AQ58" s="818">
        <v>0</v>
      </c>
      <c r="AR58" s="818">
        <v>0</v>
      </c>
      <c r="AS58" s="818">
        <v>0</v>
      </c>
      <c r="AT58" s="818">
        <v>0</v>
      </c>
      <c r="AU58" s="819">
        <v>0</v>
      </c>
      <c r="AV58" s="818">
        <v>0</v>
      </c>
      <c r="AW58" s="818">
        <v>0</v>
      </c>
      <c r="AX58" s="820">
        <v>0</v>
      </c>
      <c r="AY58" s="821">
        <v>0</v>
      </c>
      <c r="AZ58" s="818">
        <v>0</v>
      </c>
      <c r="BA58" s="818">
        <v>0</v>
      </c>
      <c r="BB58" s="818">
        <v>0</v>
      </c>
      <c r="BC58" s="819">
        <v>0</v>
      </c>
      <c r="BD58" s="818">
        <v>0</v>
      </c>
      <c r="BE58" s="818">
        <v>0</v>
      </c>
      <c r="BF58" s="818">
        <v>0</v>
      </c>
      <c r="BG58" s="819">
        <v>0</v>
      </c>
      <c r="BH58" s="818">
        <v>0</v>
      </c>
      <c r="BI58" s="818">
        <v>0</v>
      </c>
      <c r="BJ58" s="818">
        <v>0</v>
      </c>
      <c r="BK58" s="819">
        <v>0</v>
      </c>
      <c r="BL58" s="818">
        <v>0</v>
      </c>
      <c r="BM58" s="818">
        <v>0</v>
      </c>
      <c r="BN58" s="818">
        <v>0</v>
      </c>
      <c r="BO58" s="819">
        <v>0</v>
      </c>
      <c r="BP58" s="818">
        <v>0</v>
      </c>
      <c r="BQ58" s="818">
        <v>0</v>
      </c>
      <c r="BR58" s="818">
        <v>0</v>
      </c>
      <c r="BS58" s="819">
        <v>0</v>
      </c>
      <c r="BT58" s="822"/>
      <c r="BU58" s="822"/>
    </row>
    <row r="59" spans="1:73">
      <c r="A59" s="417" t="s">
        <v>482</v>
      </c>
      <c r="B59" s="837" t="s">
        <v>483</v>
      </c>
      <c r="C59" s="838"/>
      <c r="D59" s="839"/>
      <c r="E59" s="839"/>
      <c r="F59" s="839"/>
      <c r="G59" s="839"/>
      <c r="H59" s="839"/>
      <c r="I59" s="839"/>
      <c r="J59" s="839"/>
      <c r="K59" s="839"/>
      <c r="L59" s="839"/>
      <c r="M59" s="839"/>
      <c r="N59" s="839"/>
      <c r="O59" s="839"/>
      <c r="P59" s="839"/>
      <c r="Q59" s="839"/>
      <c r="R59" s="839"/>
      <c r="S59" s="839"/>
      <c r="T59" s="839"/>
      <c r="U59" s="839"/>
      <c r="V59" s="839"/>
      <c r="W59" s="839"/>
      <c r="X59" s="839"/>
      <c r="Y59" s="839"/>
      <c r="Z59" s="839"/>
      <c r="AA59" s="839"/>
      <c r="AB59" s="839"/>
      <c r="AC59" s="839"/>
      <c r="AD59" s="839"/>
      <c r="AE59" s="839"/>
      <c r="AF59" s="839"/>
      <c r="AG59" s="839"/>
      <c r="AH59" s="839"/>
      <c r="AI59" s="839"/>
      <c r="AJ59" s="839"/>
      <c r="AK59" s="839"/>
      <c r="AL59" s="839"/>
      <c r="AM59" s="839"/>
      <c r="AN59" s="839"/>
      <c r="AO59" s="839"/>
      <c r="AP59" s="817">
        <v>0</v>
      </c>
      <c r="AQ59" s="818">
        <v>0</v>
      </c>
      <c r="AR59" s="818">
        <v>0</v>
      </c>
      <c r="AS59" s="818">
        <v>0</v>
      </c>
      <c r="AT59" s="818">
        <v>0</v>
      </c>
      <c r="AU59" s="819">
        <v>0</v>
      </c>
      <c r="AV59" s="818">
        <v>0</v>
      </c>
      <c r="AW59" s="818">
        <v>0</v>
      </c>
      <c r="AX59" s="820">
        <v>0</v>
      </c>
      <c r="AY59" s="821">
        <v>0</v>
      </c>
      <c r="AZ59" s="818">
        <v>0</v>
      </c>
      <c r="BA59" s="818">
        <v>0</v>
      </c>
      <c r="BB59" s="818">
        <v>0</v>
      </c>
      <c r="BC59" s="819">
        <v>0</v>
      </c>
      <c r="BD59" s="818">
        <v>0</v>
      </c>
      <c r="BE59" s="818">
        <v>0</v>
      </c>
      <c r="BF59" s="818">
        <v>-0.1</v>
      </c>
      <c r="BG59" s="819">
        <v>0</v>
      </c>
      <c r="BH59" s="818">
        <v>0</v>
      </c>
      <c r="BI59" s="818">
        <v>0</v>
      </c>
      <c r="BJ59" s="818">
        <v>0</v>
      </c>
      <c r="BK59" s="819">
        <v>0</v>
      </c>
      <c r="BL59" s="818">
        <v>0</v>
      </c>
      <c r="BM59" s="818">
        <v>0</v>
      </c>
      <c r="BN59" s="818">
        <v>0</v>
      </c>
      <c r="BO59" s="819">
        <v>0</v>
      </c>
      <c r="BP59" s="818">
        <v>0</v>
      </c>
      <c r="BQ59" s="818">
        <v>0</v>
      </c>
      <c r="BR59" s="818">
        <v>0</v>
      </c>
      <c r="BS59" s="819">
        <v>0</v>
      </c>
      <c r="BT59" s="822"/>
      <c r="BU59" s="822"/>
    </row>
    <row r="60" spans="1:73">
      <c r="A60" s="420"/>
      <c r="B60" s="421"/>
      <c r="C60" s="422"/>
      <c r="D60" s="420"/>
      <c r="E60" s="420"/>
      <c r="F60" s="420"/>
      <c r="G60" s="420"/>
      <c r="H60" s="420"/>
      <c r="I60" s="420"/>
      <c r="J60" s="420"/>
      <c r="K60" s="420"/>
      <c r="L60" s="420"/>
      <c r="M60" s="420"/>
      <c r="N60" s="420"/>
      <c r="O60" s="420"/>
      <c r="P60" s="420"/>
      <c r="Q60" s="420"/>
      <c r="R60" s="420"/>
      <c r="S60" s="420"/>
      <c r="T60" s="420"/>
      <c r="U60" s="420"/>
      <c r="V60" s="420"/>
      <c r="W60" s="420"/>
      <c r="X60" s="420"/>
      <c r="Y60" s="420"/>
      <c r="Z60" s="420"/>
      <c r="AA60" s="420"/>
      <c r="AB60" s="420"/>
      <c r="AC60" s="420"/>
      <c r="AD60" s="420"/>
      <c r="AE60" s="420"/>
      <c r="AF60" s="420"/>
      <c r="AG60" s="420"/>
      <c r="AH60" s="420"/>
      <c r="AI60" s="420"/>
      <c r="AJ60" s="420"/>
      <c r="AK60" s="420"/>
      <c r="AL60" s="420"/>
      <c r="AM60" s="420"/>
      <c r="AN60" s="420"/>
      <c r="AO60" s="420"/>
      <c r="AP60" s="423"/>
      <c r="AQ60" s="424"/>
      <c r="AR60" s="424"/>
      <c r="AS60" s="424"/>
      <c r="AT60" s="424"/>
      <c r="AU60" s="425"/>
      <c r="AV60" s="424"/>
      <c r="AW60" s="424"/>
      <c r="AX60" s="426"/>
      <c r="AY60" s="427"/>
      <c r="AZ60" s="424"/>
      <c r="BA60" s="424"/>
      <c r="BB60" s="424"/>
      <c r="BC60" s="425"/>
      <c r="BD60" s="424"/>
      <c r="BE60" s="424"/>
      <c r="BF60" s="424"/>
      <c r="BG60" s="425"/>
      <c r="BH60" s="424"/>
      <c r="BI60" s="424"/>
      <c r="BJ60" s="424"/>
      <c r="BK60" s="425"/>
      <c r="BL60" s="424"/>
      <c r="BM60" s="424"/>
      <c r="BN60" s="424"/>
      <c r="BO60" s="425"/>
      <c r="BP60" s="424"/>
      <c r="BQ60" s="424"/>
      <c r="BR60" s="424"/>
      <c r="BS60" s="425"/>
    </row>
    <row r="61" spans="1:73" ht="21.6">
      <c r="A61" s="387" t="s">
        <v>490</v>
      </c>
      <c r="B61" s="388" t="s">
        <v>491</v>
      </c>
      <c r="C61" s="389"/>
      <c r="D61" s="387"/>
      <c r="E61" s="387"/>
      <c r="F61" s="387"/>
      <c r="G61" s="387"/>
      <c r="H61" s="387"/>
      <c r="I61" s="387"/>
      <c r="J61" s="387"/>
      <c r="K61" s="387"/>
      <c r="L61" s="387"/>
      <c r="M61" s="387"/>
      <c r="N61" s="387"/>
      <c r="O61" s="387"/>
      <c r="P61" s="387"/>
      <c r="Q61" s="387"/>
      <c r="R61" s="387"/>
      <c r="S61" s="387"/>
      <c r="T61" s="387"/>
      <c r="U61" s="387"/>
      <c r="V61" s="387"/>
      <c r="W61" s="387"/>
      <c r="X61" s="387"/>
      <c r="Y61" s="387"/>
      <c r="Z61" s="387"/>
      <c r="AA61" s="387"/>
      <c r="AB61" s="387"/>
      <c r="AC61" s="387"/>
      <c r="AD61" s="387"/>
      <c r="AE61" s="387"/>
      <c r="AF61" s="387"/>
      <c r="AG61" s="387"/>
      <c r="AH61" s="387"/>
      <c r="AI61" s="387"/>
      <c r="AJ61" s="387"/>
      <c r="AK61" s="387"/>
      <c r="AL61" s="387"/>
      <c r="AM61" s="387"/>
      <c r="AN61" s="387"/>
      <c r="AO61" s="387"/>
      <c r="AP61" s="390">
        <f t="shared" ref="AP61:BP61" si="20">SUM(AP63,AP79)</f>
        <v>81979.5</v>
      </c>
      <c r="AQ61" s="391">
        <f t="shared" si="20"/>
        <v>84399.5</v>
      </c>
      <c r="AR61" s="391">
        <f t="shared" si="20"/>
        <v>86922.299999999988</v>
      </c>
      <c r="AS61" s="391">
        <f t="shared" si="20"/>
        <v>90106.999999999985</v>
      </c>
      <c r="AT61" s="391">
        <f t="shared" si="20"/>
        <v>87274.6</v>
      </c>
      <c r="AU61" s="392">
        <f t="shared" si="20"/>
        <v>90028.2</v>
      </c>
      <c r="AV61" s="391">
        <f t="shared" si="20"/>
        <v>94475.3</v>
      </c>
      <c r="AW61" s="391">
        <f t="shared" si="20"/>
        <v>98986</v>
      </c>
      <c r="AX61" s="393">
        <f t="shared" si="20"/>
        <v>102907.40000000001</v>
      </c>
      <c r="AY61" s="394">
        <f t="shared" si="20"/>
        <v>107181.3</v>
      </c>
      <c r="AZ61" s="391">
        <f t="shared" si="20"/>
        <v>110316.40000000001</v>
      </c>
      <c r="BA61" s="391">
        <f t="shared" si="20"/>
        <v>115551</v>
      </c>
      <c r="BB61" s="391">
        <f t="shared" si="20"/>
        <v>118127.79999999999</v>
      </c>
      <c r="BC61" s="392">
        <f t="shared" si="20"/>
        <v>123459.7</v>
      </c>
      <c r="BD61" s="391">
        <f t="shared" si="20"/>
        <v>120598.09999999998</v>
      </c>
      <c r="BE61" s="391">
        <f t="shared" si="20"/>
        <v>122382</v>
      </c>
      <c r="BF61" s="391">
        <f t="shared" si="20"/>
        <v>124655.29999999999</v>
      </c>
      <c r="BG61" s="392">
        <f t="shared" si="20"/>
        <v>129453.19999999998</v>
      </c>
      <c r="BH61" s="391">
        <f t="shared" si="20"/>
        <v>133768.80000000002</v>
      </c>
      <c r="BI61" s="391">
        <f t="shared" si="20"/>
        <v>141168.59999999998</v>
      </c>
      <c r="BJ61" s="391">
        <f t="shared" si="20"/>
        <v>146536</v>
      </c>
      <c r="BK61" s="392">
        <f t="shared" si="20"/>
        <v>149709.69999999998</v>
      </c>
      <c r="BL61" s="391">
        <f t="shared" si="20"/>
        <v>152117.69999999998</v>
      </c>
      <c r="BM61" s="391">
        <f t="shared" si="20"/>
        <v>154350.20000000001</v>
      </c>
      <c r="BN61" s="391">
        <f t="shared" si="20"/>
        <v>154974.6</v>
      </c>
      <c r="BO61" s="392">
        <f t="shared" si="20"/>
        <v>156050.9</v>
      </c>
      <c r="BP61" s="391">
        <f t="shared" si="20"/>
        <v>156213.4</v>
      </c>
      <c r="BQ61" s="391">
        <f>SUM(BQ63,BQ79)</f>
        <v>158085.69999999998</v>
      </c>
      <c r="BR61" s="391">
        <f>SUM(BR63,BR79)</f>
        <v>156520.69999999998</v>
      </c>
      <c r="BS61" s="392">
        <f>SUM(BS63,BS79)</f>
        <v>158425.49999999997</v>
      </c>
    </row>
    <row r="62" spans="1:73">
      <c r="A62" s="420"/>
      <c r="B62" s="421"/>
      <c r="C62" s="422"/>
      <c r="D62" s="420"/>
      <c r="E62" s="420"/>
      <c r="F62" s="420"/>
      <c r="G62" s="420"/>
      <c r="H62" s="420"/>
      <c r="I62" s="420"/>
      <c r="J62" s="420"/>
      <c r="K62" s="420"/>
      <c r="L62" s="420"/>
      <c r="M62" s="420"/>
      <c r="N62" s="420"/>
      <c r="O62" s="420"/>
      <c r="P62" s="420"/>
      <c r="Q62" s="420"/>
      <c r="R62" s="420"/>
      <c r="S62" s="420"/>
      <c r="T62" s="420"/>
      <c r="U62" s="420"/>
      <c r="V62" s="420"/>
      <c r="W62" s="420"/>
      <c r="X62" s="420"/>
      <c r="Y62" s="420"/>
      <c r="Z62" s="420"/>
      <c r="AA62" s="420"/>
      <c r="AB62" s="420"/>
      <c r="AC62" s="420"/>
      <c r="AD62" s="420"/>
      <c r="AE62" s="420"/>
      <c r="AF62" s="420"/>
      <c r="AG62" s="420"/>
      <c r="AH62" s="420"/>
      <c r="AI62" s="420"/>
      <c r="AJ62" s="420"/>
      <c r="AK62" s="420"/>
      <c r="AL62" s="420"/>
      <c r="AM62" s="420"/>
      <c r="AN62" s="420"/>
      <c r="AO62" s="420"/>
      <c r="AP62" s="423"/>
      <c r="AQ62" s="424"/>
      <c r="AR62" s="424"/>
      <c r="AS62" s="424"/>
      <c r="AT62" s="424"/>
      <c r="AU62" s="425"/>
      <c r="AV62" s="424"/>
      <c r="AW62" s="424"/>
      <c r="AX62" s="426"/>
      <c r="AY62" s="427"/>
      <c r="AZ62" s="424"/>
      <c r="BA62" s="424"/>
      <c r="BB62" s="424"/>
      <c r="BC62" s="425"/>
      <c r="BD62" s="424"/>
      <c r="BE62" s="424"/>
      <c r="BF62" s="424"/>
      <c r="BG62" s="425"/>
      <c r="BH62" s="424"/>
      <c r="BI62" s="424"/>
      <c r="BJ62" s="424"/>
      <c r="BK62" s="425"/>
      <c r="BL62" s="424"/>
      <c r="BM62" s="424"/>
      <c r="BN62" s="424"/>
      <c r="BO62" s="425"/>
      <c r="BP62" s="424"/>
      <c r="BQ62" s="424"/>
      <c r="BR62" s="424"/>
      <c r="BS62" s="376"/>
    </row>
    <row r="63" spans="1:73">
      <c r="A63" s="395" t="s">
        <v>492</v>
      </c>
      <c r="B63" s="396" t="s">
        <v>493</v>
      </c>
      <c r="C63" s="397"/>
      <c r="D63" s="395"/>
      <c r="E63" s="395"/>
      <c r="F63" s="395"/>
      <c r="G63" s="395"/>
      <c r="H63" s="395"/>
      <c r="I63" s="395"/>
      <c r="J63" s="395"/>
      <c r="K63" s="395"/>
      <c r="L63" s="395"/>
      <c r="M63" s="395"/>
      <c r="N63" s="395"/>
      <c r="O63" s="395"/>
      <c r="P63" s="395"/>
      <c r="Q63" s="395"/>
      <c r="R63" s="395"/>
      <c r="S63" s="395"/>
      <c r="T63" s="395"/>
      <c r="U63" s="395"/>
      <c r="V63" s="395"/>
      <c r="W63" s="395"/>
      <c r="X63" s="395"/>
      <c r="Y63" s="395"/>
      <c r="Z63" s="395"/>
      <c r="AA63" s="395"/>
      <c r="AB63" s="395"/>
      <c r="AC63" s="395"/>
      <c r="AD63" s="395"/>
      <c r="AE63" s="395"/>
      <c r="AF63" s="395"/>
      <c r="AG63" s="395"/>
      <c r="AH63" s="395"/>
      <c r="AI63" s="395"/>
      <c r="AJ63" s="395"/>
      <c r="AK63" s="395"/>
      <c r="AL63" s="395"/>
      <c r="AM63" s="395"/>
      <c r="AN63" s="395"/>
      <c r="AO63" s="395"/>
      <c r="AP63" s="398">
        <f>SUM(AP64:AP66)</f>
        <v>77633.600000000006</v>
      </c>
      <c r="AQ63" s="399">
        <f t="shared" ref="AQ63:BP63" si="21">SUM(AQ64:AQ66)</f>
        <v>80270.399999999994</v>
      </c>
      <c r="AR63" s="399">
        <f t="shared" si="21"/>
        <v>82741.999999999985</v>
      </c>
      <c r="AS63" s="399">
        <f t="shared" si="21"/>
        <v>85764.299999999988</v>
      </c>
      <c r="AT63" s="399">
        <f t="shared" si="21"/>
        <v>86556.3</v>
      </c>
      <c r="AU63" s="400">
        <f t="shared" si="21"/>
        <v>89281</v>
      </c>
      <c r="AV63" s="399">
        <f t="shared" si="21"/>
        <v>93666.3</v>
      </c>
      <c r="AW63" s="399">
        <f t="shared" si="21"/>
        <v>98194.9</v>
      </c>
      <c r="AX63" s="401">
        <f t="shared" si="21"/>
        <v>101956.8</v>
      </c>
      <c r="AY63" s="402">
        <f t="shared" si="21"/>
        <v>105954.3</v>
      </c>
      <c r="AZ63" s="399">
        <f t="shared" si="21"/>
        <v>108857.20000000001</v>
      </c>
      <c r="BA63" s="399">
        <f t="shared" si="21"/>
        <v>113670.6</v>
      </c>
      <c r="BB63" s="399">
        <f t="shared" si="21"/>
        <v>115830.99999999999</v>
      </c>
      <c r="BC63" s="400">
        <f t="shared" si="21"/>
        <v>121103</v>
      </c>
      <c r="BD63" s="399">
        <f t="shared" si="21"/>
        <v>118415.19999999998</v>
      </c>
      <c r="BE63" s="399">
        <f t="shared" si="21"/>
        <v>120559.5</v>
      </c>
      <c r="BF63" s="399">
        <f t="shared" si="21"/>
        <v>122722.09999999999</v>
      </c>
      <c r="BG63" s="400">
        <f t="shared" si="21"/>
        <v>127514.29999999999</v>
      </c>
      <c r="BH63" s="399">
        <f t="shared" si="21"/>
        <v>131611.70000000001</v>
      </c>
      <c r="BI63" s="399">
        <f t="shared" si="21"/>
        <v>138129.69999999998</v>
      </c>
      <c r="BJ63" s="399">
        <f t="shared" si="21"/>
        <v>143286.70000000001</v>
      </c>
      <c r="BK63" s="400">
        <f t="shared" si="21"/>
        <v>147030.9</v>
      </c>
      <c r="BL63" s="399">
        <f t="shared" si="21"/>
        <v>150563.29999999999</v>
      </c>
      <c r="BM63" s="399">
        <f t="shared" si="21"/>
        <v>152838.30000000002</v>
      </c>
      <c r="BN63" s="399">
        <f t="shared" si="21"/>
        <v>153091.20000000001</v>
      </c>
      <c r="BO63" s="400">
        <f t="shared" si="21"/>
        <v>154610.9</v>
      </c>
      <c r="BP63" s="399">
        <f t="shared" si="21"/>
        <v>154550</v>
      </c>
      <c r="BQ63" s="399">
        <f>SUM(BQ64:BQ66)</f>
        <v>156543.19999999998</v>
      </c>
      <c r="BR63" s="399">
        <f>SUM(BR64:BR66)</f>
        <v>154747.69999999998</v>
      </c>
      <c r="BS63" s="400">
        <f>SUM(BS64:BS66)</f>
        <v>156517.59999999998</v>
      </c>
    </row>
    <row r="64" spans="1:73">
      <c r="A64" s="403" t="s">
        <v>299</v>
      </c>
      <c r="B64" s="404" t="s">
        <v>300</v>
      </c>
      <c r="C64" s="405"/>
      <c r="D64" s="403"/>
      <c r="E64" s="403"/>
      <c r="F64" s="403"/>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3"/>
      <c r="AE64" s="403"/>
      <c r="AF64" s="403"/>
      <c r="AG64" s="403"/>
      <c r="AH64" s="403"/>
      <c r="AI64" s="403"/>
      <c r="AJ64" s="403"/>
      <c r="AK64" s="403"/>
      <c r="AL64" s="403"/>
      <c r="AM64" s="403"/>
      <c r="AN64" s="403"/>
      <c r="AO64" s="403"/>
      <c r="AP64" s="359">
        <f t="shared" ref="AP64:BS66" si="22">SUM(AP16,AP40)</f>
        <v>32865.4</v>
      </c>
      <c r="AQ64" s="360">
        <f t="shared" si="22"/>
        <v>34051.899999999994</v>
      </c>
      <c r="AR64" s="360">
        <f t="shared" si="22"/>
        <v>35576.699999999997</v>
      </c>
      <c r="AS64" s="360">
        <f t="shared" si="22"/>
        <v>37381.9</v>
      </c>
      <c r="AT64" s="360">
        <f t="shared" si="22"/>
        <v>38840.400000000001</v>
      </c>
      <c r="AU64" s="361">
        <f t="shared" si="22"/>
        <v>41473</v>
      </c>
      <c r="AV64" s="360">
        <f t="shared" si="22"/>
        <v>43707.399999999994</v>
      </c>
      <c r="AW64" s="360">
        <f t="shared" si="22"/>
        <v>45764</v>
      </c>
      <c r="AX64" s="362">
        <f t="shared" si="22"/>
        <v>47525.700000000004</v>
      </c>
      <c r="AY64" s="363">
        <f t="shared" si="22"/>
        <v>49493</v>
      </c>
      <c r="AZ64" s="360">
        <f t="shared" si="22"/>
        <v>52210.100000000006</v>
      </c>
      <c r="BA64" s="360">
        <f t="shared" si="22"/>
        <v>54893.200000000004</v>
      </c>
      <c r="BB64" s="360">
        <f t="shared" si="22"/>
        <v>57284.899999999994</v>
      </c>
      <c r="BC64" s="361">
        <f t="shared" si="22"/>
        <v>59903.799999999996</v>
      </c>
      <c r="BD64" s="360">
        <f t="shared" si="22"/>
        <v>61037.599999999999</v>
      </c>
      <c r="BE64" s="360">
        <f t="shared" si="22"/>
        <v>62456.599999999991</v>
      </c>
      <c r="BF64" s="360">
        <f t="shared" si="22"/>
        <v>63345</v>
      </c>
      <c r="BG64" s="361">
        <f t="shared" si="22"/>
        <v>66275.799999999988</v>
      </c>
      <c r="BH64" s="360">
        <f t="shared" si="22"/>
        <v>69849.899999999994</v>
      </c>
      <c r="BI64" s="360">
        <f t="shared" si="22"/>
        <v>73239.799999999988</v>
      </c>
      <c r="BJ64" s="360">
        <f t="shared" si="22"/>
        <v>75418.600000000006</v>
      </c>
      <c r="BK64" s="361">
        <f t="shared" si="22"/>
        <v>75767.7</v>
      </c>
      <c r="BL64" s="360">
        <f t="shared" si="22"/>
        <v>74735.100000000006</v>
      </c>
      <c r="BM64" s="360">
        <f t="shared" si="22"/>
        <v>73221.600000000006</v>
      </c>
      <c r="BN64" s="360">
        <f t="shared" si="22"/>
        <v>72715</v>
      </c>
      <c r="BO64" s="361">
        <f t="shared" si="22"/>
        <v>72408.7</v>
      </c>
      <c r="BP64" s="360">
        <f t="shared" si="22"/>
        <v>73111.600000000006</v>
      </c>
      <c r="BQ64" s="360">
        <f t="shared" si="22"/>
        <v>73809.200000000012</v>
      </c>
      <c r="BR64" s="360">
        <f t="shared" si="22"/>
        <v>72840.800000000003</v>
      </c>
      <c r="BS64" s="361">
        <f t="shared" si="22"/>
        <v>71462.399999999994</v>
      </c>
    </row>
    <row r="65" spans="1:71">
      <c r="A65" s="403" t="s">
        <v>301</v>
      </c>
      <c r="B65" s="404" t="s">
        <v>302</v>
      </c>
      <c r="C65" s="405"/>
      <c r="D65" s="403"/>
      <c r="E65" s="403"/>
      <c r="F65" s="403"/>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3"/>
      <c r="AE65" s="403"/>
      <c r="AF65" s="403"/>
      <c r="AG65" s="403"/>
      <c r="AH65" s="403"/>
      <c r="AI65" s="403"/>
      <c r="AJ65" s="403"/>
      <c r="AK65" s="403"/>
      <c r="AL65" s="403"/>
      <c r="AM65" s="403"/>
      <c r="AN65" s="403"/>
      <c r="AO65" s="403"/>
      <c r="AP65" s="359">
        <f t="shared" si="22"/>
        <v>41352.200000000004</v>
      </c>
      <c r="AQ65" s="360">
        <f t="shared" si="22"/>
        <v>42839.1</v>
      </c>
      <c r="AR65" s="360">
        <f t="shared" si="22"/>
        <v>43932.1</v>
      </c>
      <c r="AS65" s="360">
        <f t="shared" si="22"/>
        <v>45317</v>
      </c>
      <c r="AT65" s="360">
        <f t="shared" si="22"/>
        <v>44868.6</v>
      </c>
      <c r="AU65" s="361">
        <f t="shared" si="22"/>
        <v>45159.199999999997</v>
      </c>
      <c r="AV65" s="360">
        <f t="shared" si="22"/>
        <v>47402.1</v>
      </c>
      <c r="AW65" s="360">
        <f t="shared" si="22"/>
        <v>49770.499999999993</v>
      </c>
      <c r="AX65" s="362">
        <f t="shared" si="22"/>
        <v>51223.899999999994</v>
      </c>
      <c r="AY65" s="363">
        <f t="shared" si="22"/>
        <v>53328.3</v>
      </c>
      <c r="AZ65" s="360">
        <f t="shared" si="22"/>
        <v>53402.3</v>
      </c>
      <c r="BA65" s="360">
        <f t="shared" si="22"/>
        <v>55586.5</v>
      </c>
      <c r="BB65" s="360">
        <f t="shared" si="22"/>
        <v>55527.199999999997</v>
      </c>
      <c r="BC65" s="361">
        <f t="shared" si="22"/>
        <v>58224.100000000006</v>
      </c>
      <c r="BD65" s="360">
        <f t="shared" si="22"/>
        <v>54431.199999999997</v>
      </c>
      <c r="BE65" s="360">
        <f t="shared" si="22"/>
        <v>55007.799999999996</v>
      </c>
      <c r="BF65" s="360">
        <f t="shared" si="22"/>
        <v>56059.7</v>
      </c>
      <c r="BG65" s="361">
        <f t="shared" si="22"/>
        <v>57999.7</v>
      </c>
      <c r="BH65" s="360">
        <f t="shared" si="22"/>
        <v>58600.6</v>
      </c>
      <c r="BI65" s="360">
        <f t="shared" si="22"/>
        <v>61816.299999999996</v>
      </c>
      <c r="BJ65" s="360">
        <f t="shared" si="22"/>
        <v>64922.500000000007</v>
      </c>
      <c r="BK65" s="361">
        <f t="shared" si="22"/>
        <v>68370.8</v>
      </c>
      <c r="BL65" s="360">
        <f t="shared" si="22"/>
        <v>72960.900000000009</v>
      </c>
      <c r="BM65" s="360">
        <f t="shared" si="22"/>
        <v>76702.600000000006</v>
      </c>
      <c r="BN65" s="360">
        <f t="shared" si="22"/>
        <v>77308.600000000006</v>
      </c>
      <c r="BO65" s="361">
        <f t="shared" si="22"/>
        <v>79087.3</v>
      </c>
      <c r="BP65" s="360">
        <f t="shared" si="22"/>
        <v>78378.5</v>
      </c>
      <c r="BQ65" s="360">
        <f t="shared" si="22"/>
        <v>79594.599999999991</v>
      </c>
      <c r="BR65" s="360">
        <f t="shared" si="22"/>
        <v>78753.299999999988</v>
      </c>
      <c r="BS65" s="361">
        <f t="shared" si="22"/>
        <v>81917.900000000009</v>
      </c>
    </row>
    <row r="66" spans="1:71">
      <c r="A66" s="403" t="s">
        <v>303</v>
      </c>
      <c r="B66" s="404" t="s">
        <v>304</v>
      </c>
      <c r="C66" s="405"/>
      <c r="D66" s="403"/>
      <c r="E66" s="403"/>
      <c r="F66" s="403"/>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3"/>
      <c r="AE66" s="403"/>
      <c r="AF66" s="403"/>
      <c r="AG66" s="403"/>
      <c r="AH66" s="403"/>
      <c r="AI66" s="403"/>
      <c r="AJ66" s="403"/>
      <c r="AK66" s="403"/>
      <c r="AL66" s="403"/>
      <c r="AM66" s="403"/>
      <c r="AN66" s="403"/>
      <c r="AO66" s="403"/>
      <c r="AP66" s="359">
        <f t="shared" si="22"/>
        <v>3416</v>
      </c>
      <c r="AQ66" s="360">
        <f t="shared" si="22"/>
        <v>3379.4</v>
      </c>
      <c r="AR66" s="360">
        <f t="shared" si="22"/>
        <v>3233.2</v>
      </c>
      <c r="AS66" s="360">
        <f t="shared" si="22"/>
        <v>3065.3999999999996</v>
      </c>
      <c r="AT66" s="360">
        <f t="shared" si="22"/>
        <v>2847.3</v>
      </c>
      <c r="AU66" s="361">
        <f t="shared" si="22"/>
        <v>2648.8</v>
      </c>
      <c r="AV66" s="360">
        <f t="shared" si="22"/>
        <v>2556.8000000000002</v>
      </c>
      <c r="AW66" s="360">
        <f t="shared" si="22"/>
        <v>2660.4</v>
      </c>
      <c r="AX66" s="362">
        <f t="shared" si="22"/>
        <v>3207.2000000000003</v>
      </c>
      <c r="AY66" s="363">
        <f t="shared" si="22"/>
        <v>3133</v>
      </c>
      <c r="AZ66" s="360">
        <f t="shared" si="22"/>
        <v>3244.8</v>
      </c>
      <c r="BA66" s="360">
        <f t="shared" si="22"/>
        <v>3190.9</v>
      </c>
      <c r="BB66" s="360">
        <f t="shared" si="22"/>
        <v>3018.8999999999996</v>
      </c>
      <c r="BC66" s="361">
        <f t="shared" si="22"/>
        <v>2975.1000000000004</v>
      </c>
      <c r="BD66" s="360">
        <f t="shared" si="22"/>
        <v>2946.4</v>
      </c>
      <c r="BE66" s="360">
        <f t="shared" si="22"/>
        <v>3095.1</v>
      </c>
      <c r="BF66" s="360">
        <f t="shared" si="22"/>
        <v>3317.4</v>
      </c>
      <c r="BG66" s="361">
        <f t="shared" si="22"/>
        <v>3238.8</v>
      </c>
      <c r="BH66" s="360">
        <f t="shared" si="22"/>
        <v>3161.2</v>
      </c>
      <c r="BI66" s="360">
        <f t="shared" si="22"/>
        <v>3073.6</v>
      </c>
      <c r="BJ66" s="360">
        <f t="shared" si="22"/>
        <v>2945.6</v>
      </c>
      <c r="BK66" s="361">
        <f t="shared" si="22"/>
        <v>2892.4</v>
      </c>
      <c r="BL66" s="360">
        <f t="shared" si="22"/>
        <v>2867.2999999999997</v>
      </c>
      <c r="BM66" s="360">
        <f t="shared" si="22"/>
        <v>2914.1</v>
      </c>
      <c r="BN66" s="360">
        <f t="shared" si="22"/>
        <v>3067.6</v>
      </c>
      <c r="BO66" s="361">
        <f t="shared" si="22"/>
        <v>3114.8999999999996</v>
      </c>
      <c r="BP66" s="360">
        <f t="shared" si="22"/>
        <v>3059.8999999999996</v>
      </c>
      <c r="BQ66" s="360">
        <f t="shared" si="22"/>
        <v>3139.3999999999996</v>
      </c>
      <c r="BR66" s="360">
        <f t="shared" si="22"/>
        <v>3153.6000000000004</v>
      </c>
      <c r="BS66" s="361">
        <f t="shared" si="22"/>
        <v>3137.3</v>
      </c>
    </row>
    <row r="67" spans="1:71">
      <c r="A67" s="406" t="s">
        <v>458</v>
      </c>
      <c r="B67" s="407" t="s">
        <v>459</v>
      </c>
      <c r="C67" s="408"/>
      <c r="D67" s="406"/>
      <c r="E67" s="406"/>
      <c r="F67" s="406"/>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6"/>
      <c r="AE67" s="406"/>
      <c r="AF67" s="406"/>
      <c r="AG67" s="406"/>
      <c r="AH67" s="406"/>
      <c r="AI67" s="406"/>
      <c r="AJ67" s="406"/>
      <c r="AK67" s="406"/>
      <c r="AL67" s="406"/>
      <c r="AM67" s="406"/>
      <c r="AN67" s="406"/>
      <c r="AO67" s="406"/>
      <c r="AP67" s="409">
        <f>SUM(AP68,AP74)</f>
        <v>77633.600000000006</v>
      </c>
      <c r="AQ67" s="410">
        <f t="shared" ref="AQ67:BP67" si="23">SUM(AQ68,AQ74)</f>
        <v>80270.399999999994</v>
      </c>
      <c r="AR67" s="410">
        <f t="shared" si="23"/>
        <v>82742</v>
      </c>
      <c r="AS67" s="410">
        <f t="shared" si="23"/>
        <v>85764.3</v>
      </c>
      <c r="AT67" s="410">
        <f t="shared" si="23"/>
        <v>86556.299999999988</v>
      </c>
      <c r="AU67" s="411">
        <f t="shared" si="23"/>
        <v>89281</v>
      </c>
      <c r="AV67" s="410">
        <f t="shared" si="23"/>
        <v>93666.299999999988</v>
      </c>
      <c r="AW67" s="410">
        <f t="shared" si="23"/>
        <v>98194.9</v>
      </c>
      <c r="AX67" s="412">
        <f t="shared" si="23"/>
        <v>101956.8</v>
      </c>
      <c r="AY67" s="413">
        <f t="shared" si="23"/>
        <v>105954.29999999999</v>
      </c>
      <c r="AZ67" s="410">
        <f t="shared" si="23"/>
        <v>108857.2</v>
      </c>
      <c r="BA67" s="410">
        <f t="shared" si="23"/>
        <v>113670.6</v>
      </c>
      <c r="BB67" s="410">
        <f t="shared" si="23"/>
        <v>115831</v>
      </c>
      <c r="BC67" s="411">
        <f t="shared" si="23"/>
        <v>121102.99999999997</v>
      </c>
      <c r="BD67" s="410">
        <f t="shared" si="23"/>
        <v>118415.20000000001</v>
      </c>
      <c r="BE67" s="410">
        <f t="shared" si="23"/>
        <v>120559.5</v>
      </c>
      <c r="BF67" s="410">
        <f t="shared" si="23"/>
        <v>122722.10000000002</v>
      </c>
      <c r="BG67" s="411">
        <f t="shared" si="23"/>
        <v>127514.29999999999</v>
      </c>
      <c r="BH67" s="410">
        <f t="shared" si="23"/>
        <v>131611.70000000001</v>
      </c>
      <c r="BI67" s="410">
        <f t="shared" si="23"/>
        <v>138129.70000000001</v>
      </c>
      <c r="BJ67" s="410">
        <f t="shared" si="23"/>
        <v>143286.70000000001</v>
      </c>
      <c r="BK67" s="411">
        <f t="shared" si="23"/>
        <v>147030.90000000002</v>
      </c>
      <c r="BL67" s="410">
        <f t="shared" si="23"/>
        <v>150563.29999999999</v>
      </c>
      <c r="BM67" s="410">
        <f t="shared" si="23"/>
        <v>152838.29999999999</v>
      </c>
      <c r="BN67" s="410">
        <f t="shared" si="23"/>
        <v>153091.20000000001</v>
      </c>
      <c r="BO67" s="411">
        <f t="shared" si="23"/>
        <v>154610.9</v>
      </c>
      <c r="BP67" s="410">
        <f t="shared" si="23"/>
        <v>154550</v>
      </c>
      <c r="BQ67" s="410">
        <f>SUM(BQ68,BQ74)</f>
        <v>156543.19999999998</v>
      </c>
      <c r="BR67" s="410">
        <f>SUM(BR68,BR74)</f>
        <v>154747.70000000001</v>
      </c>
      <c r="BS67" s="411">
        <f>SUM(BS68,BS74)</f>
        <v>156517.6</v>
      </c>
    </row>
    <row r="68" spans="1:71">
      <c r="A68" s="414" t="s">
        <v>307</v>
      </c>
      <c r="B68" s="415" t="s">
        <v>308</v>
      </c>
      <c r="C68" s="416"/>
      <c r="D68" s="414"/>
      <c r="E68" s="414"/>
      <c r="F68" s="414"/>
      <c r="G68" s="414"/>
      <c r="H68" s="414"/>
      <c r="I68" s="414"/>
      <c r="J68" s="414"/>
      <c r="K68" s="414"/>
      <c r="L68" s="414"/>
      <c r="M68" s="414"/>
      <c r="N68" s="414"/>
      <c r="O68" s="414"/>
      <c r="P68" s="414"/>
      <c r="Q68" s="414"/>
      <c r="R68" s="414"/>
      <c r="S68" s="414"/>
      <c r="T68" s="414"/>
      <c r="U68" s="414"/>
      <c r="V68" s="414"/>
      <c r="W68" s="414"/>
      <c r="X68" s="414"/>
      <c r="Y68" s="414"/>
      <c r="Z68" s="414"/>
      <c r="AA68" s="414"/>
      <c r="AB68" s="414"/>
      <c r="AC68" s="414"/>
      <c r="AD68" s="414"/>
      <c r="AE68" s="414"/>
      <c r="AF68" s="414"/>
      <c r="AG68" s="414"/>
      <c r="AH68" s="414"/>
      <c r="AI68" s="414"/>
      <c r="AJ68" s="414"/>
      <c r="AK68" s="414"/>
      <c r="AL68" s="414"/>
      <c r="AM68" s="414"/>
      <c r="AN68" s="414"/>
      <c r="AO68" s="414"/>
      <c r="AP68" s="409">
        <f>SUM(AP69:AP73)</f>
        <v>46520.1</v>
      </c>
      <c r="AQ68" s="410">
        <f t="shared" ref="AQ68:BP68" si="24">SUM(AQ69:AQ73)</f>
        <v>48047.199999999997</v>
      </c>
      <c r="AR68" s="410">
        <f t="shared" si="24"/>
        <v>49022.299999999996</v>
      </c>
      <c r="AS68" s="410">
        <f t="shared" si="24"/>
        <v>50571.100000000006</v>
      </c>
      <c r="AT68" s="410">
        <f t="shared" si="24"/>
        <v>49675.1</v>
      </c>
      <c r="AU68" s="411">
        <f t="shared" si="24"/>
        <v>50784.999999999993</v>
      </c>
      <c r="AV68" s="410">
        <f t="shared" si="24"/>
        <v>52967.599999999991</v>
      </c>
      <c r="AW68" s="410">
        <f t="shared" si="24"/>
        <v>55583.199999999997</v>
      </c>
      <c r="AX68" s="412">
        <f t="shared" si="24"/>
        <v>57602.000000000007</v>
      </c>
      <c r="AY68" s="413">
        <f t="shared" si="24"/>
        <v>65338.200000000004</v>
      </c>
      <c r="AZ68" s="410">
        <f t="shared" si="24"/>
        <v>65965</v>
      </c>
      <c r="BA68" s="410">
        <f t="shared" si="24"/>
        <v>68350.899999999994</v>
      </c>
      <c r="BB68" s="410">
        <f t="shared" si="24"/>
        <v>68230.7</v>
      </c>
      <c r="BC68" s="411">
        <f t="shared" si="24"/>
        <v>71036.999999999971</v>
      </c>
      <c r="BD68" s="410">
        <f t="shared" si="24"/>
        <v>66743.900000000009</v>
      </c>
      <c r="BE68" s="410">
        <f t="shared" si="24"/>
        <v>67799.5</v>
      </c>
      <c r="BF68" s="410">
        <f t="shared" si="24"/>
        <v>67976.700000000012</v>
      </c>
      <c r="BG68" s="411">
        <f t="shared" si="24"/>
        <v>70063.899999999994</v>
      </c>
      <c r="BH68" s="410">
        <f t="shared" si="24"/>
        <v>71021.5</v>
      </c>
      <c r="BI68" s="410">
        <f t="shared" si="24"/>
        <v>74569.600000000006</v>
      </c>
      <c r="BJ68" s="410">
        <f t="shared" si="24"/>
        <v>77756.3</v>
      </c>
      <c r="BK68" s="411">
        <f t="shared" si="24"/>
        <v>81172.800000000003</v>
      </c>
      <c r="BL68" s="410">
        <f t="shared" si="24"/>
        <v>85782.799999999988</v>
      </c>
      <c r="BM68" s="410">
        <f t="shared" si="24"/>
        <v>89609.4</v>
      </c>
      <c r="BN68" s="410">
        <f t="shared" si="24"/>
        <v>90285.799999999988</v>
      </c>
      <c r="BO68" s="411">
        <f t="shared" si="24"/>
        <v>92345.099999999991</v>
      </c>
      <c r="BP68" s="410">
        <f t="shared" si="24"/>
        <v>91783.3</v>
      </c>
      <c r="BQ68" s="410">
        <f>SUM(BQ69:BQ73)</f>
        <v>93035.699999999983</v>
      </c>
      <c r="BR68" s="410">
        <f>SUM(BR69:BR73)</f>
        <v>90839</v>
      </c>
      <c r="BS68" s="411">
        <f>SUM(BS69:BS73)</f>
        <v>91460</v>
      </c>
    </row>
    <row r="69" spans="1:71">
      <c r="A69" s="417" t="s">
        <v>460</v>
      </c>
      <c r="B69" s="418" t="s">
        <v>461</v>
      </c>
      <c r="C69" s="419"/>
      <c r="D69" s="417"/>
      <c r="E69" s="417"/>
      <c r="F69" s="417"/>
      <c r="G69" s="417"/>
      <c r="H69" s="417"/>
      <c r="I69" s="417"/>
      <c r="J69" s="417"/>
      <c r="K69" s="417"/>
      <c r="L69" s="417"/>
      <c r="M69" s="417"/>
      <c r="N69" s="417"/>
      <c r="O69" s="417"/>
      <c r="P69" s="417"/>
      <c r="Q69" s="417"/>
      <c r="R69" s="417"/>
      <c r="S69" s="417"/>
      <c r="T69" s="417"/>
      <c r="U69" s="417"/>
      <c r="V69" s="417"/>
      <c r="W69" s="417"/>
      <c r="X69" s="417"/>
      <c r="Y69" s="417"/>
      <c r="Z69" s="417"/>
      <c r="AA69" s="417"/>
      <c r="AB69" s="417"/>
      <c r="AC69" s="417"/>
      <c r="AD69" s="417"/>
      <c r="AE69" s="417"/>
      <c r="AF69" s="417"/>
      <c r="AG69" s="417"/>
      <c r="AH69" s="417"/>
      <c r="AI69" s="417"/>
      <c r="AJ69" s="417"/>
      <c r="AK69" s="417"/>
      <c r="AL69" s="417"/>
      <c r="AM69" s="417"/>
      <c r="AN69" s="417"/>
      <c r="AO69" s="417"/>
      <c r="AP69" s="359">
        <f t="shared" ref="AP69:BS73" si="25">SUM(AP21,AP45)</f>
        <v>7278.9000000000005</v>
      </c>
      <c r="AQ69" s="360">
        <f t="shared" si="25"/>
        <v>9141.1</v>
      </c>
      <c r="AR69" s="360">
        <f t="shared" si="25"/>
        <v>9251.1</v>
      </c>
      <c r="AS69" s="360">
        <f t="shared" si="25"/>
        <v>9616.6</v>
      </c>
      <c r="AT69" s="360">
        <f t="shared" si="25"/>
        <v>8920.1</v>
      </c>
      <c r="AU69" s="361">
        <f t="shared" si="25"/>
        <v>10232.100000000002</v>
      </c>
      <c r="AV69" s="360">
        <f t="shared" si="25"/>
        <v>9986.9999999999982</v>
      </c>
      <c r="AW69" s="360">
        <f t="shared" si="25"/>
        <v>10799.6</v>
      </c>
      <c r="AX69" s="362">
        <f t="shared" si="25"/>
        <v>10322.799999999999</v>
      </c>
      <c r="AY69" s="363">
        <f t="shared" si="25"/>
        <v>11813.9</v>
      </c>
      <c r="AZ69" s="360">
        <f t="shared" si="25"/>
        <v>11974.499999999998</v>
      </c>
      <c r="BA69" s="360">
        <f t="shared" si="25"/>
        <v>8718.5</v>
      </c>
      <c r="BB69" s="360">
        <f t="shared" si="25"/>
        <v>10999.5</v>
      </c>
      <c r="BC69" s="361">
        <f t="shared" si="25"/>
        <v>11321.6</v>
      </c>
      <c r="BD69" s="360">
        <f t="shared" si="25"/>
        <v>9530.3000000000011</v>
      </c>
      <c r="BE69" s="360">
        <f t="shared" si="25"/>
        <v>9361.6</v>
      </c>
      <c r="BF69" s="360">
        <f t="shared" si="25"/>
        <v>8982.1000000000022</v>
      </c>
      <c r="BG69" s="361">
        <f t="shared" si="25"/>
        <v>10327.299999999999</v>
      </c>
      <c r="BH69" s="360">
        <f t="shared" si="25"/>
        <v>10990.299999999997</v>
      </c>
      <c r="BI69" s="360">
        <f t="shared" si="25"/>
        <v>11978.7</v>
      </c>
      <c r="BJ69" s="360">
        <f t="shared" si="25"/>
        <v>11848.6</v>
      </c>
      <c r="BK69" s="361">
        <f t="shared" si="25"/>
        <v>9393.9000000000015</v>
      </c>
      <c r="BL69" s="360">
        <f t="shared" si="25"/>
        <v>15202.6</v>
      </c>
      <c r="BM69" s="360">
        <f t="shared" si="25"/>
        <v>16036.1</v>
      </c>
      <c r="BN69" s="360">
        <f t="shared" si="25"/>
        <v>14960.800000000001</v>
      </c>
      <c r="BO69" s="361">
        <f t="shared" si="25"/>
        <v>15401.6</v>
      </c>
      <c r="BP69" s="360">
        <f t="shared" si="25"/>
        <v>15697.099999999999</v>
      </c>
      <c r="BQ69" s="360">
        <f t="shared" si="25"/>
        <v>15387.9</v>
      </c>
      <c r="BR69" s="360">
        <f t="shared" si="25"/>
        <v>13599.199999999999</v>
      </c>
      <c r="BS69" s="361">
        <f t="shared" si="25"/>
        <v>14590.900000000001</v>
      </c>
    </row>
    <row r="70" spans="1:71">
      <c r="A70" s="417" t="s">
        <v>462</v>
      </c>
      <c r="B70" s="418" t="s">
        <v>463</v>
      </c>
      <c r="C70" s="419"/>
      <c r="D70" s="417"/>
      <c r="E70" s="417"/>
      <c r="F70" s="417"/>
      <c r="G70" s="417"/>
      <c r="H70" s="417"/>
      <c r="I70" s="417"/>
      <c r="J70" s="417"/>
      <c r="K70" s="417"/>
      <c r="L70" s="417"/>
      <c r="M70" s="417"/>
      <c r="N70" s="417"/>
      <c r="O70" s="417"/>
      <c r="P70" s="417"/>
      <c r="Q70" s="417"/>
      <c r="R70" s="417"/>
      <c r="S70" s="417"/>
      <c r="T70" s="417"/>
      <c r="U70" s="417"/>
      <c r="V70" s="417"/>
      <c r="W70" s="417"/>
      <c r="X70" s="417"/>
      <c r="Y70" s="417"/>
      <c r="Z70" s="417"/>
      <c r="AA70" s="417"/>
      <c r="AB70" s="417"/>
      <c r="AC70" s="417"/>
      <c r="AD70" s="417"/>
      <c r="AE70" s="417"/>
      <c r="AF70" s="417"/>
      <c r="AG70" s="417"/>
      <c r="AH70" s="417"/>
      <c r="AI70" s="417"/>
      <c r="AJ70" s="417"/>
      <c r="AK70" s="417"/>
      <c r="AL70" s="417"/>
      <c r="AM70" s="417"/>
      <c r="AN70" s="417"/>
      <c r="AO70" s="417"/>
      <c r="AP70" s="359">
        <f t="shared" si="25"/>
        <v>27168.799999999999</v>
      </c>
      <c r="AQ70" s="360">
        <f t="shared" si="25"/>
        <v>26709.899999999998</v>
      </c>
      <c r="AR70" s="360">
        <f t="shared" si="25"/>
        <v>27337</v>
      </c>
      <c r="AS70" s="360">
        <f t="shared" si="25"/>
        <v>28301.000000000004</v>
      </c>
      <c r="AT70" s="360">
        <f t="shared" si="25"/>
        <v>27762.5</v>
      </c>
      <c r="AU70" s="361">
        <f t="shared" si="25"/>
        <v>27609.299999999996</v>
      </c>
      <c r="AV70" s="360">
        <f t="shared" si="25"/>
        <v>29701.399999999998</v>
      </c>
      <c r="AW70" s="360">
        <f t="shared" si="25"/>
        <v>31037.599999999999</v>
      </c>
      <c r="AX70" s="362">
        <f t="shared" si="25"/>
        <v>32517.300000000003</v>
      </c>
      <c r="AY70" s="363">
        <f t="shared" si="25"/>
        <v>37383.700000000004</v>
      </c>
      <c r="AZ70" s="360">
        <f t="shared" si="25"/>
        <v>37436.300000000003</v>
      </c>
      <c r="BA70" s="360">
        <f t="shared" si="25"/>
        <v>42300.299999999996</v>
      </c>
      <c r="BB70" s="360">
        <f t="shared" si="25"/>
        <v>40099.199999999997</v>
      </c>
      <c r="BC70" s="361">
        <f t="shared" si="25"/>
        <v>42387.499999999985</v>
      </c>
      <c r="BD70" s="360">
        <f t="shared" si="25"/>
        <v>41079.700000000004</v>
      </c>
      <c r="BE70" s="360">
        <f t="shared" si="25"/>
        <v>41324.6</v>
      </c>
      <c r="BF70" s="360">
        <f t="shared" si="25"/>
        <v>41510.800000000003</v>
      </c>
      <c r="BG70" s="361">
        <f t="shared" si="25"/>
        <v>41816.700000000004</v>
      </c>
      <c r="BH70" s="360">
        <f t="shared" si="25"/>
        <v>41351.900000000009</v>
      </c>
      <c r="BI70" s="360">
        <f t="shared" si="25"/>
        <v>43229.599999999999</v>
      </c>
      <c r="BJ70" s="360">
        <f t="shared" si="25"/>
        <v>44675.6</v>
      </c>
      <c r="BK70" s="361">
        <f t="shared" si="25"/>
        <v>50593.1</v>
      </c>
      <c r="BL70" s="360">
        <f t="shared" si="25"/>
        <v>48158.899999999994</v>
      </c>
      <c r="BM70" s="360">
        <f t="shared" si="25"/>
        <v>50328.499999999993</v>
      </c>
      <c r="BN70" s="360">
        <f t="shared" si="25"/>
        <v>51502.1</v>
      </c>
      <c r="BO70" s="361">
        <f t="shared" si="25"/>
        <v>52449.9</v>
      </c>
      <c r="BP70" s="360">
        <f t="shared" si="25"/>
        <v>51936.500000000007</v>
      </c>
      <c r="BQ70" s="360">
        <f t="shared" si="25"/>
        <v>53081.399999999994</v>
      </c>
      <c r="BR70" s="360">
        <f t="shared" si="25"/>
        <v>53172.1</v>
      </c>
      <c r="BS70" s="361">
        <f t="shared" si="25"/>
        <v>52793.599999999999</v>
      </c>
    </row>
    <row r="71" spans="1:71">
      <c r="A71" s="417" t="s">
        <v>464</v>
      </c>
      <c r="B71" s="418" t="s">
        <v>465</v>
      </c>
      <c r="C71" s="419"/>
      <c r="D71" s="417"/>
      <c r="E71" s="417"/>
      <c r="F71" s="417"/>
      <c r="G71" s="417"/>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417"/>
      <c r="AG71" s="417"/>
      <c r="AH71" s="417"/>
      <c r="AI71" s="417"/>
      <c r="AJ71" s="417"/>
      <c r="AK71" s="417"/>
      <c r="AL71" s="417"/>
      <c r="AM71" s="417"/>
      <c r="AN71" s="417"/>
      <c r="AO71" s="417"/>
      <c r="AP71" s="359">
        <f t="shared" si="25"/>
        <v>5209.2000000000007</v>
      </c>
      <c r="AQ71" s="360">
        <f t="shared" si="25"/>
        <v>5238.7</v>
      </c>
      <c r="AR71" s="360">
        <f t="shared" si="25"/>
        <v>5522.9000000000005</v>
      </c>
      <c r="AS71" s="360">
        <f t="shared" si="25"/>
        <v>5698.1</v>
      </c>
      <c r="AT71" s="360">
        <f t="shared" si="25"/>
        <v>5871.4</v>
      </c>
      <c r="AU71" s="361">
        <f t="shared" si="25"/>
        <v>6074.3</v>
      </c>
      <c r="AV71" s="360">
        <f t="shared" si="25"/>
        <v>6438.4999999999991</v>
      </c>
      <c r="AW71" s="360">
        <f t="shared" si="25"/>
        <v>6739.0999999999995</v>
      </c>
      <c r="AX71" s="362">
        <f t="shared" si="25"/>
        <v>7118.1000000000013</v>
      </c>
      <c r="AY71" s="363">
        <f t="shared" si="25"/>
        <v>8618.1</v>
      </c>
      <c r="AZ71" s="360">
        <f t="shared" si="25"/>
        <v>9077.9</v>
      </c>
      <c r="BA71" s="360">
        <f t="shared" si="25"/>
        <v>9423.1</v>
      </c>
      <c r="BB71" s="360">
        <f t="shared" si="25"/>
        <v>9334.6999999999989</v>
      </c>
      <c r="BC71" s="361">
        <f t="shared" si="25"/>
        <v>9526.5</v>
      </c>
      <c r="BD71" s="360">
        <f t="shared" si="25"/>
        <v>9364</v>
      </c>
      <c r="BE71" s="360">
        <f t="shared" si="25"/>
        <v>9504.6999999999989</v>
      </c>
      <c r="BF71" s="360">
        <f t="shared" si="25"/>
        <v>9697.6</v>
      </c>
      <c r="BG71" s="361">
        <f t="shared" si="25"/>
        <v>10024.400000000001</v>
      </c>
      <c r="BH71" s="360">
        <f t="shared" si="25"/>
        <v>10267.9</v>
      </c>
      <c r="BI71" s="360">
        <f t="shared" si="25"/>
        <v>10551.8</v>
      </c>
      <c r="BJ71" s="360">
        <f t="shared" si="25"/>
        <v>11090</v>
      </c>
      <c r="BK71" s="361">
        <f t="shared" si="25"/>
        <v>11484.8</v>
      </c>
      <c r="BL71" s="360">
        <f t="shared" si="25"/>
        <v>11894.3</v>
      </c>
      <c r="BM71" s="360">
        <f t="shared" si="25"/>
        <v>12438.999999999998</v>
      </c>
      <c r="BN71" s="360">
        <f t="shared" si="25"/>
        <v>12363.500000000002</v>
      </c>
      <c r="BO71" s="361">
        <f t="shared" si="25"/>
        <v>12525.4</v>
      </c>
      <c r="BP71" s="360">
        <f t="shared" si="25"/>
        <v>12600.300000000001</v>
      </c>
      <c r="BQ71" s="360">
        <f t="shared" si="25"/>
        <v>13186.1</v>
      </c>
      <c r="BR71" s="360">
        <f t="shared" si="25"/>
        <v>13130.4</v>
      </c>
      <c r="BS71" s="361">
        <f t="shared" si="25"/>
        <v>13192.399999999998</v>
      </c>
    </row>
    <row r="72" spans="1:71">
      <c r="A72" s="417" t="s">
        <v>466</v>
      </c>
      <c r="B72" s="418" t="s">
        <v>467</v>
      </c>
      <c r="C72" s="419"/>
      <c r="D72" s="417"/>
      <c r="E72" s="417"/>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F72" s="417"/>
      <c r="AG72" s="417"/>
      <c r="AH72" s="417"/>
      <c r="AI72" s="417"/>
      <c r="AJ72" s="417"/>
      <c r="AK72" s="417"/>
      <c r="AL72" s="417"/>
      <c r="AM72" s="417"/>
      <c r="AN72" s="417"/>
      <c r="AO72" s="417"/>
      <c r="AP72" s="359">
        <f t="shared" si="25"/>
        <v>4350.4000000000005</v>
      </c>
      <c r="AQ72" s="360">
        <f t="shared" si="25"/>
        <v>4513.3999999999996</v>
      </c>
      <c r="AR72" s="360">
        <f t="shared" si="25"/>
        <v>4622.2</v>
      </c>
      <c r="AS72" s="360">
        <f t="shared" si="25"/>
        <v>4715.1000000000004</v>
      </c>
      <c r="AT72" s="360">
        <f t="shared" si="25"/>
        <v>4589</v>
      </c>
      <c r="AU72" s="361">
        <f t="shared" si="25"/>
        <v>4562.6000000000004</v>
      </c>
      <c r="AV72" s="360">
        <f t="shared" si="25"/>
        <v>4751.6000000000004</v>
      </c>
      <c r="AW72" s="360">
        <f t="shared" si="25"/>
        <v>4766.9999999999991</v>
      </c>
      <c r="AX72" s="362">
        <f t="shared" si="25"/>
        <v>4834.5</v>
      </c>
      <c r="AY72" s="363">
        <f t="shared" si="25"/>
        <v>5011.8999999999996</v>
      </c>
      <c r="AZ72" s="360">
        <f t="shared" si="25"/>
        <v>5138.7999999999993</v>
      </c>
      <c r="BA72" s="360">
        <f t="shared" si="25"/>
        <v>5289.9</v>
      </c>
      <c r="BB72" s="360">
        <f t="shared" si="25"/>
        <v>5293.2999999999993</v>
      </c>
      <c r="BC72" s="361">
        <f t="shared" si="25"/>
        <v>5326.5</v>
      </c>
      <c r="BD72" s="360">
        <f t="shared" si="25"/>
        <v>4542.4000000000005</v>
      </c>
      <c r="BE72" s="360">
        <f t="shared" si="25"/>
        <v>4611.9000000000005</v>
      </c>
      <c r="BF72" s="360">
        <f t="shared" si="25"/>
        <v>4794.5</v>
      </c>
      <c r="BG72" s="361">
        <f t="shared" si="25"/>
        <v>5054.5999999999995</v>
      </c>
      <c r="BH72" s="360">
        <f t="shared" si="25"/>
        <v>5693.2</v>
      </c>
      <c r="BI72" s="360">
        <f t="shared" si="25"/>
        <v>6172.5</v>
      </c>
      <c r="BJ72" s="360">
        <f t="shared" si="25"/>
        <v>6823.8</v>
      </c>
      <c r="BK72" s="361">
        <f t="shared" si="25"/>
        <v>6477.5999999999995</v>
      </c>
      <c r="BL72" s="360">
        <f t="shared" si="25"/>
        <v>7228.2</v>
      </c>
      <c r="BM72" s="360">
        <f t="shared" si="25"/>
        <v>7464</v>
      </c>
      <c r="BN72" s="360">
        <f t="shared" si="25"/>
        <v>7682</v>
      </c>
      <c r="BO72" s="361">
        <f t="shared" si="25"/>
        <v>7679.8</v>
      </c>
      <c r="BP72" s="360">
        <f t="shared" si="25"/>
        <v>7308</v>
      </c>
      <c r="BQ72" s="360">
        <f t="shared" si="25"/>
        <v>7132.4000000000005</v>
      </c>
      <c r="BR72" s="360">
        <f t="shared" si="25"/>
        <v>6747.3</v>
      </c>
      <c r="BS72" s="361">
        <f t="shared" si="25"/>
        <v>6672.2999999999993</v>
      </c>
    </row>
    <row r="73" spans="1:71">
      <c r="A73" s="417" t="s">
        <v>468</v>
      </c>
      <c r="B73" s="418" t="s">
        <v>469</v>
      </c>
      <c r="C73" s="419"/>
      <c r="D73" s="417"/>
      <c r="E73" s="417"/>
      <c r="F73" s="417"/>
      <c r="G73" s="417"/>
      <c r="H73" s="417"/>
      <c r="I73" s="417"/>
      <c r="J73" s="417"/>
      <c r="K73" s="417"/>
      <c r="L73" s="417"/>
      <c r="M73" s="417"/>
      <c r="N73" s="417"/>
      <c r="O73" s="417"/>
      <c r="P73" s="417"/>
      <c r="Q73" s="417"/>
      <c r="R73" s="417"/>
      <c r="S73" s="417"/>
      <c r="T73" s="417"/>
      <c r="U73" s="417"/>
      <c r="V73" s="417"/>
      <c r="W73" s="417"/>
      <c r="X73" s="417"/>
      <c r="Y73" s="417"/>
      <c r="Z73" s="417"/>
      <c r="AA73" s="417"/>
      <c r="AB73" s="417"/>
      <c r="AC73" s="417"/>
      <c r="AD73" s="417"/>
      <c r="AE73" s="417"/>
      <c r="AF73" s="417"/>
      <c r="AG73" s="417"/>
      <c r="AH73" s="417"/>
      <c r="AI73" s="417"/>
      <c r="AJ73" s="417"/>
      <c r="AK73" s="417"/>
      <c r="AL73" s="417"/>
      <c r="AM73" s="417"/>
      <c r="AN73" s="417"/>
      <c r="AO73" s="417"/>
      <c r="AP73" s="359">
        <f t="shared" si="25"/>
        <v>2512.7999999999997</v>
      </c>
      <c r="AQ73" s="360">
        <f t="shared" si="25"/>
        <v>2444.1000000000004</v>
      </c>
      <c r="AR73" s="360">
        <f t="shared" si="25"/>
        <v>2289.1000000000004</v>
      </c>
      <c r="AS73" s="360">
        <f t="shared" si="25"/>
        <v>2240.3000000000002</v>
      </c>
      <c r="AT73" s="360">
        <f t="shared" si="25"/>
        <v>2532.1</v>
      </c>
      <c r="AU73" s="361">
        <f t="shared" si="25"/>
        <v>2306.7000000000003</v>
      </c>
      <c r="AV73" s="360">
        <f t="shared" si="25"/>
        <v>2089.1</v>
      </c>
      <c r="AW73" s="360">
        <f t="shared" si="25"/>
        <v>2239.8999999999996</v>
      </c>
      <c r="AX73" s="362">
        <f t="shared" si="25"/>
        <v>2809.3</v>
      </c>
      <c r="AY73" s="363">
        <f t="shared" si="25"/>
        <v>2510.6</v>
      </c>
      <c r="AZ73" s="360">
        <f t="shared" si="25"/>
        <v>2337.5</v>
      </c>
      <c r="BA73" s="360">
        <f t="shared" si="25"/>
        <v>2619.1</v>
      </c>
      <c r="BB73" s="360">
        <f t="shared" si="25"/>
        <v>2504.0000000000005</v>
      </c>
      <c r="BC73" s="361">
        <f t="shared" si="25"/>
        <v>2474.9</v>
      </c>
      <c r="BD73" s="360">
        <f t="shared" si="25"/>
        <v>2227.4999999999995</v>
      </c>
      <c r="BE73" s="360">
        <f t="shared" si="25"/>
        <v>2996.7000000000003</v>
      </c>
      <c r="BF73" s="360">
        <f t="shared" si="25"/>
        <v>2991.7000000000003</v>
      </c>
      <c r="BG73" s="361">
        <f t="shared" si="25"/>
        <v>2840.8999999999996</v>
      </c>
      <c r="BH73" s="360">
        <f t="shared" si="25"/>
        <v>2718.2</v>
      </c>
      <c r="BI73" s="360">
        <f t="shared" si="25"/>
        <v>2636.9999999999995</v>
      </c>
      <c r="BJ73" s="360">
        <f t="shared" si="25"/>
        <v>3318.2999999999997</v>
      </c>
      <c r="BK73" s="361">
        <f t="shared" si="25"/>
        <v>3223.4</v>
      </c>
      <c r="BL73" s="360">
        <f t="shared" si="25"/>
        <v>3298.8</v>
      </c>
      <c r="BM73" s="360">
        <f t="shared" si="25"/>
        <v>3341.7999999999997</v>
      </c>
      <c r="BN73" s="360">
        <f t="shared" si="25"/>
        <v>3777.4</v>
      </c>
      <c r="BO73" s="361">
        <f t="shared" si="25"/>
        <v>4288.3999999999996</v>
      </c>
      <c r="BP73" s="360">
        <f t="shared" si="25"/>
        <v>4241.3999999999996</v>
      </c>
      <c r="BQ73" s="360">
        <f t="shared" si="25"/>
        <v>4247.8999999999996</v>
      </c>
      <c r="BR73" s="360">
        <f t="shared" si="25"/>
        <v>4190</v>
      </c>
      <c r="BS73" s="361">
        <f t="shared" si="25"/>
        <v>4210.8</v>
      </c>
    </row>
    <row r="74" spans="1:71">
      <c r="A74" s="414" t="s">
        <v>315</v>
      </c>
      <c r="B74" s="415" t="s">
        <v>316</v>
      </c>
      <c r="C74" s="416"/>
      <c r="D74" s="414"/>
      <c r="E74" s="414"/>
      <c r="F74" s="414"/>
      <c r="G74" s="414"/>
      <c r="H74" s="414"/>
      <c r="I74" s="414"/>
      <c r="J74" s="414"/>
      <c r="K74" s="414"/>
      <c r="L74" s="414"/>
      <c r="M74" s="414"/>
      <c r="N74" s="414"/>
      <c r="O74" s="414"/>
      <c r="P74" s="414"/>
      <c r="Q74" s="414"/>
      <c r="R74" s="414"/>
      <c r="S74" s="414"/>
      <c r="T74" s="414"/>
      <c r="U74" s="414"/>
      <c r="V74" s="414"/>
      <c r="W74" s="414"/>
      <c r="X74" s="414"/>
      <c r="Y74" s="414"/>
      <c r="Z74" s="414"/>
      <c r="AA74" s="414"/>
      <c r="AB74" s="414"/>
      <c r="AC74" s="414"/>
      <c r="AD74" s="414"/>
      <c r="AE74" s="414"/>
      <c r="AF74" s="414"/>
      <c r="AG74" s="414"/>
      <c r="AH74" s="414"/>
      <c r="AI74" s="414"/>
      <c r="AJ74" s="414"/>
      <c r="AK74" s="414"/>
      <c r="AL74" s="414"/>
      <c r="AM74" s="414"/>
      <c r="AN74" s="414"/>
      <c r="AO74" s="414"/>
      <c r="AP74" s="409">
        <f>SUM(AP75:AP78)</f>
        <v>31113.500000000004</v>
      </c>
      <c r="AQ74" s="410">
        <f t="shared" ref="AQ74:BP74" si="26">SUM(AQ75:AQ78)</f>
        <v>32223.200000000004</v>
      </c>
      <c r="AR74" s="410">
        <f t="shared" si="26"/>
        <v>33719.699999999997</v>
      </c>
      <c r="AS74" s="410">
        <f t="shared" si="26"/>
        <v>35193.199999999997</v>
      </c>
      <c r="AT74" s="410">
        <f t="shared" si="26"/>
        <v>36881.199999999997</v>
      </c>
      <c r="AU74" s="411">
        <f t="shared" si="26"/>
        <v>38496</v>
      </c>
      <c r="AV74" s="410">
        <f t="shared" si="26"/>
        <v>40698.700000000004</v>
      </c>
      <c r="AW74" s="410">
        <f t="shared" si="26"/>
        <v>42611.69999999999</v>
      </c>
      <c r="AX74" s="412">
        <f t="shared" si="26"/>
        <v>44354.799999999996</v>
      </c>
      <c r="AY74" s="413">
        <f t="shared" si="26"/>
        <v>40616.099999999991</v>
      </c>
      <c r="AZ74" s="410">
        <f t="shared" si="26"/>
        <v>42892.2</v>
      </c>
      <c r="BA74" s="410">
        <f t="shared" si="26"/>
        <v>45319.700000000004</v>
      </c>
      <c r="BB74" s="410">
        <f t="shared" si="26"/>
        <v>47600.299999999996</v>
      </c>
      <c r="BC74" s="411">
        <f t="shared" si="26"/>
        <v>50066</v>
      </c>
      <c r="BD74" s="410">
        <f t="shared" si="26"/>
        <v>51671.3</v>
      </c>
      <c r="BE74" s="410">
        <f t="shared" si="26"/>
        <v>52760</v>
      </c>
      <c r="BF74" s="410">
        <f t="shared" si="26"/>
        <v>54745.400000000009</v>
      </c>
      <c r="BG74" s="411">
        <f t="shared" si="26"/>
        <v>57450.400000000001</v>
      </c>
      <c r="BH74" s="410">
        <f t="shared" si="26"/>
        <v>60590.200000000004</v>
      </c>
      <c r="BI74" s="410">
        <f t="shared" si="26"/>
        <v>63560.100000000006</v>
      </c>
      <c r="BJ74" s="410">
        <f t="shared" si="26"/>
        <v>65530.400000000001</v>
      </c>
      <c r="BK74" s="411">
        <f t="shared" si="26"/>
        <v>65858.100000000006</v>
      </c>
      <c r="BL74" s="410">
        <f t="shared" si="26"/>
        <v>64780.5</v>
      </c>
      <c r="BM74" s="410">
        <f t="shared" si="26"/>
        <v>63228.899999999994</v>
      </c>
      <c r="BN74" s="410">
        <f t="shared" si="26"/>
        <v>62805.400000000009</v>
      </c>
      <c r="BO74" s="411">
        <f t="shared" si="26"/>
        <v>62265.8</v>
      </c>
      <c r="BP74" s="410">
        <f t="shared" si="26"/>
        <v>62766.7</v>
      </c>
      <c r="BQ74" s="410">
        <f>SUM(BQ75:BQ78)</f>
        <v>63507.5</v>
      </c>
      <c r="BR74" s="410">
        <f>SUM(BR75:BR78)</f>
        <v>63908.7</v>
      </c>
      <c r="BS74" s="411">
        <f>SUM(BS75:BS78)</f>
        <v>65057.599999999999</v>
      </c>
    </row>
    <row r="75" spans="1:71">
      <c r="A75" s="417" t="s">
        <v>470</v>
      </c>
      <c r="B75" s="418" t="s">
        <v>471</v>
      </c>
      <c r="C75" s="419"/>
      <c r="D75" s="417"/>
      <c r="E75" s="417"/>
      <c r="F75" s="417"/>
      <c r="G75" s="417"/>
      <c r="H75" s="417"/>
      <c r="I75" s="417"/>
      <c r="J75" s="417"/>
      <c r="K75" s="417"/>
      <c r="L75" s="417"/>
      <c r="M75" s="417"/>
      <c r="N75" s="417"/>
      <c r="O75" s="417"/>
      <c r="P75" s="417"/>
      <c r="Q75" s="417"/>
      <c r="R75" s="417"/>
      <c r="S75" s="417"/>
      <c r="T75" s="417"/>
      <c r="U75" s="417"/>
      <c r="V75" s="417"/>
      <c r="W75" s="417"/>
      <c r="X75" s="417"/>
      <c r="Y75" s="417"/>
      <c r="Z75" s="417"/>
      <c r="AA75" s="417"/>
      <c r="AB75" s="417"/>
      <c r="AC75" s="417"/>
      <c r="AD75" s="417"/>
      <c r="AE75" s="417"/>
      <c r="AF75" s="417"/>
      <c r="AG75" s="417"/>
      <c r="AH75" s="417"/>
      <c r="AI75" s="417"/>
      <c r="AJ75" s="417"/>
      <c r="AK75" s="417"/>
      <c r="AL75" s="417"/>
      <c r="AM75" s="417"/>
      <c r="AN75" s="417"/>
      <c r="AO75" s="417"/>
      <c r="AP75" s="359">
        <f t="shared" ref="AP75:BS78" si="27">SUM(AP27,AP51)</f>
        <v>23284</v>
      </c>
      <c r="AQ75" s="360">
        <f t="shared" si="27"/>
        <v>23982.500000000004</v>
      </c>
      <c r="AR75" s="360">
        <f t="shared" si="27"/>
        <v>24998.399999999998</v>
      </c>
      <c r="AS75" s="360">
        <f t="shared" si="27"/>
        <v>26058.300000000003</v>
      </c>
      <c r="AT75" s="360">
        <f t="shared" si="27"/>
        <v>27369.399999999998</v>
      </c>
      <c r="AU75" s="361">
        <f t="shared" si="27"/>
        <v>28661.1</v>
      </c>
      <c r="AV75" s="360">
        <f t="shared" si="27"/>
        <v>30295.4</v>
      </c>
      <c r="AW75" s="360">
        <f t="shared" si="27"/>
        <v>31756.499999999996</v>
      </c>
      <c r="AX75" s="362">
        <f t="shared" si="27"/>
        <v>33146.799999999996</v>
      </c>
      <c r="AY75" s="363">
        <f t="shared" si="27"/>
        <v>34361.699999999997</v>
      </c>
      <c r="AZ75" s="360">
        <f t="shared" si="27"/>
        <v>36264.5</v>
      </c>
      <c r="BA75" s="360">
        <f t="shared" si="27"/>
        <v>38409.200000000004</v>
      </c>
      <c r="BB75" s="360">
        <f t="shared" si="27"/>
        <v>40597.399999999994</v>
      </c>
      <c r="BC75" s="361">
        <f t="shared" si="27"/>
        <v>42976.9</v>
      </c>
      <c r="BD75" s="360">
        <f t="shared" si="27"/>
        <v>44708.700000000004</v>
      </c>
      <c r="BE75" s="360">
        <f t="shared" si="27"/>
        <v>45668.700000000004</v>
      </c>
      <c r="BF75" s="360">
        <f t="shared" si="27"/>
        <v>47621.8</v>
      </c>
      <c r="BG75" s="361">
        <f t="shared" si="27"/>
        <v>50116.800000000003</v>
      </c>
      <c r="BH75" s="360">
        <f t="shared" si="27"/>
        <v>52725.9</v>
      </c>
      <c r="BI75" s="360">
        <f t="shared" si="27"/>
        <v>55290.400000000009</v>
      </c>
      <c r="BJ75" s="360">
        <f t="shared" si="27"/>
        <v>57192.3</v>
      </c>
      <c r="BK75" s="361">
        <f t="shared" si="27"/>
        <v>57657.4</v>
      </c>
      <c r="BL75" s="360">
        <f t="shared" si="27"/>
        <v>56671.6</v>
      </c>
      <c r="BM75" s="360">
        <f t="shared" si="27"/>
        <v>55248.799999999996</v>
      </c>
      <c r="BN75" s="360">
        <f t="shared" si="27"/>
        <v>54886.500000000007</v>
      </c>
      <c r="BO75" s="361">
        <f t="shared" si="27"/>
        <v>54406.200000000004</v>
      </c>
      <c r="BP75" s="360">
        <f t="shared" si="27"/>
        <v>54689.7</v>
      </c>
      <c r="BQ75" s="360">
        <f t="shared" si="27"/>
        <v>55251.7</v>
      </c>
      <c r="BR75" s="360">
        <f t="shared" si="27"/>
        <v>55492.2</v>
      </c>
      <c r="BS75" s="361">
        <f t="shared" si="27"/>
        <v>56494.400000000001</v>
      </c>
    </row>
    <row r="76" spans="1:71">
      <c r="A76" s="417" t="s">
        <v>460</v>
      </c>
      <c r="B76" s="418" t="s">
        <v>461</v>
      </c>
      <c r="C76" s="419"/>
      <c r="D76" s="417"/>
      <c r="E76" s="417"/>
      <c r="F76" s="417"/>
      <c r="G76" s="417"/>
      <c r="H76" s="417"/>
      <c r="I76" s="417"/>
      <c r="J76" s="417"/>
      <c r="K76" s="417"/>
      <c r="L76" s="417"/>
      <c r="M76" s="417"/>
      <c r="N76" s="417"/>
      <c r="O76" s="417"/>
      <c r="P76" s="417"/>
      <c r="Q76" s="417"/>
      <c r="R76" s="417"/>
      <c r="S76" s="417"/>
      <c r="T76" s="417"/>
      <c r="U76" s="417"/>
      <c r="V76" s="417"/>
      <c r="W76" s="417"/>
      <c r="X76" s="417"/>
      <c r="Y76" s="417"/>
      <c r="Z76" s="417"/>
      <c r="AA76" s="417"/>
      <c r="AB76" s="417"/>
      <c r="AC76" s="417"/>
      <c r="AD76" s="417"/>
      <c r="AE76" s="417"/>
      <c r="AF76" s="417"/>
      <c r="AG76" s="417"/>
      <c r="AH76" s="417"/>
      <c r="AI76" s="417"/>
      <c r="AJ76" s="417"/>
      <c r="AK76" s="417"/>
      <c r="AL76" s="417"/>
      <c r="AM76" s="417"/>
      <c r="AN76" s="417"/>
      <c r="AO76" s="417"/>
      <c r="AP76" s="359">
        <f t="shared" si="27"/>
        <v>1143.9000000000001</v>
      </c>
      <c r="AQ76" s="360">
        <f t="shared" si="27"/>
        <v>1203.8</v>
      </c>
      <c r="AR76" s="360">
        <f t="shared" si="27"/>
        <v>1244.8</v>
      </c>
      <c r="AS76" s="360">
        <f t="shared" si="27"/>
        <v>1295.0999999999999</v>
      </c>
      <c r="AT76" s="360">
        <f t="shared" si="27"/>
        <v>1239.8</v>
      </c>
      <c r="AU76" s="361">
        <f t="shared" si="27"/>
        <v>1295.3999999999999</v>
      </c>
      <c r="AV76" s="360">
        <f t="shared" si="27"/>
        <v>1299.4000000000001</v>
      </c>
      <c r="AW76" s="360">
        <f t="shared" si="27"/>
        <v>1304.9000000000001</v>
      </c>
      <c r="AX76" s="362">
        <f t="shared" si="27"/>
        <v>1223.4000000000001</v>
      </c>
      <c r="AY76" s="363">
        <f t="shared" si="27"/>
        <v>541.19999999999993</v>
      </c>
      <c r="AZ76" s="360">
        <f t="shared" si="27"/>
        <v>560.1</v>
      </c>
      <c r="BA76" s="360">
        <f t="shared" si="27"/>
        <v>594.20000000000005</v>
      </c>
      <c r="BB76" s="360">
        <f t="shared" si="27"/>
        <v>596.5</v>
      </c>
      <c r="BC76" s="361">
        <f t="shared" si="27"/>
        <v>572.9</v>
      </c>
      <c r="BD76" s="360">
        <f t="shared" si="27"/>
        <v>559.1</v>
      </c>
      <c r="BE76" s="360">
        <f t="shared" si="27"/>
        <v>601.09999999999991</v>
      </c>
      <c r="BF76" s="360">
        <f t="shared" si="27"/>
        <v>594.29999999999995</v>
      </c>
      <c r="BG76" s="361">
        <f t="shared" si="27"/>
        <v>583</v>
      </c>
      <c r="BH76" s="360">
        <f t="shared" si="27"/>
        <v>602.30000000000007</v>
      </c>
      <c r="BI76" s="360">
        <f t="shared" si="27"/>
        <v>640.70000000000005</v>
      </c>
      <c r="BJ76" s="360">
        <f t="shared" si="27"/>
        <v>631.9</v>
      </c>
      <c r="BK76" s="361">
        <f t="shared" si="27"/>
        <v>621.90000000000009</v>
      </c>
      <c r="BL76" s="360">
        <f t="shared" si="27"/>
        <v>626.5</v>
      </c>
      <c r="BM76" s="360">
        <f t="shared" si="27"/>
        <v>623.1</v>
      </c>
      <c r="BN76" s="360">
        <f t="shared" si="27"/>
        <v>634</v>
      </c>
      <c r="BO76" s="361">
        <f t="shared" si="27"/>
        <v>617.6</v>
      </c>
      <c r="BP76" s="360">
        <f t="shared" si="27"/>
        <v>625.6</v>
      </c>
      <c r="BQ76" s="360">
        <f t="shared" si="27"/>
        <v>630</v>
      </c>
      <c r="BR76" s="360">
        <f t="shared" si="27"/>
        <v>643.69999999999993</v>
      </c>
      <c r="BS76" s="361">
        <f t="shared" si="27"/>
        <v>614.6</v>
      </c>
    </row>
    <row r="77" spans="1:71">
      <c r="A77" s="417" t="s">
        <v>464</v>
      </c>
      <c r="B77" s="418" t="s">
        <v>465</v>
      </c>
      <c r="C77" s="419"/>
      <c r="D77" s="417"/>
      <c r="E77" s="417"/>
      <c r="F77" s="417"/>
      <c r="G77" s="417"/>
      <c r="H77" s="417"/>
      <c r="I77" s="417"/>
      <c r="J77" s="417"/>
      <c r="K77" s="417"/>
      <c r="L77" s="417"/>
      <c r="M77" s="417"/>
      <c r="N77" s="417"/>
      <c r="O77" s="417"/>
      <c r="P77" s="417"/>
      <c r="Q77" s="417"/>
      <c r="R77" s="417"/>
      <c r="S77" s="417"/>
      <c r="T77" s="417"/>
      <c r="U77" s="417"/>
      <c r="V77" s="417"/>
      <c r="W77" s="417"/>
      <c r="X77" s="417"/>
      <c r="Y77" s="417"/>
      <c r="Z77" s="417"/>
      <c r="AA77" s="417"/>
      <c r="AB77" s="417"/>
      <c r="AC77" s="417"/>
      <c r="AD77" s="417"/>
      <c r="AE77" s="417"/>
      <c r="AF77" s="417"/>
      <c r="AG77" s="417"/>
      <c r="AH77" s="417"/>
      <c r="AI77" s="417"/>
      <c r="AJ77" s="417"/>
      <c r="AK77" s="417"/>
      <c r="AL77" s="417"/>
      <c r="AM77" s="417"/>
      <c r="AN77" s="417"/>
      <c r="AO77" s="417"/>
      <c r="AP77" s="359">
        <f t="shared" si="27"/>
        <v>501.4</v>
      </c>
      <c r="AQ77" s="360">
        <f t="shared" si="27"/>
        <v>535.4</v>
      </c>
      <c r="AR77" s="360">
        <f t="shared" si="27"/>
        <v>575.69999999999993</v>
      </c>
      <c r="AS77" s="360">
        <f t="shared" si="27"/>
        <v>629.30000000000007</v>
      </c>
      <c r="AT77" s="360">
        <f t="shared" si="27"/>
        <v>688.7</v>
      </c>
      <c r="AU77" s="361">
        <f t="shared" si="27"/>
        <v>750.7</v>
      </c>
      <c r="AV77" s="360">
        <f t="shared" si="27"/>
        <v>807.80000000000007</v>
      </c>
      <c r="AW77" s="360">
        <f t="shared" si="27"/>
        <v>869.19999999999993</v>
      </c>
      <c r="AX77" s="362">
        <f t="shared" si="27"/>
        <v>975.5</v>
      </c>
      <c r="AY77" s="363">
        <f t="shared" si="27"/>
        <v>0</v>
      </c>
      <c r="AZ77" s="360">
        <f t="shared" si="27"/>
        <v>0</v>
      </c>
      <c r="BA77" s="360">
        <f t="shared" si="27"/>
        <v>0</v>
      </c>
      <c r="BB77" s="360">
        <f t="shared" si="27"/>
        <v>0</v>
      </c>
      <c r="BC77" s="361">
        <f t="shared" si="27"/>
        <v>0</v>
      </c>
      <c r="BD77" s="360">
        <f t="shared" si="27"/>
        <v>0</v>
      </c>
      <c r="BE77" s="360">
        <f t="shared" si="27"/>
        <v>0</v>
      </c>
      <c r="BF77" s="360">
        <f t="shared" si="27"/>
        <v>0</v>
      </c>
      <c r="BG77" s="361">
        <f t="shared" si="27"/>
        <v>0</v>
      </c>
      <c r="BH77" s="360">
        <f t="shared" si="27"/>
        <v>0</v>
      </c>
      <c r="BI77" s="360">
        <f t="shared" si="27"/>
        <v>0</v>
      </c>
      <c r="BJ77" s="360">
        <f t="shared" si="27"/>
        <v>0</v>
      </c>
      <c r="BK77" s="361">
        <f t="shared" si="27"/>
        <v>0</v>
      </c>
      <c r="BL77" s="360">
        <f t="shared" si="27"/>
        <v>0</v>
      </c>
      <c r="BM77" s="360">
        <f t="shared" si="27"/>
        <v>0</v>
      </c>
      <c r="BN77" s="360">
        <f t="shared" si="27"/>
        <v>0</v>
      </c>
      <c r="BO77" s="361">
        <f t="shared" si="27"/>
        <v>0</v>
      </c>
      <c r="BP77" s="360">
        <f t="shared" si="27"/>
        <v>0</v>
      </c>
      <c r="BQ77" s="360">
        <f t="shared" si="27"/>
        <v>0</v>
      </c>
      <c r="BR77" s="360">
        <f t="shared" si="27"/>
        <v>0</v>
      </c>
      <c r="BS77" s="361">
        <f t="shared" si="27"/>
        <v>0</v>
      </c>
    </row>
    <row r="78" spans="1:71">
      <c r="A78" s="417" t="s">
        <v>472</v>
      </c>
      <c r="B78" s="418" t="s">
        <v>473</v>
      </c>
      <c r="C78" s="419"/>
      <c r="D78" s="417"/>
      <c r="E78" s="417"/>
      <c r="F78" s="417"/>
      <c r="G78" s="417"/>
      <c r="H78" s="417"/>
      <c r="I78" s="417"/>
      <c r="J78" s="417"/>
      <c r="K78" s="417"/>
      <c r="L78" s="417"/>
      <c r="M78" s="417"/>
      <c r="N78" s="417"/>
      <c r="O78" s="417"/>
      <c r="P78" s="417"/>
      <c r="Q78" s="417"/>
      <c r="R78" s="417"/>
      <c r="S78" s="417"/>
      <c r="T78" s="417"/>
      <c r="U78" s="417"/>
      <c r="V78" s="417"/>
      <c r="W78" s="417"/>
      <c r="X78" s="417"/>
      <c r="Y78" s="417"/>
      <c r="Z78" s="417"/>
      <c r="AA78" s="417"/>
      <c r="AB78" s="417"/>
      <c r="AC78" s="417"/>
      <c r="AD78" s="417"/>
      <c r="AE78" s="417"/>
      <c r="AF78" s="417"/>
      <c r="AG78" s="417"/>
      <c r="AH78" s="417"/>
      <c r="AI78" s="417"/>
      <c r="AJ78" s="417"/>
      <c r="AK78" s="417"/>
      <c r="AL78" s="417"/>
      <c r="AM78" s="417"/>
      <c r="AN78" s="417"/>
      <c r="AO78" s="417"/>
      <c r="AP78" s="359">
        <f t="shared" si="27"/>
        <v>6184.2</v>
      </c>
      <c r="AQ78" s="360">
        <f t="shared" si="27"/>
        <v>6501.5</v>
      </c>
      <c r="AR78" s="360">
        <f t="shared" si="27"/>
        <v>6900.8</v>
      </c>
      <c r="AS78" s="360">
        <f t="shared" si="27"/>
        <v>7210.5</v>
      </c>
      <c r="AT78" s="360">
        <f t="shared" si="27"/>
        <v>7583.3000000000011</v>
      </c>
      <c r="AU78" s="361">
        <f t="shared" si="27"/>
        <v>7788.7999999999993</v>
      </c>
      <c r="AV78" s="360">
        <f t="shared" si="27"/>
        <v>8296.1</v>
      </c>
      <c r="AW78" s="360">
        <f t="shared" si="27"/>
        <v>8681.1</v>
      </c>
      <c r="AX78" s="362">
        <f t="shared" si="27"/>
        <v>9009.0999999999985</v>
      </c>
      <c r="AY78" s="363">
        <f t="shared" si="27"/>
        <v>5713.2</v>
      </c>
      <c r="AZ78" s="360">
        <f t="shared" si="27"/>
        <v>6067.6</v>
      </c>
      <c r="BA78" s="360">
        <f t="shared" si="27"/>
        <v>6316.3</v>
      </c>
      <c r="BB78" s="360">
        <f t="shared" si="27"/>
        <v>6406.4</v>
      </c>
      <c r="BC78" s="361">
        <f t="shared" si="27"/>
        <v>6516.2</v>
      </c>
      <c r="BD78" s="360">
        <f t="shared" si="27"/>
        <v>6403.5</v>
      </c>
      <c r="BE78" s="360">
        <f t="shared" si="27"/>
        <v>6490.2</v>
      </c>
      <c r="BF78" s="360">
        <f t="shared" si="27"/>
        <v>6529.2999999999993</v>
      </c>
      <c r="BG78" s="361">
        <f t="shared" si="27"/>
        <v>6750.5999999999995</v>
      </c>
      <c r="BH78" s="360">
        <f t="shared" si="27"/>
        <v>7262.0000000000009</v>
      </c>
      <c r="BI78" s="360">
        <f t="shared" si="27"/>
        <v>7629.0000000000009</v>
      </c>
      <c r="BJ78" s="360">
        <f t="shared" si="27"/>
        <v>7706.1999999999989</v>
      </c>
      <c r="BK78" s="361">
        <f t="shared" si="27"/>
        <v>7578.8</v>
      </c>
      <c r="BL78" s="360">
        <f t="shared" si="27"/>
        <v>7482.4000000000015</v>
      </c>
      <c r="BM78" s="360">
        <f t="shared" si="27"/>
        <v>7357</v>
      </c>
      <c r="BN78" s="360">
        <f t="shared" si="27"/>
        <v>7284.9000000000005</v>
      </c>
      <c r="BO78" s="361">
        <f t="shared" si="27"/>
        <v>7242</v>
      </c>
      <c r="BP78" s="360">
        <f t="shared" si="27"/>
        <v>7451.4000000000005</v>
      </c>
      <c r="BQ78" s="360">
        <f t="shared" si="27"/>
        <v>7625.7999999999993</v>
      </c>
      <c r="BR78" s="360">
        <f t="shared" si="27"/>
        <v>7772.7999999999993</v>
      </c>
      <c r="BS78" s="361">
        <f t="shared" si="27"/>
        <v>7948.5999999999995</v>
      </c>
    </row>
    <row r="79" spans="1:71">
      <c r="A79" s="395" t="s">
        <v>494</v>
      </c>
      <c r="B79" s="396" t="s">
        <v>495</v>
      </c>
      <c r="C79" s="397"/>
      <c r="D79" s="395"/>
      <c r="E79" s="395"/>
      <c r="F79" s="395"/>
      <c r="G79" s="395"/>
      <c r="H79" s="395"/>
      <c r="I79" s="395"/>
      <c r="J79" s="395"/>
      <c r="K79" s="395"/>
      <c r="L79" s="395"/>
      <c r="M79" s="395"/>
      <c r="N79" s="395"/>
      <c r="O79" s="395"/>
      <c r="P79" s="395"/>
      <c r="Q79" s="395"/>
      <c r="R79" s="395"/>
      <c r="S79" s="395"/>
      <c r="T79" s="395"/>
      <c r="U79" s="395"/>
      <c r="V79" s="395"/>
      <c r="W79" s="395"/>
      <c r="X79" s="395"/>
      <c r="Y79" s="395"/>
      <c r="Z79" s="395"/>
      <c r="AA79" s="395"/>
      <c r="AB79" s="395"/>
      <c r="AC79" s="395"/>
      <c r="AD79" s="395"/>
      <c r="AE79" s="395"/>
      <c r="AF79" s="395"/>
      <c r="AG79" s="395"/>
      <c r="AH79" s="395"/>
      <c r="AI79" s="395"/>
      <c r="AJ79" s="395"/>
      <c r="AK79" s="395"/>
      <c r="AL79" s="395"/>
      <c r="AM79" s="395"/>
      <c r="AN79" s="395"/>
      <c r="AO79" s="395"/>
      <c r="AP79" s="398">
        <f>SUM(AP80:AP83)</f>
        <v>4345.8999999999996</v>
      </c>
      <c r="AQ79" s="399">
        <f t="shared" ref="AQ79:BP79" si="28">SUM(AQ80:AQ83)</f>
        <v>4129.1000000000004</v>
      </c>
      <c r="AR79" s="399">
        <f t="shared" si="28"/>
        <v>4180.3</v>
      </c>
      <c r="AS79" s="399">
        <f t="shared" si="28"/>
        <v>4342.7000000000007</v>
      </c>
      <c r="AT79" s="399">
        <f t="shared" si="28"/>
        <v>718.3</v>
      </c>
      <c r="AU79" s="400">
        <f t="shared" si="28"/>
        <v>747.2</v>
      </c>
      <c r="AV79" s="399">
        <f t="shared" si="28"/>
        <v>809</v>
      </c>
      <c r="AW79" s="399">
        <f t="shared" si="28"/>
        <v>791.1</v>
      </c>
      <c r="AX79" s="401">
        <f t="shared" si="28"/>
        <v>950.6</v>
      </c>
      <c r="AY79" s="402">
        <f t="shared" si="28"/>
        <v>1227</v>
      </c>
      <c r="AZ79" s="399">
        <f t="shared" si="28"/>
        <v>1459.1999999999998</v>
      </c>
      <c r="BA79" s="399">
        <f t="shared" si="28"/>
        <v>1880.4</v>
      </c>
      <c r="BB79" s="399">
        <f t="shared" si="28"/>
        <v>2296.7999999999997</v>
      </c>
      <c r="BC79" s="400">
        <f t="shared" si="28"/>
        <v>2356.6999999999998</v>
      </c>
      <c r="BD79" s="399">
        <f t="shared" si="28"/>
        <v>2182.9</v>
      </c>
      <c r="BE79" s="399">
        <f t="shared" si="28"/>
        <v>1822.5</v>
      </c>
      <c r="BF79" s="399">
        <f t="shared" si="28"/>
        <v>1933.2</v>
      </c>
      <c r="BG79" s="400">
        <f t="shared" si="28"/>
        <v>1938.9</v>
      </c>
      <c r="BH79" s="399">
        <f t="shared" si="28"/>
        <v>2157.1</v>
      </c>
      <c r="BI79" s="399">
        <f t="shared" si="28"/>
        <v>3038.9</v>
      </c>
      <c r="BJ79" s="399">
        <f t="shared" si="28"/>
        <v>3249.3</v>
      </c>
      <c r="BK79" s="400">
        <f t="shared" si="28"/>
        <v>2678.8</v>
      </c>
      <c r="BL79" s="399">
        <f t="shared" si="28"/>
        <v>1554.3999999999999</v>
      </c>
      <c r="BM79" s="399">
        <f t="shared" si="28"/>
        <v>1511.9</v>
      </c>
      <c r="BN79" s="399">
        <f t="shared" si="28"/>
        <v>1883.4</v>
      </c>
      <c r="BO79" s="400">
        <f t="shared" si="28"/>
        <v>1440</v>
      </c>
      <c r="BP79" s="399">
        <f t="shared" si="28"/>
        <v>1663.4</v>
      </c>
      <c r="BQ79" s="399">
        <f>SUM(BQ80:BQ83)</f>
        <v>1542.5</v>
      </c>
      <c r="BR79" s="399">
        <f>SUM(BR80:BR83)</f>
        <v>1773</v>
      </c>
      <c r="BS79" s="400">
        <f>SUM(BS80:BS83)</f>
        <v>1907.9</v>
      </c>
    </row>
    <row r="80" spans="1:71">
      <c r="A80" s="417" t="s">
        <v>476</v>
      </c>
      <c r="B80" s="418" t="s">
        <v>477</v>
      </c>
      <c r="C80" s="419"/>
      <c r="D80" s="417"/>
      <c r="E80" s="417"/>
      <c r="F80" s="417"/>
      <c r="G80" s="417"/>
      <c r="H80" s="417"/>
      <c r="I80" s="417"/>
      <c r="J80" s="417"/>
      <c r="K80" s="417"/>
      <c r="L80" s="417"/>
      <c r="M80" s="417"/>
      <c r="N80" s="417"/>
      <c r="O80" s="417"/>
      <c r="P80" s="417"/>
      <c r="Q80" s="417"/>
      <c r="R80" s="417"/>
      <c r="S80" s="417"/>
      <c r="T80" s="417"/>
      <c r="U80" s="417"/>
      <c r="V80" s="417"/>
      <c r="W80" s="417"/>
      <c r="X80" s="417"/>
      <c r="Y80" s="417"/>
      <c r="Z80" s="417"/>
      <c r="AA80" s="417"/>
      <c r="AB80" s="417"/>
      <c r="AC80" s="417"/>
      <c r="AD80" s="417"/>
      <c r="AE80" s="417"/>
      <c r="AF80" s="417"/>
      <c r="AG80" s="417"/>
      <c r="AH80" s="417"/>
      <c r="AI80" s="417"/>
      <c r="AJ80" s="417"/>
      <c r="AK80" s="417"/>
      <c r="AL80" s="417"/>
      <c r="AM80" s="417"/>
      <c r="AN80" s="417"/>
      <c r="AO80" s="417"/>
      <c r="AP80" s="359">
        <f t="shared" ref="AP80:BS83" si="29">SUM(AP32,AP56)</f>
        <v>3910</v>
      </c>
      <c r="AQ80" s="360">
        <f t="shared" si="29"/>
        <v>3685.7000000000003</v>
      </c>
      <c r="AR80" s="360">
        <f t="shared" si="29"/>
        <v>3589.1000000000004</v>
      </c>
      <c r="AS80" s="360">
        <f t="shared" si="29"/>
        <v>3673.7000000000003</v>
      </c>
      <c r="AT80" s="360">
        <f t="shared" si="29"/>
        <v>-0.7</v>
      </c>
      <c r="AU80" s="361">
        <f t="shared" si="29"/>
        <v>0</v>
      </c>
      <c r="AV80" s="360">
        <f t="shared" si="29"/>
        <v>0</v>
      </c>
      <c r="AW80" s="360">
        <f t="shared" si="29"/>
        <v>0</v>
      </c>
      <c r="AX80" s="362">
        <f t="shared" si="29"/>
        <v>0</v>
      </c>
      <c r="AY80" s="363">
        <f t="shared" si="29"/>
        <v>0</v>
      </c>
      <c r="AZ80" s="360">
        <f t="shared" si="29"/>
        <v>0</v>
      </c>
      <c r="BA80" s="360">
        <f t="shared" si="29"/>
        <v>0</v>
      </c>
      <c r="BB80" s="360">
        <f t="shared" si="29"/>
        <v>0</v>
      </c>
      <c r="BC80" s="361">
        <f t="shared" si="29"/>
        <v>0</v>
      </c>
      <c r="BD80" s="360">
        <f t="shared" si="29"/>
        <v>0</v>
      </c>
      <c r="BE80" s="360">
        <f t="shared" si="29"/>
        <v>0</v>
      </c>
      <c r="BF80" s="360">
        <f t="shared" si="29"/>
        <v>0</v>
      </c>
      <c r="BG80" s="361">
        <f t="shared" si="29"/>
        <v>0</v>
      </c>
      <c r="BH80" s="360">
        <f t="shared" si="29"/>
        <v>0</v>
      </c>
      <c r="BI80" s="360">
        <f t="shared" si="29"/>
        <v>0</v>
      </c>
      <c r="BJ80" s="360">
        <f t="shared" si="29"/>
        <v>0</v>
      </c>
      <c r="BK80" s="361">
        <f t="shared" si="29"/>
        <v>0</v>
      </c>
      <c r="BL80" s="360">
        <f t="shared" si="29"/>
        <v>0</v>
      </c>
      <c r="BM80" s="360">
        <f t="shared" si="29"/>
        <v>0</v>
      </c>
      <c r="BN80" s="360">
        <f t="shared" si="29"/>
        <v>0</v>
      </c>
      <c r="BO80" s="361">
        <f t="shared" si="29"/>
        <v>0</v>
      </c>
      <c r="BP80" s="360">
        <f t="shared" si="29"/>
        <v>0</v>
      </c>
      <c r="BQ80" s="360">
        <f t="shared" si="29"/>
        <v>0</v>
      </c>
      <c r="BR80" s="360">
        <f t="shared" si="29"/>
        <v>0</v>
      </c>
      <c r="BS80" s="361">
        <f t="shared" si="29"/>
        <v>0</v>
      </c>
    </row>
    <row r="81" spans="1:71">
      <c r="A81" s="417" t="s">
        <v>478</v>
      </c>
      <c r="B81" s="418" t="s">
        <v>479</v>
      </c>
      <c r="C81" s="419"/>
      <c r="D81" s="417"/>
      <c r="E81" s="417"/>
      <c r="F81" s="417"/>
      <c r="G81" s="417"/>
      <c r="H81" s="417"/>
      <c r="I81" s="417"/>
      <c r="J81" s="417"/>
      <c r="K81" s="417"/>
      <c r="L81" s="417"/>
      <c r="M81" s="417"/>
      <c r="N81" s="417"/>
      <c r="O81" s="417"/>
      <c r="P81" s="417"/>
      <c r="Q81" s="417"/>
      <c r="R81" s="417"/>
      <c r="S81" s="417"/>
      <c r="T81" s="417"/>
      <c r="U81" s="417"/>
      <c r="V81" s="417"/>
      <c r="W81" s="417"/>
      <c r="X81" s="417"/>
      <c r="Y81" s="417"/>
      <c r="Z81" s="417"/>
      <c r="AA81" s="417"/>
      <c r="AB81" s="417"/>
      <c r="AC81" s="417"/>
      <c r="AD81" s="417"/>
      <c r="AE81" s="417"/>
      <c r="AF81" s="417"/>
      <c r="AG81" s="417"/>
      <c r="AH81" s="417"/>
      <c r="AI81" s="417"/>
      <c r="AJ81" s="417"/>
      <c r="AK81" s="417"/>
      <c r="AL81" s="417"/>
      <c r="AM81" s="417"/>
      <c r="AN81" s="417"/>
      <c r="AO81" s="417"/>
      <c r="AP81" s="359">
        <f t="shared" si="29"/>
        <v>329</v>
      </c>
      <c r="AQ81" s="360">
        <f t="shared" si="29"/>
        <v>324.60000000000002</v>
      </c>
      <c r="AR81" s="360">
        <f t="shared" si="29"/>
        <v>483.4</v>
      </c>
      <c r="AS81" s="360">
        <f t="shared" si="29"/>
        <v>521.20000000000005</v>
      </c>
      <c r="AT81" s="360">
        <f t="shared" si="29"/>
        <v>540.1</v>
      </c>
      <c r="AU81" s="361">
        <f t="shared" si="29"/>
        <v>603</v>
      </c>
      <c r="AV81" s="360">
        <f t="shared" si="29"/>
        <v>651.70000000000005</v>
      </c>
      <c r="AW81" s="360">
        <f t="shared" si="29"/>
        <v>612</v>
      </c>
      <c r="AX81" s="362">
        <f t="shared" si="29"/>
        <v>733</v>
      </c>
      <c r="AY81" s="363">
        <f t="shared" si="29"/>
        <v>1029.7</v>
      </c>
      <c r="AZ81" s="360">
        <f t="shared" si="29"/>
        <v>1081.0999999999999</v>
      </c>
      <c r="BA81" s="360">
        <f t="shared" si="29"/>
        <v>1451.7</v>
      </c>
      <c r="BB81" s="360">
        <f t="shared" si="29"/>
        <v>1598.6</v>
      </c>
      <c r="BC81" s="361">
        <f t="shared" si="29"/>
        <v>1936.5</v>
      </c>
      <c r="BD81" s="360">
        <f t="shared" si="29"/>
        <v>1368.2</v>
      </c>
      <c r="BE81" s="360">
        <f t="shared" si="29"/>
        <v>1212.9000000000001</v>
      </c>
      <c r="BF81" s="360">
        <f t="shared" si="29"/>
        <v>1272.2</v>
      </c>
      <c r="BG81" s="361">
        <f t="shared" si="29"/>
        <v>1325</v>
      </c>
      <c r="BH81" s="360">
        <f t="shared" si="29"/>
        <v>1397.6</v>
      </c>
      <c r="BI81" s="360">
        <f t="shared" si="29"/>
        <v>2257.3000000000002</v>
      </c>
      <c r="BJ81" s="360">
        <f t="shared" si="29"/>
        <v>2531.5</v>
      </c>
      <c r="BK81" s="361">
        <f t="shared" si="29"/>
        <v>1861.7</v>
      </c>
      <c r="BL81" s="360">
        <f t="shared" si="29"/>
        <v>474.3</v>
      </c>
      <c r="BM81" s="360">
        <f t="shared" si="29"/>
        <v>595.5</v>
      </c>
      <c r="BN81" s="360">
        <f t="shared" si="29"/>
        <v>827.6</v>
      </c>
      <c r="BO81" s="361">
        <f t="shared" si="29"/>
        <v>550.79999999999995</v>
      </c>
      <c r="BP81" s="360">
        <f t="shared" si="29"/>
        <v>677</v>
      </c>
      <c r="BQ81" s="360">
        <f t="shared" si="29"/>
        <v>526.79999999999995</v>
      </c>
      <c r="BR81" s="360">
        <f t="shared" si="29"/>
        <v>606.9</v>
      </c>
      <c r="BS81" s="361">
        <f t="shared" si="29"/>
        <v>814.5</v>
      </c>
    </row>
    <row r="82" spans="1:71">
      <c r="A82" s="417" t="s">
        <v>480</v>
      </c>
      <c r="B82" s="418" t="s">
        <v>481</v>
      </c>
      <c r="C82" s="419"/>
      <c r="D82" s="417"/>
      <c r="E82" s="417"/>
      <c r="F82" s="417"/>
      <c r="G82" s="417"/>
      <c r="H82" s="417"/>
      <c r="I82" s="417"/>
      <c r="J82" s="417"/>
      <c r="K82" s="417"/>
      <c r="L82" s="417"/>
      <c r="M82" s="417"/>
      <c r="N82" s="417"/>
      <c r="O82" s="417"/>
      <c r="P82" s="417"/>
      <c r="Q82" s="417"/>
      <c r="R82" s="417"/>
      <c r="S82" s="417"/>
      <c r="T82" s="417"/>
      <c r="U82" s="417"/>
      <c r="V82" s="417"/>
      <c r="W82" s="417"/>
      <c r="X82" s="417"/>
      <c r="Y82" s="417"/>
      <c r="Z82" s="417"/>
      <c r="AA82" s="417"/>
      <c r="AB82" s="417"/>
      <c r="AC82" s="417"/>
      <c r="AD82" s="417"/>
      <c r="AE82" s="417"/>
      <c r="AF82" s="417"/>
      <c r="AG82" s="417"/>
      <c r="AH82" s="417"/>
      <c r="AI82" s="417"/>
      <c r="AJ82" s="417"/>
      <c r="AK82" s="417"/>
      <c r="AL82" s="417"/>
      <c r="AM82" s="417"/>
      <c r="AN82" s="417"/>
      <c r="AO82" s="417"/>
      <c r="AP82" s="359">
        <f t="shared" si="29"/>
        <v>0</v>
      </c>
      <c r="AQ82" s="360">
        <f t="shared" si="29"/>
        <v>19.899999999999999</v>
      </c>
      <c r="AR82" s="360">
        <f t="shared" si="29"/>
        <v>20</v>
      </c>
      <c r="AS82" s="360">
        <f t="shared" si="29"/>
        <v>19.7</v>
      </c>
      <c r="AT82" s="360">
        <f t="shared" si="29"/>
        <v>19.8</v>
      </c>
      <c r="AU82" s="361">
        <f t="shared" si="29"/>
        <v>0</v>
      </c>
      <c r="AV82" s="360">
        <f t="shared" si="29"/>
        <v>0</v>
      </c>
      <c r="AW82" s="360">
        <f t="shared" si="29"/>
        <v>0</v>
      </c>
      <c r="AX82" s="362">
        <f t="shared" si="29"/>
        <v>0</v>
      </c>
      <c r="AY82" s="363">
        <f t="shared" si="29"/>
        <v>0</v>
      </c>
      <c r="AZ82" s="360">
        <f t="shared" si="29"/>
        <v>0</v>
      </c>
      <c r="BA82" s="360">
        <f t="shared" si="29"/>
        <v>0</v>
      </c>
      <c r="BB82" s="360">
        <f t="shared" si="29"/>
        <v>0</v>
      </c>
      <c r="BC82" s="361">
        <f t="shared" si="29"/>
        <v>0</v>
      </c>
      <c r="BD82" s="360">
        <f t="shared" si="29"/>
        <v>0</v>
      </c>
      <c r="BE82" s="360">
        <f t="shared" si="29"/>
        <v>0</v>
      </c>
      <c r="BF82" s="360">
        <f t="shared" si="29"/>
        <v>0</v>
      </c>
      <c r="BG82" s="361">
        <f t="shared" si="29"/>
        <v>0</v>
      </c>
      <c r="BH82" s="360">
        <f t="shared" si="29"/>
        <v>0</v>
      </c>
      <c r="BI82" s="360">
        <f t="shared" si="29"/>
        <v>0</v>
      </c>
      <c r="BJ82" s="360">
        <f t="shared" si="29"/>
        <v>0</v>
      </c>
      <c r="BK82" s="361">
        <f t="shared" si="29"/>
        <v>0</v>
      </c>
      <c r="BL82" s="360">
        <f t="shared" si="29"/>
        <v>0</v>
      </c>
      <c r="BM82" s="360">
        <f t="shared" si="29"/>
        <v>0</v>
      </c>
      <c r="BN82" s="360">
        <f t="shared" si="29"/>
        <v>0</v>
      </c>
      <c r="BO82" s="361">
        <f t="shared" si="29"/>
        <v>0</v>
      </c>
      <c r="BP82" s="360">
        <f t="shared" si="29"/>
        <v>0</v>
      </c>
      <c r="BQ82" s="360">
        <f t="shared" si="29"/>
        <v>0</v>
      </c>
      <c r="BR82" s="360">
        <f t="shared" si="29"/>
        <v>0</v>
      </c>
      <c r="BS82" s="361">
        <f t="shared" si="29"/>
        <v>0</v>
      </c>
    </row>
    <row r="83" spans="1:71">
      <c r="A83" s="417" t="s">
        <v>482</v>
      </c>
      <c r="B83" s="418" t="s">
        <v>483</v>
      </c>
      <c r="C83" s="419"/>
      <c r="D83" s="417"/>
      <c r="E83" s="417"/>
      <c r="F83" s="417"/>
      <c r="G83" s="417"/>
      <c r="H83" s="417"/>
      <c r="I83" s="417"/>
      <c r="J83" s="417"/>
      <c r="K83" s="417"/>
      <c r="L83" s="417"/>
      <c r="M83" s="417"/>
      <c r="N83" s="417"/>
      <c r="O83" s="417"/>
      <c r="P83" s="417"/>
      <c r="Q83" s="417"/>
      <c r="R83" s="417"/>
      <c r="S83" s="417"/>
      <c r="T83" s="417"/>
      <c r="U83" s="417"/>
      <c r="V83" s="417"/>
      <c r="W83" s="417"/>
      <c r="X83" s="417"/>
      <c r="Y83" s="417"/>
      <c r="Z83" s="417"/>
      <c r="AA83" s="417"/>
      <c r="AB83" s="417"/>
      <c r="AC83" s="417"/>
      <c r="AD83" s="417"/>
      <c r="AE83" s="417"/>
      <c r="AF83" s="417"/>
      <c r="AG83" s="417"/>
      <c r="AH83" s="417"/>
      <c r="AI83" s="417"/>
      <c r="AJ83" s="417"/>
      <c r="AK83" s="417"/>
      <c r="AL83" s="417"/>
      <c r="AM83" s="417"/>
      <c r="AN83" s="417"/>
      <c r="AO83" s="417"/>
      <c r="AP83" s="359">
        <f t="shared" si="29"/>
        <v>106.9</v>
      </c>
      <c r="AQ83" s="360">
        <f t="shared" si="29"/>
        <v>98.9</v>
      </c>
      <c r="AR83" s="360">
        <f t="shared" si="29"/>
        <v>87.8</v>
      </c>
      <c r="AS83" s="360">
        <f t="shared" si="29"/>
        <v>128.1</v>
      </c>
      <c r="AT83" s="360">
        <f t="shared" si="29"/>
        <v>159.1</v>
      </c>
      <c r="AU83" s="361">
        <f t="shared" si="29"/>
        <v>144.19999999999999</v>
      </c>
      <c r="AV83" s="360">
        <f t="shared" si="29"/>
        <v>157.30000000000001</v>
      </c>
      <c r="AW83" s="360">
        <f t="shared" si="29"/>
        <v>179.1</v>
      </c>
      <c r="AX83" s="362">
        <f t="shared" si="29"/>
        <v>217.6</v>
      </c>
      <c r="AY83" s="363">
        <f t="shared" si="29"/>
        <v>197.3</v>
      </c>
      <c r="AZ83" s="360">
        <f t="shared" si="29"/>
        <v>378.1</v>
      </c>
      <c r="BA83" s="360">
        <f t="shared" si="29"/>
        <v>428.7</v>
      </c>
      <c r="BB83" s="360">
        <f t="shared" si="29"/>
        <v>698.19999999999993</v>
      </c>
      <c r="BC83" s="361">
        <f t="shared" si="29"/>
        <v>420.2</v>
      </c>
      <c r="BD83" s="360">
        <f t="shared" si="29"/>
        <v>814.7</v>
      </c>
      <c r="BE83" s="360">
        <f t="shared" si="29"/>
        <v>609.6</v>
      </c>
      <c r="BF83" s="360">
        <f t="shared" si="29"/>
        <v>661</v>
      </c>
      <c r="BG83" s="361">
        <f t="shared" si="29"/>
        <v>613.9</v>
      </c>
      <c r="BH83" s="360">
        <f t="shared" si="29"/>
        <v>759.5</v>
      </c>
      <c r="BI83" s="360">
        <f t="shared" si="29"/>
        <v>781.6</v>
      </c>
      <c r="BJ83" s="360">
        <f t="shared" si="29"/>
        <v>717.8</v>
      </c>
      <c r="BK83" s="361">
        <f t="shared" si="29"/>
        <v>817.1</v>
      </c>
      <c r="BL83" s="360">
        <f t="shared" si="29"/>
        <v>1080.0999999999999</v>
      </c>
      <c r="BM83" s="360">
        <f t="shared" si="29"/>
        <v>916.4</v>
      </c>
      <c r="BN83" s="360">
        <f t="shared" si="29"/>
        <v>1055.8</v>
      </c>
      <c r="BO83" s="361">
        <f t="shared" si="29"/>
        <v>889.2</v>
      </c>
      <c r="BP83" s="360">
        <f t="shared" si="29"/>
        <v>986.4</v>
      </c>
      <c r="BQ83" s="360">
        <f t="shared" si="29"/>
        <v>1015.6999999999999</v>
      </c>
      <c r="BR83" s="360">
        <f t="shared" si="29"/>
        <v>1166.1000000000001</v>
      </c>
      <c r="BS83" s="361">
        <f t="shared" si="29"/>
        <v>1093.4000000000001</v>
      </c>
    </row>
    <row r="84" spans="1:71">
      <c r="BP84" s="428"/>
      <c r="BQ84" s="428"/>
      <c r="BR84" s="428"/>
      <c r="BS84" s="428"/>
    </row>
  </sheetData>
  <mergeCells count="20">
    <mergeCell ref="BG10:BJ10"/>
    <mergeCell ref="BK10:BN10"/>
    <mergeCell ref="BO10:BR10"/>
    <mergeCell ref="BS10:BV10"/>
    <mergeCell ref="BG3:BJ3"/>
    <mergeCell ref="BK3:BN3"/>
    <mergeCell ref="BO3:BR3"/>
    <mergeCell ref="BS3:BV3"/>
    <mergeCell ref="BC10:BF10"/>
    <mergeCell ref="A3:A4"/>
    <mergeCell ref="B3:B4"/>
    <mergeCell ref="AQ3:AT3"/>
    <mergeCell ref="AU3:AX3"/>
    <mergeCell ref="AY3:BB3"/>
    <mergeCell ref="BC3:BF3"/>
    <mergeCell ref="A10:A11"/>
    <mergeCell ref="B10:B11"/>
    <mergeCell ref="AQ10:AT10"/>
    <mergeCell ref="AU10:AX10"/>
    <mergeCell ref="AY10:BB10"/>
  </mergeCells>
  <hyperlinks>
    <hyperlink ref="A1:B1" location="'Spis tresci_Table of content'!Print_Area" display="Go back to Table of content" xr:uid="{75383EC2-BA98-4BAC-B6F9-5BC018EB24A6}"/>
    <hyperlink ref="A1" location="'Spis tresci_Table of content'!A1" display="Go back to Table of content" xr:uid="{2293B5E9-8DDD-47C7-9037-40FBAB03A5C9}"/>
    <hyperlink ref="B1" location="'Spis tresci_Table of content'!A1" display="Powrót do spisu treści" xr:uid="{D57C68A9-3E4C-4490-9E59-E709F8EF7595}"/>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8ADC3-7ACB-47C5-A745-FDF168D02689}">
  <dimension ref="A1:BV102"/>
  <sheetViews>
    <sheetView showGridLines="0" workbookViewId="0">
      <pane xSplit="6" ySplit="4" topLeftCell="BK53" activePane="bottomRight" state="frozen"/>
      <selection pane="topRight" activeCell="G1" sqref="G1"/>
      <selection pane="bottomLeft" activeCell="A5" sqref="A5"/>
      <selection pane="bottomRight" activeCell="BO14" sqref="BO14"/>
    </sheetView>
  </sheetViews>
  <sheetFormatPr defaultColWidth="0" defaultRowHeight="13.2" zeroHeight="1" outlineLevelCol="1"/>
  <cols>
    <col min="1" max="1" width="48.5546875" style="249" customWidth="1" outlineLevel="1"/>
    <col min="2" max="2" width="47.33203125" style="249" customWidth="1"/>
    <col min="3" max="6" width="0" style="249" hidden="1" customWidth="1" outlineLevel="1"/>
    <col min="7" max="7" width="8.88671875" style="249" hidden="1" customWidth="1" collapsed="1"/>
    <col min="8" max="46" width="8.88671875" style="249" hidden="1" customWidth="1"/>
    <col min="47" max="67" width="8.88671875" style="249" customWidth="1"/>
    <col min="68" max="68" width="9.109375" style="249" bestFit="1" customWidth="1"/>
    <col min="69" max="74" width="8.88671875" style="249" customWidth="1"/>
    <col min="75" max="16384" width="8.88671875" style="249" hidden="1"/>
  </cols>
  <sheetData>
    <row r="1" spans="1:74" ht="13.8">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2"/>
      <c r="AC1" s="2"/>
      <c r="AD1" s="2"/>
      <c r="AE1" s="2"/>
      <c r="AF1" s="2"/>
      <c r="AG1" s="2"/>
      <c r="AH1" s="2"/>
      <c r="AI1" s="2"/>
      <c r="AJ1" s="2"/>
      <c r="AK1" s="2"/>
      <c r="AL1" s="2"/>
      <c r="AM1" s="2"/>
      <c r="AN1" s="2"/>
      <c r="AO1" s="2"/>
      <c r="AP1" s="2"/>
      <c r="AQ1" s="2"/>
      <c r="AR1" s="2"/>
      <c r="AS1" s="2"/>
      <c r="AT1" s="2"/>
      <c r="AU1" s="2"/>
      <c r="AV1" s="2"/>
      <c r="AW1" s="2"/>
      <c r="AX1" s="2"/>
      <c r="AY1" s="151"/>
      <c r="AZ1" s="2"/>
      <c r="BA1" s="2"/>
      <c r="BB1" s="2"/>
      <c r="BC1" s="2"/>
      <c r="BD1" s="2"/>
      <c r="BE1" s="2"/>
      <c r="BF1" s="2"/>
      <c r="BG1" s="2"/>
      <c r="BH1" s="2"/>
      <c r="BI1" s="2"/>
      <c r="BJ1" s="2"/>
      <c r="BK1" s="2"/>
      <c r="BL1" s="2"/>
      <c r="BM1" s="2"/>
      <c r="BN1" s="2"/>
      <c r="BO1" s="2"/>
      <c r="BP1" s="2"/>
      <c r="BQ1" s="2"/>
      <c r="BR1" s="2"/>
    </row>
    <row r="2" spans="1:74">
      <c r="A2" s="258"/>
      <c r="B2" s="258"/>
      <c r="C2" s="259"/>
      <c r="D2" s="259"/>
      <c r="E2" s="259"/>
      <c r="F2" s="259"/>
      <c r="G2" s="259"/>
      <c r="H2" s="259"/>
      <c r="I2" s="259"/>
      <c r="J2" s="259"/>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259"/>
      <c r="AS2" s="260"/>
      <c r="AT2" s="260"/>
      <c r="AU2" s="259"/>
      <c r="AV2" s="259"/>
      <c r="AW2" s="259"/>
      <c r="AX2" s="261"/>
      <c r="AY2" s="219" t="s">
        <v>295</v>
      </c>
      <c r="AZ2" s="150"/>
      <c r="BA2" s="150"/>
      <c r="BB2" s="150"/>
      <c r="BC2" s="219"/>
      <c r="BD2" s="150"/>
      <c r="BE2" s="150"/>
      <c r="BF2" s="150"/>
      <c r="BG2" s="259"/>
      <c r="BH2" s="259"/>
      <c r="BI2" s="259"/>
      <c r="BJ2" s="259"/>
      <c r="BK2" s="259"/>
      <c r="BL2" s="259"/>
      <c r="BM2" s="259"/>
      <c r="BN2" s="259"/>
      <c r="BO2" s="259"/>
      <c r="BP2" s="259"/>
      <c r="BQ2" s="259"/>
      <c r="BR2" s="259"/>
    </row>
    <row r="3" spans="1:74">
      <c r="A3" s="579" t="s">
        <v>370</v>
      </c>
      <c r="B3" s="579" t="s">
        <v>371</v>
      </c>
      <c r="C3" s="581" t="s">
        <v>372</v>
      </c>
      <c r="D3" s="577"/>
      <c r="E3" s="577"/>
      <c r="F3" s="577"/>
      <c r="G3" s="581">
        <v>2008</v>
      </c>
      <c r="H3" s="577"/>
      <c r="I3" s="577"/>
      <c r="J3" s="578"/>
      <c r="K3" s="582">
        <v>2009</v>
      </c>
      <c r="L3" s="577"/>
      <c r="M3" s="577"/>
      <c r="N3" s="577"/>
      <c r="O3" s="581">
        <v>2010</v>
      </c>
      <c r="P3" s="577"/>
      <c r="Q3" s="577"/>
      <c r="R3" s="578"/>
      <c r="S3" s="582">
        <v>2011</v>
      </c>
      <c r="T3" s="577"/>
      <c r="U3" s="577"/>
      <c r="V3" s="577"/>
      <c r="W3" s="583">
        <v>2012</v>
      </c>
      <c r="X3" s="584"/>
      <c r="Y3" s="584"/>
      <c r="Z3" s="585"/>
      <c r="AA3" s="584">
        <v>2013</v>
      </c>
      <c r="AB3" s="584"/>
      <c r="AC3" s="584"/>
      <c r="AD3" s="584"/>
      <c r="AE3" s="576">
        <v>2014</v>
      </c>
      <c r="AF3" s="577"/>
      <c r="AG3" s="577"/>
      <c r="AH3" s="578"/>
      <c r="AI3" s="577">
        <v>2015</v>
      </c>
      <c r="AJ3" s="577"/>
      <c r="AK3" s="577"/>
      <c r="AL3" s="577"/>
      <c r="AM3" s="576">
        <v>2016</v>
      </c>
      <c r="AN3" s="577"/>
      <c r="AO3" s="577"/>
      <c r="AP3" s="578"/>
      <c r="AQ3" s="587">
        <v>2017</v>
      </c>
      <c r="AR3" s="587"/>
      <c r="AS3" s="587"/>
      <c r="AT3" s="588"/>
      <c r="AU3" s="589">
        <v>2018</v>
      </c>
      <c r="AV3" s="590"/>
      <c r="AW3" s="590"/>
      <c r="AX3" s="544"/>
      <c r="AY3" s="590">
        <v>2019</v>
      </c>
      <c r="AZ3" s="590"/>
      <c r="BA3" s="590"/>
      <c r="BB3" s="545"/>
      <c r="BC3" s="590">
        <v>2020</v>
      </c>
      <c r="BD3" s="590"/>
      <c r="BE3" s="590"/>
      <c r="BF3" s="545"/>
      <c r="BG3" s="591">
        <v>2021</v>
      </c>
      <c r="BH3" s="586"/>
      <c r="BI3" s="586"/>
      <c r="BJ3" s="592"/>
      <c r="BK3" s="591">
        <v>2022</v>
      </c>
      <c r="BL3" s="586"/>
      <c r="BM3" s="586"/>
      <c r="BN3" s="592"/>
      <c r="BO3" s="586">
        <v>2023</v>
      </c>
      <c r="BP3" s="586"/>
      <c r="BQ3" s="586"/>
      <c r="BR3" s="586"/>
      <c r="BS3" s="586">
        <v>2024</v>
      </c>
      <c r="BT3" s="586"/>
      <c r="BU3" s="586"/>
      <c r="BV3" s="586"/>
    </row>
    <row r="4" spans="1:74" ht="20.399999999999999">
      <c r="A4" s="580"/>
      <c r="B4" s="580"/>
      <c r="C4" s="262" t="s">
        <v>373</v>
      </c>
      <c r="D4" s="263" t="s">
        <v>9</v>
      </c>
      <c r="E4" s="263" t="s">
        <v>10</v>
      </c>
      <c r="F4" s="263" t="s">
        <v>11</v>
      </c>
      <c r="G4" s="262" t="s">
        <v>374</v>
      </c>
      <c r="H4" s="263" t="s">
        <v>9</v>
      </c>
      <c r="I4" s="263" t="s">
        <v>10</v>
      </c>
      <c r="J4" s="264" t="s">
        <v>11</v>
      </c>
      <c r="K4" s="263" t="s">
        <v>8</v>
      </c>
      <c r="L4" s="263" t="s">
        <v>9</v>
      </c>
      <c r="M4" s="263" t="s">
        <v>10</v>
      </c>
      <c r="N4" s="263" t="s">
        <v>11</v>
      </c>
      <c r="O4" s="262" t="s">
        <v>8</v>
      </c>
      <c r="P4" s="263" t="s">
        <v>9</v>
      </c>
      <c r="Q4" s="263" t="s">
        <v>10</v>
      </c>
      <c r="R4" s="264" t="s">
        <v>11</v>
      </c>
      <c r="S4" s="263" t="s">
        <v>8</v>
      </c>
      <c r="T4" s="263" t="s">
        <v>9</v>
      </c>
      <c r="U4" s="263" t="s">
        <v>10</v>
      </c>
      <c r="V4" s="263" t="s">
        <v>11</v>
      </c>
      <c r="W4" s="262" t="s">
        <v>8</v>
      </c>
      <c r="X4" s="263" t="s">
        <v>9</v>
      </c>
      <c r="Y4" s="263" t="s">
        <v>10</v>
      </c>
      <c r="Z4" s="264" t="s">
        <v>11</v>
      </c>
      <c r="AA4" s="263" t="s">
        <v>8</v>
      </c>
      <c r="AB4" s="263" t="s">
        <v>9</v>
      </c>
      <c r="AC4" s="263" t="s">
        <v>10</v>
      </c>
      <c r="AD4" s="263" t="s">
        <v>11</v>
      </c>
      <c r="AE4" s="265" t="s">
        <v>8</v>
      </c>
      <c r="AF4" s="266" t="s">
        <v>9</v>
      </c>
      <c r="AG4" s="266" t="s">
        <v>10</v>
      </c>
      <c r="AH4" s="267" t="s">
        <v>11</v>
      </c>
      <c r="AI4" s="266" t="s">
        <v>8</v>
      </c>
      <c r="AJ4" s="266" t="s">
        <v>9</v>
      </c>
      <c r="AK4" s="266" t="s">
        <v>10</v>
      </c>
      <c r="AL4" s="266" t="s">
        <v>11</v>
      </c>
      <c r="AM4" s="265" t="s">
        <v>8</v>
      </c>
      <c r="AN4" s="266" t="s">
        <v>9</v>
      </c>
      <c r="AO4" s="266" t="s">
        <v>10</v>
      </c>
      <c r="AP4" s="267" t="s">
        <v>11</v>
      </c>
      <c r="AQ4" s="266" t="s">
        <v>8</v>
      </c>
      <c r="AR4" s="266" t="s">
        <v>9</v>
      </c>
      <c r="AS4" s="266" t="s">
        <v>10</v>
      </c>
      <c r="AT4" s="267" t="s">
        <v>11</v>
      </c>
      <c r="AU4" s="266" t="s">
        <v>8</v>
      </c>
      <c r="AV4" s="266" t="s">
        <v>9</v>
      </c>
      <c r="AW4" s="266" t="s">
        <v>10</v>
      </c>
      <c r="AX4" s="268" t="s">
        <v>11</v>
      </c>
      <c r="AY4" s="269" t="s">
        <v>8</v>
      </c>
      <c r="AZ4" s="266" t="s">
        <v>9</v>
      </c>
      <c r="BA4" s="266" t="s">
        <v>10</v>
      </c>
      <c r="BB4" s="266" t="s">
        <v>11</v>
      </c>
      <c r="BC4" s="269" t="s">
        <v>8</v>
      </c>
      <c r="BD4" s="266" t="s">
        <v>9</v>
      </c>
      <c r="BE4" s="266" t="s">
        <v>10</v>
      </c>
      <c r="BF4" s="266" t="s">
        <v>11</v>
      </c>
      <c r="BG4" s="266" t="s">
        <v>8</v>
      </c>
      <c r="BH4" s="266" t="s">
        <v>9</v>
      </c>
      <c r="BI4" s="266" t="s">
        <v>10</v>
      </c>
      <c r="BJ4" s="267" t="s">
        <v>11</v>
      </c>
      <c r="BK4" s="266" t="s">
        <v>8</v>
      </c>
      <c r="BL4" s="266" t="s">
        <v>9</v>
      </c>
      <c r="BM4" s="266" t="s">
        <v>10</v>
      </c>
      <c r="BN4" s="267" t="s">
        <v>11</v>
      </c>
      <c r="BO4" s="266" t="s">
        <v>8</v>
      </c>
      <c r="BP4" s="266" t="s">
        <v>9</v>
      </c>
      <c r="BQ4" s="266" t="s">
        <v>10</v>
      </c>
      <c r="BR4" s="266" t="s">
        <v>11</v>
      </c>
      <c r="BS4" s="266" t="s">
        <v>8</v>
      </c>
      <c r="BT4" s="266" t="s">
        <v>9</v>
      </c>
      <c r="BU4" s="266" t="s">
        <v>10</v>
      </c>
      <c r="BV4" s="266" t="s">
        <v>11</v>
      </c>
    </row>
    <row r="5" spans="1:74">
      <c r="A5" s="17" t="s">
        <v>12</v>
      </c>
      <c r="B5" s="17" t="s">
        <v>13</v>
      </c>
      <c r="C5" s="18"/>
      <c r="D5" s="19"/>
      <c r="E5" s="20"/>
      <c r="F5" s="19"/>
      <c r="G5" s="18"/>
      <c r="H5" s="19"/>
      <c r="I5" s="20"/>
      <c r="J5" s="21"/>
      <c r="K5" s="20"/>
      <c r="L5" s="19"/>
      <c r="M5" s="20"/>
      <c r="N5" s="19"/>
      <c r="O5" s="18"/>
      <c r="P5" s="19"/>
      <c r="Q5" s="20"/>
      <c r="R5" s="21"/>
      <c r="S5" s="20"/>
      <c r="T5" s="19"/>
      <c r="U5" s="20"/>
      <c r="V5" s="19"/>
      <c r="W5" s="18"/>
      <c r="X5" s="20"/>
      <c r="Y5" s="20"/>
      <c r="Z5" s="154"/>
      <c r="AA5" s="20"/>
      <c r="AB5" s="20"/>
      <c r="AC5" s="20"/>
      <c r="AD5" s="20"/>
      <c r="AE5" s="270"/>
      <c r="AF5" s="150"/>
      <c r="AG5" s="150"/>
      <c r="AH5" s="271"/>
      <c r="AI5" s="150"/>
      <c r="AJ5" s="150"/>
      <c r="AK5" s="150"/>
      <c r="AL5" s="150"/>
      <c r="AM5" s="270"/>
      <c r="AN5" s="150"/>
      <c r="AO5" s="150"/>
      <c r="AP5" s="271"/>
      <c r="AQ5" s="150"/>
      <c r="AR5" s="150"/>
      <c r="AS5" s="150"/>
      <c r="AT5" s="271"/>
      <c r="AU5" s="272"/>
      <c r="AV5" s="272"/>
      <c r="AW5" s="272"/>
      <c r="AX5" s="273"/>
      <c r="AY5" s="274"/>
      <c r="AZ5" s="272"/>
      <c r="BA5" s="272"/>
      <c r="BB5" s="275"/>
      <c r="BC5" s="274"/>
      <c r="BD5" s="272"/>
      <c r="BE5" s="272"/>
      <c r="BF5" s="275"/>
      <c r="BG5" s="272"/>
      <c r="BH5" s="272"/>
      <c r="BI5" s="272"/>
      <c r="BJ5" s="275"/>
      <c r="BK5" s="272"/>
      <c r="BL5" s="272"/>
      <c r="BM5" s="272"/>
      <c r="BN5" s="275"/>
      <c r="BO5" s="150"/>
      <c r="BP5" s="272"/>
      <c r="BQ5" s="272"/>
      <c r="BR5" s="272"/>
      <c r="BS5" s="276"/>
    </row>
    <row r="6" spans="1:74">
      <c r="A6" s="143" t="s">
        <v>307</v>
      </c>
      <c r="B6" s="143" t="s">
        <v>375</v>
      </c>
      <c r="C6" s="277"/>
      <c r="D6" s="173"/>
      <c r="E6" s="173"/>
      <c r="F6" s="174"/>
      <c r="G6" s="277"/>
      <c r="H6" s="173"/>
      <c r="I6" s="173"/>
      <c r="J6" s="174"/>
      <c r="K6" s="173"/>
      <c r="L6" s="173"/>
      <c r="M6" s="173"/>
      <c r="N6" s="173"/>
      <c r="O6" s="172"/>
      <c r="P6" s="173"/>
      <c r="Q6" s="173"/>
      <c r="R6" s="174"/>
      <c r="S6" s="173"/>
      <c r="T6" s="173"/>
      <c r="U6" s="173"/>
      <c r="V6" s="173"/>
      <c r="W6" s="172"/>
      <c r="X6" s="173"/>
      <c r="Y6" s="173"/>
      <c r="Z6" s="174"/>
      <c r="AA6" s="173"/>
      <c r="AB6" s="173"/>
      <c r="AC6" s="173"/>
      <c r="AD6" s="173"/>
      <c r="AE6" s="172"/>
      <c r="AF6" s="173"/>
      <c r="AG6" s="173"/>
      <c r="AH6" s="174"/>
      <c r="AI6" s="173"/>
      <c r="AJ6" s="173"/>
      <c r="AK6" s="173"/>
      <c r="AL6" s="173"/>
      <c r="AM6" s="172"/>
      <c r="AN6" s="173"/>
      <c r="AO6" s="173"/>
      <c r="AP6" s="174"/>
      <c r="AQ6" s="173"/>
      <c r="AR6" s="173"/>
      <c r="AS6" s="173"/>
      <c r="AT6" s="174"/>
      <c r="AU6" s="194"/>
      <c r="AV6" s="194"/>
      <c r="AW6" s="194"/>
      <c r="AX6" s="278"/>
      <c r="AY6" s="279"/>
      <c r="AZ6" s="194"/>
      <c r="BA6" s="194"/>
      <c r="BB6" s="195"/>
      <c r="BC6" s="279"/>
      <c r="BD6" s="194"/>
      <c r="BE6" s="194"/>
      <c r="BF6" s="195"/>
      <c r="BG6" s="194"/>
      <c r="BH6" s="194"/>
      <c r="BI6" s="194"/>
      <c r="BJ6" s="195"/>
      <c r="BK6" s="194"/>
      <c r="BL6" s="194"/>
      <c r="BM6" s="194"/>
      <c r="BN6" s="195"/>
      <c r="BO6" s="194"/>
      <c r="BP6" s="194"/>
      <c r="BQ6" s="194"/>
      <c r="BR6" s="194"/>
      <c r="BS6" s="193"/>
    </row>
    <row r="7" spans="1:74">
      <c r="A7" s="159" t="s">
        <v>376</v>
      </c>
      <c r="B7" s="159" t="s">
        <v>377</v>
      </c>
      <c r="C7" s="183" t="s">
        <v>28</v>
      </c>
      <c r="D7" s="184" t="s">
        <v>28</v>
      </c>
      <c r="E7" s="184" t="s">
        <v>28</v>
      </c>
      <c r="F7" s="185" t="s">
        <v>28</v>
      </c>
      <c r="G7" s="183" t="s">
        <v>28</v>
      </c>
      <c r="H7" s="184" t="s">
        <v>28</v>
      </c>
      <c r="I7" s="184" t="s">
        <v>28</v>
      </c>
      <c r="J7" s="185" t="s">
        <v>28</v>
      </c>
      <c r="K7" s="184" t="s">
        <v>28</v>
      </c>
      <c r="L7" s="184" t="s">
        <v>28</v>
      </c>
      <c r="M7" s="184" t="s">
        <v>28</v>
      </c>
      <c r="N7" s="184" t="s">
        <v>28</v>
      </c>
      <c r="O7" s="183" t="s">
        <v>28</v>
      </c>
      <c r="P7" s="184" t="s">
        <v>28</v>
      </c>
      <c r="Q7" s="184" t="s">
        <v>28</v>
      </c>
      <c r="R7" s="185" t="s">
        <v>28</v>
      </c>
      <c r="S7" s="184" t="s">
        <v>28</v>
      </c>
      <c r="T7" s="184" t="s">
        <v>28</v>
      </c>
      <c r="U7" s="184" t="s">
        <v>28</v>
      </c>
      <c r="V7" s="184" t="s">
        <v>28</v>
      </c>
      <c r="W7" s="183" t="s">
        <v>28</v>
      </c>
      <c r="X7" s="184" t="s">
        <v>28</v>
      </c>
      <c r="Y7" s="184" t="s">
        <v>28</v>
      </c>
      <c r="Z7" s="185" t="s">
        <v>28</v>
      </c>
      <c r="AA7" s="184" t="s">
        <v>28</v>
      </c>
      <c r="AB7" s="184" t="s">
        <v>28</v>
      </c>
      <c r="AC7" s="184" t="s">
        <v>28</v>
      </c>
      <c r="AD7" s="184" t="s">
        <v>28</v>
      </c>
      <c r="AE7" s="183" t="s">
        <v>28</v>
      </c>
      <c r="AF7" s="184" t="s">
        <v>28</v>
      </c>
      <c r="AG7" s="184" t="s">
        <v>28</v>
      </c>
      <c r="AH7" s="185" t="s">
        <v>28</v>
      </c>
      <c r="AI7" s="184" t="s">
        <v>28</v>
      </c>
      <c r="AJ7" s="184" t="s">
        <v>28</v>
      </c>
      <c r="AK7" s="184" t="s">
        <v>28</v>
      </c>
      <c r="AL7" s="184" t="s">
        <v>28</v>
      </c>
      <c r="AM7" s="183" t="s">
        <v>28</v>
      </c>
      <c r="AN7" s="184" t="s">
        <v>28</v>
      </c>
      <c r="AO7" s="184" t="s">
        <v>28</v>
      </c>
      <c r="AP7" s="185" t="s">
        <v>28</v>
      </c>
      <c r="AQ7" s="184" t="s">
        <v>28</v>
      </c>
      <c r="AR7" s="184" t="s">
        <v>28</v>
      </c>
      <c r="AS7" s="184" t="s">
        <v>28</v>
      </c>
      <c r="AT7" s="185" t="s">
        <v>28</v>
      </c>
      <c r="AU7" s="715">
        <f t="shared" ref="AU7:BB7" si="0">SUM(AU8:AU11)</f>
        <v>51942.5</v>
      </c>
      <c r="AV7" s="715">
        <f t="shared" si="0"/>
        <v>54179.200000000004</v>
      </c>
      <c r="AW7" s="715">
        <f t="shared" si="0"/>
        <v>56859</v>
      </c>
      <c r="AX7" s="840">
        <f t="shared" si="0"/>
        <v>58863.5</v>
      </c>
      <c r="AY7" s="841">
        <f t="shared" si="0"/>
        <v>66846.600000000006</v>
      </c>
      <c r="AZ7" s="715">
        <f t="shared" si="0"/>
        <v>67579</v>
      </c>
      <c r="BA7" s="715">
        <f t="shared" si="0"/>
        <v>70010.5</v>
      </c>
      <c r="BB7" s="717">
        <f t="shared" si="0"/>
        <v>69916.7</v>
      </c>
      <c r="BC7" s="841">
        <f t="shared" ref="BC7:BP7" si="1">SUM(BC8:BC11)</f>
        <v>72928.800000000003</v>
      </c>
      <c r="BD7" s="715">
        <f t="shared" si="1"/>
        <v>68854.400000000009</v>
      </c>
      <c r="BE7" s="715">
        <f t="shared" si="1"/>
        <v>69981.099999999991</v>
      </c>
      <c r="BF7" s="717">
        <f t="shared" si="1"/>
        <v>70159.900000000009</v>
      </c>
      <c r="BG7" s="715">
        <f t="shared" si="1"/>
        <v>72299</v>
      </c>
      <c r="BH7" s="715">
        <f t="shared" si="1"/>
        <v>73115.600000000006</v>
      </c>
      <c r="BI7" s="715">
        <f t="shared" si="1"/>
        <v>76654.600000000006</v>
      </c>
      <c r="BJ7" s="717">
        <f t="shared" si="1"/>
        <v>79914.500000000015</v>
      </c>
      <c r="BK7" s="715">
        <f t="shared" si="1"/>
        <v>83155.099999999991</v>
      </c>
      <c r="BL7" s="715">
        <f t="shared" si="1"/>
        <v>87857.1</v>
      </c>
      <c r="BM7" s="715">
        <f t="shared" si="1"/>
        <v>91722.4</v>
      </c>
      <c r="BN7" s="717">
        <f t="shared" si="1"/>
        <v>92478</v>
      </c>
      <c r="BO7" s="715">
        <f t="shared" si="1"/>
        <v>94617</v>
      </c>
      <c r="BP7" s="715">
        <f t="shared" si="1"/>
        <v>94172.3</v>
      </c>
      <c r="BQ7" s="715">
        <f>SUM(BQ8:BQ11)</f>
        <v>95550</v>
      </c>
      <c r="BR7" s="715">
        <f>SUM(BR8:BR11)</f>
        <v>93364.099999999991</v>
      </c>
      <c r="BS7" s="709">
        <f>SUM(BS8:BS11)</f>
        <v>94177.7</v>
      </c>
      <c r="BT7" s="842"/>
    </row>
    <row r="8" spans="1:74">
      <c r="A8" s="163" t="s">
        <v>378</v>
      </c>
      <c r="B8" s="163" t="s">
        <v>379</v>
      </c>
      <c r="C8" s="183" t="s">
        <v>28</v>
      </c>
      <c r="D8" s="184" t="s">
        <v>28</v>
      </c>
      <c r="E8" s="184" t="s">
        <v>28</v>
      </c>
      <c r="F8" s="185" t="s">
        <v>28</v>
      </c>
      <c r="G8" s="183" t="s">
        <v>28</v>
      </c>
      <c r="H8" s="184" t="s">
        <v>28</v>
      </c>
      <c r="I8" s="184" t="s">
        <v>28</v>
      </c>
      <c r="J8" s="185" t="s">
        <v>28</v>
      </c>
      <c r="K8" s="184" t="s">
        <v>28</v>
      </c>
      <c r="L8" s="184" t="s">
        <v>28</v>
      </c>
      <c r="M8" s="184" t="s">
        <v>28</v>
      </c>
      <c r="N8" s="184" t="s">
        <v>28</v>
      </c>
      <c r="O8" s="183" t="s">
        <v>28</v>
      </c>
      <c r="P8" s="184" t="s">
        <v>28</v>
      </c>
      <c r="Q8" s="184" t="s">
        <v>28</v>
      </c>
      <c r="R8" s="185" t="s">
        <v>28</v>
      </c>
      <c r="S8" s="184" t="s">
        <v>28</v>
      </c>
      <c r="T8" s="184" t="s">
        <v>28</v>
      </c>
      <c r="U8" s="184" t="s">
        <v>28</v>
      </c>
      <c r="V8" s="184" t="s">
        <v>28</v>
      </c>
      <c r="W8" s="183" t="s">
        <v>28</v>
      </c>
      <c r="X8" s="184" t="s">
        <v>28</v>
      </c>
      <c r="Y8" s="184" t="s">
        <v>28</v>
      </c>
      <c r="Z8" s="185" t="s">
        <v>28</v>
      </c>
      <c r="AA8" s="184" t="s">
        <v>28</v>
      </c>
      <c r="AB8" s="184" t="s">
        <v>28</v>
      </c>
      <c r="AC8" s="184" t="s">
        <v>28</v>
      </c>
      <c r="AD8" s="184" t="s">
        <v>28</v>
      </c>
      <c r="AE8" s="183" t="s">
        <v>28</v>
      </c>
      <c r="AF8" s="184" t="s">
        <v>28</v>
      </c>
      <c r="AG8" s="184" t="s">
        <v>28</v>
      </c>
      <c r="AH8" s="185" t="s">
        <v>28</v>
      </c>
      <c r="AI8" s="184" t="s">
        <v>28</v>
      </c>
      <c r="AJ8" s="184" t="s">
        <v>28</v>
      </c>
      <c r="AK8" s="184" t="s">
        <v>28</v>
      </c>
      <c r="AL8" s="184" t="s">
        <v>28</v>
      </c>
      <c r="AM8" s="183" t="s">
        <v>28</v>
      </c>
      <c r="AN8" s="184" t="s">
        <v>28</v>
      </c>
      <c r="AO8" s="184" t="s">
        <v>28</v>
      </c>
      <c r="AP8" s="185" t="s">
        <v>28</v>
      </c>
      <c r="AQ8" s="184" t="s">
        <v>28</v>
      </c>
      <c r="AR8" s="184" t="s">
        <v>28</v>
      </c>
      <c r="AS8" s="184" t="s">
        <v>28</v>
      </c>
      <c r="AT8" s="185" t="s">
        <v>28</v>
      </c>
      <c r="AU8" s="715">
        <v>45083.8</v>
      </c>
      <c r="AV8" s="715">
        <v>47295.4</v>
      </c>
      <c r="AW8" s="715">
        <v>49796.799999999996</v>
      </c>
      <c r="AX8" s="840">
        <v>51733.2</v>
      </c>
      <c r="AY8" s="841">
        <v>58546.5</v>
      </c>
      <c r="AZ8" s="715">
        <v>59693.8</v>
      </c>
      <c r="BA8" s="715">
        <v>62383.1</v>
      </c>
      <c r="BB8" s="717">
        <v>61733.299999999996</v>
      </c>
      <c r="BC8" s="841">
        <v>63155.4</v>
      </c>
      <c r="BD8" s="715">
        <v>55541.599999999999</v>
      </c>
      <c r="BE8" s="715">
        <v>57069.4</v>
      </c>
      <c r="BF8" s="717">
        <v>59222.1</v>
      </c>
      <c r="BG8" s="715">
        <v>62437.1</v>
      </c>
      <c r="BH8" s="715">
        <v>63786.5</v>
      </c>
      <c r="BI8" s="715">
        <v>67164.7</v>
      </c>
      <c r="BJ8" s="717">
        <v>70654.100000000006</v>
      </c>
      <c r="BK8" s="715">
        <v>73473</v>
      </c>
      <c r="BL8" s="715">
        <v>77626</v>
      </c>
      <c r="BM8" s="715">
        <v>76615.8</v>
      </c>
      <c r="BN8" s="717">
        <v>75521.7</v>
      </c>
      <c r="BO8" s="715">
        <v>79572.7</v>
      </c>
      <c r="BP8" s="715">
        <v>78072.900000000009</v>
      </c>
      <c r="BQ8" s="715">
        <v>79299.3</v>
      </c>
      <c r="BR8" s="715">
        <v>77535.899999999994</v>
      </c>
      <c r="BS8" s="709">
        <v>77207.899999999994</v>
      </c>
      <c r="BT8" s="842"/>
    </row>
    <row r="9" spans="1:74">
      <c r="A9" s="163" t="s">
        <v>380</v>
      </c>
      <c r="B9" s="163" t="s">
        <v>381</v>
      </c>
      <c r="C9" s="183" t="s">
        <v>28</v>
      </c>
      <c r="D9" s="184" t="s">
        <v>28</v>
      </c>
      <c r="E9" s="184" t="s">
        <v>28</v>
      </c>
      <c r="F9" s="185" t="s">
        <v>28</v>
      </c>
      <c r="G9" s="183" t="s">
        <v>28</v>
      </c>
      <c r="H9" s="184" t="s">
        <v>28</v>
      </c>
      <c r="I9" s="184" t="s">
        <v>28</v>
      </c>
      <c r="J9" s="185" t="s">
        <v>28</v>
      </c>
      <c r="K9" s="184" t="s">
        <v>28</v>
      </c>
      <c r="L9" s="184" t="s">
        <v>28</v>
      </c>
      <c r="M9" s="184" t="s">
        <v>28</v>
      </c>
      <c r="N9" s="184" t="s">
        <v>28</v>
      </c>
      <c r="O9" s="183" t="s">
        <v>28</v>
      </c>
      <c r="P9" s="184" t="s">
        <v>28</v>
      </c>
      <c r="Q9" s="184" t="s">
        <v>28</v>
      </c>
      <c r="R9" s="185" t="s">
        <v>28</v>
      </c>
      <c r="S9" s="184" t="s">
        <v>28</v>
      </c>
      <c r="T9" s="184" t="s">
        <v>28</v>
      </c>
      <c r="U9" s="184" t="s">
        <v>28</v>
      </c>
      <c r="V9" s="184" t="s">
        <v>28</v>
      </c>
      <c r="W9" s="183" t="s">
        <v>28</v>
      </c>
      <c r="X9" s="184" t="s">
        <v>28</v>
      </c>
      <c r="Y9" s="184" t="s">
        <v>28</v>
      </c>
      <c r="Z9" s="185" t="s">
        <v>28</v>
      </c>
      <c r="AA9" s="184" t="s">
        <v>28</v>
      </c>
      <c r="AB9" s="184" t="s">
        <v>28</v>
      </c>
      <c r="AC9" s="184" t="s">
        <v>28</v>
      </c>
      <c r="AD9" s="184" t="s">
        <v>28</v>
      </c>
      <c r="AE9" s="183" t="s">
        <v>28</v>
      </c>
      <c r="AF9" s="184" t="s">
        <v>28</v>
      </c>
      <c r="AG9" s="184" t="s">
        <v>28</v>
      </c>
      <c r="AH9" s="185" t="s">
        <v>28</v>
      </c>
      <c r="AI9" s="184" t="s">
        <v>28</v>
      </c>
      <c r="AJ9" s="184" t="s">
        <v>28</v>
      </c>
      <c r="AK9" s="184" t="s">
        <v>28</v>
      </c>
      <c r="AL9" s="184" t="s">
        <v>28</v>
      </c>
      <c r="AM9" s="183" t="s">
        <v>28</v>
      </c>
      <c r="AN9" s="184" t="s">
        <v>28</v>
      </c>
      <c r="AO9" s="184" t="s">
        <v>28</v>
      </c>
      <c r="AP9" s="185" t="s">
        <v>28</v>
      </c>
      <c r="AQ9" s="184" t="s">
        <v>28</v>
      </c>
      <c r="AR9" s="184" t="s">
        <v>28</v>
      </c>
      <c r="AS9" s="184" t="s">
        <v>28</v>
      </c>
      <c r="AT9" s="185" t="s">
        <v>28</v>
      </c>
      <c r="AU9" s="715">
        <v>4904.2</v>
      </c>
      <c r="AV9" s="715">
        <v>4870.3999999999996</v>
      </c>
      <c r="AW9" s="715">
        <v>4969.8999999999996</v>
      </c>
      <c r="AX9" s="840">
        <v>5038.8999999999996</v>
      </c>
      <c r="AY9" s="841">
        <v>5856.8</v>
      </c>
      <c r="AZ9" s="715">
        <v>5248</v>
      </c>
      <c r="BA9" s="715">
        <v>4955.8</v>
      </c>
      <c r="BB9" s="717">
        <v>5261.7</v>
      </c>
      <c r="BC9" s="841">
        <v>6759.9</v>
      </c>
      <c r="BD9" s="715">
        <v>10185.700000000001</v>
      </c>
      <c r="BE9" s="715">
        <v>9792.7999999999993</v>
      </c>
      <c r="BF9" s="717">
        <v>7842.2</v>
      </c>
      <c r="BG9" s="715">
        <v>6814.8</v>
      </c>
      <c r="BH9" s="715">
        <v>6478.8</v>
      </c>
      <c r="BI9" s="715">
        <v>6688.3</v>
      </c>
      <c r="BJ9" s="717">
        <v>6466.2</v>
      </c>
      <c r="BK9" s="715">
        <v>7125.2</v>
      </c>
      <c r="BL9" s="715">
        <v>7597.7</v>
      </c>
      <c r="BM9" s="715">
        <v>12488.9</v>
      </c>
      <c r="BN9" s="717">
        <v>14301.7</v>
      </c>
      <c r="BO9" s="715">
        <v>12160.5</v>
      </c>
      <c r="BP9" s="715">
        <v>13021.9</v>
      </c>
      <c r="BQ9" s="715">
        <v>12988.5</v>
      </c>
      <c r="BR9" s="715">
        <v>12625.7</v>
      </c>
      <c r="BS9" s="709">
        <v>13539.3</v>
      </c>
      <c r="BT9" s="842"/>
    </row>
    <row r="10" spans="1:74">
      <c r="A10" s="163" t="s">
        <v>382</v>
      </c>
      <c r="B10" s="163" t="s">
        <v>383</v>
      </c>
      <c r="C10" s="183" t="s">
        <v>28</v>
      </c>
      <c r="D10" s="184" t="s">
        <v>28</v>
      </c>
      <c r="E10" s="184" t="s">
        <v>28</v>
      </c>
      <c r="F10" s="185" t="s">
        <v>28</v>
      </c>
      <c r="G10" s="183" t="s">
        <v>28</v>
      </c>
      <c r="H10" s="184" t="s">
        <v>28</v>
      </c>
      <c r="I10" s="184" t="s">
        <v>28</v>
      </c>
      <c r="J10" s="185" t="s">
        <v>28</v>
      </c>
      <c r="K10" s="184" t="s">
        <v>28</v>
      </c>
      <c r="L10" s="184" t="s">
        <v>28</v>
      </c>
      <c r="M10" s="184" t="s">
        <v>28</v>
      </c>
      <c r="N10" s="184" t="s">
        <v>28</v>
      </c>
      <c r="O10" s="183" t="s">
        <v>28</v>
      </c>
      <c r="P10" s="184" t="s">
        <v>28</v>
      </c>
      <c r="Q10" s="184" t="s">
        <v>28</v>
      </c>
      <c r="R10" s="185" t="s">
        <v>28</v>
      </c>
      <c r="S10" s="184" t="s">
        <v>28</v>
      </c>
      <c r="T10" s="184" t="s">
        <v>28</v>
      </c>
      <c r="U10" s="184" t="s">
        <v>28</v>
      </c>
      <c r="V10" s="184" t="s">
        <v>28</v>
      </c>
      <c r="W10" s="183" t="s">
        <v>28</v>
      </c>
      <c r="X10" s="184" t="s">
        <v>28</v>
      </c>
      <c r="Y10" s="184" t="s">
        <v>28</v>
      </c>
      <c r="Z10" s="185" t="s">
        <v>28</v>
      </c>
      <c r="AA10" s="184" t="s">
        <v>28</v>
      </c>
      <c r="AB10" s="184" t="s">
        <v>28</v>
      </c>
      <c r="AC10" s="184" t="s">
        <v>28</v>
      </c>
      <c r="AD10" s="184" t="s">
        <v>28</v>
      </c>
      <c r="AE10" s="183" t="s">
        <v>28</v>
      </c>
      <c r="AF10" s="184" t="s">
        <v>28</v>
      </c>
      <c r="AG10" s="184" t="s">
        <v>28</v>
      </c>
      <c r="AH10" s="185" t="s">
        <v>28</v>
      </c>
      <c r="AI10" s="184" t="s">
        <v>28</v>
      </c>
      <c r="AJ10" s="184" t="s">
        <v>28</v>
      </c>
      <c r="AK10" s="184" t="s">
        <v>28</v>
      </c>
      <c r="AL10" s="184" t="s">
        <v>28</v>
      </c>
      <c r="AM10" s="183" t="s">
        <v>28</v>
      </c>
      <c r="AN10" s="184" t="s">
        <v>28</v>
      </c>
      <c r="AO10" s="184" t="s">
        <v>28</v>
      </c>
      <c r="AP10" s="185" t="s">
        <v>28</v>
      </c>
      <c r="AQ10" s="184" t="s">
        <v>28</v>
      </c>
      <c r="AR10" s="184" t="s">
        <v>28</v>
      </c>
      <c r="AS10" s="184" t="s">
        <v>28</v>
      </c>
      <c r="AT10" s="185" t="s">
        <v>28</v>
      </c>
      <c r="AU10" s="715">
        <v>1954.5</v>
      </c>
      <c r="AV10" s="715">
        <v>2013.4</v>
      </c>
      <c r="AW10" s="715">
        <v>2092.3000000000002</v>
      </c>
      <c r="AX10" s="840">
        <v>2091.4</v>
      </c>
      <c r="AY10" s="841">
        <v>2443.2999999999997</v>
      </c>
      <c r="AZ10" s="715">
        <v>2637.2000000000003</v>
      </c>
      <c r="BA10" s="715">
        <v>2671.6</v>
      </c>
      <c r="BB10" s="717">
        <v>2920.2000000000003</v>
      </c>
      <c r="BC10" s="841">
        <v>3012.2</v>
      </c>
      <c r="BD10" s="715">
        <v>3125.8</v>
      </c>
      <c r="BE10" s="715">
        <v>3117.9</v>
      </c>
      <c r="BF10" s="717">
        <v>3094.3</v>
      </c>
      <c r="BG10" s="715">
        <v>3045.5</v>
      </c>
      <c r="BH10" s="715">
        <v>2848.7999999999997</v>
      </c>
      <c r="BI10" s="715">
        <v>2800.1</v>
      </c>
      <c r="BJ10" s="717">
        <v>2743.1</v>
      </c>
      <c r="BK10" s="715">
        <v>2505</v>
      </c>
      <c r="BL10" s="715">
        <v>2581.8000000000002</v>
      </c>
      <c r="BM10" s="715">
        <v>2563.5</v>
      </c>
      <c r="BN10" s="717">
        <v>2601.8000000000002</v>
      </c>
      <c r="BO10" s="715">
        <v>2830.6</v>
      </c>
      <c r="BP10" s="715">
        <v>3026.3</v>
      </c>
      <c r="BQ10" s="715">
        <v>3208.3</v>
      </c>
      <c r="BR10" s="715">
        <v>3151.4</v>
      </c>
      <c r="BS10" s="709">
        <v>3379.4</v>
      </c>
      <c r="BT10" s="842"/>
    </row>
    <row r="11" spans="1:74">
      <c r="A11" s="163" t="s">
        <v>384</v>
      </c>
      <c r="B11" s="163" t="s">
        <v>384</v>
      </c>
      <c r="C11" s="183"/>
      <c r="D11" s="184"/>
      <c r="E11" s="184"/>
      <c r="F11" s="185"/>
      <c r="G11" s="183" t="s">
        <v>28</v>
      </c>
      <c r="H11" s="184" t="s">
        <v>28</v>
      </c>
      <c r="I11" s="184" t="s">
        <v>28</v>
      </c>
      <c r="J11" s="185" t="s">
        <v>28</v>
      </c>
      <c r="K11" s="184" t="s">
        <v>28</v>
      </c>
      <c r="L11" s="184" t="s">
        <v>28</v>
      </c>
      <c r="M11" s="184" t="s">
        <v>28</v>
      </c>
      <c r="N11" s="184" t="s">
        <v>28</v>
      </c>
      <c r="O11" s="183" t="s">
        <v>28</v>
      </c>
      <c r="P11" s="184" t="s">
        <v>28</v>
      </c>
      <c r="Q11" s="184" t="s">
        <v>28</v>
      </c>
      <c r="R11" s="185" t="s">
        <v>28</v>
      </c>
      <c r="S11" s="184" t="s">
        <v>28</v>
      </c>
      <c r="T11" s="184" t="s">
        <v>28</v>
      </c>
      <c r="U11" s="184" t="s">
        <v>28</v>
      </c>
      <c r="V11" s="184" t="s">
        <v>28</v>
      </c>
      <c r="W11" s="183" t="s">
        <v>28</v>
      </c>
      <c r="X11" s="184" t="s">
        <v>28</v>
      </c>
      <c r="Y11" s="184" t="s">
        <v>28</v>
      </c>
      <c r="Z11" s="185" t="s">
        <v>28</v>
      </c>
      <c r="AA11" s="184" t="s">
        <v>28</v>
      </c>
      <c r="AB11" s="184" t="s">
        <v>28</v>
      </c>
      <c r="AC11" s="184" t="s">
        <v>28</v>
      </c>
      <c r="AD11" s="184" t="s">
        <v>28</v>
      </c>
      <c r="AE11" s="183" t="s">
        <v>28</v>
      </c>
      <c r="AF11" s="184" t="s">
        <v>28</v>
      </c>
      <c r="AG11" s="184" t="s">
        <v>28</v>
      </c>
      <c r="AH11" s="185" t="s">
        <v>28</v>
      </c>
      <c r="AI11" s="184" t="s">
        <v>28</v>
      </c>
      <c r="AJ11" s="184" t="s">
        <v>28</v>
      </c>
      <c r="AK11" s="184" t="s">
        <v>28</v>
      </c>
      <c r="AL11" s="184" t="s">
        <v>28</v>
      </c>
      <c r="AM11" s="183" t="s">
        <v>28</v>
      </c>
      <c r="AN11" s="184" t="s">
        <v>28</v>
      </c>
      <c r="AO11" s="184" t="s">
        <v>28</v>
      </c>
      <c r="AP11" s="185" t="s">
        <v>28</v>
      </c>
      <c r="AQ11" s="184" t="s">
        <v>28</v>
      </c>
      <c r="AR11" s="184" t="s">
        <v>28</v>
      </c>
      <c r="AS11" s="184" t="s">
        <v>28</v>
      </c>
      <c r="AT11" s="185" t="s">
        <v>28</v>
      </c>
      <c r="AU11" s="715">
        <v>0</v>
      </c>
      <c r="AV11" s="715">
        <v>0</v>
      </c>
      <c r="AW11" s="715">
        <v>0</v>
      </c>
      <c r="AX11" s="840">
        <v>0</v>
      </c>
      <c r="AY11" s="841">
        <v>0</v>
      </c>
      <c r="AZ11" s="715">
        <v>0</v>
      </c>
      <c r="BA11" s="715">
        <v>0</v>
      </c>
      <c r="BB11" s="717">
        <v>1.5</v>
      </c>
      <c r="BC11" s="841">
        <v>1.3</v>
      </c>
      <c r="BD11" s="715">
        <v>1.3</v>
      </c>
      <c r="BE11" s="715">
        <v>1</v>
      </c>
      <c r="BF11" s="717">
        <v>1.3</v>
      </c>
      <c r="BG11" s="715">
        <v>1.6</v>
      </c>
      <c r="BH11" s="715">
        <v>1.5</v>
      </c>
      <c r="BI11" s="715">
        <v>1.5</v>
      </c>
      <c r="BJ11" s="717">
        <v>51.1</v>
      </c>
      <c r="BK11" s="715">
        <v>51.9</v>
      </c>
      <c r="BL11" s="715">
        <v>51.6</v>
      </c>
      <c r="BM11" s="715">
        <v>54.2</v>
      </c>
      <c r="BN11" s="717">
        <v>52.8</v>
      </c>
      <c r="BO11" s="715">
        <v>53.2</v>
      </c>
      <c r="BP11" s="715">
        <v>51.2</v>
      </c>
      <c r="BQ11" s="715">
        <v>53.9</v>
      </c>
      <c r="BR11" s="715">
        <v>51.1</v>
      </c>
      <c r="BS11" s="709">
        <v>51.1</v>
      </c>
      <c r="BT11" s="842"/>
    </row>
    <row r="12" spans="1:74">
      <c r="A12" s="159" t="s">
        <v>385</v>
      </c>
      <c r="B12" s="159" t="s">
        <v>386</v>
      </c>
      <c r="C12" s="183" t="s">
        <v>28</v>
      </c>
      <c r="D12" s="184" t="s">
        <v>28</v>
      </c>
      <c r="E12" s="184" t="s">
        <v>28</v>
      </c>
      <c r="F12" s="185" t="s">
        <v>28</v>
      </c>
      <c r="G12" s="183" t="s">
        <v>28</v>
      </c>
      <c r="H12" s="184" t="s">
        <v>28</v>
      </c>
      <c r="I12" s="184" t="s">
        <v>28</v>
      </c>
      <c r="J12" s="185" t="s">
        <v>28</v>
      </c>
      <c r="K12" s="184" t="s">
        <v>28</v>
      </c>
      <c r="L12" s="184" t="s">
        <v>28</v>
      </c>
      <c r="M12" s="184" t="s">
        <v>28</v>
      </c>
      <c r="N12" s="184" t="s">
        <v>28</v>
      </c>
      <c r="O12" s="183" t="s">
        <v>28</v>
      </c>
      <c r="P12" s="184" t="s">
        <v>28</v>
      </c>
      <c r="Q12" s="184" t="s">
        <v>28</v>
      </c>
      <c r="R12" s="185" t="s">
        <v>28</v>
      </c>
      <c r="S12" s="184" t="s">
        <v>28</v>
      </c>
      <c r="T12" s="184" t="s">
        <v>28</v>
      </c>
      <c r="U12" s="184" t="s">
        <v>28</v>
      </c>
      <c r="V12" s="184" t="s">
        <v>28</v>
      </c>
      <c r="W12" s="183" t="s">
        <v>28</v>
      </c>
      <c r="X12" s="184" t="s">
        <v>28</v>
      </c>
      <c r="Y12" s="184" t="s">
        <v>28</v>
      </c>
      <c r="Z12" s="185" t="s">
        <v>28</v>
      </c>
      <c r="AA12" s="184" t="s">
        <v>28</v>
      </c>
      <c r="AB12" s="184" t="s">
        <v>28</v>
      </c>
      <c r="AC12" s="184" t="s">
        <v>28</v>
      </c>
      <c r="AD12" s="184" t="s">
        <v>28</v>
      </c>
      <c r="AE12" s="183" t="s">
        <v>28</v>
      </c>
      <c r="AF12" s="184" t="s">
        <v>28</v>
      </c>
      <c r="AG12" s="184" t="s">
        <v>28</v>
      </c>
      <c r="AH12" s="185" t="s">
        <v>28</v>
      </c>
      <c r="AI12" s="184" t="s">
        <v>28</v>
      </c>
      <c r="AJ12" s="184" t="s">
        <v>28</v>
      </c>
      <c r="AK12" s="184" t="s">
        <v>28</v>
      </c>
      <c r="AL12" s="184" t="s">
        <v>28</v>
      </c>
      <c r="AM12" s="183" t="s">
        <v>28</v>
      </c>
      <c r="AN12" s="184" t="s">
        <v>28</v>
      </c>
      <c r="AO12" s="184" t="s">
        <v>28</v>
      </c>
      <c r="AP12" s="185" t="s">
        <v>28</v>
      </c>
      <c r="AQ12" s="184" t="s">
        <v>28</v>
      </c>
      <c r="AR12" s="184" t="s">
        <v>28</v>
      </c>
      <c r="AS12" s="184" t="s">
        <v>28</v>
      </c>
      <c r="AT12" s="185" t="s">
        <v>28</v>
      </c>
      <c r="AU12" s="715">
        <f t="shared" ref="AU12:BP12" si="2">SUM(AU13:AU16)</f>
        <v>-1157.4999999999998</v>
      </c>
      <c r="AV12" s="715">
        <f t="shared" si="2"/>
        <v>-1211.5999999999999</v>
      </c>
      <c r="AW12" s="715">
        <f t="shared" si="2"/>
        <v>-1275.8</v>
      </c>
      <c r="AX12" s="840">
        <f t="shared" si="2"/>
        <v>-1261.5</v>
      </c>
      <c r="AY12" s="841">
        <f t="shared" si="2"/>
        <v>-1508.3999999999999</v>
      </c>
      <c r="AZ12" s="715">
        <f t="shared" si="2"/>
        <v>-1613.9999999999998</v>
      </c>
      <c r="BA12" s="715">
        <f t="shared" si="2"/>
        <v>-1659.6</v>
      </c>
      <c r="BB12" s="717">
        <f t="shared" si="2"/>
        <v>-1686</v>
      </c>
      <c r="BC12" s="841">
        <f t="shared" si="2"/>
        <v>-1891.8</v>
      </c>
      <c r="BD12" s="715">
        <f t="shared" si="2"/>
        <v>-2110.5</v>
      </c>
      <c r="BE12" s="715">
        <f t="shared" si="2"/>
        <v>-2181.6000000000004</v>
      </c>
      <c r="BF12" s="717">
        <f t="shared" si="2"/>
        <v>-2183.1999999999998</v>
      </c>
      <c r="BG12" s="715">
        <f t="shared" si="2"/>
        <v>-2235.1</v>
      </c>
      <c r="BH12" s="715">
        <f t="shared" si="2"/>
        <v>-2094.1</v>
      </c>
      <c r="BI12" s="715">
        <f t="shared" si="2"/>
        <v>-2085</v>
      </c>
      <c r="BJ12" s="717">
        <f t="shared" si="2"/>
        <v>-2158.1999999999998</v>
      </c>
      <c r="BK12" s="715">
        <f t="shared" si="2"/>
        <v>-1982.3</v>
      </c>
      <c r="BL12" s="715">
        <f t="shared" si="2"/>
        <v>-2074.3000000000002</v>
      </c>
      <c r="BM12" s="715">
        <f t="shared" si="2"/>
        <v>-2113</v>
      </c>
      <c r="BN12" s="717">
        <f t="shared" si="2"/>
        <v>-2192.1999999999998</v>
      </c>
      <c r="BO12" s="715">
        <f t="shared" si="2"/>
        <v>-2271.8999999999996</v>
      </c>
      <c r="BP12" s="715">
        <f t="shared" si="2"/>
        <v>-2389</v>
      </c>
      <c r="BQ12" s="715">
        <f>SUM(BQ13:BQ16)</f>
        <v>-2514.2999999999997</v>
      </c>
      <c r="BR12" s="715">
        <f>SUM(BR13:BR16)</f>
        <v>-2525.1</v>
      </c>
      <c r="BS12" s="709">
        <f>SUM(BS13:BS16)</f>
        <v>-2717.7</v>
      </c>
      <c r="BT12" s="842"/>
    </row>
    <row r="13" spans="1:74">
      <c r="A13" s="163" t="s">
        <v>387</v>
      </c>
      <c r="B13" s="163" t="s">
        <v>388</v>
      </c>
      <c r="C13" s="183" t="s">
        <v>28</v>
      </c>
      <c r="D13" s="184" t="s">
        <v>28</v>
      </c>
      <c r="E13" s="184" t="s">
        <v>28</v>
      </c>
      <c r="F13" s="185" t="s">
        <v>28</v>
      </c>
      <c r="G13" s="183" t="s">
        <v>28</v>
      </c>
      <c r="H13" s="184" t="s">
        <v>28</v>
      </c>
      <c r="I13" s="184" t="s">
        <v>28</v>
      </c>
      <c r="J13" s="185" t="s">
        <v>28</v>
      </c>
      <c r="K13" s="184" t="s">
        <v>28</v>
      </c>
      <c r="L13" s="184" t="s">
        <v>28</v>
      </c>
      <c r="M13" s="184" t="s">
        <v>28</v>
      </c>
      <c r="N13" s="184" t="s">
        <v>28</v>
      </c>
      <c r="O13" s="183" t="s">
        <v>28</v>
      </c>
      <c r="P13" s="184" t="s">
        <v>28</v>
      </c>
      <c r="Q13" s="184" t="s">
        <v>28</v>
      </c>
      <c r="R13" s="185" t="s">
        <v>28</v>
      </c>
      <c r="S13" s="184" t="s">
        <v>28</v>
      </c>
      <c r="T13" s="184" t="s">
        <v>28</v>
      </c>
      <c r="U13" s="184" t="s">
        <v>28</v>
      </c>
      <c r="V13" s="184" t="s">
        <v>28</v>
      </c>
      <c r="W13" s="183" t="s">
        <v>28</v>
      </c>
      <c r="X13" s="184" t="s">
        <v>28</v>
      </c>
      <c r="Y13" s="184" t="s">
        <v>28</v>
      </c>
      <c r="Z13" s="185" t="s">
        <v>28</v>
      </c>
      <c r="AA13" s="184" t="s">
        <v>28</v>
      </c>
      <c r="AB13" s="184" t="s">
        <v>28</v>
      </c>
      <c r="AC13" s="184" t="s">
        <v>28</v>
      </c>
      <c r="AD13" s="184" t="s">
        <v>28</v>
      </c>
      <c r="AE13" s="183" t="s">
        <v>28</v>
      </c>
      <c r="AF13" s="184" t="s">
        <v>28</v>
      </c>
      <c r="AG13" s="184" t="s">
        <v>28</v>
      </c>
      <c r="AH13" s="185" t="s">
        <v>28</v>
      </c>
      <c r="AI13" s="184" t="s">
        <v>28</v>
      </c>
      <c r="AJ13" s="184" t="s">
        <v>28</v>
      </c>
      <c r="AK13" s="184" t="s">
        <v>28</v>
      </c>
      <c r="AL13" s="184" t="s">
        <v>28</v>
      </c>
      <c r="AM13" s="183" t="s">
        <v>28</v>
      </c>
      <c r="AN13" s="184" t="s">
        <v>28</v>
      </c>
      <c r="AO13" s="184" t="s">
        <v>28</v>
      </c>
      <c r="AP13" s="185" t="s">
        <v>28</v>
      </c>
      <c r="AQ13" s="184" t="s">
        <v>28</v>
      </c>
      <c r="AR13" s="184" t="s">
        <v>28</v>
      </c>
      <c r="AS13" s="184" t="s">
        <v>28</v>
      </c>
      <c r="AT13" s="185" t="s">
        <v>28</v>
      </c>
      <c r="AU13" s="715">
        <v>-53.199999999999996</v>
      </c>
      <c r="AV13" s="715">
        <v>-66.400000000000006</v>
      </c>
      <c r="AW13" s="715">
        <v>-61.9</v>
      </c>
      <c r="AX13" s="840">
        <v>-56</v>
      </c>
      <c r="AY13" s="841">
        <v>-68.5</v>
      </c>
      <c r="AZ13" s="715">
        <v>-78.900000000000006</v>
      </c>
      <c r="BA13" s="715">
        <v>-67.2</v>
      </c>
      <c r="BB13" s="717">
        <v>-67</v>
      </c>
      <c r="BC13" s="841">
        <v>-125.7</v>
      </c>
      <c r="BD13" s="715">
        <v>-172.4</v>
      </c>
      <c r="BE13" s="715">
        <v>-181.9</v>
      </c>
      <c r="BF13" s="717">
        <v>-192.1</v>
      </c>
      <c r="BG13" s="715">
        <v>-193.5</v>
      </c>
      <c r="BH13" s="715">
        <v>-169.5</v>
      </c>
      <c r="BI13" s="715">
        <v>-166.5</v>
      </c>
      <c r="BJ13" s="717">
        <v>-168.7</v>
      </c>
      <c r="BK13" s="715">
        <v>-139.6</v>
      </c>
      <c r="BL13" s="715">
        <v>-119.1</v>
      </c>
      <c r="BM13" s="715">
        <v>-202.5</v>
      </c>
      <c r="BN13" s="717">
        <v>-196.5</v>
      </c>
      <c r="BO13" s="715">
        <v>-175.1</v>
      </c>
      <c r="BP13" s="715">
        <v>-174.9</v>
      </c>
      <c r="BQ13" s="715">
        <v>-174.6</v>
      </c>
      <c r="BR13" s="715">
        <v>-188.4</v>
      </c>
      <c r="BS13" s="709">
        <v>-148.6</v>
      </c>
      <c r="BT13" s="842"/>
    </row>
    <row r="14" spans="1:74">
      <c r="A14" s="163" t="s">
        <v>389</v>
      </c>
      <c r="B14" s="163" t="s">
        <v>390</v>
      </c>
      <c r="C14" s="183" t="s">
        <v>28</v>
      </c>
      <c r="D14" s="184" t="s">
        <v>28</v>
      </c>
      <c r="E14" s="184" t="s">
        <v>28</v>
      </c>
      <c r="F14" s="185" t="s">
        <v>28</v>
      </c>
      <c r="G14" s="183" t="s">
        <v>28</v>
      </c>
      <c r="H14" s="184" t="s">
        <v>28</v>
      </c>
      <c r="I14" s="184" t="s">
        <v>28</v>
      </c>
      <c r="J14" s="185" t="s">
        <v>28</v>
      </c>
      <c r="K14" s="184" t="s">
        <v>28</v>
      </c>
      <c r="L14" s="184" t="s">
        <v>28</v>
      </c>
      <c r="M14" s="184" t="s">
        <v>28</v>
      </c>
      <c r="N14" s="184" t="s">
        <v>28</v>
      </c>
      <c r="O14" s="183" t="s">
        <v>28</v>
      </c>
      <c r="P14" s="184" t="s">
        <v>28</v>
      </c>
      <c r="Q14" s="184" t="s">
        <v>28</v>
      </c>
      <c r="R14" s="185" t="s">
        <v>28</v>
      </c>
      <c r="S14" s="184" t="s">
        <v>28</v>
      </c>
      <c r="T14" s="184" t="s">
        <v>28</v>
      </c>
      <c r="U14" s="184" t="s">
        <v>28</v>
      </c>
      <c r="V14" s="184" t="s">
        <v>28</v>
      </c>
      <c r="W14" s="183" t="s">
        <v>28</v>
      </c>
      <c r="X14" s="184" t="s">
        <v>28</v>
      </c>
      <c r="Y14" s="184" t="s">
        <v>28</v>
      </c>
      <c r="Z14" s="185" t="s">
        <v>28</v>
      </c>
      <c r="AA14" s="184" t="s">
        <v>28</v>
      </c>
      <c r="AB14" s="184" t="s">
        <v>28</v>
      </c>
      <c r="AC14" s="184" t="s">
        <v>28</v>
      </c>
      <c r="AD14" s="184" t="s">
        <v>28</v>
      </c>
      <c r="AE14" s="183" t="s">
        <v>28</v>
      </c>
      <c r="AF14" s="184" t="s">
        <v>28</v>
      </c>
      <c r="AG14" s="184" t="s">
        <v>28</v>
      </c>
      <c r="AH14" s="185" t="s">
        <v>28</v>
      </c>
      <c r="AI14" s="184" t="s">
        <v>28</v>
      </c>
      <c r="AJ14" s="184" t="s">
        <v>28</v>
      </c>
      <c r="AK14" s="184" t="s">
        <v>28</v>
      </c>
      <c r="AL14" s="184" t="s">
        <v>28</v>
      </c>
      <c r="AM14" s="183" t="s">
        <v>28</v>
      </c>
      <c r="AN14" s="184" t="s">
        <v>28</v>
      </c>
      <c r="AO14" s="184" t="s">
        <v>28</v>
      </c>
      <c r="AP14" s="185" t="s">
        <v>28</v>
      </c>
      <c r="AQ14" s="184" t="s">
        <v>28</v>
      </c>
      <c r="AR14" s="184" t="s">
        <v>28</v>
      </c>
      <c r="AS14" s="184" t="s">
        <v>28</v>
      </c>
      <c r="AT14" s="185" t="s">
        <v>28</v>
      </c>
      <c r="AU14" s="715">
        <v>-58.4</v>
      </c>
      <c r="AV14" s="715">
        <v>-69.2</v>
      </c>
      <c r="AW14" s="715">
        <v>-64.8</v>
      </c>
      <c r="AX14" s="840">
        <v>-62.8</v>
      </c>
      <c r="AY14" s="841">
        <v>-149.6</v>
      </c>
      <c r="AZ14" s="715">
        <v>-142.89999999999998</v>
      </c>
      <c r="BA14" s="715">
        <v>-148.30000000000001</v>
      </c>
      <c r="BB14" s="717">
        <v>-144.9</v>
      </c>
      <c r="BC14" s="841">
        <v>-190</v>
      </c>
      <c r="BD14" s="715">
        <v>-252.4</v>
      </c>
      <c r="BE14" s="715">
        <v>-256.8</v>
      </c>
      <c r="BF14" s="717">
        <v>-227.7</v>
      </c>
      <c r="BG14" s="715">
        <v>-244</v>
      </c>
      <c r="BH14" s="715">
        <v>-227</v>
      </c>
      <c r="BI14" s="715">
        <v>-214.8</v>
      </c>
      <c r="BJ14" s="717">
        <v>-218.4</v>
      </c>
      <c r="BK14" s="715">
        <v>-251.7</v>
      </c>
      <c r="BL14" s="715">
        <v>-302.8</v>
      </c>
      <c r="BM14" s="715">
        <v>-471.5</v>
      </c>
      <c r="BN14" s="717">
        <v>-491</v>
      </c>
      <c r="BO14" s="715">
        <v>-493.7</v>
      </c>
      <c r="BP14" s="715">
        <v>-501.8</v>
      </c>
      <c r="BQ14" s="715">
        <v>-485.8</v>
      </c>
      <c r="BR14" s="715">
        <v>-413.1</v>
      </c>
      <c r="BS14" s="709">
        <v>-487.2</v>
      </c>
      <c r="BT14" s="842"/>
    </row>
    <row r="15" spans="1:74">
      <c r="A15" s="163" t="s">
        <v>391</v>
      </c>
      <c r="B15" s="163" t="s">
        <v>392</v>
      </c>
      <c r="C15" s="183" t="s">
        <v>28</v>
      </c>
      <c r="D15" s="184" t="s">
        <v>28</v>
      </c>
      <c r="E15" s="184" t="s">
        <v>28</v>
      </c>
      <c r="F15" s="185" t="s">
        <v>28</v>
      </c>
      <c r="G15" s="183" t="s">
        <v>28</v>
      </c>
      <c r="H15" s="184" t="s">
        <v>28</v>
      </c>
      <c r="I15" s="184" t="s">
        <v>28</v>
      </c>
      <c r="J15" s="185" t="s">
        <v>28</v>
      </c>
      <c r="K15" s="184" t="s">
        <v>28</v>
      </c>
      <c r="L15" s="184" t="s">
        <v>28</v>
      </c>
      <c r="M15" s="184" t="s">
        <v>28</v>
      </c>
      <c r="N15" s="184" t="s">
        <v>28</v>
      </c>
      <c r="O15" s="183" t="s">
        <v>28</v>
      </c>
      <c r="P15" s="184" t="s">
        <v>28</v>
      </c>
      <c r="Q15" s="184" t="s">
        <v>28</v>
      </c>
      <c r="R15" s="185" t="s">
        <v>28</v>
      </c>
      <c r="S15" s="184" t="s">
        <v>28</v>
      </c>
      <c r="T15" s="184" t="s">
        <v>28</v>
      </c>
      <c r="U15" s="184" t="s">
        <v>28</v>
      </c>
      <c r="V15" s="184" t="s">
        <v>28</v>
      </c>
      <c r="W15" s="183" t="s">
        <v>28</v>
      </c>
      <c r="X15" s="184" t="s">
        <v>28</v>
      </c>
      <c r="Y15" s="184" t="s">
        <v>28</v>
      </c>
      <c r="Z15" s="185" t="s">
        <v>28</v>
      </c>
      <c r="AA15" s="184" t="s">
        <v>28</v>
      </c>
      <c r="AB15" s="184" t="s">
        <v>28</v>
      </c>
      <c r="AC15" s="184" t="s">
        <v>28</v>
      </c>
      <c r="AD15" s="184" t="s">
        <v>28</v>
      </c>
      <c r="AE15" s="183" t="s">
        <v>28</v>
      </c>
      <c r="AF15" s="184" t="s">
        <v>28</v>
      </c>
      <c r="AG15" s="184" t="s">
        <v>28</v>
      </c>
      <c r="AH15" s="185" t="s">
        <v>28</v>
      </c>
      <c r="AI15" s="184" t="s">
        <v>28</v>
      </c>
      <c r="AJ15" s="184" t="s">
        <v>28</v>
      </c>
      <c r="AK15" s="184" t="s">
        <v>28</v>
      </c>
      <c r="AL15" s="184" t="s">
        <v>28</v>
      </c>
      <c r="AM15" s="183" t="s">
        <v>28</v>
      </c>
      <c r="AN15" s="184" t="s">
        <v>28</v>
      </c>
      <c r="AO15" s="184" t="s">
        <v>28</v>
      </c>
      <c r="AP15" s="185" t="s">
        <v>28</v>
      </c>
      <c r="AQ15" s="184" t="s">
        <v>28</v>
      </c>
      <c r="AR15" s="184" t="s">
        <v>28</v>
      </c>
      <c r="AS15" s="184" t="s">
        <v>28</v>
      </c>
      <c r="AT15" s="185" t="s">
        <v>28</v>
      </c>
      <c r="AU15" s="715">
        <v>-1045.8999999999999</v>
      </c>
      <c r="AV15" s="715">
        <v>-1076</v>
      </c>
      <c r="AW15" s="715">
        <v>-1149.0999999999999</v>
      </c>
      <c r="AX15" s="840">
        <v>-1142.7</v>
      </c>
      <c r="AY15" s="841">
        <v>-1290.3</v>
      </c>
      <c r="AZ15" s="715">
        <v>-1392.1999999999998</v>
      </c>
      <c r="BA15" s="715">
        <v>-1444.1</v>
      </c>
      <c r="BB15" s="717">
        <v>-1474.1</v>
      </c>
      <c r="BC15" s="841">
        <v>-1576.1</v>
      </c>
      <c r="BD15" s="715">
        <v>-1685.7</v>
      </c>
      <c r="BE15" s="715">
        <v>-1742.9</v>
      </c>
      <c r="BF15" s="717">
        <v>-1763.4</v>
      </c>
      <c r="BG15" s="715">
        <v>-1797.6</v>
      </c>
      <c r="BH15" s="715">
        <v>-1697.6</v>
      </c>
      <c r="BI15" s="715">
        <v>-1703.7</v>
      </c>
      <c r="BJ15" s="717">
        <v>-1771.1</v>
      </c>
      <c r="BK15" s="715">
        <v>-1591</v>
      </c>
      <c r="BL15" s="715">
        <v>-1652.4</v>
      </c>
      <c r="BM15" s="715">
        <v>-1439</v>
      </c>
      <c r="BN15" s="717">
        <v>-1504.7</v>
      </c>
      <c r="BO15" s="715">
        <v>-1603.1</v>
      </c>
      <c r="BP15" s="715">
        <v>-1712.3</v>
      </c>
      <c r="BQ15" s="715">
        <v>-1853.8999999999999</v>
      </c>
      <c r="BR15" s="715">
        <v>-1923.6</v>
      </c>
      <c r="BS15" s="709">
        <v>-2081.9</v>
      </c>
      <c r="BT15" s="842"/>
    </row>
    <row r="16" spans="1:74">
      <c r="A16" s="163" t="s">
        <v>384</v>
      </c>
      <c r="B16" s="163" t="s">
        <v>384</v>
      </c>
      <c r="C16" s="183"/>
      <c r="D16" s="184"/>
      <c r="E16" s="184"/>
      <c r="F16" s="185"/>
      <c r="G16" s="183" t="s">
        <v>28</v>
      </c>
      <c r="H16" s="184" t="s">
        <v>28</v>
      </c>
      <c r="I16" s="184" t="s">
        <v>28</v>
      </c>
      <c r="J16" s="185" t="s">
        <v>28</v>
      </c>
      <c r="K16" s="184" t="s">
        <v>28</v>
      </c>
      <c r="L16" s="184" t="s">
        <v>28</v>
      </c>
      <c r="M16" s="184" t="s">
        <v>28</v>
      </c>
      <c r="N16" s="184" t="s">
        <v>28</v>
      </c>
      <c r="O16" s="183" t="s">
        <v>28</v>
      </c>
      <c r="P16" s="184" t="s">
        <v>28</v>
      </c>
      <c r="Q16" s="184" t="s">
        <v>28</v>
      </c>
      <c r="R16" s="185" t="s">
        <v>28</v>
      </c>
      <c r="S16" s="184" t="s">
        <v>28</v>
      </c>
      <c r="T16" s="184" t="s">
        <v>28</v>
      </c>
      <c r="U16" s="184" t="s">
        <v>28</v>
      </c>
      <c r="V16" s="184" t="s">
        <v>28</v>
      </c>
      <c r="W16" s="183" t="s">
        <v>28</v>
      </c>
      <c r="X16" s="184" t="s">
        <v>28</v>
      </c>
      <c r="Y16" s="184" t="s">
        <v>28</v>
      </c>
      <c r="Z16" s="185" t="s">
        <v>28</v>
      </c>
      <c r="AA16" s="184" t="s">
        <v>28</v>
      </c>
      <c r="AB16" s="184" t="s">
        <v>28</v>
      </c>
      <c r="AC16" s="184" t="s">
        <v>28</v>
      </c>
      <c r="AD16" s="184" t="s">
        <v>28</v>
      </c>
      <c r="AE16" s="183" t="s">
        <v>28</v>
      </c>
      <c r="AF16" s="184" t="s">
        <v>28</v>
      </c>
      <c r="AG16" s="184" t="s">
        <v>28</v>
      </c>
      <c r="AH16" s="185" t="s">
        <v>28</v>
      </c>
      <c r="AI16" s="184" t="s">
        <v>28</v>
      </c>
      <c r="AJ16" s="184" t="s">
        <v>28</v>
      </c>
      <c r="AK16" s="184" t="s">
        <v>28</v>
      </c>
      <c r="AL16" s="184" t="s">
        <v>28</v>
      </c>
      <c r="AM16" s="183" t="s">
        <v>28</v>
      </c>
      <c r="AN16" s="184" t="s">
        <v>28</v>
      </c>
      <c r="AO16" s="184" t="s">
        <v>28</v>
      </c>
      <c r="AP16" s="185" t="s">
        <v>28</v>
      </c>
      <c r="AQ16" s="184" t="s">
        <v>28</v>
      </c>
      <c r="AR16" s="184" t="s">
        <v>28</v>
      </c>
      <c r="AS16" s="184" t="s">
        <v>28</v>
      </c>
      <c r="AT16" s="185" t="s">
        <v>28</v>
      </c>
      <c r="AU16" s="715">
        <v>0</v>
      </c>
      <c r="AV16" s="715">
        <v>0</v>
      </c>
      <c r="AW16" s="715">
        <v>0</v>
      </c>
      <c r="AX16" s="840">
        <v>0</v>
      </c>
      <c r="AY16" s="841">
        <v>0</v>
      </c>
      <c r="AZ16" s="715">
        <v>0</v>
      </c>
      <c r="BA16" s="715">
        <v>0</v>
      </c>
      <c r="BB16" s="717">
        <v>0</v>
      </c>
      <c r="BC16" s="841">
        <v>0</v>
      </c>
      <c r="BD16" s="715">
        <v>0</v>
      </c>
      <c r="BE16" s="715">
        <v>0</v>
      </c>
      <c r="BF16" s="717">
        <v>0</v>
      </c>
      <c r="BG16" s="715">
        <v>0</v>
      </c>
      <c r="BH16" s="715">
        <v>0</v>
      </c>
      <c r="BI16" s="715">
        <v>0</v>
      </c>
      <c r="BJ16" s="717">
        <v>0</v>
      </c>
      <c r="BK16" s="715">
        <v>0</v>
      </c>
      <c r="BL16" s="715">
        <v>0</v>
      </c>
      <c r="BM16" s="715">
        <v>0</v>
      </c>
      <c r="BN16" s="717">
        <v>0</v>
      </c>
      <c r="BO16" s="715">
        <v>0</v>
      </c>
      <c r="BP16" s="715">
        <v>0</v>
      </c>
      <c r="BQ16" s="715">
        <v>0</v>
      </c>
      <c r="BR16" s="715">
        <v>0</v>
      </c>
      <c r="BS16" s="709">
        <v>0</v>
      </c>
      <c r="BT16" s="842"/>
    </row>
    <row r="17" spans="1:72">
      <c r="A17" s="159" t="s">
        <v>393</v>
      </c>
      <c r="B17" s="159" t="s">
        <v>394</v>
      </c>
      <c r="C17" s="183" t="s">
        <v>28</v>
      </c>
      <c r="D17" s="184" t="s">
        <v>28</v>
      </c>
      <c r="E17" s="184" t="s">
        <v>28</v>
      </c>
      <c r="F17" s="185" t="s">
        <v>28</v>
      </c>
      <c r="G17" s="183" t="s">
        <v>28</v>
      </c>
      <c r="H17" s="184" t="s">
        <v>28</v>
      </c>
      <c r="I17" s="184" t="s">
        <v>28</v>
      </c>
      <c r="J17" s="185" t="s">
        <v>28</v>
      </c>
      <c r="K17" s="184" t="s">
        <v>28</v>
      </c>
      <c r="L17" s="184" t="s">
        <v>28</v>
      </c>
      <c r="M17" s="184" t="s">
        <v>28</v>
      </c>
      <c r="N17" s="184" t="s">
        <v>28</v>
      </c>
      <c r="O17" s="183" t="s">
        <v>28</v>
      </c>
      <c r="P17" s="184" t="s">
        <v>28</v>
      </c>
      <c r="Q17" s="184" t="s">
        <v>28</v>
      </c>
      <c r="R17" s="185" t="s">
        <v>28</v>
      </c>
      <c r="S17" s="184" t="s">
        <v>28</v>
      </c>
      <c r="T17" s="184" t="s">
        <v>28</v>
      </c>
      <c r="U17" s="184" t="s">
        <v>28</v>
      </c>
      <c r="V17" s="184" t="s">
        <v>28</v>
      </c>
      <c r="W17" s="183" t="s">
        <v>28</v>
      </c>
      <c r="X17" s="184" t="s">
        <v>28</v>
      </c>
      <c r="Y17" s="184" t="s">
        <v>28</v>
      </c>
      <c r="Z17" s="185" t="s">
        <v>28</v>
      </c>
      <c r="AA17" s="184" t="s">
        <v>28</v>
      </c>
      <c r="AB17" s="184" t="s">
        <v>28</v>
      </c>
      <c r="AC17" s="184" t="s">
        <v>28</v>
      </c>
      <c r="AD17" s="184" t="s">
        <v>28</v>
      </c>
      <c r="AE17" s="183" t="s">
        <v>28</v>
      </c>
      <c r="AF17" s="184" t="s">
        <v>28</v>
      </c>
      <c r="AG17" s="184" t="s">
        <v>28</v>
      </c>
      <c r="AH17" s="185" t="s">
        <v>28</v>
      </c>
      <c r="AI17" s="184" t="s">
        <v>28</v>
      </c>
      <c r="AJ17" s="184" t="s">
        <v>28</v>
      </c>
      <c r="AK17" s="184" t="s">
        <v>28</v>
      </c>
      <c r="AL17" s="184" t="s">
        <v>28</v>
      </c>
      <c r="AM17" s="183" t="s">
        <v>28</v>
      </c>
      <c r="AN17" s="184" t="s">
        <v>28</v>
      </c>
      <c r="AO17" s="184" t="s">
        <v>28</v>
      </c>
      <c r="AP17" s="185" t="s">
        <v>28</v>
      </c>
      <c r="AQ17" s="184" t="s">
        <v>28</v>
      </c>
      <c r="AR17" s="184" t="s">
        <v>28</v>
      </c>
      <c r="AS17" s="184" t="s">
        <v>28</v>
      </c>
      <c r="AT17" s="185" t="s">
        <v>28</v>
      </c>
      <c r="AU17" s="715">
        <f t="shared" ref="AU17:BB17" si="3">SUM(AU18:AU21)</f>
        <v>50785.000000000007</v>
      </c>
      <c r="AV17" s="715">
        <f t="shared" si="3"/>
        <v>52967.6</v>
      </c>
      <c r="AW17" s="715">
        <f t="shared" si="3"/>
        <v>55583.19999999999</v>
      </c>
      <c r="AX17" s="840">
        <f t="shared" si="3"/>
        <v>57601.999999999993</v>
      </c>
      <c r="AY17" s="841">
        <f t="shared" si="3"/>
        <v>65338.2</v>
      </c>
      <c r="AZ17" s="715">
        <f t="shared" si="3"/>
        <v>65965</v>
      </c>
      <c r="BA17" s="715">
        <f t="shared" si="3"/>
        <v>68350.899999999994</v>
      </c>
      <c r="BB17" s="717">
        <f t="shared" si="3"/>
        <v>68230.7</v>
      </c>
      <c r="BC17" s="841">
        <f t="shared" ref="BC17:BP17" si="4">SUM(BC18:BC21)</f>
        <v>71037.000000000015</v>
      </c>
      <c r="BD17" s="715">
        <f t="shared" si="4"/>
        <v>66743.900000000009</v>
      </c>
      <c r="BE17" s="715">
        <f t="shared" si="4"/>
        <v>67799.5</v>
      </c>
      <c r="BF17" s="717">
        <f t="shared" si="4"/>
        <v>67976.7</v>
      </c>
      <c r="BG17" s="715">
        <f t="shared" si="4"/>
        <v>70063.899999999994</v>
      </c>
      <c r="BH17" s="715">
        <f t="shared" si="4"/>
        <v>71021.5</v>
      </c>
      <c r="BI17" s="715">
        <f t="shared" si="4"/>
        <v>74569.599999999991</v>
      </c>
      <c r="BJ17" s="717">
        <f t="shared" si="4"/>
        <v>77756.300000000017</v>
      </c>
      <c r="BK17" s="715">
        <f t="shared" si="4"/>
        <v>81172.799999999988</v>
      </c>
      <c r="BL17" s="715">
        <f t="shared" si="4"/>
        <v>85782.799999999988</v>
      </c>
      <c r="BM17" s="715">
        <f t="shared" si="4"/>
        <v>89609.4</v>
      </c>
      <c r="BN17" s="717">
        <f t="shared" si="4"/>
        <v>90285.8</v>
      </c>
      <c r="BO17" s="715">
        <f t="shared" si="4"/>
        <v>92345.099999999991</v>
      </c>
      <c r="BP17" s="715">
        <f t="shared" si="4"/>
        <v>91783.300000000017</v>
      </c>
      <c r="BQ17" s="715">
        <f>SUM(BQ18:BQ21)</f>
        <v>93035.699999999983</v>
      </c>
      <c r="BR17" s="715">
        <f>SUM(BR18:BR21)</f>
        <v>90839.000000000015</v>
      </c>
      <c r="BS17" s="709">
        <f>SUM(BS18:BS21)</f>
        <v>91460</v>
      </c>
      <c r="BT17" s="842"/>
    </row>
    <row r="18" spans="1:72">
      <c r="A18" s="163" t="s">
        <v>378</v>
      </c>
      <c r="B18" s="163" t="s">
        <v>379</v>
      </c>
      <c r="C18" s="183" t="s">
        <v>28</v>
      </c>
      <c r="D18" s="184" t="s">
        <v>28</v>
      </c>
      <c r="E18" s="184" t="s">
        <v>28</v>
      </c>
      <c r="F18" s="185" t="s">
        <v>28</v>
      </c>
      <c r="G18" s="183" t="s">
        <v>28</v>
      </c>
      <c r="H18" s="184" t="s">
        <v>28</v>
      </c>
      <c r="I18" s="184" t="s">
        <v>28</v>
      </c>
      <c r="J18" s="185" t="s">
        <v>28</v>
      </c>
      <c r="K18" s="184" t="s">
        <v>28</v>
      </c>
      <c r="L18" s="184" t="s">
        <v>28</v>
      </c>
      <c r="M18" s="184" t="s">
        <v>28</v>
      </c>
      <c r="N18" s="184" t="s">
        <v>28</v>
      </c>
      <c r="O18" s="183" t="s">
        <v>28</v>
      </c>
      <c r="P18" s="184" t="s">
        <v>28</v>
      </c>
      <c r="Q18" s="184" t="s">
        <v>28</v>
      </c>
      <c r="R18" s="185" t="s">
        <v>28</v>
      </c>
      <c r="S18" s="184" t="s">
        <v>28</v>
      </c>
      <c r="T18" s="184" t="s">
        <v>28</v>
      </c>
      <c r="U18" s="184" t="s">
        <v>28</v>
      </c>
      <c r="V18" s="184" t="s">
        <v>28</v>
      </c>
      <c r="W18" s="183" t="s">
        <v>28</v>
      </c>
      <c r="X18" s="184" t="s">
        <v>28</v>
      </c>
      <c r="Y18" s="184" t="s">
        <v>28</v>
      </c>
      <c r="Z18" s="185" t="s">
        <v>28</v>
      </c>
      <c r="AA18" s="184" t="s">
        <v>28</v>
      </c>
      <c r="AB18" s="184" t="s">
        <v>28</v>
      </c>
      <c r="AC18" s="184" t="s">
        <v>28</v>
      </c>
      <c r="AD18" s="184" t="s">
        <v>28</v>
      </c>
      <c r="AE18" s="183" t="s">
        <v>28</v>
      </c>
      <c r="AF18" s="184" t="s">
        <v>28</v>
      </c>
      <c r="AG18" s="184" t="s">
        <v>28</v>
      </c>
      <c r="AH18" s="185" t="s">
        <v>28</v>
      </c>
      <c r="AI18" s="184" t="s">
        <v>28</v>
      </c>
      <c r="AJ18" s="184" t="s">
        <v>28</v>
      </c>
      <c r="AK18" s="184" t="s">
        <v>28</v>
      </c>
      <c r="AL18" s="184" t="s">
        <v>28</v>
      </c>
      <c r="AM18" s="183" t="s">
        <v>28</v>
      </c>
      <c r="AN18" s="184" t="s">
        <v>28</v>
      </c>
      <c r="AO18" s="184" t="s">
        <v>28</v>
      </c>
      <c r="AP18" s="185" t="s">
        <v>28</v>
      </c>
      <c r="AQ18" s="184" t="s">
        <v>28</v>
      </c>
      <c r="AR18" s="184" t="s">
        <v>28</v>
      </c>
      <c r="AS18" s="184" t="s">
        <v>28</v>
      </c>
      <c r="AT18" s="185" t="s">
        <v>28</v>
      </c>
      <c r="AU18" s="715">
        <f t="shared" ref="AU18:BS21" si="5">AU8+AU13</f>
        <v>45030.600000000006</v>
      </c>
      <c r="AV18" s="715">
        <f t="shared" si="5"/>
        <v>47229</v>
      </c>
      <c r="AW18" s="715">
        <f t="shared" si="5"/>
        <v>49734.899999999994</v>
      </c>
      <c r="AX18" s="840">
        <f t="shared" si="5"/>
        <v>51677.2</v>
      </c>
      <c r="AY18" s="841">
        <f t="shared" si="5"/>
        <v>58478</v>
      </c>
      <c r="AZ18" s="715">
        <f t="shared" si="5"/>
        <v>59614.9</v>
      </c>
      <c r="BA18" s="715">
        <f t="shared" si="5"/>
        <v>62315.9</v>
      </c>
      <c r="BB18" s="717">
        <f t="shared" si="5"/>
        <v>61666.299999999996</v>
      </c>
      <c r="BC18" s="841">
        <f t="shared" si="5"/>
        <v>63029.700000000004</v>
      </c>
      <c r="BD18" s="715">
        <f t="shared" si="5"/>
        <v>55369.2</v>
      </c>
      <c r="BE18" s="715">
        <f t="shared" si="5"/>
        <v>56887.5</v>
      </c>
      <c r="BF18" s="717">
        <f t="shared" si="5"/>
        <v>59030</v>
      </c>
      <c r="BG18" s="715">
        <f t="shared" si="5"/>
        <v>62243.6</v>
      </c>
      <c r="BH18" s="715">
        <f t="shared" si="5"/>
        <v>63617</v>
      </c>
      <c r="BI18" s="715">
        <f t="shared" si="5"/>
        <v>66998.2</v>
      </c>
      <c r="BJ18" s="717">
        <f t="shared" si="5"/>
        <v>70485.400000000009</v>
      </c>
      <c r="BK18" s="715">
        <f t="shared" si="5"/>
        <v>73333.399999999994</v>
      </c>
      <c r="BL18" s="715">
        <f t="shared" si="5"/>
        <v>77506.899999999994</v>
      </c>
      <c r="BM18" s="715">
        <f t="shared" si="5"/>
        <v>76413.3</v>
      </c>
      <c r="BN18" s="717">
        <f t="shared" si="5"/>
        <v>75325.2</v>
      </c>
      <c r="BO18" s="715">
        <f t="shared" si="5"/>
        <v>79397.599999999991</v>
      </c>
      <c r="BP18" s="715">
        <f t="shared" si="5"/>
        <v>77898.000000000015</v>
      </c>
      <c r="BQ18" s="715">
        <f t="shared" si="5"/>
        <v>79124.7</v>
      </c>
      <c r="BR18" s="715">
        <f t="shared" si="5"/>
        <v>77347.5</v>
      </c>
      <c r="BS18" s="709">
        <f t="shared" si="5"/>
        <v>77059.299999999988</v>
      </c>
      <c r="BT18" s="842"/>
    </row>
    <row r="19" spans="1:72">
      <c r="A19" s="163" t="s">
        <v>380</v>
      </c>
      <c r="B19" s="163" t="s">
        <v>381</v>
      </c>
      <c r="C19" s="183" t="s">
        <v>28</v>
      </c>
      <c r="D19" s="184" t="s">
        <v>28</v>
      </c>
      <c r="E19" s="184" t="s">
        <v>28</v>
      </c>
      <c r="F19" s="185" t="s">
        <v>28</v>
      </c>
      <c r="G19" s="183" t="s">
        <v>28</v>
      </c>
      <c r="H19" s="184" t="s">
        <v>28</v>
      </c>
      <c r="I19" s="184" t="s">
        <v>28</v>
      </c>
      <c r="J19" s="185" t="s">
        <v>28</v>
      </c>
      <c r="K19" s="184" t="s">
        <v>28</v>
      </c>
      <c r="L19" s="184" t="s">
        <v>28</v>
      </c>
      <c r="M19" s="184" t="s">
        <v>28</v>
      </c>
      <c r="N19" s="184" t="s">
        <v>28</v>
      </c>
      <c r="O19" s="183" t="s">
        <v>28</v>
      </c>
      <c r="P19" s="184" t="s">
        <v>28</v>
      </c>
      <c r="Q19" s="184" t="s">
        <v>28</v>
      </c>
      <c r="R19" s="185" t="s">
        <v>28</v>
      </c>
      <c r="S19" s="184" t="s">
        <v>28</v>
      </c>
      <c r="T19" s="184" t="s">
        <v>28</v>
      </c>
      <c r="U19" s="184" t="s">
        <v>28</v>
      </c>
      <c r="V19" s="184" t="s">
        <v>28</v>
      </c>
      <c r="W19" s="183" t="s">
        <v>28</v>
      </c>
      <c r="X19" s="184" t="s">
        <v>28</v>
      </c>
      <c r="Y19" s="184" t="s">
        <v>28</v>
      </c>
      <c r="Z19" s="185" t="s">
        <v>28</v>
      </c>
      <c r="AA19" s="184" t="s">
        <v>28</v>
      </c>
      <c r="AB19" s="184" t="s">
        <v>28</v>
      </c>
      <c r="AC19" s="184" t="s">
        <v>28</v>
      </c>
      <c r="AD19" s="184" t="s">
        <v>28</v>
      </c>
      <c r="AE19" s="183" t="s">
        <v>28</v>
      </c>
      <c r="AF19" s="184" t="s">
        <v>28</v>
      </c>
      <c r="AG19" s="184" t="s">
        <v>28</v>
      </c>
      <c r="AH19" s="185" t="s">
        <v>28</v>
      </c>
      <c r="AI19" s="184" t="s">
        <v>28</v>
      </c>
      <c r="AJ19" s="184" t="s">
        <v>28</v>
      </c>
      <c r="AK19" s="184" t="s">
        <v>28</v>
      </c>
      <c r="AL19" s="184" t="s">
        <v>28</v>
      </c>
      <c r="AM19" s="183" t="s">
        <v>28</v>
      </c>
      <c r="AN19" s="184" t="s">
        <v>28</v>
      </c>
      <c r="AO19" s="184" t="s">
        <v>28</v>
      </c>
      <c r="AP19" s="185" t="s">
        <v>28</v>
      </c>
      <c r="AQ19" s="184" t="s">
        <v>28</v>
      </c>
      <c r="AR19" s="184" t="s">
        <v>28</v>
      </c>
      <c r="AS19" s="184" t="s">
        <v>28</v>
      </c>
      <c r="AT19" s="185" t="s">
        <v>28</v>
      </c>
      <c r="AU19" s="715">
        <f t="shared" si="5"/>
        <v>4845.8</v>
      </c>
      <c r="AV19" s="715">
        <f t="shared" si="5"/>
        <v>4801.2</v>
      </c>
      <c r="AW19" s="715">
        <f t="shared" si="5"/>
        <v>4905.0999999999995</v>
      </c>
      <c r="AX19" s="840">
        <f t="shared" si="5"/>
        <v>4976.0999999999995</v>
      </c>
      <c r="AY19" s="841">
        <f t="shared" si="5"/>
        <v>5707.2</v>
      </c>
      <c r="AZ19" s="715">
        <f t="shared" si="5"/>
        <v>5105.1000000000004</v>
      </c>
      <c r="BA19" s="715">
        <f t="shared" si="5"/>
        <v>4807.5</v>
      </c>
      <c r="BB19" s="717">
        <f t="shared" si="5"/>
        <v>5116.8</v>
      </c>
      <c r="BC19" s="841">
        <f t="shared" si="5"/>
        <v>6569.9</v>
      </c>
      <c r="BD19" s="715">
        <f t="shared" si="5"/>
        <v>9933.3000000000011</v>
      </c>
      <c r="BE19" s="715">
        <f t="shared" si="5"/>
        <v>9536</v>
      </c>
      <c r="BF19" s="717">
        <f t="shared" si="5"/>
        <v>7614.5</v>
      </c>
      <c r="BG19" s="715">
        <f t="shared" si="5"/>
        <v>6570.8</v>
      </c>
      <c r="BH19" s="715">
        <f t="shared" si="5"/>
        <v>6251.8</v>
      </c>
      <c r="BI19" s="715">
        <f t="shared" si="5"/>
        <v>6473.5</v>
      </c>
      <c r="BJ19" s="717">
        <f t="shared" si="5"/>
        <v>6247.8</v>
      </c>
      <c r="BK19" s="715">
        <f t="shared" si="5"/>
        <v>6873.5</v>
      </c>
      <c r="BL19" s="715">
        <f t="shared" si="5"/>
        <v>7294.9</v>
      </c>
      <c r="BM19" s="715">
        <f t="shared" si="5"/>
        <v>12017.4</v>
      </c>
      <c r="BN19" s="717">
        <f t="shared" si="5"/>
        <v>13810.7</v>
      </c>
      <c r="BO19" s="715">
        <f t="shared" si="5"/>
        <v>11666.8</v>
      </c>
      <c r="BP19" s="715">
        <f t="shared" si="5"/>
        <v>12520.1</v>
      </c>
      <c r="BQ19" s="715">
        <f t="shared" si="5"/>
        <v>12502.7</v>
      </c>
      <c r="BR19" s="715">
        <f t="shared" si="5"/>
        <v>12212.6</v>
      </c>
      <c r="BS19" s="709">
        <f t="shared" si="5"/>
        <v>13052.099999999999</v>
      </c>
      <c r="BT19" s="842"/>
    </row>
    <row r="20" spans="1:72">
      <c r="A20" s="163" t="s">
        <v>382</v>
      </c>
      <c r="B20" s="163" t="s">
        <v>383</v>
      </c>
      <c r="C20" s="183" t="s">
        <v>28</v>
      </c>
      <c r="D20" s="184" t="s">
        <v>28</v>
      </c>
      <c r="E20" s="184" t="s">
        <v>28</v>
      </c>
      <c r="F20" s="185" t="s">
        <v>28</v>
      </c>
      <c r="G20" s="183" t="s">
        <v>28</v>
      </c>
      <c r="H20" s="184" t="s">
        <v>28</v>
      </c>
      <c r="I20" s="184" t="s">
        <v>28</v>
      </c>
      <c r="J20" s="185" t="s">
        <v>28</v>
      </c>
      <c r="K20" s="184" t="s">
        <v>28</v>
      </c>
      <c r="L20" s="184" t="s">
        <v>28</v>
      </c>
      <c r="M20" s="184" t="s">
        <v>28</v>
      </c>
      <c r="N20" s="184" t="s">
        <v>28</v>
      </c>
      <c r="O20" s="183" t="s">
        <v>28</v>
      </c>
      <c r="P20" s="184" t="s">
        <v>28</v>
      </c>
      <c r="Q20" s="184" t="s">
        <v>28</v>
      </c>
      <c r="R20" s="185" t="s">
        <v>28</v>
      </c>
      <c r="S20" s="184" t="s">
        <v>28</v>
      </c>
      <c r="T20" s="184" t="s">
        <v>28</v>
      </c>
      <c r="U20" s="184" t="s">
        <v>28</v>
      </c>
      <c r="V20" s="184" t="s">
        <v>28</v>
      </c>
      <c r="W20" s="183" t="s">
        <v>28</v>
      </c>
      <c r="X20" s="184" t="s">
        <v>28</v>
      </c>
      <c r="Y20" s="184" t="s">
        <v>28</v>
      </c>
      <c r="Z20" s="185" t="s">
        <v>28</v>
      </c>
      <c r="AA20" s="184" t="s">
        <v>28</v>
      </c>
      <c r="AB20" s="184" t="s">
        <v>28</v>
      </c>
      <c r="AC20" s="184" t="s">
        <v>28</v>
      </c>
      <c r="AD20" s="184" t="s">
        <v>28</v>
      </c>
      <c r="AE20" s="183" t="s">
        <v>28</v>
      </c>
      <c r="AF20" s="184" t="s">
        <v>28</v>
      </c>
      <c r="AG20" s="184" t="s">
        <v>28</v>
      </c>
      <c r="AH20" s="185" t="s">
        <v>28</v>
      </c>
      <c r="AI20" s="184" t="s">
        <v>28</v>
      </c>
      <c r="AJ20" s="184" t="s">
        <v>28</v>
      </c>
      <c r="AK20" s="184" t="s">
        <v>28</v>
      </c>
      <c r="AL20" s="184" t="s">
        <v>28</v>
      </c>
      <c r="AM20" s="183" t="s">
        <v>28</v>
      </c>
      <c r="AN20" s="184" t="s">
        <v>28</v>
      </c>
      <c r="AO20" s="184" t="s">
        <v>28</v>
      </c>
      <c r="AP20" s="185" t="s">
        <v>28</v>
      </c>
      <c r="AQ20" s="184" t="s">
        <v>28</v>
      </c>
      <c r="AR20" s="184" t="s">
        <v>28</v>
      </c>
      <c r="AS20" s="184" t="s">
        <v>28</v>
      </c>
      <c r="AT20" s="185" t="s">
        <v>28</v>
      </c>
      <c r="AU20" s="715">
        <f t="shared" si="5"/>
        <v>908.60000000000014</v>
      </c>
      <c r="AV20" s="715">
        <f t="shared" si="5"/>
        <v>937.40000000000009</v>
      </c>
      <c r="AW20" s="715">
        <f t="shared" si="5"/>
        <v>943.20000000000027</v>
      </c>
      <c r="AX20" s="840">
        <f t="shared" si="5"/>
        <v>948.7</v>
      </c>
      <c r="AY20" s="841">
        <f t="shared" si="5"/>
        <v>1152.9999999999998</v>
      </c>
      <c r="AZ20" s="715">
        <f t="shared" si="5"/>
        <v>1245.0000000000005</v>
      </c>
      <c r="BA20" s="715">
        <f t="shared" si="5"/>
        <v>1227.5</v>
      </c>
      <c r="BB20" s="717">
        <f t="shared" si="5"/>
        <v>1446.1000000000004</v>
      </c>
      <c r="BC20" s="841">
        <f t="shared" si="5"/>
        <v>1436.1</v>
      </c>
      <c r="BD20" s="715">
        <f t="shared" si="5"/>
        <v>1440.1000000000001</v>
      </c>
      <c r="BE20" s="715">
        <f t="shared" si="5"/>
        <v>1375</v>
      </c>
      <c r="BF20" s="717">
        <f t="shared" si="5"/>
        <v>1330.9</v>
      </c>
      <c r="BG20" s="715">
        <f t="shared" si="5"/>
        <v>1247.9000000000001</v>
      </c>
      <c r="BH20" s="715">
        <f t="shared" si="5"/>
        <v>1151.1999999999998</v>
      </c>
      <c r="BI20" s="715">
        <f t="shared" si="5"/>
        <v>1096.3999999999999</v>
      </c>
      <c r="BJ20" s="717">
        <f t="shared" si="5"/>
        <v>972</v>
      </c>
      <c r="BK20" s="715">
        <f t="shared" si="5"/>
        <v>914</v>
      </c>
      <c r="BL20" s="715">
        <f t="shared" si="5"/>
        <v>929.40000000000009</v>
      </c>
      <c r="BM20" s="715">
        <f t="shared" si="5"/>
        <v>1124.5</v>
      </c>
      <c r="BN20" s="717">
        <f t="shared" si="5"/>
        <v>1097.1000000000001</v>
      </c>
      <c r="BO20" s="715">
        <f t="shared" si="5"/>
        <v>1227.5</v>
      </c>
      <c r="BP20" s="715">
        <f t="shared" si="5"/>
        <v>1314.0000000000002</v>
      </c>
      <c r="BQ20" s="715">
        <f t="shared" si="5"/>
        <v>1354.4000000000003</v>
      </c>
      <c r="BR20" s="715">
        <f t="shared" si="5"/>
        <v>1227.8000000000002</v>
      </c>
      <c r="BS20" s="709">
        <f t="shared" si="5"/>
        <v>1297.5</v>
      </c>
      <c r="BT20" s="842"/>
    </row>
    <row r="21" spans="1:72">
      <c r="A21" s="163" t="s">
        <v>384</v>
      </c>
      <c r="B21" s="163" t="s">
        <v>384</v>
      </c>
      <c r="C21" s="183"/>
      <c r="D21" s="184"/>
      <c r="E21" s="184"/>
      <c r="F21" s="185"/>
      <c r="G21" s="183" t="s">
        <v>28</v>
      </c>
      <c r="H21" s="184" t="s">
        <v>28</v>
      </c>
      <c r="I21" s="184" t="s">
        <v>28</v>
      </c>
      <c r="J21" s="185" t="s">
        <v>28</v>
      </c>
      <c r="K21" s="184" t="s">
        <v>28</v>
      </c>
      <c r="L21" s="184" t="s">
        <v>28</v>
      </c>
      <c r="M21" s="184" t="s">
        <v>28</v>
      </c>
      <c r="N21" s="184" t="s">
        <v>28</v>
      </c>
      <c r="O21" s="183" t="s">
        <v>28</v>
      </c>
      <c r="P21" s="184" t="s">
        <v>28</v>
      </c>
      <c r="Q21" s="184" t="s">
        <v>28</v>
      </c>
      <c r="R21" s="185" t="s">
        <v>28</v>
      </c>
      <c r="S21" s="184" t="s">
        <v>28</v>
      </c>
      <c r="T21" s="184" t="s">
        <v>28</v>
      </c>
      <c r="U21" s="184" t="s">
        <v>28</v>
      </c>
      <c r="V21" s="184" t="s">
        <v>28</v>
      </c>
      <c r="W21" s="183" t="s">
        <v>28</v>
      </c>
      <c r="X21" s="184" t="s">
        <v>28</v>
      </c>
      <c r="Y21" s="184" t="s">
        <v>28</v>
      </c>
      <c r="Z21" s="185" t="s">
        <v>28</v>
      </c>
      <c r="AA21" s="184" t="s">
        <v>28</v>
      </c>
      <c r="AB21" s="184" t="s">
        <v>28</v>
      </c>
      <c r="AC21" s="184" t="s">
        <v>28</v>
      </c>
      <c r="AD21" s="184" t="s">
        <v>28</v>
      </c>
      <c r="AE21" s="183" t="s">
        <v>28</v>
      </c>
      <c r="AF21" s="184" t="s">
        <v>28</v>
      </c>
      <c r="AG21" s="184" t="s">
        <v>28</v>
      </c>
      <c r="AH21" s="185" t="s">
        <v>28</v>
      </c>
      <c r="AI21" s="184" t="s">
        <v>28</v>
      </c>
      <c r="AJ21" s="184" t="s">
        <v>28</v>
      </c>
      <c r="AK21" s="184" t="s">
        <v>28</v>
      </c>
      <c r="AL21" s="184" t="s">
        <v>28</v>
      </c>
      <c r="AM21" s="183" t="s">
        <v>28</v>
      </c>
      <c r="AN21" s="184" t="s">
        <v>28</v>
      </c>
      <c r="AO21" s="184" t="s">
        <v>28</v>
      </c>
      <c r="AP21" s="185" t="s">
        <v>28</v>
      </c>
      <c r="AQ21" s="184" t="s">
        <v>28</v>
      </c>
      <c r="AR21" s="184" t="s">
        <v>28</v>
      </c>
      <c r="AS21" s="184" t="s">
        <v>28</v>
      </c>
      <c r="AT21" s="185" t="s">
        <v>28</v>
      </c>
      <c r="AU21" s="715">
        <f t="shared" si="5"/>
        <v>0</v>
      </c>
      <c r="AV21" s="715">
        <f t="shared" si="5"/>
        <v>0</v>
      </c>
      <c r="AW21" s="715">
        <f t="shared" si="5"/>
        <v>0</v>
      </c>
      <c r="AX21" s="840">
        <f t="shared" si="5"/>
        <v>0</v>
      </c>
      <c r="AY21" s="841">
        <f t="shared" si="5"/>
        <v>0</v>
      </c>
      <c r="AZ21" s="715">
        <f>AZ11+AZ16</f>
        <v>0</v>
      </c>
      <c r="BA21" s="715">
        <f>BA11+BA16</f>
        <v>0</v>
      </c>
      <c r="BB21" s="717">
        <f>BB11+BB16</f>
        <v>1.5</v>
      </c>
      <c r="BC21" s="841">
        <f t="shared" si="5"/>
        <v>1.3</v>
      </c>
      <c r="BD21" s="715">
        <f t="shared" si="5"/>
        <v>1.3</v>
      </c>
      <c r="BE21" s="715">
        <f t="shared" si="5"/>
        <v>1</v>
      </c>
      <c r="BF21" s="717">
        <f t="shared" si="5"/>
        <v>1.3</v>
      </c>
      <c r="BG21" s="715">
        <f t="shared" si="5"/>
        <v>1.6</v>
      </c>
      <c r="BH21" s="715">
        <f t="shared" si="5"/>
        <v>1.5</v>
      </c>
      <c r="BI21" s="715">
        <f t="shared" si="5"/>
        <v>1.5</v>
      </c>
      <c r="BJ21" s="717">
        <f t="shared" si="5"/>
        <v>51.1</v>
      </c>
      <c r="BK21" s="715">
        <f t="shared" si="5"/>
        <v>51.9</v>
      </c>
      <c r="BL21" s="715">
        <f t="shared" si="5"/>
        <v>51.6</v>
      </c>
      <c r="BM21" s="715">
        <f t="shared" si="5"/>
        <v>54.2</v>
      </c>
      <c r="BN21" s="717">
        <f t="shared" si="5"/>
        <v>52.8</v>
      </c>
      <c r="BO21" s="715">
        <f t="shared" si="5"/>
        <v>53.2</v>
      </c>
      <c r="BP21" s="715">
        <f t="shared" si="5"/>
        <v>51.2</v>
      </c>
      <c r="BQ21" s="715">
        <f t="shared" si="5"/>
        <v>53.9</v>
      </c>
      <c r="BR21" s="715">
        <f t="shared" si="5"/>
        <v>51.1</v>
      </c>
      <c r="BS21" s="709">
        <f t="shared" si="5"/>
        <v>51.1</v>
      </c>
      <c r="BT21" s="842"/>
    </row>
    <row r="22" spans="1:72">
      <c r="A22" s="202"/>
      <c r="B22" s="202"/>
      <c r="C22" s="160"/>
      <c r="D22" s="161"/>
      <c r="E22" s="161"/>
      <c r="F22" s="162"/>
      <c r="G22" s="160"/>
      <c r="H22" s="161"/>
      <c r="I22" s="161"/>
      <c r="J22" s="162"/>
      <c r="K22" s="161"/>
      <c r="L22" s="161"/>
      <c r="M22" s="161"/>
      <c r="N22" s="161"/>
      <c r="O22" s="160"/>
      <c r="P22" s="161"/>
      <c r="Q22" s="161"/>
      <c r="R22" s="162"/>
      <c r="S22" s="161"/>
      <c r="T22" s="161"/>
      <c r="U22" s="161"/>
      <c r="V22" s="161"/>
      <c r="W22" s="160"/>
      <c r="X22" s="161"/>
      <c r="Y22" s="161"/>
      <c r="Z22" s="162"/>
      <c r="AA22" s="161"/>
      <c r="AB22" s="161"/>
      <c r="AC22" s="161"/>
      <c r="AD22" s="161"/>
      <c r="AE22" s="160"/>
      <c r="AF22" s="161"/>
      <c r="AG22" s="161"/>
      <c r="AH22" s="162"/>
      <c r="AI22" s="161"/>
      <c r="AJ22" s="161"/>
      <c r="AK22" s="161"/>
      <c r="AL22" s="161"/>
      <c r="AM22" s="160"/>
      <c r="AN22" s="161"/>
      <c r="AO22" s="161"/>
      <c r="AP22" s="162"/>
      <c r="AQ22" s="161"/>
      <c r="AR22" s="161"/>
      <c r="AS22" s="161"/>
      <c r="AT22" s="162"/>
      <c r="AU22" s="184"/>
      <c r="AV22" s="184"/>
      <c r="AW22" s="184"/>
      <c r="AX22" s="280"/>
      <c r="AY22" s="281"/>
      <c r="AZ22" s="184"/>
      <c r="BA22" s="184"/>
      <c r="BB22" s="185"/>
      <c r="BC22" s="281"/>
      <c r="BD22" s="184"/>
      <c r="BE22" s="184"/>
      <c r="BF22" s="185"/>
      <c r="BG22" s="184"/>
      <c r="BH22" s="184"/>
      <c r="BI22" s="184"/>
      <c r="BJ22" s="185"/>
      <c r="BK22" s="184"/>
      <c r="BL22" s="184"/>
      <c r="BM22" s="184"/>
      <c r="BN22" s="185"/>
      <c r="BO22" s="184"/>
      <c r="BP22" s="184"/>
      <c r="BQ22" s="184"/>
      <c r="BR22" s="184"/>
      <c r="BS22" s="183"/>
    </row>
    <row r="23" spans="1:72">
      <c r="A23" s="143" t="s">
        <v>315</v>
      </c>
      <c r="B23" s="143" t="s">
        <v>395</v>
      </c>
      <c r="C23" s="172"/>
      <c r="D23" s="173"/>
      <c r="E23" s="173"/>
      <c r="F23" s="174"/>
      <c r="G23" s="172"/>
      <c r="H23" s="173"/>
      <c r="I23" s="173"/>
      <c r="J23" s="174"/>
      <c r="K23" s="173"/>
      <c r="L23" s="173"/>
      <c r="M23" s="173"/>
      <c r="N23" s="173"/>
      <c r="O23" s="172"/>
      <c r="P23" s="173"/>
      <c r="Q23" s="173"/>
      <c r="R23" s="174"/>
      <c r="S23" s="173"/>
      <c r="T23" s="173"/>
      <c r="U23" s="173"/>
      <c r="V23" s="173"/>
      <c r="W23" s="172"/>
      <c r="X23" s="173"/>
      <c r="Y23" s="173"/>
      <c r="Z23" s="174"/>
      <c r="AA23" s="173"/>
      <c r="AB23" s="173"/>
      <c r="AC23" s="173"/>
      <c r="AD23" s="173"/>
      <c r="AE23" s="172"/>
      <c r="AF23" s="173"/>
      <c r="AG23" s="173"/>
      <c r="AH23" s="174"/>
      <c r="AI23" s="173"/>
      <c r="AJ23" s="173"/>
      <c r="AK23" s="173"/>
      <c r="AL23" s="173"/>
      <c r="AM23" s="172"/>
      <c r="AN23" s="173"/>
      <c r="AO23" s="173"/>
      <c r="AP23" s="174"/>
      <c r="AQ23" s="173"/>
      <c r="AR23" s="173"/>
      <c r="AS23" s="173"/>
      <c r="AT23" s="174"/>
      <c r="AU23" s="194"/>
      <c r="AV23" s="194"/>
      <c r="AW23" s="194"/>
      <c r="AX23" s="278"/>
      <c r="AY23" s="279"/>
      <c r="AZ23" s="194"/>
      <c r="BA23" s="194"/>
      <c r="BB23" s="195"/>
      <c r="BC23" s="279"/>
      <c r="BD23" s="194"/>
      <c r="BE23" s="194"/>
      <c r="BF23" s="195"/>
      <c r="BG23" s="194"/>
      <c r="BH23" s="194"/>
      <c r="BI23" s="194"/>
      <c r="BJ23" s="195"/>
      <c r="BK23" s="194"/>
      <c r="BL23" s="194"/>
      <c r="BM23" s="194"/>
      <c r="BN23" s="195"/>
      <c r="BO23" s="194"/>
      <c r="BP23" s="194"/>
      <c r="BQ23" s="194"/>
      <c r="BR23" s="194"/>
      <c r="BS23" s="193"/>
    </row>
    <row r="24" spans="1:72">
      <c r="A24" s="159" t="s">
        <v>376</v>
      </c>
      <c r="B24" s="159" t="s">
        <v>377</v>
      </c>
      <c r="C24" s="183" t="s">
        <v>28</v>
      </c>
      <c r="D24" s="184" t="s">
        <v>28</v>
      </c>
      <c r="E24" s="184" t="s">
        <v>28</v>
      </c>
      <c r="F24" s="185" t="s">
        <v>28</v>
      </c>
      <c r="G24" s="183" t="s">
        <v>28</v>
      </c>
      <c r="H24" s="184" t="s">
        <v>28</v>
      </c>
      <c r="I24" s="184" t="s">
        <v>28</v>
      </c>
      <c r="J24" s="185" t="s">
        <v>28</v>
      </c>
      <c r="K24" s="184" t="s">
        <v>28</v>
      </c>
      <c r="L24" s="184" t="s">
        <v>28</v>
      </c>
      <c r="M24" s="184" t="s">
        <v>28</v>
      </c>
      <c r="N24" s="184" t="s">
        <v>28</v>
      </c>
      <c r="O24" s="183" t="s">
        <v>28</v>
      </c>
      <c r="P24" s="184" t="s">
        <v>28</v>
      </c>
      <c r="Q24" s="184" t="s">
        <v>28</v>
      </c>
      <c r="R24" s="185" t="s">
        <v>28</v>
      </c>
      <c r="S24" s="184" t="s">
        <v>28</v>
      </c>
      <c r="T24" s="184" t="s">
        <v>28</v>
      </c>
      <c r="U24" s="184" t="s">
        <v>28</v>
      </c>
      <c r="V24" s="184" t="s">
        <v>28</v>
      </c>
      <c r="W24" s="183" t="s">
        <v>28</v>
      </c>
      <c r="X24" s="184" t="s">
        <v>28</v>
      </c>
      <c r="Y24" s="184" t="s">
        <v>28</v>
      </c>
      <c r="Z24" s="185" t="s">
        <v>28</v>
      </c>
      <c r="AA24" s="184" t="s">
        <v>28</v>
      </c>
      <c r="AB24" s="184" t="s">
        <v>28</v>
      </c>
      <c r="AC24" s="184" t="s">
        <v>28</v>
      </c>
      <c r="AD24" s="184" t="s">
        <v>28</v>
      </c>
      <c r="AE24" s="183" t="s">
        <v>28</v>
      </c>
      <c r="AF24" s="184" t="s">
        <v>28</v>
      </c>
      <c r="AG24" s="184" t="s">
        <v>28</v>
      </c>
      <c r="AH24" s="185" t="s">
        <v>28</v>
      </c>
      <c r="AI24" s="184" t="s">
        <v>28</v>
      </c>
      <c r="AJ24" s="184" t="s">
        <v>28</v>
      </c>
      <c r="AK24" s="184" t="s">
        <v>28</v>
      </c>
      <c r="AL24" s="184" t="s">
        <v>28</v>
      </c>
      <c r="AM24" s="183" t="s">
        <v>28</v>
      </c>
      <c r="AN24" s="184" t="s">
        <v>28</v>
      </c>
      <c r="AO24" s="184" t="s">
        <v>28</v>
      </c>
      <c r="AP24" s="185" t="s">
        <v>28</v>
      </c>
      <c r="AQ24" s="184" t="s">
        <v>28</v>
      </c>
      <c r="AR24" s="184" t="s">
        <v>28</v>
      </c>
      <c r="AS24" s="184" t="s">
        <v>28</v>
      </c>
      <c r="AT24" s="185" t="s">
        <v>28</v>
      </c>
      <c r="AU24" s="715">
        <f t="shared" ref="AU24:BP24" si="6">SUM(AU25:AU27)</f>
        <v>39424.699999999997</v>
      </c>
      <c r="AV24" s="715">
        <f t="shared" si="6"/>
        <v>41723.1</v>
      </c>
      <c r="AW24" s="715">
        <f t="shared" si="6"/>
        <v>43539.8</v>
      </c>
      <c r="AX24" s="840">
        <f t="shared" si="6"/>
        <v>45363.299999999996</v>
      </c>
      <c r="AY24" s="841">
        <f t="shared" si="6"/>
        <v>41392.099999999991</v>
      </c>
      <c r="AZ24" s="715">
        <f t="shared" si="6"/>
        <v>43701</v>
      </c>
      <c r="BA24" s="715">
        <f t="shared" si="6"/>
        <v>46195</v>
      </c>
      <c r="BB24" s="717">
        <f t="shared" si="6"/>
        <v>48360.299999999996</v>
      </c>
      <c r="BC24" s="841">
        <f t="shared" si="6"/>
        <v>50940.399999999994</v>
      </c>
      <c r="BD24" s="715">
        <f t="shared" si="6"/>
        <v>52606.200000000004</v>
      </c>
      <c r="BE24" s="715">
        <f t="shared" si="6"/>
        <v>53761.799999999996</v>
      </c>
      <c r="BF24" s="717">
        <f t="shared" si="6"/>
        <v>55830.299999999996</v>
      </c>
      <c r="BG24" s="47">
        <f t="shared" si="6"/>
        <v>58603.199999999997</v>
      </c>
      <c r="BH24" s="47">
        <f t="shared" si="6"/>
        <v>61502.299999999996</v>
      </c>
      <c r="BI24" s="47">
        <f t="shared" si="6"/>
        <v>64506.1</v>
      </c>
      <c r="BJ24" s="49">
        <f t="shared" si="6"/>
        <v>66483.600000000006</v>
      </c>
      <c r="BK24" s="47">
        <f t="shared" si="6"/>
        <v>66866</v>
      </c>
      <c r="BL24" s="47">
        <f t="shared" si="6"/>
        <v>65900.899999999994</v>
      </c>
      <c r="BM24" s="47">
        <f t="shared" si="6"/>
        <v>64197.599999999999</v>
      </c>
      <c r="BN24" s="49">
        <f t="shared" si="6"/>
        <v>63880.3</v>
      </c>
      <c r="BO24" s="47">
        <f t="shared" si="6"/>
        <v>63358.799999999996</v>
      </c>
      <c r="BP24" s="47">
        <f t="shared" si="6"/>
        <v>63924</v>
      </c>
      <c r="BQ24" s="47">
        <f>SUM(BQ25:BQ27)</f>
        <v>64719</v>
      </c>
      <c r="BR24" s="47">
        <f>SUM(BR25:BR27)</f>
        <v>64889</v>
      </c>
      <c r="BS24" s="48">
        <f>SUM(BS25:BS27)</f>
        <v>66070.899999999994</v>
      </c>
      <c r="BT24" s="822"/>
    </row>
    <row r="25" spans="1:72">
      <c r="A25" s="163" t="s">
        <v>378</v>
      </c>
      <c r="B25" s="163" t="s">
        <v>379</v>
      </c>
      <c r="C25" s="183" t="s">
        <v>28</v>
      </c>
      <c r="D25" s="184" t="s">
        <v>28</v>
      </c>
      <c r="E25" s="184" t="s">
        <v>28</v>
      </c>
      <c r="F25" s="185" t="s">
        <v>28</v>
      </c>
      <c r="G25" s="183" t="s">
        <v>28</v>
      </c>
      <c r="H25" s="184" t="s">
        <v>28</v>
      </c>
      <c r="I25" s="184" t="s">
        <v>28</v>
      </c>
      <c r="J25" s="185" t="s">
        <v>28</v>
      </c>
      <c r="K25" s="184" t="s">
        <v>28</v>
      </c>
      <c r="L25" s="184" t="s">
        <v>28</v>
      </c>
      <c r="M25" s="184" t="s">
        <v>28</v>
      </c>
      <c r="N25" s="184" t="s">
        <v>28</v>
      </c>
      <c r="O25" s="183" t="s">
        <v>28</v>
      </c>
      <c r="P25" s="184" t="s">
        <v>28</v>
      </c>
      <c r="Q25" s="184" t="s">
        <v>28</v>
      </c>
      <c r="R25" s="185" t="s">
        <v>28</v>
      </c>
      <c r="S25" s="184" t="s">
        <v>28</v>
      </c>
      <c r="T25" s="184" t="s">
        <v>28</v>
      </c>
      <c r="U25" s="184" t="s">
        <v>28</v>
      </c>
      <c r="V25" s="184" t="s">
        <v>28</v>
      </c>
      <c r="W25" s="183" t="s">
        <v>28</v>
      </c>
      <c r="X25" s="184" t="s">
        <v>28</v>
      </c>
      <c r="Y25" s="184" t="s">
        <v>28</v>
      </c>
      <c r="Z25" s="185" t="s">
        <v>28</v>
      </c>
      <c r="AA25" s="184" t="s">
        <v>28</v>
      </c>
      <c r="AB25" s="184" t="s">
        <v>28</v>
      </c>
      <c r="AC25" s="184" t="s">
        <v>28</v>
      </c>
      <c r="AD25" s="184" t="s">
        <v>28</v>
      </c>
      <c r="AE25" s="183" t="s">
        <v>28</v>
      </c>
      <c r="AF25" s="184" t="s">
        <v>28</v>
      </c>
      <c r="AG25" s="184" t="s">
        <v>28</v>
      </c>
      <c r="AH25" s="185" t="s">
        <v>28</v>
      </c>
      <c r="AI25" s="184" t="s">
        <v>28</v>
      </c>
      <c r="AJ25" s="184" t="s">
        <v>28</v>
      </c>
      <c r="AK25" s="184" t="s">
        <v>28</v>
      </c>
      <c r="AL25" s="184" t="s">
        <v>28</v>
      </c>
      <c r="AM25" s="183" t="s">
        <v>28</v>
      </c>
      <c r="AN25" s="184" t="s">
        <v>28</v>
      </c>
      <c r="AO25" s="184" t="s">
        <v>28</v>
      </c>
      <c r="AP25" s="185" t="s">
        <v>28</v>
      </c>
      <c r="AQ25" s="184" t="s">
        <v>28</v>
      </c>
      <c r="AR25" s="184" t="s">
        <v>28</v>
      </c>
      <c r="AS25" s="184" t="s">
        <v>28</v>
      </c>
      <c r="AT25" s="185" t="s">
        <v>28</v>
      </c>
      <c r="AU25" s="715">
        <v>33565.199999999997</v>
      </c>
      <c r="AV25" s="715">
        <v>35539.4</v>
      </c>
      <c r="AW25" s="715">
        <v>37281.199999999997</v>
      </c>
      <c r="AX25" s="840">
        <v>38633</v>
      </c>
      <c r="AY25" s="841">
        <v>35906.899999999994</v>
      </c>
      <c r="AZ25" s="715">
        <v>38003.799999999996</v>
      </c>
      <c r="BA25" s="715">
        <v>40233.4</v>
      </c>
      <c r="BB25" s="717">
        <v>44045.1</v>
      </c>
      <c r="BC25" s="841">
        <v>46334.6</v>
      </c>
      <c r="BD25" s="715">
        <v>48111.9</v>
      </c>
      <c r="BE25" s="715">
        <v>50226.6</v>
      </c>
      <c r="BF25" s="717">
        <v>52646</v>
      </c>
      <c r="BG25" s="47">
        <v>55449.2</v>
      </c>
      <c r="BH25" s="47">
        <v>58743.7</v>
      </c>
      <c r="BI25" s="47">
        <v>61787.9</v>
      </c>
      <c r="BJ25" s="49">
        <v>64102.6</v>
      </c>
      <c r="BK25" s="47">
        <v>64434.6</v>
      </c>
      <c r="BL25" s="47">
        <v>63218.9</v>
      </c>
      <c r="BM25" s="47">
        <v>61298.2</v>
      </c>
      <c r="BN25" s="49">
        <v>56942.3</v>
      </c>
      <c r="BO25" s="47">
        <v>56310.6</v>
      </c>
      <c r="BP25" s="47">
        <v>56772.800000000003</v>
      </c>
      <c r="BQ25" s="47">
        <v>57409</v>
      </c>
      <c r="BR25" s="47">
        <v>58256.5</v>
      </c>
      <c r="BS25" s="48">
        <v>59406.3</v>
      </c>
      <c r="BT25" s="822"/>
    </row>
    <row r="26" spans="1:72">
      <c r="A26" s="163" t="s">
        <v>380</v>
      </c>
      <c r="B26" s="163" t="s">
        <v>381</v>
      </c>
      <c r="C26" s="183" t="s">
        <v>28</v>
      </c>
      <c r="D26" s="184" t="s">
        <v>28</v>
      </c>
      <c r="E26" s="184" t="s">
        <v>28</v>
      </c>
      <c r="F26" s="185" t="s">
        <v>28</v>
      </c>
      <c r="G26" s="183" t="s">
        <v>28</v>
      </c>
      <c r="H26" s="184" t="s">
        <v>28</v>
      </c>
      <c r="I26" s="184" t="s">
        <v>28</v>
      </c>
      <c r="J26" s="185" t="s">
        <v>28</v>
      </c>
      <c r="K26" s="184" t="s">
        <v>28</v>
      </c>
      <c r="L26" s="184" t="s">
        <v>28</v>
      </c>
      <c r="M26" s="184" t="s">
        <v>28</v>
      </c>
      <c r="N26" s="184" t="s">
        <v>28</v>
      </c>
      <c r="O26" s="183" t="s">
        <v>28</v>
      </c>
      <c r="P26" s="184" t="s">
        <v>28</v>
      </c>
      <c r="Q26" s="184" t="s">
        <v>28</v>
      </c>
      <c r="R26" s="185" t="s">
        <v>28</v>
      </c>
      <c r="S26" s="184" t="s">
        <v>28</v>
      </c>
      <c r="T26" s="184" t="s">
        <v>28</v>
      </c>
      <c r="U26" s="184" t="s">
        <v>28</v>
      </c>
      <c r="V26" s="184" t="s">
        <v>28</v>
      </c>
      <c r="W26" s="183" t="s">
        <v>28</v>
      </c>
      <c r="X26" s="184" t="s">
        <v>28</v>
      </c>
      <c r="Y26" s="184" t="s">
        <v>28</v>
      </c>
      <c r="Z26" s="185" t="s">
        <v>28</v>
      </c>
      <c r="AA26" s="184" t="s">
        <v>28</v>
      </c>
      <c r="AB26" s="184" t="s">
        <v>28</v>
      </c>
      <c r="AC26" s="184" t="s">
        <v>28</v>
      </c>
      <c r="AD26" s="184" t="s">
        <v>28</v>
      </c>
      <c r="AE26" s="183" t="s">
        <v>28</v>
      </c>
      <c r="AF26" s="184" t="s">
        <v>28</v>
      </c>
      <c r="AG26" s="184" t="s">
        <v>28</v>
      </c>
      <c r="AH26" s="185" t="s">
        <v>28</v>
      </c>
      <c r="AI26" s="184" t="s">
        <v>28</v>
      </c>
      <c r="AJ26" s="184" t="s">
        <v>28</v>
      </c>
      <c r="AK26" s="184" t="s">
        <v>28</v>
      </c>
      <c r="AL26" s="184" t="s">
        <v>28</v>
      </c>
      <c r="AM26" s="183" t="s">
        <v>28</v>
      </c>
      <c r="AN26" s="184" t="s">
        <v>28</v>
      </c>
      <c r="AO26" s="184" t="s">
        <v>28</v>
      </c>
      <c r="AP26" s="185" t="s">
        <v>28</v>
      </c>
      <c r="AQ26" s="184" t="s">
        <v>28</v>
      </c>
      <c r="AR26" s="184" t="s">
        <v>28</v>
      </c>
      <c r="AS26" s="184" t="s">
        <v>28</v>
      </c>
      <c r="AT26" s="185" t="s">
        <v>28</v>
      </c>
      <c r="AU26" s="715">
        <v>5072.8999999999996</v>
      </c>
      <c r="AV26" s="715">
        <v>5324.2</v>
      </c>
      <c r="AW26" s="715">
        <v>5505.3</v>
      </c>
      <c r="AX26" s="840">
        <v>5916.7000000000007</v>
      </c>
      <c r="AY26" s="841">
        <v>4858</v>
      </c>
      <c r="AZ26" s="715">
        <v>5023.7000000000007</v>
      </c>
      <c r="BA26" s="715">
        <v>5228.5999999999995</v>
      </c>
      <c r="BB26" s="717">
        <v>3706.6000000000004</v>
      </c>
      <c r="BC26" s="841">
        <v>3915.1</v>
      </c>
      <c r="BD26" s="715">
        <v>3709.2999999999997</v>
      </c>
      <c r="BE26" s="715">
        <v>2647.2</v>
      </c>
      <c r="BF26" s="717">
        <v>2129.6</v>
      </c>
      <c r="BG26" s="47">
        <v>1979.7</v>
      </c>
      <c r="BH26" s="47">
        <v>1788.6</v>
      </c>
      <c r="BI26" s="47">
        <v>1708</v>
      </c>
      <c r="BJ26" s="49">
        <v>1370.8</v>
      </c>
      <c r="BK26" s="47">
        <v>1450.9</v>
      </c>
      <c r="BL26" s="47">
        <v>1664.1</v>
      </c>
      <c r="BM26" s="47">
        <v>2052.4</v>
      </c>
      <c r="BN26" s="49">
        <v>6013.7</v>
      </c>
      <c r="BO26" s="47">
        <v>6053</v>
      </c>
      <c r="BP26" s="47">
        <v>6090.5</v>
      </c>
      <c r="BQ26" s="47">
        <v>6185.2</v>
      </c>
      <c r="BR26" s="47">
        <v>5606.1</v>
      </c>
      <c r="BS26" s="48">
        <v>5584.7</v>
      </c>
      <c r="BT26" s="822"/>
    </row>
    <row r="27" spans="1:72">
      <c r="A27" s="163" t="s">
        <v>382</v>
      </c>
      <c r="B27" s="163" t="s">
        <v>383</v>
      </c>
      <c r="C27" s="183" t="s">
        <v>28</v>
      </c>
      <c r="D27" s="184" t="s">
        <v>28</v>
      </c>
      <c r="E27" s="184" t="s">
        <v>28</v>
      </c>
      <c r="F27" s="185" t="s">
        <v>28</v>
      </c>
      <c r="G27" s="183" t="s">
        <v>28</v>
      </c>
      <c r="H27" s="184" t="s">
        <v>28</v>
      </c>
      <c r="I27" s="184" t="s">
        <v>28</v>
      </c>
      <c r="J27" s="185" t="s">
        <v>28</v>
      </c>
      <c r="K27" s="184" t="s">
        <v>28</v>
      </c>
      <c r="L27" s="184" t="s">
        <v>28</v>
      </c>
      <c r="M27" s="184" t="s">
        <v>28</v>
      </c>
      <c r="N27" s="184" t="s">
        <v>28</v>
      </c>
      <c r="O27" s="183" t="s">
        <v>28</v>
      </c>
      <c r="P27" s="184" t="s">
        <v>28</v>
      </c>
      <c r="Q27" s="184" t="s">
        <v>28</v>
      </c>
      <c r="R27" s="185" t="s">
        <v>28</v>
      </c>
      <c r="S27" s="184" t="s">
        <v>28</v>
      </c>
      <c r="T27" s="184" t="s">
        <v>28</v>
      </c>
      <c r="U27" s="184" t="s">
        <v>28</v>
      </c>
      <c r="V27" s="184" t="s">
        <v>28</v>
      </c>
      <c r="W27" s="183" t="s">
        <v>28</v>
      </c>
      <c r="X27" s="184" t="s">
        <v>28</v>
      </c>
      <c r="Y27" s="184" t="s">
        <v>28</v>
      </c>
      <c r="Z27" s="185" t="s">
        <v>28</v>
      </c>
      <c r="AA27" s="184" t="s">
        <v>28</v>
      </c>
      <c r="AB27" s="184" t="s">
        <v>28</v>
      </c>
      <c r="AC27" s="184" t="s">
        <v>28</v>
      </c>
      <c r="AD27" s="184" t="s">
        <v>28</v>
      </c>
      <c r="AE27" s="183" t="s">
        <v>28</v>
      </c>
      <c r="AF27" s="184" t="s">
        <v>28</v>
      </c>
      <c r="AG27" s="184" t="s">
        <v>28</v>
      </c>
      <c r="AH27" s="185" t="s">
        <v>28</v>
      </c>
      <c r="AI27" s="184" t="s">
        <v>28</v>
      </c>
      <c r="AJ27" s="184" t="s">
        <v>28</v>
      </c>
      <c r="AK27" s="184" t="s">
        <v>28</v>
      </c>
      <c r="AL27" s="184" t="s">
        <v>28</v>
      </c>
      <c r="AM27" s="183" t="s">
        <v>28</v>
      </c>
      <c r="AN27" s="184" t="s">
        <v>28</v>
      </c>
      <c r="AO27" s="184" t="s">
        <v>28</v>
      </c>
      <c r="AP27" s="185" t="s">
        <v>28</v>
      </c>
      <c r="AQ27" s="184" t="s">
        <v>28</v>
      </c>
      <c r="AR27" s="184" t="s">
        <v>28</v>
      </c>
      <c r="AS27" s="184" t="s">
        <v>28</v>
      </c>
      <c r="AT27" s="185" t="s">
        <v>28</v>
      </c>
      <c r="AU27" s="715">
        <v>786.6</v>
      </c>
      <c r="AV27" s="715">
        <v>859.5</v>
      </c>
      <c r="AW27" s="715">
        <v>753.3</v>
      </c>
      <c r="AX27" s="840">
        <v>813.6</v>
      </c>
      <c r="AY27" s="841">
        <v>627.19999999999993</v>
      </c>
      <c r="AZ27" s="715">
        <v>673.5</v>
      </c>
      <c r="BA27" s="715">
        <v>733.00000000000011</v>
      </c>
      <c r="BB27" s="717">
        <v>608.6</v>
      </c>
      <c r="BC27" s="841">
        <v>690.7</v>
      </c>
      <c r="BD27" s="715">
        <v>785</v>
      </c>
      <c r="BE27" s="715">
        <v>888</v>
      </c>
      <c r="BF27" s="717">
        <v>1054.7</v>
      </c>
      <c r="BG27" s="47">
        <v>1174.3</v>
      </c>
      <c r="BH27" s="47">
        <v>970</v>
      </c>
      <c r="BI27" s="47">
        <v>1010.2</v>
      </c>
      <c r="BJ27" s="49">
        <v>1010.2</v>
      </c>
      <c r="BK27" s="47">
        <v>980.5</v>
      </c>
      <c r="BL27" s="47">
        <v>1017.9</v>
      </c>
      <c r="BM27" s="47">
        <v>847</v>
      </c>
      <c r="BN27" s="49">
        <v>924.3</v>
      </c>
      <c r="BO27" s="47">
        <v>995.2</v>
      </c>
      <c r="BP27" s="47">
        <v>1060.7</v>
      </c>
      <c r="BQ27" s="47">
        <v>1124.8</v>
      </c>
      <c r="BR27" s="47">
        <v>1026.4000000000001</v>
      </c>
      <c r="BS27" s="48">
        <v>1079.9000000000001</v>
      </c>
      <c r="BT27" s="822"/>
    </row>
    <row r="28" spans="1:72">
      <c r="A28" s="163" t="s">
        <v>384</v>
      </c>
      <c r="B28" s="163" t="s">
        <v>384</v>
      </c>
      <c r="C28" s="183"/>
      <c r="D28" s="184"/>
      <c r="E28" s="184"/>
      <c r="F28" s="185"/>
      <c r="G28" s="183" t="s">
        <v>28</v>
      </c>
      <c r="H28" s="184" t="s">
        <v>28</v>
      </c>
      <c r="I28" s="184" t="s">
        <v>28</v>
      </c>
      <c r="J28" s="185" t="s">
        <v>28</v>
      </c>
      <c r="K28" s="184" t="s">
        <v>28</v>
      </c>
      <c r="L28" s="184" t="s">
        <v>28</v>
      </c>
      <c r="M28" s="184" t="s">
        <v>28</v>
      </c>
      <c r="N28" s="184" t="s">
        <v>28</v>
      </c>
      <c r="O28" s="183" t="s">
        <v>28</v>
      </c>
      <c r="P28" s="184" t="s">
        <v>28</v>
      </c>
      <c r="Q28" s="184" t="s">
        <v>28</v>
      </c>
      <c r="R28" s="185" t="s">
        <v>28</v>
      </c>
      <c r="S28" s="184" t="s">
        <v>28</v>
      </c>
      <c r="T28" s="184" t="s">
        <v>28</v>
      </c>
      <c r="U28" s="184" t="s">
        <v>28</v>
      </c>
      <c r="V28" s="184" t="s">
        <v>28</v>
      </c>
      <c r="W28" s="183" t="s">
        <v>28</v>
      </c>
      <c r="X28" s="184" t="s">
        <v>28</v>
      </c>
      <c r="Y28" s="184" t="s">
        <v>28</v>
      </c>
      <c r="Z28" s="185" t="s">
        <v>28</v>
      </c>
      <c r="AA28" s="184" t="s">
        <v>28</v>
      </c>
      <c r="AB28" s="184" t="s">
        <v>28</v>
      </c>
      <c r="AC28" s="184" t="s">
        <v>28</v>
      </c>
      <c r="AD28" s="184" t="s">
        <v>28</v>
      </c>
      <c r="AE28" s="183" t="s">
        <v>28</v>
      </c>
      <c r="AF28" s="184" t="s">
        <v>28</v>
      </c>
      <c r="AG28" s="184" t="s">
        <v>28</v>
      </c>
      <c r="AH28" s="185" t="s">
        <v>28</v>
      </c>
      <c r="AI28" s="184" t="s">
        <v>28</v>
      </c>
      <c r="AJ28" s="184" t="s">
        <v>28</v>
      </c>
      <c r="AK28" s="184" t="s">
        <v>28</v>
      </c>
      <c r="AL28" s="184" t="s">
        <v>28</v>
      </c>
      <c r="AM28" s="183" t="s">
        <v>28</v>
      </c>
      <c r="AN28" s="184" t="s">
        <v>28</v>
      </c>
      <c r="AO28" s="184" t="s">
        <v>28</v>
      </c>
      <c r="AP28" s="185" t="s">
        <v>28</v>
      </c>
      <c r="AQ28" s="184" t="s">
        <v>28</v>
      </c>
      <c r="AR28" s="184" t="s">
        <v>28</v>
      </c>
      <c r="AS28" s="184" t="s">
        <v>28</v>
      </c>
      <c r="AT28" s="185" t="s">
        <v>28</v>
      </c>
      <c r="AU28" s="715">
        <v>0</v>
      </c>
      <c r="AV28" s="715">
        <v>0</v>
      </c>
      <c r="AW28" s="715">
        <v>0</v>
      </c>
      <c r="AX28" s="840">
        <v>0</v>
      </c>
      <c r="AY28" s="841">
        <v>0</v>
      </c>
      <c r="AZ28" s="715">
        <v>0</v>
      </c>
      <c r="BA28" s="715">
        <v>0</v>
      </c>
      <c r="BB28" s="717">
        <v>0</v>
      </c>
      <c r="BC28" s="841">
        <v>0</v>
      </c>
      <c r="BD28" s="715">
        <v>2.6</v>
      </c>
      <c r="BE28" s="715">
        <v>2.2999999999999998</v>
      </c>
      <c r="BF28" s="717">
        <v>2.2000000000000002</v>
      </c>
      <c r="BG28" s="47">
        <v>2.1</v>
      </c>
      <c r="BH28" s="47">
        <v>2.2999999999999998</v>
      </c>
      <c r="BI28" s="47">
        <v>2.2999999999999998</v>
      </c>
      <c r="BJ28" s="49">
        <v>2.2000000000000002</v>
      </c>
      <c r="BK28" s="47">
        <v>2.2000000000000002</v>
      </c>
      <c r="BL28" s="47">
        <v>2.1</v>
      </c>
      <c r="BM28" s="47">
        <v>2</v>
      </c>
      <c r="BN28" s="49">
        <v>2.1</v>
      </c>
      <c r="BO28" s="47">
        <v>2.8</v>
      </c>
      <c r="BP28" s="47">
        <v>3.3</v>
      </c>
      <c r="BQ28" s="47">
        <v>2.7</v>
      </c>
      <c r="BR28" s="47">
        <v>2.7</v>
      </c>
      <c r="BS28" s="48">
        <v>2.5</v>
      </c>
      <c r="BT28" s="822"/>
    </row>
    <row r="29" spans="1:72">
      <c r="A29" s="159" t="s">
        <v>385</v>
      </c>
      <c r="B29" s="159" t="s">
        <v>386</v>
      </c>
      <c r="C29" s="183" t="s">
        <v>28</v>
      </c>
      <c r="D29" s="184" t="s">
        <v>28</v>
      </c>
      <c r="E29" s="184" t="s">
        <v>28</v>
      </c>
      <c r="F29" s="185" t="s">
        <v>28</v>
      </c>
      <c r="G29" s="183" t="s">
        <v>28</v>
      </c>
      <c r="H29" s="184" t="s">
        <v>28</v>
      </c>
      <c r="I29" s="184" t="s">
        <v>28</v>
      </c>
      <c r="J29" s="185" t="s">
        <v>28</v>
      </c>
      <c r="K29" s="184" t="s">
        <v>28</v>
      </c>
      <c r="L29" s="184" t="s">
        <v>28</v>
      </c>
      <c r="M29" s="184" t="s">
        <v>28</v>
      </c>
      <c r="N29" s="184" t="s">
        <v>28</v>
      </c>
      <c r="O29" s="183" t="s">
        <v>28</v>
      </c>
      <c r="P29" s="184" t="s">
        <v>28</v>
      </c>
      <c r="Q29" s="184" t="s">
        <v>28</v>
      </c>
      <c r="R29" s="185" t="s">
        <v>28</v>
      </c>
      <c r="S29" s="184" t="s">
        <v>28</v>
      </c>
      <c r="T29" s="184" t="s">
        <v>28</v>
      </c>
      <c r="U29" s="184" t="s">
        <v>28</v>
      </c>
      <c r="V29" s="184" t="s">
        <v>28</v>
      </c>
      <c r="W29" s="183" t="s">
        <v>28</v>
      </c>
      <c r="X29" s="184" t="s">
        <v>28</v>
      </c>
      <c r="Y29" s="184" t="s">
        <v>28</v>
      </c>
      <c r="Z29" s="185" t="s">
        <v>28</v>
      </c>
      <c r="AA29" s="184" t="s">
        <v>28</v>
      </c>
      <c r="AB29" s="184" t="s">
        <v>28</v>
      </c>
      <c r="AC29" s="184" t="s">
        <v>28</v>
      </c>
      <c r="AD29" s="184" t="s">
        <v>28</v>
      </c>
      <c r="AE29" s="183" t="s">
        <v>28</v>
      </c>
      <c r="AF29" s="184" t="s">
        <v>28</v>
      </c>
      <c r="AG29" s="184" t="s">
        <v>28</v>
      </c>
      <c r="AH29" s="185" t="s">
        <v>28</v>
      </c>
      <c r="AI29" s="184" t="s">
        <v>28</v>
      </c>
      <c r="AJ29" s="184" t="s">
        <v>28</v>
      </c>
      <c r="AK29" s="184" t="s">
        <v>28</v>
      </c>
      <c r="AL29" s="184" t="s">
        <v>28</v>
      </c>
      <c r="AM29" s="183" t="s">
        <v>28</v>
      </c>
      <c r="AN29" s="184" t="s">
        <v>28</v>
      </c>
      <c r="AO29" s="184" t="s">
        <v>28</v>
      </c>
      <c r="AP29" s="185" t="s">
        <v>28</v>
      </c>
      <c r="AQ29" s="184" t="s">
        <v>28</v>
      </c>
      <c r="AR29" s="184" t="s">
        <v>28</v>
      </c>
      <c r="AS29" s="184" t="s">
        <v>28</v>
      </c>
      <c r="AT29" s="185" t="s">
        <v>28</v>
      </c>
      <c r="AU29" s="715">
        <f>SUM(AU30:AU32)</f>
        <v>-928.7</v>
      </c>
      <c r="AV29" s="715">
        <f>SUM(AV30:AV32)</f>
        <v>-1024.3999999999999</v>
      </c>
      <c r="AW29" s="715">
        <f>SUM(AW30:AW32)</f>
        <v>-928.1</v>
      </c>
      <c r="AX29" s="840">
        <f>SUM(AX30:AX32)</f>
        <v>-1008.5</v>
      </c>
      <c r="AY29" s="841">
        <f>SUM(AY30:AY32)</f>
        <v>-775.99999999999989</v>
      </c>
      <c r="AZ29" s="715">
        <f t="shared" ref="AZ29:BP29" si="7">SUM(AZ30:AZ32)</f>
        <v>-808.8</v>
      </c>
      <c r="BA29" s="715">
        <f t="shared" si="7"/>
        <v>-875.30000000000018</v>
      </c>
      <c r="BB29" s="717">
        <f t="shared" si="7"/>
        <v>-760</v>
      </c>
      <c r="BC29" s="841">
        <f t="shared" si="7"/>
        <v>-874.4</v>
      </c>
      <c r="BD29" s="715">
        <f t="shared" si="7"/>
        <v>-937.5</v>
      </c>
      <c r="BE29" s="715">
        <f t="shared" si="7"/>
        <v>-1004.1</v>
      </c>
      <c r="BF29" s="717">
        <f t="shared" si="7"/>
        <v>-1087.0999999999999</v>
      </c>
      <c r="BG29" s="47">
        <f t="shared" si="7"/>
        <v>-1154.9000000000001</v>
      </c>
      <c r="BH29" s="47">
        <f t="shared" si="7"/>
        <v>-914.4</v>
      </c>
      <c r="BI29" s="47">
        <f t="shared" si="7"/>
        <v>-948.3</v>
      </c>
      <c r="BJ29" s="49">
        <f t="shared" si="7"/>
        <v>-955.4</v>
      </c>
      <c r="BK29" s="47">
        <f t="shared" si="7"/>
        <v>-1010.1</v>
      </c>
      <c r="BL29" s="47">
        <f t="shared" si="7"/>
        <v>-1122.5</v>
      </c>
      <c r="BM29" s="47">
        <f t="shared" si="7"/>
        <v>-970.7</v>
      </c>
      <c r="BN29" s="49">
        <f t="shared" si="7"/>
        <v>-1077</v>
      </c>
      <c r="BO29" s="47">
        <f t="shared" si="7"/>
        <v>-1095.8</v>
      </c>
      <c r="BP29" s="47">
        <f t="shared" si="7"/>
        <v>-1160.5999999999999</v>
      </c>
      <c r="BQ29" s="47">
        <f>SUM(BQ30:BQ32)</f>
        <v>-1214.2</v>
      </c>
      <c r="BR29" s="47">
        <f>SUM(BR30:BR32)</f>
        <v>-983</v>
      </c>
      <c r="BS29" s="48">
        <f>SUM(BS30:BS32)</f>
        <v>-1015.8</v>
      </c>
      <c r="BT29" s="822"/>
    </row>
    <row r="30" spans="1:72">
      <c r="A30" s="163" t="s">
        <v>387</v>
      </c>
      <c r="B30" s="163" t="s">
        <v>388</v>
      </c>
      <c r="C30" s="183" t="s">
        <v>28</v>
      </c>
      <c r="D30" s="184" t="s">
        <v>28</v>
      </c>
      <c r="E30" s="184" t="s">
        <v>28</v>
      </c>
      <c r="F30" s="185" t="s">
        <v>28</v>
      </c>
      <c r="G30" s="183" t="s">
        <v>28</v>
      </c>
      <c r="H30" s="184" t="s">
        <v>28</v>
      </c>
      <c r="I30" s="184" t="s">
        <v>28</v>
      </c>
      <c r="J30" s="185" t="s">
        <v>28</v>
      </c>
      <c r="K30" s="184" t="s">
        <v>28</v>
      </c>
      <c r="L30" s="184" t="s">
        <v>28</v>
      </c>
      <c r="M30" s="184" t="s">
        <v>28</v>
      </c>
      <c r="N30" s="184" t="s">
        <v>28</v>
      </c>
      <c r="O30" s="183" t="s">
        <v>28</v>
      </c>
      <c r="P30" s="184" t="s">
        <v>28</v>
      </c>
      <c r="Q30" s="184" t="s">
        <v>28</v>
      </c>
      <c r="R30" s="185" t="s">
        <v>28</v>
      </c>
      <c r="S30" s="184" t="s">
        <v>28</v>
      </c>
      <c r="T30" s="184" t="s">
        <v>28</v>
      </c>
      <c r="U30" s="184" t="s">
        <v>28</v>
      </c>
      <c r="V30" s="184" t="s">
        <v>28</v>
      </c>
      <c r="W30" s="183" t="s">
        <v>28</v>
      </c>
      <c r="X30" s="184" t="s">
        <v>28</v>
      </c>
      <c r="Y30" s="184" t="s">
        <v>28</v>
      </c>
      <c r="Z30" s="185" t="s">
        <v>28</v>
      </c>
      <c r="AA30" s="184" t="s">
        <v>28</v>
      </c>
      <c r="AB30" s="184" t="s">
        <v>28</v>
      </c>
      <c r="AC30" s="184" t="s">
        <v>28</v>
      </c>
      <c r="AD30" s="184" t="s">
        <v>28</v>
      </c>
      <c r="AE30" s="183" t="s">
        <v>28</v>
      </c>
      <c r="AF30" s="184" t="s">
        <v>28</v>
      </c>
      <c r="AG30" s="184" t="s">
        <v>28</v>
      </c>
      <c r="AH30" s="185" t="s">
        <v>28</v>
      </c>
      <c r="AI30" s="184" t="s">
        <v>28</v>
      </c>
      <c r="AJ30" s="184" t="s">
        <v>28</v>
      </c>
      <c r="AK30" s="184" t="s">
        <v>28</v>
      </c>
      <c r="AL30" s="184" t="s">
        <v>28</v>
      </c>
      <c r="AM30" s="183" t="s">
        <v>28</v>
      </c>
      <c r="AN30" s="184" t="s">
        <v>28</v>
      </c>
      <c r="AO30" s="184" t="s">
        <v>28</v>
      </c>
      <c r="AP30" s="185" t="s">
        <v>28</v>
      </c>
      <c r="AQ30" s="184" t="s">
        <v>28</v>
      </c>
      <c r="AR30" s="184" t="s">
        <v>28</v>
      </c>
      <c r="AS30" s="184" t="s">
        <v>28</v>
      </c>
      <c r="AT30" s="185" t="s">
        <v>28</v>
      </c>
      <c r="AU30" s="715">
        <v>-57.4</v>
      </c>
      <c r="AV30" s="715">
        <v>-67.7</v>
      </c>
      <c r="AW30" s="715">
        <v>-65.100000000000009</v>
      </c>
      <c r="AX30" s="840">
        <v>-58.2</v>
      </c>
      <c r="AY30" s="841">
        <v>-49.8</v>
      </c>
      <c r="AZ30" s="715">
        <v>-52.400000000000006</v>
      </c>
      <c r="BA30" s="715">
        <v>-56.5</v>
      </c>
      <c r="BB30" s="717">
        <v>-56.2</v>
      </c>
      <c r="BC30" s="841">
        <v>-64.3</v>
      </c>
      <c r="BD30" s="715">
        <v>-79.5</v>
      </c>
      <c r="BE30" s="715">
        <v>-120.4</v>
      </c>
      <c r="BF30" s="717">
        <v>-150.19999999999999</v>
      </c>
      <c r="BG30" s="47">
        <v>-144.4</v>
      </c>
      <c r="BH30" s="47">
        <v>-128.6</v>
      </c>
      <c r="BI30" s="47">
        <v>-117.4</v>
      </c>
      <c r="BJ30" s="49">
        <v>-107</v>
      </c>
      <c r="BK30" s="47">
        <v>-122</v>
      </c>
      <c r="BL30" s="47">
        <v>-134.5</v>
      </c>
      <c r="BM30" s="47">
        <v>-161.80000000000001</v>
      </c>
      <c r="BN30" s="49">
        <v>-191</v>
      </c>
      <c r="BO30" s="47">
        <v>-175</v>
      </c>
      <c r="BP30" s="47">
        <v>-176.7</v>
      </c>
      <c r="BQ30" s="47">
        <v>-184.6</v>
      </c>
      <c r="BR30" s="47">
        <v>-127.9</v>
      </c>
      <c r="BS30" s="48">
        <v>-133.30000000000001</v>
      </c>
      <c r="BT30" s="822"/>
    </row>
    <row r="31" spans="1:72">
      <c r="A31" s="163" t="s">
        <v>389</v>
      </c>
      <c r="B31" s="163" t="s">
        <v>390</v>
      </c>
      <c r="C31" s="183" t="s">
        <v>28</v>
      </c>
      <c r="D31" s="184" t="s">
        <v>28</v>
      </c>
      <c r="E31" s="184" t="s">
        <v>28</v>
      </c>
      <c r="F31" s="185" t="s">
        <v>28</v>
      </c>
      <c r="G31" s="183" t="s">
        <v>28</v>
      </c>
      <c r="H31" s="184" t="s">
        <v>28</v>
      </c>
      <c r="I31" s="184" t="s">
        <v>28</v>
      </c>
      <c r="J31" s="185" t="s">
        <v>28</v>
      </c>
      <c r="K31" s="184" t="s">
        <v>28</v>
      </c>
      <c r="L31" s="184" t="s">
        <v>28</v>
      </c>
      <c r="M31" s="184" t="s">
        <v>28</v>
      </c>
      <c r="N31" s="184" t="s">
        <v>28</v>
      </c>
      <c r="O31" s="183" t="s">
        <v>28</v>
      </c>
      <c r="P31" s="184" t="s">
        <v>28</v>
      </c>
      <c r="Q31" s="184" t="s">
        <v>28</v>
      </c>
      <c r="R31" s="185" t="s">
        <v>28</v>
      </c>
      <c r="S31" s="184" t="s">
        <v>28</v>
      </c>
      <c r="T31" s="184" t="s">
        <v>28</v>
      </c>
      <c r="U31" s="184" t="s">
        <v>28</v>
      </c>
      <c r="V31" s="184" t="s">
        <v>28</v>
      </c>
      <c r="W31" s="183" t="s">
        <v>28</v>
      </c>
      <c r="X31" s="184" t="s">
        <v>28</v>
      </c>
      <c r="Y31" s="184" t="s">
        <v>28</v>
      </c>
      <c r="Z31" s="185" t="s">
        <v>28</v>
      </c>
      <c r="AA31" s="184" t="s">
        <v>28</v>
      </c>
      <c r="AB31" s="184" t="s">
        <v>28</v>
      </c>
      <c r="AC31" s="184" t="s">
        <v>28</v>
      </c>
      <c r="AD31" s="184" t="s">
        <v>28</v>
      </c>
      <c r="AE31" s="183" t="s">
        <v>28</v>
      </c>
      <c r="AF31" s="184" t="s">
        <v>28</v>
      </c>
      <c r="AG31" s="184" t="s">
        <v>28</v>
      </c>
      <c r="AH31" s="185" t="s">
        <v>28</v>
      </c>
      <c r="AI31" s="184" t="s">
        <v>28</v>
      </c>
      <c r="AJ31" s="184" t="s">
        <v>28</v>
      </c>
      <c r="AK31" s="184" t="s">
        <v>28</v>
      </c>
      <c r="AL31" s="184" t="s">
        <v>28</v>
      </c>
      <c r="AM31" s="183" t="s">
        <v>28</v>
      </c>
      <c r="AN31" s="184" t="s">
        <v>28</v>
      </c>
      <c r="AO31" s="184" t="s">
        <v>28</v>
      </c>
      <c r="AP31" s="185" t="s">
        <v>28</v>
      </c>
      <c r="AQ31" s="184" t="s">
        <v>28</v>
      </c>
      <c r="AR31" s="184" t="s">
        <v>28</v>
      </c>
      <c r="AS31" s="184" t="s">
        <v>28</v>
      </c>
      <c r="AT31" s="185" t="s">
        <v>28</v>
      </c>
      <c r="AU31" s="715">
        <v>-285.10000000000002</v>
      </c>
      <c r="AV31" s="715">
        <v>-314.39999999999998</v>
      </c>
      <c r="AW31" s="715">
        <v>-331.4</v>
      </c>
      <c r="AX31" s="840">
        <v>-362</v>
      </c>
      <c r="AY31" s="841">
        <v>-257.29999999999995</v>
      </c>
      <c r="AZ31" s="715">
        <v>-252.29999999999998</v>
      </c>
      <c r="BA31" s="715">
        <v>-260.2</v>
      </c>
      <c r="BB31" s="717">
        <v>-268.90000000000003</v>
      </c>
      <c r="BC31" s="841">
        <v>-297.8</v>
      </c>
      <c r="BD31" s="715">
        <v>-279.5</v>
      </c>
      <c r="BE31" s="715">
        <v>-228.8</v>
      </c>
      <c r="BF31" s="717">
        <v>-181.8</v>
      </c>
      <c r="BG31" s="47">
        <v>-172.5</v>
      </c>
      <c r="BH31" s="47">
        <v>-148.69999999999999</v>
      </c>
      <c r="BI31" s="47">
        <v>-142.9</v>
      </c>
      <c r="BJ31" s="49">
        <v>-139.4</v>
      </c>
      <c r="BK31" s="47">
        <v>-192</v>
      </c>
      <c r="BL31" s="47">
        <v>-229.2</v>
      </c>
      <c r="BM31" s="47">
        <v>-223.4</v>
      </c>
      <c r="BN31" s="49">
        <v>-292.3</v>
      </c>
      <c r="BO31" s="47">
        <v>-269.5</v>
      </c>
      <c r="BP31" s="47">
        <v>-280.3</v>
      </c>
      <c r="BQ31" s="47">
        <v>-280.5</v>
      </c>
      <c r="BR31" s="47">
        <v>-200.1</v>
      </c>
      <c r="BS31" s="48">
        <v>-179.2</v>
      </c>
      <c r="BT31" s="822"/>
    </row>
    <row r="32" spans="1:72">
      <c r="A32" s="163" t="s">
        <v>391</v>
      </c>
      <c r="B32" s="163" t="s">
        <v>392</v>
      </c>
      <c r="C32" s="183" t="s">
        <v>28</v>
      </c>
      <c r="D32" s="184" t="s">
        <v>28</v>
      </c>
      <c r="E32" s="184" t="s">
        <v>28</v>
      </c>
      <c r="F32" s="185" t="s">
        <v>28</v>
      </c>
      <c r="G32" s="183" t="s">
        <v>28</v>
      </c>
      <c r="H32" s="184" t="s">
        <v>28</v>
      </c>
      <c r="I32" s="184" t="s">
        <v>28</v>
      </c>
      <c r="J32" s="185" t="s">
        <v>28</v>
      </c>
      <c r="K32" s="184" t="s">
        <v>28</v>
      </c>
      <c r="L32" s="184" t="s">
        <v>28</v>
      </c>
      <c r="M32" s="184" t="s">
        <v>28</v>
      </c>
      <c r="N32" s="184" t="s">
        <v>28</v>
      </c>
      <c r="O32" s="183" t="s">
        <v>28</v>
      </c>
      <c r="P32" s="184" t="s">
        <v>28</v>
      </c>
      <c r="Q32" s="184" t="s">
        <v>28</v>
      </c>
      <c r="R32" s="185" t="s">
        <v>28</v>
      </c>
      <c r="S32" s="184" t="s">
        <v>28</v>
      </c>
      <c r="T32" s="184" t="s">
        <v>28</v>
      </c>
      <c r="U32" s="184" t="s">
        <v>28</v>
      </c>
      <c r="V32" s="184" t="s">
        <v>28</v>
      </c>
      <c r="W32" s="183" t="s">
        <v>28</v>
      </c>
      <c r="X32" s="184" t="s">
        <v>28</v>
      </c>
      <c r="Y32" s="184" t="s">
        <v>28</v>
      </c>
      <c r="Z32" s="185" t="s">
        <v>28</v>
      </c>
      <c r="AA32" s="184" t="s">
        <v>28</v>
      </c>
      <c r="AB32" s="184" t="s">
        <v>28</v>
      </c>
      <c r="AC32" s="184" t="s">
        <v>28</v>
      </c>
      <c r="AD32" s="184" t="s">
        <v>28</v>
      </c>
      <c r="AE32" s="183" t="s">
        <v>28</v>
      </c>
      <c r="AF32" s="184" t="s">
        <v>28</v>
      </c>
      <c r="AG32" s="184" t="s">
        <v>28</v>
      </c>
      <c r="AH32" s="185" t="s">
        <v>28</v>
      </c>
      <c r="AI32" s="184" t="s">
        <v>28</v>
      </c>
      <c r="AJ32" s="184" t="s">
        <v>28</v>
      </c>
      <c r="AK32" s="184" t="s">
        <v>28</v>
      </c>
      <c r="AL32" s="184" t="s">
        <v>28</v>
      </c>
      <c r="AM32" s="183" t="s">
        <v>28</v>
      </c>
      <c r="AN32" s="184" t="s">
        <v>28</v>
      </c>
      <c r="AO32" s="184" t="s">
        <v>28</v>
      </c>
      <c r="AP32" s="185" t="s">
        <v>28</v>
      </c>
      <c r="AQ32" s="184" t="s">
        <v>28</v>
      </c>
      <c r="AR32" s="184" t="s">
        <v>28</v>
      </c>
      <c r="AS32" s="184" t="s">
        <v>28</v>
      </c>
      <c r="AT32" s="185" t="s">
        <v>28</v>
      </c>
      <c r="AU32" s="715">
        <v>-586.20000000000005</v>
      </c>
      <c r="AV32" s="715">
        <v>-642.29999999999995</v>
      </c>
      <c r="AW32" s="715">
        <v>-531.6</v>
      </c>
      <c r="AX32" s="840">
        <v>-588.29999999999995</v>
      </c>
      <c r="AY32" s="841">
        <v>-468.89999999999992</v>
      </c>
      <c r="AZ32" s="715">
        <v>-504.09999999999991</v>
      </c>
      <c r="BA32" s="715">
        <v>-558.60000000000014</v>
      </c>
      <c r="BB32" s="717">
        <v>-434.9</v>
      </c>
      <c r="BC32" s="841">
        <v>-512.29999999999995</v>
      </c>
      <c r="BD32" s="715">
        <v>-578.5</v>
      </c>
      <c r="BE32" s="715">
        <v>-654.9</v>
      </c>
      <c r="BF32" s="717">
        <v>-755.1</v>
      </c>
      <c r="BG32" s="47">
        <v>-838</v>
      </c>
      <c r="BH32" s="47">
        <v>-637.1</v>
      </c>
      <c r="BI32" s="47">
        <v>-688</v>
      </c>
      <c r="BJ32" s="49">
        <v>-709</v>
      </c>
      <c r="BK32" s="47">
        <v>-696.1</v>
      </c>
      <c r="BL32" s="47">
        <v>-758.8</v>
      </c>
      <c r="BM32" s="47">
        <v>-585.5</v>
      </c>
      <c r="BN32" s="49">
        <v>-593.70000000000005</v>
      </c>
      <c r="BO32" s="47">
        <v>-651.29999999999995</v>
      </c>
      <c r="BP32" s="47">
        <v>-703.6</v>
      </c>
      <c r="BQ32" s="47">
        <v>-749.1</v>
      </c>
      <c r="BR32" s="47">
        <v>-655</v>
      </c>
      <c r="BS32" s="48">
        <v>-703.3</v>
      </c>
      <c r="BT32" s="822"/>
    </row>
    <row r="33" spans="1:72">
      <c r="A33" s="163" t="s">
        <v>384</v>
      </c>
      <c r="B33" s="163" t="s">
        <v>384</v>
      </c>
      <c r="C33" s="183"/>
      <c r="D33" s="184"/>
      <c r="E33" s="184"/>
      <c r="F33" s="185"/>
      <c r="G33" s="183" t="s">
        <v>28</v>
      </c>
      <c r="H33" s="184" t="s">
        <v>28</v>
      </c>
      <c r="I33" s="184" t="s">
        <v>28</v>
      </c>
      <c r="J33" s="185" t="s">
        <v>28</v>
      </c>
      <c r="K33" s="184" t="s">
        <v>28</v>
      </c>
      <c r="L33" s="184" t="s">
        <v>28</v>
      </c>
      <c r="M33" s="184" t="s">
        <v>28</v>
      </c>
      <c r="N33" s="184" t="s">
        <v>28</v>
      </c>
      <c r="O33" s="183" t="s">
        <v>28</v>
      </c>
      <c r="P33" s="184" t="s">
        <v>28</v>
      </c>
      <c r="Q33" s="184" t="s">
        <v>28</v>
      </c>
      <c r="R33" s="185" t="s">
        <v>28</v>
      </c>
      <c r="S33" s="184" t="s">
        <v>28</v>
      </c>
      <c r="T33" s="184" t="s">
        <v>28</v>
      </c>
      <c r="U33" s="184" t="s">
        <v>28</v>
      </c>
      <c r="V33" s="184" t="s">
        <v>28</v>
      </c>
      <c r="W33" s="183" t="s">
        <v>28</v>
      </c>
      <c r="X33" s="184" t="s">
        <v>28</v>
      </c>
      <c r="Y33" s="184" t="s">
        <v>28</v>
      </c>
      <c r="Z33" s="185" t="s">
        <v>28</v>
      </c>
      <c r="AA33" s="184" t="s">
        <v>28</v>
      </c>
      <c r="AB33" s="184" t="s">
        <v>28</v>
      </c>
      <c r="AC33" s="184" t="s">
        <v>28</v>
      </c>
      <c r="AD33" s="184" t="s">
        <v>28</v>
      </c>
      <c r="AE33" s="183" t="s">
        <v>28</v>
      </c>
      <c r="AF33" s="184" t="s">
        <v>28</v>
      </c>
      <c r="AG33" s="184" t="s">
        <v>28</v>
      </c>
      <c r="AH33" s="185" t="s">
        <v>28</v>
      </c>
      <c r="AI33" s="184" t="s">
        <v>28</v>
      </c>
      <c r="AJ33" s="184" t="s">
        <v>28</v>
      </c>
      <c r="AK33" s="184" t="s">
        <v>28</v>
      </c>
      <c r="AL33" s="184" t="s">
        <v>28</v>
      </c>
      <c r="AM33" s="183" t="s">
        <v>28</v>
      </c>
      <c r="AN33" s="184" t="s">
        <v>28</v>
      </c>
      <c r="AO33" s="184" t="s">
        <v>28</v>
      </c>
      <c r="AP33" s="185" t="s">
        <v>28</v>
      </c>
      <c r="AQ33" s="184" t="s">
        <v>28</v>
      </c>
      <c r="AR33" s="184" t="s">
        <v>28</v>
      </c>
      <c r="AS33" s="184" t="s">
        <v>28</v>
      </c>
      <c r="AT33" s="185" t="s">
        <v>28</v>
      </c>
      <c r="AU33" s="715">
        <v>0</v>
      </c>
      <c r="AV33" s="715">
        <v>0</v>
      </c>
      <c r="AW33" s="715">
        <v>0</v>
      </c>
      <c r="AX33" s="840">
        <v>0</v>
      </c>
      <c r="AY33" s="841">
        <v>0</v>
      </c>
      <c r="AZ33" s="715">
        <v>0</v>
      </c>
      <c r="BA33" s="715">
        <v>0</v>
      </c>
      <c r="BB33" s="717">
        <v>0</v>
      </c>
      <c r="BC33" s="841">
        <v>0</v>
      </c>
      <c r="BD33" s="715">
        <v>0</v>
      </c>
      <c r="BE33" s="715">
        <v>0</v>
      </c>
      <c r="BF33" s="717">
        <v>0</v>
      </c>
      <c r="BG33" s="47">
        <v>0</v>
      </c>
      <c r="BH33" s="47">
        <v>0</v>
      </c>
      <c r="BI33" s="47">
        <v>0</v>
      </c>
      <c r="BJ33" s="49">
        <v>0</v>
      </c>
      <c r="BK33" s="47">
        <v>0</v>
      </c>
      <c r="BL33" s="47">
        <v>0</v>
      </c>
      <c r="BM33" s="47">
        <v>0</v>
      </c>
      <c r="BN33" s="49">
        <v>0</v>
      </c>
      <c r="BO33" s="47">
        <v>0</v>
      </c>
      <c r="BP33" s="47">
        <v>0</v>
      </c>
      <c r="BQ33" s="47">
        <v>0</v>
      </c>
      <c r="BR33" s="47">
        <v>0</v>
      </c>
      <c r="BS33" s="48">
        <v>0</v>
      </c>
      <c r="BT33" s="822"/>
    </row>
    <row r="34" spans="1:72">
      <c r="A34" s="159" t="s">
        <v>393</v>
      </c>
      <c r="B34" s="159" t="s">
        <v>394</v>
      </c>
      <c r="C34" s="183" t="s">
        <v>28</v>
      </c>
      <c r="D34" s="184" t="s">
        <v>28</v>
      </c>
      <c r="E34" s="184" t="s">
        <v>28</v>
      </c>
      <c r="F34" s="185" t="s">
        <v>28</v>
      </c>
      <c r="G34" s="183" t="s">
        <v>28</v>
      </c>
      <c r="H34" s="184" t="s">
        <v>28</v>
      </c>
      <c r="I34" s="184" t="s">
        <v>28</v>
      </c>
      <c r="J34" s="185" t="s">
        <v>28</v>
      </c>
      <c r="K34" s="184" t="s">
        <v>28</v>
      </c>
      <c r="L34" s="184" t="s">
        <v>28</v>
      </c>
      <c r="M34" s="184" t="s">
        <v>28</v>
      </c>
      <c r="N34" s="184" t="s">
        <v>28</v>
      </c>
      <c r="O34" s="183" t="s">
        <v>28</v>
      </c>
      <c r="P34" s="184" t="s">
        <v>28</v>
      </c>
      <c r="Q34" s="184" t="s">
        <v>28</v>
      </c>
      <c r="R34" s="185" t="s">
        <v>28</v>
      </c>
      <c r="S34" s="184" t="s">
        <v>28</v>
      </c>
      <c r="T34" s="184" t="s">
        <v>28</v>
      </c>
      <c r="U34" s="184" t="s">
        <v>28</v>
      </c>
      <c r="V34" s="184" t="s">
        <v>28</v>
      </c>
      <c r="W34" s="183" t="s">
        <v>28</v>
      </c>
      <c r="X34" s="184" t="s">
        <v>28</v>
      </c>
      <c r="Y34" s="184" t="s">
        <v>28</v>
      </c>
      <c r="Z34" s="185" t="s">
        <v>28</v>
      </c>
      <c r="AA34" s="184" t="s">
        <v>28</v>
      </c>
      <c r="AB34" s="184" t="s">
        <v>28</v>
      </c>
      <c r="AC34" s="184" t="s">
        <v>28</v>
      </c>
      <c r="AD34" s="184" t="s">
        <v>28</v>
      </c>
      <c r="AE34" s="183" t="s">
        <v>28</v>
      </c>
      <c r="AF34" s="184" t="s">
        <v>28</v>
      </c>
      <c r="AG34" s="184" t="s">
        <v>28</v>
      </c>
      <c r="AH34" s="185" t="s">
        <v>28</v>
      </c>
      <c r="AI34" s="184" t="s">
        <v>28</v>
      </c>
      <c r="AJ34" s="184" t="s">
        <v>28</v>
      </c>
      <c r="AK34" s="184" t="s">
        <v>28</v>
      </c>
      <c r="AL34" s="184" t="s">
        <v>28</v>
      </c>
      <c r="AM34" s="183" t="s">
        <v>28</v>
      </c>
      <c r="AN34" s="184" t="s">
        <v>28</v>
      </c>
      <c r="AO34" s="184" t="s">
        <v>28</v>
      </c>
      <c r="AP34" s="185" t="s">
        <v>28</v>
      </c>
      <c r="AQ34" s="184" t="s">
        <v>28</v>
      </c>
      <c r="AR34" s="184" t="s">
        <v>28</v>
      </c>
      <c r="AS34" s="184" t="s">
        <v>28</v>
      </c>
      <c r="AT34" s="185" t="s">
        <v>28</v>
      </c>
      <c r="AU34" s="715">
        <f t="shared" ref="AU34:BP34" si="8">SUM(AU35:AU38)</f>
        <v>38495.999999999993</v>
      </c>
      <c r="AV34" s="715">
        <f t="shared" si="8"/>
        <v>40698.700000000004</v>
      </c>
      <c r="AW34" s="715">
        <f t="shared" si="8"/>
        <v>42611.7</v>
      </c>
      <c r="AX34" s="840">
        <f t="shared" si="8"/>
        <v>44354.8</v>
      </c>
      <c r="AY34" s="841">
        <f t="shared" si="8"/>
        <v>40616.099999999991</v>
      </c>
      <c r="AZ34" s="715">
        <f t="shared" si="8"/>
        <v>42892.2</v>
      </c>
      <c r="BA34" s="715">
        <f t="shared" si="8"/>
        <v>45319.700000000004</v>
      </c>
      <c r="BB34" s="717">
        <f t="shared" si="8"/>
        <v>47600.299999999996</v>
      </c>
      <c r="BC34" s="841">
        <f t="shared" si="8"/>
        <v>50066</v>
      </c>
      <c r="BD34" s="715">
        <f t="shared" si="8"/>
        <v>51671.3</v>
      </c>
      <c r="BE34" s="715">
        <f t="shared" si="8"/>
        <v>52760</v>
      </c>
      <c r="BF34" s="717">
        <f t="shared" si="8"/>
        <v>54745.4</v>
      </c>
      <c r="BG34" s="47">
        <f t="shared" si="8"/>
        <v>57450.399999999994</v>
      </c>
      <c r="BH34" s="47">
        <f t="shared" si="8"/>
        <v>60590.200000000004</v>
      </c>
      <c r="BI34" s="47">
        <f t="shared" si="8"/>
        <v>63560.1</v>
      </c>
      <c r="BJ34" s="49">
        <f t="shared" si="8"/>
        <v>65530.399999999994</v>
      </c>
      <c r="BK34" s="47">
        <f t="shared" si="8"/>
        <v>65858.099999999991</v>
      </c>
      <c r="BL34" s="47">
        <f t="shared" si="8"/>
        <v>64780.5</v>
      </c>
      <c r="BM34" s="47">
        <f t="shared" si="8"/>
        <v>63228.899999999994</v>
      </c>
      <c r="BN34" s="49">
        <f t="shared" si="8"/>
        <v>62805.4</v>
      </c>
      <c r="BO34" s="47">
        <f t="shared" si="8"/>
        <v>62265.8</v>
      </c>
      <c r="BP34" s="47">
        <f t="shared" si="8"/>
        <v>62766.700000000004</v>
      </c>
      <c r="BQ34" s="47">
        <f>SUM(BQ35:BQ38)</f>
        <v>63507.499999999993</v>
      </c>
      <c r="BR34" s="47">
        <f>SUM(BR35:BR38)</f>
        <v>63908.7</v>
      </c>
      <c r="BS34" s="48">
        <f>SUM(BS35:BS38)</f>
        <v>65057.599999999999</v>
      </c>
      <c r="BT34" s="822"/>
    </row>
    <row r="35" spans="1:72">
      <c r="A35" s="163" t="s">
        <v>378</v>
      </c>
      <c r="B35" s="163" t="s">
        <v>379</v>
      </c>
      <c r="C35" s="183" t="s">
        <v>28</v>
      </c>
      <c r="D35" s="184" t="s">
        <v>28</v>
      </c>
      <c r="E35" s="184" t="s">
        <v>28</v>
      </c>
      <c r="F35" s="185" t="s">
        <v>28</v>
      </c>
      <c r="G35" s="183" t="s">
        <v>28</v>
      </c>
      <c r="H35" s="184" t="s">
        <v>28</v>
      </c>
      <c r="I35" s="184" t="s">
        <v>28</v>
      </c>
      <c r="J35" s="185" t="s">
        <v>28</v>
      </c>
      <c r="K35" s="184" t="s">
        <v>28</v>
      </c>
      <c r="L35" s="184" t="s">
        <v>28</v>
      </c>
      <c r="M35" s="184" t="s">
        <v>28</v>
      </c>
      <c r="N35" s="184" t="s">
        <v>28</v>
      </c>
      <c r="O35" s="183" t="s">
        <v>28</v>
      </c>
      <c r="P35" s="184" t="s">
        <v>28</v>
      </c>
      <c r="Q35" s="184" t="s">
        <v>28</v>
      </c>
      <c r="R35" s="185" t="s">
        <v>28</v>
      </c>
      <c r="S35" s="184" t="s">
        <v>28</v>
      </c>
      <c r="T35" s="184" t="s">
        <v>28</v>
      </c>
      <c r="U35" s="184" t="s">
        <v>28</v>
      </c>
      <c r="V35" s="184" t="s">
        <v>28</v>
      </c>
      <c r="W35" s="183" t="s">
        <v>28</v>
      </c>
      <c r="X35" s="184" t="s">
        <v>28</v>
      </c>
      <c r="Y35" s="184" t="s">
        <v>28</v>
      </c>
      <c r="Z35" s="185" t="s">
        <v>28</v>
      </c>
      <c r="AA35" s="184" t="s">
        <v>28</v>
      </c>
      <c r="AB35" s="184" t="s">
        <v>28</v>
      </c>
      <c r="AC35" s="184" t="s">
        <v>28</v>
      </c>
      <c r="AD35" s="184" t="s">
        <v>28</v>
      </c>
      <c r="AE35" s="183" t="s">
        <v>28</v>
      </c>
      <c r="AF35" s="184" t="s">
        <v>28</v>
      </c>
      <c r="AG35" s="184" t="s">
        <v>28</v>
      </c>
      <c r="AH35" s="185" t="s">
        <v>28</v>
      </c>
      <c r="AI35" s="184" t="s">
        <v>28</v>
      </c>
      <c r="AJ35" s="184" t="s">
        <v>28</v>
      </c>
      <c r="AK35" s="184" t="s">
        <v>28</v>
      </c>
      <c r="AL35" s="184" t="s">
        <v>28</v>
      </c>
      <c r="AM35" s="183" t="s">
        <v>28</v>
      </c>
      <c r="AN35" s="184" t="s">
        <v>28</v>
      </c>
      <c r="AO35" s="184" t="s">
        <v>28</v>
      </c>
      <c r="AP35" s="185" t="s">
        <v>28</v>
      </c>
      <c r="AQ35" s="184" t="s">
        <v>28</v>
      </c>
      <c r="AR35" s="184" t="s">
        <v>28</v>
      </c>
      <c r="AS35" s="184" t="s">
        <v>28</v>
      </c>
      <c r="AT35" s="185" t="s">
        <v>28</v>
      </c>
      <c r="AU35" s="47">
        <f t="shared" ref="AU35:BS38" si="9">AU25+AU30</f>
        <v>33507.799999999996</v>
      </c>
      <c r="AV35" s="47">
        <f t="shared" si="9"/>
        <v>35471.700000000004</v>
      </c>
      <c r="AW35" s="47">
        <f t="shared" si="9"/>
        <v>37216.1</v>
      </c>
      <c r="AX35" s="800">
        <f t="shared" si="9"/>
        <v>38574.800000000003</v>
      </c>
      <c r="AY35" s="801">
        <f t="shared" si="9"/>
        <v>35857.099999999991</v>
      </c>
      <c r="AZ35" s="47">
        <f t="shared" si="9"/>
        <v>37951.399999999994</v>
      </c>
      <c r="BA35" s="47">
        <f t="shared" si="9"/>
        <v>40176.9</v>
      </c>
      <c r="BB35" s="49">
        <f t="shared" si="9"/>
        <v>43988.9</v>
      </c>
      <c r="BC35" s="801">
        <f t="shared" si="9"/>
        <v>46270.299999999996</v>
      </c>
      <c r="BD35" s="47">
        <f t="shared" si="9"/>
        <v>48032.4</v>
      </c>
      <c r="BE35" s="47">
        <f t="shared" si="9"/>
        <v>50106.2</v>
      </c>
      <c r="BF35" s="49">
        <f t="shared" si="9"/>
        <v>52495.8</v>
      </c>
      <c r="BG35" s="47">
        <f t="shared" si="9"/>
        <v>55304.799999999996</v>
      </c>
      <c r="BH35" s="47">
        <f t="shared" si="9"/>
        <v>58615.1</v>
      </c>
      <c r="BI35" s="47">
        <f t="shared" si="9"/>
        <v>61670.5</v>
      </c>
      <c r="BJ35" s="49">
        <f t="shared" si="9"/>
        <v>63995.6</v>
      </c>
      <c r="BK35" s="47">
        <f t="shared" si="9"/>
        <v>64312.6</v>
      </c>
      <c r="BL35" s="47">
        <f t="shared" si="9"/>
        <v>63084.4</v>
      </c>
      <c r="BM35" s="47">
        <f t="shared" si="9"/>
        <v>61136.399999999994</v>
      </c>
      <c r="BN35" s="49">
        <f t="shared" si="9"/>
        <v>56751.3</v>
      </c>
      <c r="BO35" s="47">
        <f t="shared" si="9"/>
        <v>56135.6</v>
      </c>
      <c r="BP35" s="47">
        <f t="shared" si="9"/>
        <v>56596.100000000006</v>
      </c>
      <c r="BQ35" s="47">
        <f t="shared" si="9"/>
        <v>57224.4</v>
      </c>
      <c r="BR35" s="47">
        <f t="shared" si="9"/>
        <v>58128.6</v>
      </c>
      <c r="BS35" s="48">
        <f t="shared" si="9"/>
        <v>59273</v>
      </c>
      <c r="BT35" s="822"/>
    </row>
    <row r="36" spans="1:72">
      <c r="A36" s="163" t="s">
        <v>380</v>
      </c>
      <c r="B36" s="163" t="s">
        <v>381</v>
      </c>
      <c r="C36" s="183" t="s">
        <v>28</v>
      </c>
      <c r="D36" s="184" t="s">
        <v>28</v>
      </c>
      <c r="E36" s="184" t="s">
        <v>28</v>
      </c>
      <c r="F36" s="185" t="s">
        <v>28</v>
      </c>
      <c r="G36" s="183" t="s">
        <v>28</v>
      </c>
      <c r="H36" s="184" t="s">
        <v>28</v>
      </c>
      <c r="I36" s="184" t="s">
        <v>28</v>
      </c>
      <c r="J36" s="185" t="s">
        <v>28</v>
      </c>
      <c r="K36" s="184" t="s">
        <v>28</v>
      </c>
      <c r="L36" s="184" t="s">
        <v>28</v>
      </c>
      <c r="M36" s="184" t="s">
        <v>28</v>
      </c>
      <c r="N36" s="184" t="s">
        <v>28</v>
      </c>
      <c r="O36" s="183" t="s">
        <v>28</v>
      </c>
      <c r="P36" s="184" t="s">
        <v>28</v>
      </c>
      <c r="Q36" s="184" t="s">
        <v>28</v>
      </c>
      <c r="R36" s="185" t="s">
        <v>28</v>
      </c>
      <c r="S36" s="184" t="s">
        <v>28</v>
      </c>
      <c r="T36" s="184" t="s">
        <v>28</v>
      </c>
      <c r="U36" s="184" t="s">
        <v>28</v>
      </c>
      <c r="V36" s="184" t="s">
        <v>28</v>
      </c>
      <c r="W36" s="183" t="s">
        <v>28</v>
      </c>
      <c r="X36" s="184" t="s">
        <v>28</v>
      </c>
      <c r="Y36" s="184" t="s">
        <v>28</v>
      </c>
      <c r="Z36" s="185" t="s">
        <v>28</v>
      </c>
      <c r="AA36" s="184" t="s">
        <v>28</v>
      </c>
      <c r="AB36" s="184" t="s">
        <v>28</v>
      </c>
      <c r="AC36" s="184" t="s">
        <v>28</v>
      </c>
      <c r="AD36" s="184" t="s">
        <v>28</v>
      </c>
      <c r="AE36" s="183" t="s">
        <v>28</v>
      </c>
      <c r="AF36" s="184" t="s">
        <v>28</v>
      </c>
      <c r="AG36" s="184" t="s">
        <v>28</v>
      </c>
      <c r="AH36" s="185" t="s">
        <v>28</v>
      </c>
      <c r="AI36" s="184" t="s">
        <v>28</v>
      </c>
      <c r="AJ36" s="184" t="s">
        <v>28</v>
      </c>
      <c r="AK36" s="184" t="s">
        <v>28</v>
      </c>
      <c r="AL36" s="184" t="s">
        <v>28</v>
      </c>
      <c r="AM36" s="183" t="s">
        <v>28</v>
      </c>
      <c r="AN36" s="184" t="s">
        <v>28</v>
      </c>
      <c r="AO36" s="184" t="s">
        <v>28</v>
      </c>
      <c r="AP36" s="185" t="s">
        <v>28</v>
      </c>
      <c r="AQ36" s="184" t="s">
        <v>28</v>
      </c>
      <c r="AR36" s="184" t="s">
        <v>28</v>
      </c>
      <c r="AS36" s="184" t="s">
        <v>28</v>
      </c>
      <c r="AT36" s="185" t="s">
        <v>28</v>
      </c>
      <c r="AU36" s="47">
        <f t="shared" si="9"/>
        <v>4787.7999999999993</v>
      </c>
      <c r="AV36" s="47">
        <f t="shared" si="9"/>
        <v>5009.8</v>
      </c>
      <c r="AW36" s="47">
        <f t="shared" si="9"/>
        <v>5173.9000000000005</v>
      </c>
      <c r="AX36" s="800">
        <f t="shared" si="9"/>
        <v>5554.7000000000007</v>
      </c>
      <c r="AY36" s="801">
        <f t="shared" si="9"/>
        <v>4600.7</v>
      </c>
      <c r="AZ36" s="47">
        <f t="shared" si="9"/>
        <v>4771.4000000000005</v>
      </c>
      <c r="BA36" s="47">
        <f t="shared" si="9"/>
        <v>4968.3999999999996</v>
      </c>
      <c r="BB36" s="49">
        <f t="shared" si="9"/>
        <v>3437.7000000000003</v>
      </c>
      <c r="BC36" s="801">
        <f t="shared" si="9"/>
        <v>3617.2999999999997</v>
      </c>
      <c r="BD36" s="47">
        <f t="shared" si="9"/>
        <v>3429.7999999999997</v>
      </c>
      <c r="BE36" s="47">
        <f t="shared" si="9"/>
        <v>2418.3999999999996</v>
      </c>
      <c r="BF36" s="49">
        <f t="shared" si="9"/>
        <v>1947.8</v>
      </c>
      <c r="BG36" s="47">
        <f t="shared" si="9"/>
        <v>1807.2</v>
      </c>
      <c r="BH36" s="47">
        <f t="shared" si="9"/>
        <v>1639.8999999999999</v>
      </c>
      <c r="BI36" s="47">
        <f t="shared" si="9"/>
        <v>1565.1</v>
      </c>
      <c r="BJ36" s="49">
        <f t="shared" si="9"/>
        <v>1231.3999999999999</v>
      </c>
      <c r="BK36" s="47">
        <f t="shared" si="9"/>
        <v>1258.9000000000001</v>
      </c>
      <c r="BL36" s="47">
        <f t="shared" si="9"/>
        <v>1434.8999999999999</v>
      </c>
      <c r="BM36" s="47">
        <f t="shared" si="9"/>
        <v>1829</v>
      </c>
      <c r="BN36" s="49">
        <f t="shared" si="9"/>
        <v>5721.4</v>
      </c>
      <c r="BO36" s="47">
        <f t="shared" si="9"/>
        <v>5783.5</v>
      </c>
      <c r="BP36" s="47">
        <f t="shared" si="9"/>
        <v>5810.2</v>
      </c>
      <c r="BQ36" s="47">
        <f t="shared" si="9"/>
        <v>5904.7</v>
      </c>
      <c r="BR36" s="47">
        <f t="shared" si="9"/>
        <v>5406</v>
      </c>
      <c r="BS36" s="48">
        <f t="shared" si="9"/>
        <v>5405.5</v>
      </c>
      <c r="BT36" s="822"/>
    </row>
    <row r="37" spans="1:72">
      <c r="A37" s="163" t="s">
        <v>382</v>
      </c>
      <c r="B37" s="163" t="s">
        <v>383</v>
      </c>
      <c r="C37" s="183" t="s">
        <v>28</v>
      </c>
      <c r="D37" s="184" t="s">
        <v>28</v>
      </c>
      <c r="E37" s="184" t="s">
        <v>28</v>
      </c>
      <c r="F37" s="185" t="s">
        <v>28</v>
      </c>
      <c r="G37" s="183" t="s">
        <v>28</v>
      </c>
      <c r="H37" s="184" t="s">
        <v>28</v>
      </c>
      <c r="I37" s="184" t="s">
        <v>28</v>
      </c>
      <c r="J37" s="185" t="s">
        <v>28</v>
      </c>
      <c r="K37" s="184" t="s">
        <v>28</v>
      </c>
      <c r="L37" s="184" t="s">
        <v>28</v>
      </c>
      <c r="M37" s="184" t="s">
        <v>28</v>
      </c>
      <c r="N37" s="184" t="s">
        <v>28</v>
      </c>
      <c r="O37" s="183" t="s">
        <v>28</v>
      </c>
      <c r="P37" s="184" t="s">
        <v>28</v>
      </c>
      <c r="Q37" s="184" t="s">
        <v>28</v>
      </c>
      <c r="R37" s="185" t="s">
        <v>28</v>
      </c>
      <c r="S37" s="184" t="s">
        <v>28</v>
      </c>
      <c r="T37" s="184" t="s">
        <v>28</v>
      </c>
      <c r="U37" s="184" t="s">
        <v>28</v>
      </c>
      <c r="V37" s="184" t="s">
        <v>28</v>
      </c>
      <c r="W37" s="183" t="s">
        <v>28</v>
      </c>
      <c r="X37" s="184" t="s">
        <v>28</v>
      </c>
      <c r="Y37" s="184" t="s">
        <v>28</v>
      </c>
      <c r="Z37" s="185" t="s">
        <v>28</v>
      </c>
      <c r="AA37" s="184" t="s">
        <v>28</v>
      </c>
      <c r="AB37" s="184" t="s">
        <v>28</v>
      </c>
      <c r="AC37" s="184" t="s">
        <v>28</v>
      </c>
      <c r="AD37" s="184" t="s">
        <v>28</v>
      </c>
      <c r="AE37" s="183" t="s">
        <v>28</v>
      </c>
      <c r="AF37" s="184" t="s">
        <v>28</v>
      </c>
      <c r="AG37" s="184" t="s">
        <v>28</v>
      </c>
      <c r="AH37" s="185" t="s">
        <v>28</v>
      </c>
      <c r="AI37" s="184" t="s">
        <v>28</v>
      </c>
      <c r="AJ37" s="184" t="s">
        <v>28</v>
      </c>
      <c r="AK37" s="184" t="s">
        <v>28</v>
      </c>
      <c r="AL37" s="184" t="s">
        <v>28</v>
      </c>
      <c r="AM37" s="183" t="s">
        <v>28</v>
      </c>
      <c r="AN37" s="184" t="s">
        <v>28</v>
      </c>
      <c r="AO37" s="184" t="s">
        <v>28</v>
      </c>
      <c r="AP37" s="185" t="s">
        <v>28</v>
      </c>
      <c r="AQ37" s="184" t="s">
        <v>28</v>
      </c>
      <c r="AR37" s="184" t="s">
        <v>28</v>
      </c>
      <c r="AS37" s="184" t="s">
        <v>28</v>
      </c>
      <c r="AT37" s="185" t="s">
        <v>28</v>
      </c>
      <c r="AU37" s="47">
        <f t="shared" si="9"/>
        <v>200.39999999999998</v>
      </c>
      <c r="AV37" s="47">
        <f t="shared" si="9"/>
        <v>217.20000000000005</v>
      </c>
      <c r="AW37" s="47">
        <f t="shared" si="9"/>
        <v>221.69999999999993</v>
      </c>
      <c r="AX37" s="800">
        <f t="shared" si="9"/>
        <v>225.30000000000007</v>
      </c>
      <c r="AY37" s="801">
        <f t="shared" si="9"/>
        <v>158.30000000000001</v>
      </c>
      <c r="AZ37" s="47">
        <f t="shared" si="9"/>
        <v>169.40000000000009</v>
      </c>
      <c r="BA37" s="47">
        <f t="shared" si="9"/>
        <v>174.39999999999998</v>
      </c>
      <c r="BB37" s="49">
        <f t="shared" si="9"/>
        <v>173.70000000000005</v>
      </c>
      <c r="BC37" s="801">
        <f t="shared" si="9"/>
        <v>178.40000000000009</v>
      </c>
      <c r="BD37" s="47">
        <f t="shared" si="9"/>
        <v>206.5</v>
      </c>
      <c r="BE37" s="47">
        <f t="shared" si="9"/>
        <v>233.10000000000002</v>
      </c>
      <c r="BF37" s="49">
        <f t="shared" si="9"/>
        <v>299.60000000000002</v>
      </c>
      <c r="BG37" s="47">
        <f t="shared" si="9"/>
        <v>336.29999999999995</v>
      </c>
      <c r="BH37" s="47">
        <f t="shared" si="9"/>
        <v>332.9</v>
      </c>
      <c r="BI37" s="47">
        <f t="shared" si="9"/>
        <v>322.20000000000005</v>
      </c>
      <c r="BJ37" s="49">
        <f t="shared" si="9"/>
        <v>301.20000000000005</v>
      </c>
      <c r="BK37" s="47">
        <f t="shared" si="9"/>
        <v>284.39999999999998</v>
      </c>
      <c r="BL37" s="47">
        <f t="shared" si="9"/>
        <v>259.10000000000002</v>
      </c>
      <c r="BM37" s="47">
        <f t="shared" si="9"/>
        <v>261.5</v>
      </c>
      <c r="BN37" s="49">
        <f t="shared" si="9"/>
        <v>330.59999999999991</v>
      </c>
      <c r="BO37" s="47">
        <f t="shared" si="9"/>
        <v>343.90000000000009</v>
      </c>
      <c r="BP37" s="47">
        <f t="shared" si="9"/>
        <v>357.1</v>
      </c>
      <c r="BQ37" s="47">
        <f t="shared" si="9"/>
        <v>375.69999999999993</v>
      </c>
      <c r="BR37" s="47">
        <f t="shared" si="9"/>
        <v>371.40000000000009</v>
      </c>
      <c r="BS37" s="48">
        <f t="shared" si="9"/>
        <v>376.60000000000014</v>
      </c>
      <c r="BT37" s="822"/>
    </row>
    <row r="38" spans="1:72">
      <c r="A38" s="163" t="s">
        <v>384</v>
      </c>
      <c r="B38" s="163" t="s">
        <v>384</v>
      </c>
      <c r="C38" s="183"/>
      <c r="D38" s="184"/>
      <c r="E38" s="184"/>
      <c r="F38" s="185"/>
      <c r="G38" s="183" t="s">
        <v>28</v>
      </c>
      <c r="H38" s="184" t="s">
        <v>28</v>
      </c>
      <c r="I38" s="184" t="s">
        <v>28</v>
      </c>
      <c r="J38" s="185" t="s">
        <v>28</v>
      </c>
      <c r="K38" s="184" t="s">
        <v>28</v>
      </c>
      <c r="L38" s="184" t="s">
        <v>28</v>
      </c>
      <c r="M38" s="184" t="s">
        <v>28</v>
      </c>
      <c r="N38" s="184" t="s">
        <v>28</v>
      </c>
      <c r="O38" s="183" t="s">
        <v>28</v>
      </c>
      <c r="P38" s="184" t="s">
        <v>28</v>
      </c>
      <c r="Q38" s="184" t="s">
        <v>28</v>
      </c>
      <c r="R38" s="185" t="s">
        <v>28</v>
      </c>
      <c r="S38" s="184" t="s">
        <v>28</v>
      </c>
      <c r="T38" s="184" t="s">
        <v>28</v>
      </c>
      <c r="U38" s="184" t="s">
        <v>28</v>
      </c>
      <c r="V38" s="184" t="s">
        <v>28</v>
      </c>
      <c r="W38" s="183" t="s">
        <v>28</v>
      </c>
      <c r="X38" s="184" t="s">
        <v>28</v>
      </c>
      <c r="Y38" s="184" t="s">
        <v>28</v>
      </c>
      <c r="Z38" s="185" t="s">
        <v>28</v>
      </c>
      <c r="AA38" s="184" t="s">
        <v>28</v>
      </c>
      <c r="AB38" s="184" t="s">
        <v>28</v>
      </c>
      <c r="AC38" s="184" t="s">
        <v>28</v>
      </c>
      <c r="AD38" s="184" t="s">
        <v>28</v>
      </c>
      <c r="AE38" s="183" t="s">
        <v>28</v>
      </c>
      <c r="AF38" s="184" t="s">
        <v>28</v>
      </c>
      <c r="AG38" s="184" t="s">
        <v>28</v>
      </c>
      <c r="AH38" s="185" t="s">
        <v>28</v>
      </c>
      <c r="AI38" s="184" t="s">
        <v>28</v>
      </c>
      <c r="AJ38" s="184" t="s">
        <v>28</v>
      </c>
      <c r="AK38" s="184" t="s">
        <v>28</v>
      </c>
      <c r="AL38" s="184" t="s">
        <v>28</v>
      </c>
      <c r="AM38" s="183" t="s">
        <v>28</v>
      </c>
      <c r="AN38" s="184" t="s">
        <v>28</v>
      </c>
      <c r="AO38" s="184" t="s">
        <v>28</v>
      </c>
      <c r="AP38" s="185" t="s">
        <v>28</v>
      </c>
      <c r="AQ38" s="184" t="s">
        <v>28</v>
      </c>
      <c r="AR38" s="184" t="s">
        <v>28</v>
      </c>
      <c r="AS38" s="184" t="s">
        <v>28</v>
      </c>
      <c r="AT38" s="185" t="s">
        <v>28</v>
      </c>
      <c r="AU38" s="47">
        <f t="shared" si="9"/>
        <v>0</v>
      </c>
      <c r="AV38" s="47">
        <f t="shared" si="9"/>
        <v>0</v>
      </c>
      <c r="AW38" s="47">
        <f t="shared" si="9"/>
        <v>0</v>
      </c>
      <c r="AX38" s="800">
        <f t="shared" si="9"/>
        <v>0</v>
      </c>
      <c r="AY38" s="801">
        <f t="shared" si="9"/>
        <v>0</v>
      </c>
      <c r="AZ38" s="47">
        <f>AZ28+AZ33</f>
        <v>0</v>
      </c>
      <c r="BA38" s="47">
        <f>BA28+BA33</f>
        <v>0</v>
      </c>
      <c r="BB38" s="49">
        <f>BB28+BB33</f>
        <v>0</v>
      </c>
      <c r="BC38" s="801">
        <f>BC28+BC33</f>
        <v>0</v>
      </c>
      <c r="BD38" s="47">
        <f t="shared" si="9"/>
        <v>2.6</v>
      </c>
      <c r="BE38" s="47">
        <f t="shared" si="9"/>
        <v>2.2999999999999998</v>
      </c>
      <c r="BF38" s="49">
        <f t="shared" si="9"/>
        <v>2.2000000000000002</v>
      </c>
      <c r="BG38" s="47">
        <f t="shared" si="9"/>
        <v>2.1</v>
      </c>
      <c r="BH38" s="47">
        <f t="shared" si="9"/>
        <v>2.2999999999999998</v>
      </c>
      <c r="BI38" s="47">
        <f t="shared" si="9"/>
        <v>2.2999999999999998</v>
      </c>
      <c r="BJ38" s="49">
        <f t="shared" si="9"/>
        <v>2.2000000000000002</v>
      </c>
      <c r="BK38" s="47">
        <f t="shared" si="9"/>
        <v>2.2000000000000002</v>
      </c>
      <c r="BL38" s="47">
        <f t="shared" si="9"/>
        <v>2.1</v>
      </c>
      <c r="BM38" s="47">
        <f t="shared" si="9"/>
        <v>2</v>
      </c>
      <c r="BN38" s="49">
        <f t="shared" si="9"/>
        <v>2.1</v>
      </c>
      <c r="BO38" s="47">
        <f t="shared" si="9"/>
        <v>2.8</v>
      </c>
      <c r="BP38" s="47">
        <f t="shared" si="9"/>
        <v>3.3</v>
      </c>
      <c r="BQ38" s="47">
        <f t="shared" si="9"/>
        <v>2.7</v>
      </c>
      <c r="BR38" s="47">
        <f t="shared" si="9"/>
        <v>2.7</v>
      </c>
      <c r="BS38" s="48">
        <f t="shared" si="9"/>
        <v>2.5</v>
      </c>
      <c r="BT38" s="822"/>
    </row>
    <row r="39" spans="1:72">
      <c r="A39" s="202"/>
      <c r="B39" s="202"/>
      <c r="C39" s="160"/>
      <c r="D39" s="161"/>
      <c r="E39" s="161"/>
      <c r="F39" s="162"/>
      <c r="G39" s="160"/>
      <c r="H39" s="161"/>
      <c r="I39" s="161"/>
      <c r="J39" s="162"/>
      <c r="K39" s="161"/>
      <c r="L39" s="161"/>
      <c r="M39" s="161"/>
      <c r="N39" s="161"/>
      <c r="O39" s="160"/>
      <c r="P39" s="161"/>
      <c r="Q39" s="161"/>
      <c r="R39" s="162"/>
      <c r="S39" s="161"/>
      <c r="T39" s="161"/>
      <c r="U39" s="161"/>
      <c r="V39" s="161"/>
      <c r="W39" s="160"/>
      <c r="X39" s="161"/>
      <c r="Y39" s="161"/>
      <c r="Z39" s="162"/>
      <c r="AA39" s="161"/>
      <c r="AB39" s="161"/>
      <c r="AC39" s="161"/>
      <c r="AD39" s="161"/>
      <c r="AE39" s="160"/>
      <c r="AF39" s="161"/>
      <c r="AG39" s="161"/>
      <c r="AH39" s="162"/>
      <c r="AI39" s="161"/>
      <c r="AJ39" s="161"/>
      <c r="AK39" s="161"/>
      <c r="AL39" s="161"/>
      <c r="AM39" s="160"/>
      <c r="AN39" s="161"/>
      <c r="AO39" s="161"/>
      <c r="AP39" s="162"/>
      <c r="AQ39" s="161"/>
      <c r="AR39" s="161"/>
      <c r="AS39" s="161"/>
      <c r="AT39" s="162"/>
      <c r="AU39" s="272"/>
      <c r="AV39" s="272"/>
      <c r="AW39" s="272"/>
      <c r="AX39" s="273"/>
      <c r="AY39" s="274"/>
      <c r="AZ39" s="272"/>
      <c r="BA39" s="272"/>
      <c r="BB39" s="275"/>
      <c r="BC39" s="274"/>
      <c r="BD39" s="272"/>
      <c r="BE39" s="272"/>
      <c r="BF39" s="275"/>
      <c r="BG39" s="272"/>
      <c r="BH39" s="272"/>
      <c r="BI39" s="272"/>
      <c r="BJ39" s="275"/>
      <c r="BK39" s="272"/>
      <c r="BL39" s="272"/>
      <c r="BM39" s="272"/>
      <c r="BN39" s="275"/>
      <c r="BO39" s="272"/>
      <c r="BP39" s="272"/>
      <c r="BQ39" s="272"/>
      <c r="BR39" s="272"/>
      <c r="BS39" s="276"/>
    </row>
    <row r="40" spans="1:72">
      <c r="A40" s="143" t="s">
        <v>244</v>
      </c>
      <c r="B40" s="143" t="s">
        <v>396</v>
      </c>
      <c r="C40" s="172"/>
      <c r="D40" s="173"/>
      <c r="E40" s="173"/>
      <c r="F40" s="174"/>
      <c r="G40" s="172"/>
      <c r="H40" s="173"/>
      <c r="I40" s="173"/>
      <c r="J40" s="174"/>
      <c r="K40" s="173"/>
      <c r="L40" s="173"/>
      <c r="M40" s="173"/>
      <c r="N40" s="173"/>
      <c r="O40" s="172"/>
      <c r="P40" s="173"/>
      <c r="Q40" s="173"/>
      <c r="R40" s="174"/>
      <c r="S40" s="173"/>
      <c r="T40" s="173"/>
      <c r="U40" s="173"/>
      <c r="V40" s="173"/>
      <c r="W40" s="172"/>
      <c r="X40" s="173"/>
      <c r="Y40" s="173"/>
      <c r="Z40" s="174"/>
      <c r="AA40" s="173"/>
      <c r="AB40" s="173"/>
      <c r="AC40" s="173"/>
      <c r="AD40" s="173"/>
      <c r="AE40" s="172"/>
      <c r="AF40" s="173"/>
      <c r="AG40" s="173"/>
      <c r="AH40" s="174"/>
      <c r="AI40" s="173"/>
      <c r="AJ40" s="173"/>
      <c r="AK40" s="173"/>
      <c r="AL40" s="173"/>
      <c r="AM40" s="172"/>
      <c r="AN40" s="173"/>
      <c r="AO40" s="173"/>
      <c r="AP40" s="174"/>
      <c r="AQ40" s="173"/>
      <c r="AR40" s="173"/>
      <c r="AS40" s="173"/>
      <c r="AT40" s="174"/>
      <c r="AU40" s="194"/>
      <c r="AV40" s="194"/>
      <c r="AW40" s="194"/>
      <c r="AX40" s="278"/>
      <c r="AY40" s="279"/>
      <c r="AZ40" s="194"/>
      <c r="BA40" s="194"/>
      <c r="BB40" s="195"/>
      <c r="BC40" s="279"/>
      <c r="BD40" s="194"/>
      <c r="BE40" s="194"/>
      <c r="BF40" s="195"/>
      <c r="BG40" s="194"/>
      <c r="BH40" s="194"/>
      <c r="BI40" s="194"/>
      <c r="BJ40" s="195"/>
      <c r="BK40" s="194"/>
      <c r="BL40" s="194"/>
      <c r="BM40" s="194"/>
      <c r="BN40" s="195"/>
      <c r="BO40" s="194"/>
      <c r="BP40" s="194"/>
      <c r="BQ40" s="194"/>
      <c r="BR40" s="194"/>
      <c r="BS40" s="193"/>
    </row>
    <row r="41" spans="1:72">
      <c r="A41" s="159" t="s">
        <v>376</v>
      </c>
      <c r="B41" s="159" t="s">
        <v>377</v>
      </c>
      <c r="C41" s="183" t="s">
        <v>28</v>
      </c>
      <c r="D41" s="184" t="s">
        <v>28</v>
      </c>
      <c r="E41" s="184" t="s">
        <v>28</v>
      </c>
      <c r="F41" s="185" t="s">
        <v>28</v>
      </c>
      <c r="G41" s="183" t="s">
        <v>28</v>
      </c>
      <c r="H41" s="184" t="s">
        <v>28</v>
      </c>
      <c r="I41" s="184" t="s">
        <v>28</v>
      </c>
      <c r="J41" s="185" t="s">
        <v>28</v>
      </c>
      <c r="K41" s="184" t="s">
        <v>28</v>
      </c>
      <c r="L41" s="184" t="s">
        <v>28</v>
      </c>
      <c r="M41" s="184" t="s">
        <v>28</v>
      </c>
      <c r="N41" s="184" t="s">
        <v>28</v>
      </c>
      <c r="O41" s="183" t="s">
        <v>28</v>
      </c>
      <c r="P41" s="184" t="s">
        <v>28</v>
      </c>
      <c r="Q41" s="184" t="s">
        <v>28</v>
      </c>
      <c r="R41" s="185" t="s">
        <v>28</v>
      </c>
      <c r="S41" s="184" t="s">
        <v>28</v>
      </c>
      <c r="T41" s="184" t="s">
        <v>28</v>
      </c>
      <c r="U41" s="184" t="s">
        <v>28</v>
      </c>
      <c r="V41" s="184" t="s">
        <v>28</v>
      </c>
      <c r="W41" s="183" t="s">
        <v>28</v>
      </c>
      <c r="X41" s="184" t="s">
        <v>28</v>
      </c>
      <c r="Y41" s="184" t="s">
        <v>28</v>
      </c>
      <c r="Z41" s="185" t="s">
        <v>28</v>
      </c>
      <c r="AA41" s="184" t="s">
        <v>28</v>
      </c>
      <c r="AB41" s="184" t="s">
        <v>28</v>
      </c>
      <c r="AC41" s="184" t="s">
        <v>28</v>
      </c>
      <c r="AD41" s="184" t="s">
        <v>28</v>
      </c>
      <c r="AE41" s="183" t="s">
        <v>28</v>
      </c>
      <c r="AF41" s="184" t="s">
        <v>28</v>
      </c>
      <c r="AG41" s="184" t="s">
        <v>28</v>
      </c>
      <c r="AH41" s="185" t="s">
        <v>28</v>
      </c>
      <c r="AI41" s="184" t="s">
        <v>28</v>
      </c>
      <c r="AJ41" s="184" t="s">
        <v>28</v>
      </c>
      <c r="AK41" s="184" t="s">
        <v>28</v>
      </c>
      <c r="AL41" s="184" t="s">
        <v>28</v>
      </c>
      <c r="AM41" s="183" t="s">
        <v>28</v>
      </c>
      <c r="AN41" s="184" t="s">
        <v>28</v>
      </c>
      <c r="AO41" s="184" t="s">
        <v>28</v>
      </c>
      <c r="AP41" s="185" t="s">
        <v>28</v>
      </c>
      <c r="AQ41" s="184" t="s">
        <v>28</v>
      </c>
      <c r="AR41" s="184" t="s">
        <v>28</v>
      </c>
      <c r="AS41" s="184" t="s">
        <v>28</v>
      </c>
      <c r="AT41" s="185" t="s">
        <v>28</v>
      </c>
      <c r="AU41" s="47">
        <f t="shared" ref="AU41:BP41" si="10">SUM(AU42:AU45)</f>
        <v>91367.200000000012</v>
      </c>
      <c r="AV41" s="47">
        <f t="shared" si="10"/>
        <v>95902.299999999988</v>
      </c>
      <c r="AW41" s="47">
        <f t="shared" si="10"/>
        <v>100398.8</v>
      </c>
      <c r="AX41" s="800">
        <f t="shared" si="10"/>
        <v>104226.8</v>
      </c>
      <c r="AY41" s="801">
        <f t="shared" si="10"/>
        <v>108238.7</v>
      </c>
      <c r="AZ41" s="47">
        <f t="shared" si="10"/>
        <v>111280</v>
      </c>
      <c r="BA41" s="47">
        <f t="shared" si="10"/>
        <v>116205.5</v>
      </c>
      <c r="BB41" s="47">
        <f t="shared" si="10"/>
        <v>118277</v>
      </c>
      <c r="BC41" s="801">
        <f t="shared" si="10"/>
        <v>123869.2</v>
      </c>
      <c r="BD41" s="47">
        <f t="shared" si="10"/>
        <v>121463.2</v>
      </c>
      <c r="BE41" s="47">
        <f t="shared" si="10"/>
        <v>123745.2</v>
      </c>
      <c r="BF41" s="47">
        <f t="shared" si="10"/>
        <v>125992.40000000001</v>
      </c>
      <c r="BG41" s="47">
        <f t="shared" si="10"/>
        <v>130904.29999999999</v>
      </c>
      <c r="BH41" s="47">
        <f t="shared" si="10"/>
        <v>134620.19999999998</v>
      </c>
      <c r="BI41" s="47">
        <f t="shared" si="10"/>
        <v>141162.99999999997</v>
      </c>
      <c r="BJ41" s="49">
        <f t="shared" si="10"/>
        <v>146400.29999999999</v>
      </c>
      <c r="BK41" s="47">
        <f t="shared" si="10"/>
        <v>150023.30000000002</v>
      </c>
      <c r="BL41" s="47">
        <f t="shared" si="10"/>
        <v>153760.1</v>
      </c>
      <c r="BM41" s="47">
        <f t="shared" si="10"/>
        <v>155922</v>
      </c>
      <c r="BN41" s="49">
        <f t="shared" si="10"/>
        <v>156360.4</v>
      </c>
      <c r="BO41" s="47">
        <f t="shared" si="10"/>
        <v>157978.59999999998</v>
      </c>
      <c r="BP41" s="47">
        <f t="shared" si="10"/>
        <v>158099.6</v>
      </c>
      <c r="BQ41" s="47">
        <f>SUM(BQ42:BQ45)</f>
        <v>160271.70000000001</v>
      </c>
      <c r="BR41" s="47">
        <f>SUM(BR42:BR45)</f>
        <v>158255.79999999999</v>
      </c>
      <c r="BS41" s="48">
        <f>SUM(BS42:BS45)</f>
        <v>160251.1</v>
      </c>
      <c r="BT41" s="822"/>
    </row>
    <row r="42" spans="1:72">
      <c r="A42" s="163" t="s">
        <v>378</v>
      </c>
      <c r="B42" s="163" t="s">
        <v>379</v>
      </c>
      <c r="C42" s="183" t="s">
        <v>28</v>
      </c>
      <c r="D42" s="184" t="s">
        <v>28</v>
      </c>
      <c r="E42" s="184" t="s">
        <v>28</v>
      </c>
      <c r="F42" s="185" t="s">
        <v>28</v>
      </c>
      <c r="G42" s="183" t="s">
        <v>28</v>
      </c>
      <c r="H42" s="184" t="s">
        <v>28</v>
      </c>
      <c r="I42" s="184" t="s">
        <v>28</v>
      </c>
      <c r="J42" s="185" t="s">
        <v>28</v>
      </c>
      <c r="K42" s="184" t="s">
        <v>28</v>
      </c>
      <c r="L42" s="184" t="s">
        <v>28</v>
      </c>
      <c r="M42" s="184" t="s">
        <v>28</v>
      </c>
      <c r="N42" s="184" t="s">
        <v>28</v>
      </c>
      <c r="O42" s="183" t="s">
        <v>28</v>
      </c>
      <c r="P42" s="184" t="s">
        <v>28</v>
      </c>
      <c r="Q42" s="184" t="s">
        <v>28</v>
      </c>
      <c r="R42" s="185" t="s">
        <v>28</v>
      </c>
      <c r="S42" s="184" t="s">
        <v>28</v>
      </c>
      <c r="T42" s="184" t="s">
        <v>28</v>
      </c>
      <c r="U42" s="184" t="s">
        <v>28</v>
      </c>
      <c r="V42" s="184" t="s">
        <v>28</v>
      </c>
      <c r="W42" s="183" t="s">
        <v>28</v>
      </c>
      <c r="X42" s="184" t="s">
        <v>28</v>
      </c>
      <c r="Y42" s="184" t="s">
        <v>28</v>
      </c>
      <c r="Z42" s="185" t="s">
        <v>28</v>
      </c>
      <c r="AA42" s="184" t="s">
        <v>28</v>
      </c>
      <c r="AB42" s="184" t="s">
        <v>28</v>
      </c>
      <c r="AC42" s="184" t="s">
        <v>28</v>
      </c>
      <c r="AD42" s="184" t="s">
        <v>28</v>
      </c>
      <c r="AE42" s="183" t="s">
        <v>28</v>
      </c>
      <c r="AF42" s="184" t="s">
        <v>28</v>
      </c>
      <c r="AG42" s="184" t="s">
        <v>28</v>
      </c>
      <c r="AH42" s="185" t="s">
        <v>28</v>
      </c>
      <c r="AI42" s="184" t="s">
        <v>28</v>
      </c>
      <c r="AJ42" s="184" t="s">
        <v>28</v>
      </c>
      <c r="AK42" s="184" t="s">
        <v>28</v>
      </c>
      <c r="AL42" s="184" t="s">
        <v>28</v>
      </c>
      <c r="AM42" s="183" t="s">
        <v>28</v>
      </c>
      <c r="AN42" s="184" t="s">
        <v>28</v>
      </c>
      <c r="AO42" s="184" t="s">
        <v>28</v>
      </c>
      <c r="AP42" s="185" t="s">
        <v>28</v>
      </c>
      <c r="AQ42" s="184" t="s">
        <v>28</v>
      </c>
      <c r="AR42" s="184" t="s">
        <v>28</v>
      </c>
      <c r="AS42" s="184" t="s">
        <v>28</v>
      </c>
      <c r="AT42" s="185" t="s">
        <v>28</v>
      </c>
      <c r="AU42" s="47">
        <f t="shared" ref="AU42:BS45" si="11">AU8+AU25</f>
        <v>78649</v>
      </c>
      <c r="AV42" s="47">
        <f t="shared" si="11"/>
        <v>82834.8</v>
      </c>
      <c r="AW42" s="47">
        <f t="shared" si="11"/>
        <v>87078</v>
      </c>
      <c r="AX42" s="800">
        <f t="shared" si="11"/>
        <v>90366.2</v>
      </c>
      <c r="AY42" s="801">
        <f t="shared" si="11"/>
        <v>94453.4</v>
      </c>
      <c r="AZ42" s="47">
        <f t="shared" si="11"/>
        <v>97697.600000000006</v>
      </c>
      <c r="BA42" s="47">
        <f t="shared" si="11"/>
        <v>102616.5</v>
      </c>
      <c r="BB42" s="49">
        <f t="shared" si="11"/>
        <v>105778.4</v>
      </c>
      <c r="BC42" s="801">
        <f t="shared" si="11"/>
        <v>109490</v>
      </c>
      <c r="BD42" s="47">
        <f t="shared" si="11"/>
        <v>103653.5</v>
      </c>
      <c r="BE42" s="47">
        <f t="shared" si="11"/>
        <v>107296</v>
      </c>
      <c r="BF42" s="49">
        <f t="shared" si="11"/>
        <v>111868.1</v>
      </c>
      <c r="BG42" s="47">
        <f t="shared" si="11"/>
        <v>117886.29999999999</v>
      </c>
      <c r="BH42" s="47">
        <f t="shared" si="11"/>
        <v>122530.2</v>
      </c>
      <c r="BI42" s="47">
        <f t="shared" si="11"/>
        <v>128952.6</v>
      </c>
      <c r="BJ42" s="49">
        <f t="shared" si="11"/>
        <v>134756.70000000001</v>
      </c>
      <c r="BK42" s="47">
        <f t="shared" si="11"/>
        <v>137907.6</v>
      </c>
      <c r="BL42" s="47">
        <f t="shared" si="11"/>
        <v>140844.9</v>
      </c>
      <c r="BM42" s="47">
        <f t="shared" si="11"/>
        <v>137914</v>
      </c>
      <c r="BN42" s="49">
        <f t="shared" si="11"/>
        <v>132464</v>
      </c>
      <c r="BO42" s="47">
        <f t="shared" si="11"/>
        <v>135883.29999999999</v>
      </c>
      <c r="BP42" s="47">
        <f t="shared" si="11"/>
        <v>134845.70000000001</v>
      </c>
      <c r="BQ42" s="47">
        <f t="shared" si="11"/>
        <v>136708.29999999999</v>
      </c>
      <c r="BR42" s="47">
        <f t="shared" si="11"/>
        <v>135792.4</v>
      </c>
      <c r="BS42" s="48">
        <f t="shared" si="11"/>
        <v>136614.20000000001</v>
      </c>
      <c r="BT42" s="822"/>
    </row>
    <row r="43" spans="1:72">
      <c r="A43" s="163" t="s">
        <v>380</v>
      </c>
      <c r="B43" s="163" t="s">
        <v>381</v>
      </c>
      <c r="C43" s="183" t="s">
        <v>28</v>
      </c>
      <c r="D43" s="184" t="s">
        <v>28</v>
      </c>
      <c r="E43" s="184" t="s">
        <v>28</v>
      </c>
      <c r="F43" s="185" t="s">
        <v>28</v>
      </c>
      <c r="G43" s="183" t="s">
        <v>28</v>
      </c>
      <c r="H43" s="184" t="s">
        <v>28</v>
      </c>
      <c r="I43" s="184" t="s">
        <v>28</v>
      </c>
      <c r="J43" s="185" t="s">
        <v>28</v>
      </c>
      <c r="K43" s="184" t="s">
        <v>28</v>
      </c>
      <c r="L43" s="184" t="s">
        <v>28</v>
      </c>
      <c r="M43" s="184" t="s">
        <v>28</v>
      </c>
      <c r="N43" s="184" t="s">
        <v>28</v>
      </c>
      <c r="O43" s="183" t="s">
        <v>28</v>
      </c>
      <c r="P43" s="184" t="s">
        <v>28</v>
      </c>
      <c r="Q43" s="184" t="s">
        <v>28</v>
      </c>
      <c r="R43" s="185" t="s">
        <v>28</v>
      </c>
      <c r="S43" s="184" t="s">
        <v>28</v>
      </c>
      <c r="T43" s="184" t="s">
        <v>28</v>
      </c>
      <c r="U43" s="184" t="s">
        <v>28</v>
      </c>
      <c r="V43" s="184" t="s">
        <v>28</v>
      </c>
      <c r="W43" s="183" t="s">
        <v>28</v>
      </c>
      <c r="X43" s="184" t="s">
        <v>28</v>
      </c>
      <c r="Y43" s="184" t="s">
        <v>28</v>
      </c>
      <c r="Z43" s="185" t="s">
        <v>28</v>
      </c>
      <c r="AA43" s="184" t="s">
        <v>28</v>
      </c>
      <c r="AB43" s="184" t="s">
        <v>28</v>
      </c>
      <c r="AC43" s="184" t="s">
        <v>28</v>
      </c>
      <c r="AD43" s="184" t="s">
        <v>28</v>
      </c>
      <c r="AE43" s="183" t="s">
        <v>28</v>
      </c>
      <c r="AF43" s="184" t="s">
        <v>28</v>
      </c>
      <c r="AG43" s="184" t="s">
        <v>28</v>
      </c>
      <c r="AH43" s="185" t="s">
        <v>28</v>
      </c>
      <c r="AI43" s="184" t="s">
        <v>28</v>
      </c>
      <c r="AJ43" s="184" t="s">
        <v>28</v>
      </c>
      <c r="AK43" s="184" t="s">
        <v>28</v>
      </c>
      <c r="AL43" s="184" t="s">
        <v>28</v>
      </c>
      <c r="AM43" s="183" t="s">
        <v>28</v>
      </c>
      <c r="AN43" s="184" t="s">
        <v>28</v>
      </c>
      <c r="AO43" s="184" t="s">
        <v>28</v>
      </c>
      <c r="AP43" s="185" t="s">
        <v>28</v>
      </c>
      <c r="AQ43" s="184" t="s">
        <v>28</v>
      </c>
      <c r="AR43" s="184" t="s">
        <v>28</v>
      </c>
      <c r="AS43" s="184" t="s">
        <v>28</v>
      </c>
      <c r="AT43" s="185" t="s">
        <v>28</v>
      </c>
      <c r="AU43" s="47">
        <f t="shared" si="11"/>
        <v>9977.0999999999985</v>
      </c>
      <c r="AV43" s="47">
        <f t="shared" si="11"/>
        <v>10194.599999999999</v>
      </c>
      <c r="AW43" s="47">
        <f t="shared" si="11"/>
        <v>10475.200000000001</v>
      </c>
      <c r="AX43" s="800">
        <f t="shared" si="11"/>
        <v>10955.6</v>
      </c>
      <c r="AY43" s="801">
        <f t="shared" si="11"/>
        <v>10714.8</v>
      </c>
      <c r="AZ43" s="47">
        <f t="shared" si="11"/>
        <v>10271.700000000001</v>
      </c>
      <c r="BA43" s="47">
        <f t="shared" si="11"/>
        <v>10184.4</v>
      </c>
      <c r="BB43" s="49">
        <f t="shared" si="11"/>
        <v>8968.2999999999993</v>
      </c>
      <c r="BC43" s="801">
        <f t="shared" si="11"/>
        <v>10675</v>
      </c>
      <c r="BD43" s="47">
        <f t="shared" si="11"/>
        <v>13895</v>
      </c>
      <c r="BE43" s="47">
        <f t="shared" si="11"/>
        <v>12440</v>
      </c>
      <c r="BF43" s="49">
        <f t="shared" si="11"/>
        <v>9971.7999999999993</v>
      </c>
      <c r="BG43" s="47">
        <f t="shared" si="11"/>
        <v>8794.5</v>
      </c>
      <c r="BH43" s="47">
        <f t="shared" si="11"/>
        <v>8267.4</v>
      </c>
      <c r="BI43" s="47">
        <f t="shared" si="11"/>
        <v>8396.2999999999993</v>
      </c>
      <c r="BJ43" s="49">
        <f t="shared" si="11"/>
        <v>7837</v>
      </c>
      <c r="BK43" s="47">
        <f t="shared" si="11"/>
        <v>8576.1</v>
      </c>
      <c r="BL43" s="47">
        <f t="shared" si="11"/>
        <v>9261.7999999999993</v>
      </c>
      <c r="BM43" s="47">
        <f t="shared" si="11"/>
        <v>14541.3</v>
      </c>
      <c r="BN43" s="49">
        <f t="shared" si="11"/>
        <v>20315.400000000001</v>
      </c>
      <c r="BO43" s="47">
        <f t="shared" si="11"/>
        <v>18213.5</v>
      </c>
      <c r="BP43" s="47">
        <f t="shared" si="11"/>
        <v>19112.400000000001</v>
      </c>
      <c r="BQ43" s="47">
        <f t="shared" si="11"/>
        <v>19173.7</v>
      </c>
      <c r="BR43" s="47">
        <f t="shared" si="11"/>
        <v>18231.800000000003</v>
      </c>
      <c r="BS43" s="48">
        <f t="shared" si="11"/>
        <v>19124</v>
      </c>
      <c r="BT43" s="822"/>
    </row>
    <row r="44" spans="1:72">
      <c r="A44" s="163" t="s">
        <v>382</v>
      </c>
      <c r="B44" s="163" t="s">
        <v>383</v>
      </c>
      <c r="C44" s="183" t="s">
        <v>28</v>
      </c>
      <c r="D44" s="184" t="s">
        <v>28</v>
      </c>
      <c r="E44" s="184" t="s">
        <v>28</v>
      </c>
      <c r="F44" s="185" t="s">
        <v>28</v>
      </c>
      <c r="G44" s="183" t="s">
        <v>28</v>
      </c>
      <c r="H44" s="184" t="s">
        <v>28</v>
      </c>
      <c r="I44" s="184" t="s">
        <v>28</v>
      </c>
      <c r="J44" s="185" t="s">
        <v>28</v>
      </c>
      <c r="K44" s="184" t="s">
        <v>28</v>
      </c>
      <c r="L44" s="184" t="s">
        <v>28</v>
      </c>
      <c r="M44" s="184" t="s">
        <v>28</v>
      </c>
      <c r="N44" s="184" t="s">
        <v>28</v>
      </c>
      <c r="O44" s="183" t="s">
        <v>28</v>
      </c>
      <c r="P44" s="184" t="s">
        <v>28</v>
      </c>
      <c r="Q44" s="184" t="s">
        <v>28</v>
      </c>
      <c r="R44" s="185" t="s">
        <v>28</v>
      </c>
      <c r="S44" s="184" t="s">
        <v>28</v>
      </c>
      <c r="T44" s="184" t="s">
        <v>28</v>
      </c>
      <c r="U44" s="184" t="s">
        <v>28</v>
      </c>
      <c r="V44" s="184" t="s">
        <v>28</v>
      </c>
      <c r="W44" s="183" t="s">
        <v>28</v>
      </c>
      <c r="X44" s="184" t="s">
        <v>28</v>
      </c>
      <c r="Y44" s="184" t="s">
        <v>28</v>
      </c>
      <c r="Z44" s="185" t="s">
        <v>28</v>
      </c>
      <c r="AA44" s="184" t="s">
        <v>28</v>
      </c>
      <c r="AB44" s="184" t="s">
        <v>28</v>
      </c>
      <c r="AC44" s="184" t="s">
        <v>28</v>
      </c>
      <c r="AD44" s="184" t="s">
        <v>28</v>
      </c>
      <c r="AE44" s="183" t="s">
        <v>28</v>
      </c>
      <c r="AF44" s="184" t="s">
        <v>28</v>
      </c>
      <c r="AG44" s="184" t="s">
        <v>28</v>
      </c>
      <c r="AH44" s="185" t="s">
        <v>28</v>
      </c>
      <c r="AI44" s="184" t="s">
        <v>28</v>
      </c>
      <c r="AJ44" s="184" t="s">
        <v>28</v>
      </c>
      <c r="AK44" s="184" t="s">
        <v>28</v>
      </c>
      <c r="AL44" s="184" t="s">
        <v>28</v>
      </c>
      <c r="AM44" s="183" t="s">
        <v>28</v>
      </c>
      <c r="AN44" s="184" t="s">
        <v>28</v>
      </c>
      <c r="AO44" s="184" t="s">
        <v>28</v>
      </c>
      <c r="AP44" s="185" t="s">
        <v>28</v>
      </c>
      <c r="AQ44" s="184" t="s">
        <v>28</v>
      </c>
      <c r="AR44" s="184" t="s">
        <v>28</v>
      </c>
      <c r="AS44" s="184" t="s">
        <v>28</v>
      </c>
      <c r="AT44" s="185" t="s">
        <v>28</v>
      </c>
      <c r="AU44" s="45">
        <f t="shared" si="11"/>
        <v>2741.1</v>
      </c>
      <c r="AV44" s="45">
        <f t="shared" si="11"/>
        <v>2872.9</v>
      </c>
      <c r="AW44" s="45">
        <f t="shared" si="11"/>
        <v>2845.6000000000004</v>
      </c>
      <c r="AX44" s="613">
        <f t="shared" si="11"/>
        <v>2905</v>
      </c>
      <c r="AY44" s="614">
        <f t="shared" si="11"/>
        <v>3070.4999999999995</v>
      </c>
      <c r="AZ44" s="45">
        <f t="shared" si="11"/>
        <v>3310.7000000000003</v>
      </c>
      <c r="BA44" s="45">
        <f t="shared" si="11"/>
        <v>3404.6</v>
      </c>
      <c r="BB44" s="46">
        <f t="shared" si="11"/>
        <v>3528.8</v>
      </c>
      <c r="BC44" s="614">
        <f t="shared" si="11"/>
        <v>3702.8999999999996</v>
      </c>
      <c r="BD44" s="45">
        <f t="shared" si="11"/>
        <v>3910.8</v>
      </c>
      <c r="BE44" s="45">
        <f t="shared" si="11"/>
        <v>4005.9</v>
      </c>
      <c r="BF44" s="46">
        <f t="shared" si="11"/>
        <v>4149</v>
      </c>
      <c r="BG44" s="45">
        <f t="shared" si="11"/>
        <v>4219.8</v>
      </c>
      <c r="BH44" s="45">
        <f t="shared" si="11"/>
        <v>3818.7999999999997</v>
      </c>
      <c r="BI44" s="45">
        <f t="shared" si="11"/>
        <v>3810.3</v>
      </c>
      <c r="BJ44" s="46">
        <f t="shared" si="11"/>
        <v>3753.3</v>
      </c>
      <c r="BK44" s="45">
        <f t="shared" si="11"/>
        <v>3485.5</v>
      </c>
      <c r="BL44" s="45">
        <f t="shared" si="11"/>
        <v>3599.7000000000003</v>
      </c>
      <c r="BM44" s="45">
        <f t="shared" si="11"/>
        <v>3410.5</v>
      </c>
      <c r="BN44" s="46">
        <f t="shared" si="11"/>
        <v>3526.1000000000004</v>
      </c>
      <c r="BO44" s="45">
        <f t="shared" si="11"/>
        <v>3825.8</v>
      </c>
      <c r="BP44" s="45">
        <f t="shared" si="11"/>
        <v>4087</v>
      </c>
      <c r="BQ44" s="45">
        <f t="shared" si="11"/>
        <v>4333.1000000000004</v>
      </c>
      <c r="BR44" s="45">
        <f t="shared" si="11"/>
        <v>4177.8</v>
      </c>
      <c r="BS44" s="44">
        <f t="shared" si="11"/>
        <v>4459.3</v>
      </c>
      <c r="BT44" s="822"/>
    </row>
    <row r="45" spans="1:72">
      <c r="A45" s="163" t="s">
        <v>384</v>
      </c>
      <c r="B45" s="163" t="s">
        <v>384</v>
      </c>
      <c r="C45" s="183"/>
      <c r="D45" s="184"/>
      <c r="E45" s="184"/>
      <c r="F45" s="185"/>
      <c r="G45" s="183" t="s">
        <v>28</v>
      </c>
      <c r="H45" s="184" t="s">
        <v>28</v>
      </c>
      <c r="I45" s="184" t="s">
        <v>28</v>
      </c>
      <c r="J45" s="185" t="s">
        <v>28</v>
      </c>
      <c r="K45" s="184" t="s">
        <v>28</v>
      </c>
      <c r="L45" s="184" t="s">
        <v>28</v>
      </c>
      <c r="M45" s="184" t="s">
        <v>28</v>
      </c>
      <c r="N45" s="184" t="s">
        <v>28</v>
      </c>
      <c r="O45" s="183" t="s">
        <v>28</v>
      </c>
      <c r="P45" s="184" t="s">
        <v>28</v>
      </c>
      <c r="Q45" s="184" t="s">
        <v>28</v>
      </c>
      <c r="R45" s="185" t="s">
        <v>28</v>
      </c>
      <c r="S45" s="184" t="s">
        <v>28</v>
      </c>
      <c r="T45" s="184" t="s">
        <v>28</v>
      </c>
      <c r="U45" s="184" t="s">
        <v>28</v>
      </c>
      <c r="V45" s="184" t="s">
        <v>28</v>
      </c>
      <c r="W45" s="183" t="s">
        <v>28</v>
      </c>
      <c r="X45" s="184" t="s">
        <v>28</v>
      </c>
      <c r="Y45" s="184" t="s">
        <v>28</v>
      </c>
      <c r="Z45" s="185" t="s">
        <v>28</v>
      </c>
      <c r="AA45" s="184" t="s">
        <v>28</v>
      </c>
      <c r="AB45" s="184" t="s">
        <v>28</v>
      </c>
      <c r="AC45" s="184" t="s">
        <v>28</v>
      </c>
      <c r="AD45" s="184" t="s">
        <v>28</v>
      </c>
      <c r="AE45" s="183" t="s">
        <v>28</v>
      </c>
      <c r="AF45" s="184" t="s">
        <v>28</v>
      </c>
      <c r="AG45" s="184" t="s">
        <v>28</v>
      </c>
      <c r="AH45" s="185" t="s">
        <v>28</v>
      </c>
      <c r="AI45" s="184" t="s">
        <v>28</v>
      </c>
      <c r="AJ45" s="184" t="s">
        <v>28</v>
      </c>
      <c r="AK45" s="184" t="s">
        <v>28</v>
      </c>
      <c r="AL45" s="184" t="s">
        <v>28</v>
      </c>
      <c r="AM45" s="183" t="s">
        <v>28</v>
      </c>
      <c r="AN45" s="184" t="s">
        <v>28</v>
      </c>
      <c r="AO45" s="184" t="s">
        <v>28</v>
      </c>
      <c r="AP45" s="185" t="s">
        <v>28</v>
      </c>
      <c r="AQ45" s="184" t="s">
        <v>28</v>
      </c>
      <c r="AR45" s="184" t="s">
        <v>28</v>
      </c>
      <c r="AS45" s="184" t="s">
        <v>28</v>
      </c>
      <c r="AT45" s="185" t="s">
        <v>28</v>
      </c>
      <c r="AU45" s="45">
        <f t="shared" si="11"/>
        <v>0</v>
      </c>
      <c r="AV45" s="45">
        <f t="shared" si="11"/>
        <v>0</v>
      </c>
      <c r="AW45" s="45">
        <f t="shared" si="11"/>
        <v>0</v>
      </c>
      <c r="AX45" s="613">
        <f t="shared" si="11"/>
        <v>0</v>
      </c>
      <c r="AY45" s="614">
        <f t="shared" si="11"/>
        <v>0</v>
      </c>
      <c r="AZ45" s="45">
        <f t="shared" si="11"/>
        <v>0</v>
      </c>
      <c r="BA45" s="45">
        <f t="shared" si="11"/>
        <v>0</v>
      </c>
      <c r="BB45" s="46">
        <f t="shared" si="11"/>
        <v>1.5</v>
      </c>
      <c r="BC45" s="614">
        <f t="shared" si="11"/>
        <v>1.3</v>
      </c>
      <c r="BD45" s="45">
        <f t="shared" si="11"/>
        <v>3.9000000000000004</v>
      </c>
      <c r="BE45" s="45">
        <f t="shared" si="11"/>
        <v>3.3</v>
      </c>
      <c r="BF45" s="46">
        <f t="shared" si="11"/>
        <v>3.5</v>
      </c>
      <c r="BG45" s="45">
        <f t="shared" si="11"/>
        <v>3.7</v>
      </c>
      <c r="BH45" s="45">
        <f t="shared" si="11"/>
        <v>3.8</v>
      </c>
      <c r="BI45" s="45">
        <f t="shared" si="11"/>
        <v>3.8</v>
      </c>
      <c r="BJ45" s="46">
        <f t="shared" si="11"/>
        <v>53.300000000000004</v>
      </c>
      <c r="BK45" s="45">
        <f t="shared" si="11"/>
        <v>54.1</v>
      </c>
      <c r="BL45" s="45">
        <f t="shared" si="11"/>
        <v>53.7</v>
      </c>
      <c r="BM45" s="45">
        <f t="shared" si="11"/>
        <v>56.2</v>
      </c>
      <c r="BN45" s="46">
        <f t="shared" si="11"/>
        <v>54.9</v>
      </c>
      <c r="BO45" s="45">
        <f t="shared" si="11"/>
        <v>56</v>
      </c>
      <c r="BP45" s="45">
        <f t="shared" si="11"/>
        <v>54.5</v>
      </c>
      <c r="BQ45" s="45">
        <f t="shared" si="11"/>
        <v>56.6</v>
      </c>
      <c r="BR45" s="45">
        <f t="shared" si="11"/>
        <v>53.800000000000004</v>
      </c>
      <c r="BS45" s="44">
        <f t="shared" si="11"/>
        <v>53.6</v>
      </c>
      <c r="BT45" s="822"/>
    </row>
    <row r="46" spans="1:72">
      <c r="A46" s="159" t="s">
        <v>385</v>
      </c>
      <c r="B46" s="159" t="s">
        <v>386</v>
      </c>
      <c r="C46" s="183" t="s">
        <v>28</v>
      </c>
      <c r="D46" s="184" t="s">
        <v>28</v>
      </c>
      <c r="E46" s="184" t="s">
        <v>28</v>
      </c>
      <c r="F46" s="185" t="s">
        <v>28</v>
      </c>
      <c r="G46" s="183" t="s">
        <v>28</v>
      </c>
      <c r="H46" s="184" t="s">
        <v>28</v>
      </c>
      <c r="I46" s="184" t="s">
        <v>28</v>
      </c>
      <c r="J46" s="185" t="s">
        <v>28</v>
      </c>
      <c r="K46" s="184" t="s">
        <v>28</v>
      </c>
      <c r="L46" s="184" t="s">
        <v>28</v>
      </c>
      <c r="M46" s="184" t="s">
        <v>28</v>
      </c>
      <c r="N46" s="184" t="s">
        <v>28</v>
      </c>
      <c r="O46" s="183" t="s">
        <v>28</v>
      </c>
      <c r="P46" s="184" t="s">
        <v>28</v>
      </c>
      <c r="Q46" s="184" t="s">
        <v>28</v>
      </c>
      <c r="R46" s="185" t="s">
        <v>28</v>
      </c>
      <c r="S46" s="184" t="s">
        <v>28</v>
      </c>
      <c r="T46" s="184" t="s">
        <v>28</v>
      </c>
      <c r="U46" s="184" t="s">
        <v>28</v>
      </c>
      <c r="V46" s="184" t="s">
        <v>28</v>
      </c>
      <c r="W46" s="183" t="s">
        <v>28</v>
      </c>
      <c r="X46" s="184" t="s">
        <v>28</v>
      </c>
      <c r="Y46" s="184" t="s">
        <v>28</v>
      </c>
      <c r="Z46" s="185" t="s">
        <v>28</v>
      </c>
      <c r="AA46" s="184" t="s">
        <v>28</v>
      </c>
      <c r="AB46" s="184" t="s">
        <v>28</v>
      </c>
      <c r="AC46" s="184" t="s">
        <v>28</v>
      </c>
      <c r="AD46" s="184" t="s">
        <v>28</v>
      </c>
      <c r="AE46" s="183" t="s">
        <v>28</v>
      </c>
      <c r="AF46" s="184" t="s">
        <v>28</v>
      </c>
      <c r="AG46" s="184" t="s">
        <v>28</v>
      </c>
      <c r="AH46" s="185" t="s">
        <v>28</v>
      </c>
      <c r="AI46" s="184" t="s">
        <v>28</v>
      </c>
      <c r="AJ46" s="184" t="s">
        <v>28</v>
      </c>
      <c r="AK46" s="184" t="s">
        <v>28</v>
      </c>
      <c r="AL46" s="184" t="s">
        <v>28</v>
      </c>
      <c r="AM46" s="183" t="s">
        <v>28</v>
      </c>
      <c r="AN46" s="184" t="s">
        <v>28</v>
      </c>
      <c r="AO46" s="184" t="s">
        <v>28</v>
      </c>
      <c r="AP46" s="185" t="s">
        <v>28</v>
      </c>
      <c r="AQ46" s="184" t="s">
        <v>28</v>
      </c>
      <c r="AR46" s="184" t="s">
        <v>28</v>
      </c>
      <c r="AS46" s="184" t="s">
        <v>28</v>
      </c>
      <c r="AT46" s="185" t="s">
        <v>28</v>
      </c>
      <c r="AU46" s="45">
        <f t="shared" ref="AU46:BP46" si="12">SUM(AU47:AU50)</f>
        <v>-2086.1999999999998</v>
      </c>
      <c r="AV46" s="45">
        <f t="shared" si="12"/>
        <v>-2236</v>
      </c>
      <c r="AW46" s="45">
        <f t="shared" si="12"/>
        <v>-2203.8999999999996</v>
      </c>
      <c r="AX46" s="613">
        <f t="shared" si="12"/>
        <v>-2270</v>
      </c>
      <c r="AY46" s="614">
        <f t="shared" si="12"/>
        <v>-2284.3999999999996</v>
      </c>
      <c r="AZ46" s="45">
        <f t="shared" si="12"/>
        <v>-2422.7999999999997</v>
      </c>
      <c r="BA46" s="45">
        <f t="shared" si="12"/>
        <v>-2534.9</v>
      </c>
      <c r="BB46" s="46">
        <f t="shared" si="12"/>
        <v>-2446</v>
      </c>
      <c r="BC46" s="614">
        <f t="shared" si="12"/>
        <v>-2766.2</v>
      </c>
      <c r="BD46" s="45">
        <f t="shared" si="12"/>
        <v>-3048</v>
      </c>
      <c r="BE46" s="45">
        <f t="shared" si="12"/>
        <v>-3185.7000000000003</v>
      </c>
      <c r="BF46" s="46">
        <f t="shared" si="12"/>
        <v>-3270.3</v>
      </c>
      <c r="BG46" s="45">
        <f t="shared" si="12"/>
        <v>-3390</v>
      </c>
      <c r="BH46" s="45">
        <f t="shared" si="12"/>
        <v>-3008.5</v>
      </c>
      <c r="BI46" s="45">
        <f t="shared" si="12"/>
        <v>-3033.2999999999997</v>
      </c>
      <c r="BJ46" s="46">
        <f t="shared" si="12"/>
        <v>-3113.6</v>
      </c>
      <c r="BK46" s="45">
        <f t="shared" si="12"/>
        <v>-2992.3999999999996</v>
      </c>
      <c r="BL46" s="45">
        <f t="shared" si="12"/>
        <v>-3196.7999999999997</v>
      </c>
      <c r="BM46" s="45">
        <f t="shared" si="12"/>
        <v>-3083.7</v>
      </c>
      <c r="BN46" s="46">
        <f t="shared" si="12"/>
        <v>-3269.2</v>
      </c>
      <c r="BO46" s="45">
        <f t="shared" si="12"/>
        <v>-3367.7</v>
      </c>
      <c r="BP46" s="45">
        <f t="shared" si="12"/>
        <v>-3549.6000000000004</v>
      </c>
      <c r="BQ46" s="45">
        <f>SUM(BQ47:BQ50)</f>
        <v>-3728.5</v>
      </c>
      <c r="BR46" s="45">
        <f>SUM(BR47:BR50)</f>
        <v>-3508.1</v>
      </c>
      <c r="BS46" s="44">
        <f>SUM(BS47:BS50)</f>
        <v>-3733.5</v>
      </c>
      <c r="BT46" s="822"/>
    </row>
    <row r="47" spans="1:72">
      <c r="A47" s="163" t="s">
        <v>387</v>
      </c>
      <c r="B47" s="163" t="s">
        <v>388</v>
      </c>
      <c r="C47" s="183" t="s">
        <v>28</v>
      </c>
      <c r="D47" s="184" t="s">
        <v>28</v>
      </c>
      <c r="E47" s="184" t="s">
        <v>28</v>
      </c>
      <c r="F47" s="185" t="s">
        <v>28</v>
      </c>
      <c r="G47" s="183" t="s">
        <v>28</v>
      </c>
      <c r="H47" s="184" t="s">
        <v>28</v>
      </c>
      <c r="I47" s="184" t="s">
        <v>28</v>
      </c>
      <c r="J47" s="185" t="s">
        <v>28</v>
      </c>
      <c r="K47" s="184" t="s">
        <v>28</v>
      </c>
      <c r="L47" s="184" t="s">
        <v>28</v>
      </c>
      <c r="M47" s="184" t="s">
        <v>28</v>
      </c>
      <c r="N47" s="184" t="s">
        <v>28</v>
      </c>
      <c r="O47" s="183" t="s">
        <v>28</v>
      </c>
      <c r="P47" s="184" t="s">
        <v>28</v>
      </c>
      <c r="Q47" s="184" t="s">
        <v>28</v>
      </c>
      <c r="R47" s="185" t="s">
        <v>28</v>
      </c>
      <c r="S47" s="184" t="s">
        <v>28</v>
      </c>
      <c r="T47" s="184" t="s">
        <v>28</v>
      </c>
      <c r="U47" s="184" t="s">
        <v>28</v>
      </c>
      <c r="V47" s="184" t="s">
        <v>28</v>
      </c>
      <c r="W47" s="183" t="s">
        <v>28</v>
      </c>
      <c r="X47" s="184" t="s">
        <v>28</v>
      </c>
      <c r="Y47" s="184" t="s">
        <v>28</v>
      </c>
      <c r="Z47" s="185" t="s">
        <v>28</v>
      </c>
      <c r="AA47" s="184" t="s">
        <v>28</v>
      </c>
      <c r="AB47" s="184" t="s">
        <v>28</v>
      </c>
      <c r="AC47" s="184" t="s">
        <v>28</v>
      </c>
      <c r="AD47" s="184" t="s">
        <v>28</v>
      </c>
      <c r="AE47" s="183" t="s">
        <v>28</v>
      </c>
      <c r="AF47" s="184" t="s">
        <v>28</v>
      </c>
      <c r="AG47" s="184" t="s">
        <v>28</v>
      </c>
      <c r="AH47" s="185" t="s">
        <v>28</v>
      </c>
      <c r="AI47" s="184" t="s">
        <v>28</v>
      </c>
      <c r="AJ47" s="184" t="s">
        <v>28</v>
      </c>
      <c r="AK47" s="184" t="s">
        <v>28</v>
      </c>
      <c r="AL47" s="184" t="s">
        <v>28</v>
      </c>
      <c r="AM47" s="183" t="s">
        <v>28</v>
      </c>
      <c r="AN47" s="184" t="s">
        <v>28</v>
      </c>
      <c r="AO47" s="184" t="s">
        <v>28</v>
      </c>
      <c r="AP47" s="185" t="s">
        <v>28</v>
      </c>
      <c r="AQ47" s="184" t="s">
        <v>28</v>
      </c>
      <c r="AR47" s="184" t="s">
        <v>28</v>
      </c>
      <c r="AS47" s="184" t="s">
        <v>28</v>
      </c>
      <c r="AT47" s="185" t="s">
        <v>28</v>
      </c>
      <c r="AU47" s="45">
        <f t="shared" ref="AU47:BS50" si="13">AU13+AU30</f>
        <v>-110.6</v>
      </c>
      <c r="AV47" s="45">
        <f t="shared" si="13"/>
        <v>-134.10000000000002</v>
      </c>
      <c r="AW47" s="45">
        <f t="shared" si="13"/>
        <v>-127</v>
      </c>
      <c r="AX47" s="613">
        <f t="shared" si="13"/>
        <v>-114.2</v>
      </c>
      <c r="AY47" s="614">
        <f t="shared" si="13"/>
        <v>-118.3</v>
      </c>
      <c r="AZ47" s="45">
        <f t="shared" si="13"/>
        <v>-131.30000000000001</v>
      </c>
      <c r="BA47" s="45">
        <f t="shared" si="13"/>
        <v>-123.7</v>
      </c>
      <c r="BB47" s="46">
        <f t="shared" si="13"/>
        <v>-123.2</v>
      </c>
      <c r="BC47" s="614">
        <f t="shared" si="13"/>
        <v>-190</v>
      </c>
      <c r="BD47" s="45">
        <f t="shared" si="13"/>
        <v>-251.9</v>
      </c>
      <c r="BE47" s="45">
        <f t="shared" si="13"/>
        <v>-302.3</v>
      </c>
      <c r="BF47" s="46">
        <f t="shared" si="13"/>
        <v>-342.29999999999995</v>
      </c>
      <c r="BG47" s="45">
        <f t="shared" si="13"/>
        <v>-337.9</v>
      </c>
      <c r="BH47" s="45">
        <f t="shared" si="13"/>
        <v>-298.10000000000002</v>
      </c>
      <c r="BI47" s="45">
        <f t="shared" si="13"/>
        <v>-283.89999999999998</v>
      </c>
      <c r="BJ47" s="46">
        <f t="shared" si="13"/>
        <v>-275.7</v>
      </c>
      <c r="BK47" s="45">
        <f t="shared" si="13"/>
        <v>-261.60000000000002</v>
      </c>
      <c r="BL47" s="45">
        <f t="shared" si="13"/>
        <v>-253.6</v>
      </c>
      <c r="BM47" s="45">
        <f t="shared" si="13"/>
        <v>-364.3</v>
      </c>
      <c r="BN47" s="46">
        <f t="shared" si="13"/>
        <v>-387.5</v>
      </c>
      <c r="BO47" s="45">
        <f t="shared" si="13"/>
        <v>-350.1</v>
      </c>
      <c r="BP47" s="45">
        <f t="shared" si="13"/>
        <v>-351.6</v>
      </c>
      <c r="BQ47" s="45">
        <f t="shared" si="13"/>
        <v>-359.2</v>
      </c>
      <c r="BR47" s="45">
        <f t="shared" si="13"/>
        <v>-316.3</v>
      </c>
      <c r="BS47" s="44">
        <f t="shared" si="13"/>
        <v>-281.89999999999998</v>
      </c>
      <c r="BT47" s="822"/>
    </row>
    <row r="48" spans="1:72">
      <c r="A48" s="163" t="s">
        <v>389</v>
      </c>
      <c r="B48" s="163" t="s">
        <v>390</v>
      </c>
      <c r="C48" s="183" t="s">
        <v>28</v>
      </c>
      <c r="D48" s="184" t="s">
        <v>28</v>
      </c>
      <c r="E48" s="184" t="s">
        <v>28</v>
      </c>
      <c r="F48" s="185" t="s">
        <v>28</v>
      </c>
      <c r="G48" s="183" t="s">
        <v>28</v>
      </c>
      <c r="H48" s="184" t="s">
        <v>28</v>
      </c>
      <c r="I48" s="184" t="s">
        <v>28</v>
      </c>
      <c r="J48" s="185" t="s">
        <v>28</v>
      </c>
      <c r="K48" s="184" t="s">
        <v>28</v>
      </c>
      <c r="L48" s="184" t="s">
        <v>28</v>
      </c>
      <c r="M48" s="184" t="s">
        <v>28</v>
      </c>
      <c r="N48" s="184" t="s">
        <v>28</v>
      </c>
      <c r="O48" s="183" t="s">
        <v>28</v>
      </c>
      <c r="P48" s="184" t="s">
        <v>28</v>
      </c>
      <c r="Q48" s="184" t="s">
        <v>28</v>
      </c>
      <c r="R48" s="185" t="s">
        <v>28</v>
      </c>
      <c r="S48" s="184" t="s">
        <v>28</v>
      </c>
      <c r="T48" s="184" t="s">
        <v>28</v>
      </c>
      <c r="U48" s="184" t="s">
        <v>28</v>
      </c>
      <c r="V48" s="184" t="s">
        <v>28</v>
      </c>
      <c r="W48" s="183" t="s">
        <v>28</v>
      </c>
      <c r="X48" s="184" t="s">
        <v>28</v>
      </c>
      <c r="Y48" s="184" t="s">
        <v>28</v>
      </c>
      <c r="Z48" s="185" t="s">
        <v>28</v>
      </c>
      <c r="AA48" s="184" t="s">
        <v>28</v>
      </c>
      <c r="AB48" s="184" t="s">
        <v>28</v>
      </c>
      <c r="AC48" s="184" t="s">
        <v>28</v>
      </c>
      <c r="AD48" s="184" t="s">
        <v>28</v>
      </c>
      <c r="AE48" s="183" t="s">
        <v>28</v>
      </c>
      <c r="AF48" s="184" t="s">
        <v>28</v>
      </c>
      <c r="AG48" s="184" t="s">
        <v>28</v>
      </c>
      <c r="AH48" s="185" t="s">
        <v>28</v>
      </c>
      <c r="AI48" s="184" t="s">
        <v>28</v>
      </c>
      <c r="AJ48" s="184" t="s">
        <v>28</v>
      </c>
      <c r="AK48" s="184" t="s">
        <v>28</v>
      </c>
      <c r="AL48" s="184" t="s">
        <v>28</v>
      </c>
      <c r="AM48" s="183" t="s">
        <v>28</v>
      </c>
      <c r="AN48" s="184" t="s">
        <v>28</v>
      </c>
      <c r="AO48" s="184" t="s">
        <v>28</v>
      </c>
      <c r="AP48" s="185" t="s">
        <v>28</v>
      </c>
      <c r="AQ48" s="184" t="s">
        <v>28</v>
      </c>
      <c r="AR48" s="184" t="s">
        <v>28</v>
      </c>
      <c r="AS48" s="184" t="s">
        <v>28</v>
      </c>
      <c r="AT48" s="185" t="s">
        <v>28</v>
      </c>
      <c r="AU48" s="45">
        <f t="shared" si="13"/>
        <v>-343.5</v>
      </c>
      <c r="AV48" s="45">
        <f t="shared" si="13"/>
        <v>-383.59999999999997</v>
      </c>
      <c r="AW48" s="45">
        <f t="shared" si="13"/>
        <v>-396.2</v>
      </c>
      <c r="AX48" s="613">
        <f t="shared" si="13"/>
        <v>-424.8</v>
      </c>
      <c r="AY48" s="614">
        <f t="shared" si="13"/>
        <v>-406.9</v>
      </c>
      <c r="AZ48" s="45">
        <f t="shared" si="13"/>
        <v>-395.19999999999993</v>
      </c>
      <c r="BA48" s="45">
        <f t="shared" si="13"/>
        <v>-408.5</v>
      </c>
      <c r="BB48" s="46">
        <f t="shared" si="13"/>
        <v>-413.80000000000007</v>
      </c>
      <c r="BC48" s="614">
        <f t="shared" si="13"/>
        <v>-487.8</v>
      </c>
      <c r="BD48" s="45">
        <f t="shared" si="13"/>
        <v>-531.9</v>
      </c>
      <c r="BE48" s="45">
        <f t="shared" si="13"/>
        <v>-485.6</v>
      </c>
      <c r="BF48" s="46">
        <f t="shared" si="13"/>
        <v>-409.5</v>
      </c>
      <c r="BG48" s="45">
        <f t="shared" si="13"/>
        <v>-416.5</v>
      </c>
      <c r="BH48" s="45">
        <f t="shared" si="13"/>
        <v>-375.7</v>
      </c>
      <c r="BI48" s="45">
        <f t="shared" si="13"/>
        <v>-357.70000000000005</v>
      </c>
      <c r="BJ48" s="46">
        <f t="shared" si="13"/>
        <v>-357.8</v>
      </c>
      <c r="BK48" s="45">
        <f t="shared" si="13"/>
        <v>-443.7</v>
      </c>
      <c r="BL48" s="45">
        <f t="shared" si="13"/>
        <v>-532</v>
      </c>
      <c r="BM48" s="45">
        <f t="shared" si="13"/>
        <v>-694.9</v>
      </c>
      <c r="BN48" s="46">
        <f t="shared" si="13"/>
        <v>-783.3</v>
      </c>
      <c r="BO48" s="45">
        <f t="shared" si="13"/>
        <v>-763.2</v>
      </c>
      <c r="BP48" s="45">
        <f t="shared" si="13"/>
        <v>-782.1</v>
      </c>
      <c r="BQ48" s="45">
        <f t="shared" si="13"/>
        <v>-766.3</v>
      </c>
      <c r="BR48" s="45">
        <f t="shared" si="13"/>
        <v>-613.20000000000005</v>
      </c>
      <c r="BS48" s="44">
        <f t="shared" si="13"/>
        <v>-666.4</v>
      </c>
      <c r="BT48" s="822"/>
    </row>
    <row r="49" spans="1:72">
      <c r="A49" s="163" t="s">
        <v>391</v>
      </c>
      <c r="B49" s="163" t="s">
        <v>392</v>
      </c>
      <c r="C49" s="183" t="s">
        <v>28</v>
      </c>
      <c r="D49" s="184" t="s">
        <v>28</v>
      </c>
      <c r="E49" s="184" t="s">
        <v>28</v>
      </c>
      <c r="F49" s="185" t="s">
        <v>28</v>
      </c>
      <c r="G49" s="183" t="s">
        <v>28</v>
      </c>
      <c r="H49" s="184" t="s">
        <v>28</v>
      </c>
      <c r="I49" s="184" t="s">
        <v>28</v>
      </c>
      <c r="J49" s="185" t="s">
        <v>28</v>
      </c>
      <c r="K49" s="184" t="s">
        <v>28</v>
      </c>
      <c r="L49" s="184" t="s">
        <v>28</v>
      </c>
      <c r="M49" s="184" t="s">
        <v>28</v>
      </c>
      <c r="N49" s="184" t="s">
        <v>28</v>
      </c>
      <c r="O49" s="183" t="s">
        <v>28</v>
      </c>
      <c r="P49" s="184" t="s">
        <v>28</v>
      </c>
      <c r="Q49" s="184" t="s">
        <v>28</v>
      </c>
      <c r="R49" s="185" t="s">
        <v>28</v>
      </c>
      <c r="S49" s="184" t="s">
        <v>28</v>
      </c>
      <c r="T49" s="184" t="s">
        <v>28</v>
      </c>
      <c r="U49" s="184" t="s">
        <v>28</v>
      </c>
      <c r="V49" s="184" t="s">
        <v>28</v>
      </c>
      <c r="W49" s="183" t="s">
        <v>28</v>
      </c>
      <c r="X49" s="184" t="s">
        <v>28</v>
      </c>
      <c r="Y49" s="184" t="s">
        <v>28</v>
      </c>
      <c r="Z49" s="185" t="s">
        <v>28</v>
      </c>
      <c r="AA49" s="184" t="s">
        <v>28</v>
      </c>
      <c r="AB49" s="184" t="s">
        <v>28</v>
      </c>
      <c r="AC49" s="184" t="s">
        <v>28</v>
      </c>
      <c r="AD49" s="184" t="s">
        <v>28</v>
      </c>
      <c r="AE49" s="183" t="s">
        <v>28</v>
      </c>
      <c r="AF49" s="184" t="s">
        <v>28</v>
      </c>
      <c r="AG49" s="184" t="s">
        <v>28</v>
      </c>
      <c r="AH49" s="185" t="s">
        <v>28</v>
      </c>
      <c r="AI49" s="184" t="s">
        <v>28</v>
      </c>
      <c r="AJ49" s="184" t="s">
        <v>28</v>
      </c>
      <c r="AK49" s="184" t="s">
        <v>28</v>
      </c>
      <c r="AL49" s="184" t="s">
        <v>28</v>
      </c>
      <c r="AM49" s="183" t="s">
        <v>28</v>
      </c>
      <c r="AN49" s="184" t="s">
        <v>28</v>
      </c>
      <c r="AO49" s="184" t="s">
        <v>28</v>
      </c>
      <c r="AP49" s="185" t="s">
        <v>28</v>
      </c>
      <c r="AQ49" s="184" t="s">
        <v>28</v>
      </c>
      <c r="AR49" s="184" t="s">
        <v>28</v>
      </c>
      <c r="AS49" s="184" t="s">
        <v>28</v>
      </c>
      <c r="AT49" s="185" t="s">
        <v>28</v>
      </c>
      <c r="AU49" s="45">
        <f t="shared" si="13"/>
        <v>-1632.1</v>
      </c>
      <c r="AV49" s="45">
        <f t="shared" si="13"/>
        <v>-1718.3</v>
      </c>
      <c r="AW49" s="45">
        <f t="shared" si="13"/>
        <v>-1680.6999999999998</v>
      </c>
      <c r="AX49" s="613">
        <f t="shared" si="13"/>
        <v>-1731</v>
      </c>
      <c r="AY49" s="614">
        <f t="shared" si="13"/>
        <v>-1759.1999999999998</v>
      </c>
      <c r="AZ49" s="45">
        <f t="shared" si="13"/>
        <v>-1896.2999999999997</v>
      </c>
      <c r="BA49" s="45">
        <f t="shared" si="13"/>
        <v>-2002.7</v>
      </c>
      <c r="BB49" s="46">
        <f t="shared" si="13"/>
        <v>-1909</v>
      </c>
      <c r="BC49" s="614">
        <f t="shared" si="13"/>
        <v>-2088.3999999999996</v>
      </c>
      <c r="BD49" s="45">
        <f t="shared" si="13"/>
        <v>-2264.1999999999998</v>
      </c>
      <c r="BE49" s="45">
        <f t="shared" si="13"/>
        <v>-2397.8000000000002</v>
      </c>
      <c r="BF49" s="46">
        <f t="shared" si="13"/>
        <v>-2518.5</v>
      </c>
      <c r="BG49" s="45">
        <f t="shared" si="13"/>
        <v>-2635.6</v>
      </c>
      <c r="BH49" s="45">
        <f t="shared" si="13"/>
        <v>-2334.6999999999998</v>
      </c>
      <c r="BI49" s="45">
        <f t="shared" si="13"/>
        <v>-2391.6999999999998</v>
      </c>
      <c r="BJ49" s="46">
        <f t="shared" si="13"/>
        <v>-2480.1</v>
      </c>
      <c r="BK49" s="45">
        <f t="shared" si="13"/>
        <v>-2287.1</v>
      </c>
      <c r="BL49" s="45">
        <f t="shared" si="13"/>
        <v>-2411.1999999999998</v>
      </c>
      <c r="BM49" s="45">
        <f t="shared" si="13"/>
        <v>-2024.5</v>
      </c>
      <c r="BN49" s="46">
        <f t="shared" si="13"/>
        <v>-2098.4</v>
      </c>
      <c r="BO49" s="45">
        <f t="shared" si="13"/>
        <v>-2254.3999999999996</v>
      </c>
      <c r="BP49" s="45">
        <f t="shared" si="13"/>
        <v>-2415.9</v>
      </c>
      <c r="BQ49" s="45">
        <f t="shared" si="13"/>
        <v>-2603</v>
      </c>
      <c r="BR49" s="45">
        <f t="shared" si="13"/>
        <v>-2578.6</v>
      </c>
      <c r="BS49" s="44">
        <f t="shared" si="13"/>
        <v>-2785.2</v>
      </c>
      <c r="BT49" s="822"/>
    </row>
    <row r="50" spans="1:72">
      <c r="A50" s="163" t="s">
        <v>384</v>
      </c>
      <c r="B50" s="163" t="s">
        <v>384</v>
      </c>
      <c r="C50" s="183"/>
      <c r="D50" s="184"/>
      <c r="E50" s="184"/>
      <c r="F50" s="185"/>
      <c r="G50" s="183" t="s">
        <v>28</v>
      </c>
      <c r="H50" s="184" t="s">
        <v>28</v>
      </c>
      <c r="I50" s="184" t="s">
        <v>28</v>
      </c>
      <c r="J50" s="185" t="s">
        <v>28</v>
      </c>
      <c r="K50" s="184" t="s">
        <v>28</v>
      </c>
      <c r="L50" s="184" t="s">
        <v>28</v>
      </c>
      <c r="M50" s="184" t="s">
        <v>28</v>
      </c>
      <c r="N50" s="184" t="s">
        <v>28</v>
      </c>
      <c r="O50" s="183" t="s">
        <v>28</v>
      </c>
      <c r="P50" s="184" t="s">
        <v>28</v>
      </c>
      <c r="Q50" s="184" t="s">
        <v>28</v>
      </c>
      <c r="R50" s="185" t="s">
        <v>28</v>
      </c>
      <c r="S50" s="184" t="s">
        <v>28</v>
      </c>
      <c r="T50" s="184" t="s">
        <v>28</v>
      </c>
      <c r="U50" s="184" t="s">
        <v>28</v>
      </c>
      <c r="V50" s="184" t="s">
        <v>28</v>
      </c>
      <c r="W50" s="183" t="s">
        <v>28</v>
      </c>
      <c r="X50" s="184" t="s">
        <v>28</v>
      </c>
      <c r="Y50" s="184" t="s">
        <v>28</v>
      </c>
      <c r="Z50" s="185" t="s">
        <v>28</v>
      </c>
      <c r="AA50" s="184" t="s">
        <v>28</v>
      </c>
      <c r="AB50" s="184" t="s">
        <v>28</v>
      </c>
      <c r="AC50" s="184" t="s">
        <v>28</v>
      </c>
      <c r="AD50" s="184" t="s">
        <v>28</v>
      </c>
      <c r="AE50" s="183" t="s">
        <v>28</v>
      </c>
      <c r="AF50" s="184" t="s">
        <v>28</v>
      </c>
      <c r="AG50" s="184" t="s">
        <v>28</v>
      </c>
      <c r="AH50" s="185" t="s">
        <v>28</v>
      </c>
      <c r="AI50" s="184" t="s">
        <v>28</v>
      </c>
      <c r="AJ50" s="184" t="s">
        <v>28</v>
      </c>
      <c r="AK50" s="184" t="s">
        <v>28</v>
      </c>
      <c r="AL50" s="184" t="s">
        <v>28</v>
      </c>
      <c r="AM50" s="183" t="s">
        <v>28</v>
      </c>
      <c r="AN50" s="184" t="s">
        <v>28</v>
      </c>
      <c r="AO50" s="184" t="s">
        <v>28</v>
      </c>
      <c r="AP50" s="185" t="s">
        <v>28</v>
      </c>
      <c r="AQ50" s="184" t="s">
        <v>28</v>
      </c>
      <c r="AR50" s="184" t="s">
        <v>28</v>
      </c>
      <c r="AS50" s="184" t="s">
        <v>28</v>
      </c>
      <c r="AT50" s="185" t="s">
        <v>28</v>
      </c>
      <c r="AU50" s="45">
        <f t="shared" si="13"/>
        <v>0</v>
      </c>
      <c r="AV50" s="45">
        <f t="shared" si="13"/>
        <v>0</v>
      </c>
      <c r="AW50" s="45">
        <f t="shared" si="13"/>
        <v>0</v>
      </c>
      <c r="AX50" s="613">
        <f t="shared" si="13"/>
        <v>0</v>
      </c>
      <c r="AY50" s="614">
        <f t="shared" si="13"/>
        <v>0</v>
      </c>
      <c r="AZ50" s="45">
        <f t="shared" si="13"/>
        <v>0</v>
      </c>
      <c r="BA50" s="45">
        <f t="shared" si="13"/>
        <v>0</v>
      </c>
      <c r="BB50" s="46">
        <f t="shared" si="13"/>
        <v>0</v>
      </c>
      <c r="BC50" s="614">
        <f t="shared" si="13"/>
        <v>0</v>
      </c>
      <c r="BD50" s="45">
        <f t="shared" si="13"/>
        <v>0</v>
      </c>
      <c r="BE50" s="45">
        <f t="shared" si="13"/>
        <v>0</v>
      </c>
      <c r="BF50" s="46">
        <f t="shared" si="13"/>
        <v>0</v>
      </c>
      <c r="BG50" s="45">
        <f t="shared" si="13"/>
        <v>0</v>
      </c>
      <c r="BH50" s="45">
        <f t="shared" si="13"/>
        <v>0</v>
      </c>
      <c r="BI50" s="45">
        <f t="shared" si="13"/>
        <v>0</v>
      </c>
      <c r="BJ50" s="46">
        <f t="shared" si="13"/>
        <v>0</v>
      </c>
      <c r="BK50" s="45">
        <f t="shared" si="13"/>
        <v>0</v>
      </c>
      <c r="BL50" s="45">
        <f t="shared" si="13"/>
        <v>0</v>
      </c>
      <c r="BM50" s="45">
        <f t="shared" si="13"/>
        <v>0</v>
      </c>
      <c r="BN50" s="46">
        <f t="shared" si="13"/>
        <v>0</v>
      </c>
      <c r="BO50" s="45">
        <f t="shared" si="13"/>
        <v>0</v>
      </c>
      <c r="BP50" s="45">
        <f t="shared" si="13"/>
        <v>0</v>
      </c>
      <c r="BQ50" s="45">
        <f t="shared" si="13"/>
        <v>0</v>
      </c>
      <c r="BR50" s="45">
        <f t="shared" si="13"/>
        <v>0</v>
      </c>
      <c r="BS50" s="44">
        <f t="shared" si="13"/>
        <v>0</v>
      </c>
      <c r="BT50" s="822"/>
    </row>
    <row r="51" spans="1:72">
      <c r="A51" s="159" t="s">
        <v>393</v>
      </c>
      <c r="B51" s="159" t="s">
        <v>394</v>
      </c>
      <c r="C51" s="183" t="s">
        <v>28</v>
      </c>
      <c r="D51" s="184" t="s">
        <v>28</v>
      </c>
      <c r="E51" s="184" t="s">
        <v>28</v>
      </c>
      <c r="F51" s="185" t="s">
        <v>28</v>
      </c>
      <c r="G51" s="183" t="s">
        <v>28</v>
      </c>
      <c r="H51" s="184" t="s">
        <v>28</v>
      </c>
      <c r="I51" s="184" t="s">
        <v>28</v>
      </c>
      <c r="J51" s="185" t="s">
        <v>28</v>
      </c>
      <c r="K51" s="184" t="s">
        <v>28</v>
      </c>
      <c r="L51" s="184" t="s">
        <v>28</v>
      </c>
      <c r="M51" s="184" t="s">
        <v>28</v>
      </c>
      <c r="N51" s="184" t="s">
        <v>28</v>
      </c>
      <c r="O51" s="183" t="s">
        <v>28</v>
      </c>
      <c r="P51" s="184" t="s">
        <v>28</v>
      </c>
      <c r="Q51" s="184" t="s">
        <v>28</v>
      </c>
      <c r="R51" s="185" t="s">
        <v>28</v>
      </c>
      <c r="S51" s="184" t="s">
        <v>28</v>
      </c>
      <c r="T51" s="184" t="s">
        <v>28</v>
      </c>
      <c r="U51" s="184" t="s">
        <v>28</v>
      </c>
      <c r="V51" s="184" t="s">
        <v>28</v>
      </c>
      <c r="W51" s="183" t="s">
        <v>28</v>
      </c>
      <c r="X51" s="184" t="s">
        <v>28</v>
      </c>
      <c r="Y51" s="184" t="s">
        <v>28</v>
      </c>
      <c r="Z51" s="185" t="s">
        <v>28</v>
      </c>
      <c r="AA51" s="184" t="s">
        <v>28</v>
      </c>
      <c r="AB51" s="184" t="s">
        <v>28</v>
      </c>
      <c r="AC51" s="184" t="s">
        <v>28</v>
      </c>
      <c r="AD51" s="184" t="s">
        <v>28</v>
      </c>
      <c r="AE51" s="183" t="s">
        <v>28</v>
      </c>
      <c r="AF51" s="184" t="s">
        <v>28</v>
      </c>
      <c r="AG51" s="184" t="s">
        <v>28</v>
      </c>
      <c r="AH51" s="185" t="s">
        <v>28</v>
      </c>
      <c r="AI51" s="184" t="s">
        <v>28</v>
      </c>
      <c r="AJ51" s="184" t="s">
        <v>28</v>
      </c>
      <c r="AK51" s="184" t="s">
        <v>28</v>
      </c>
      <c r="AL51" s="184" t="s">
        <v>28</v>
      </c>
      <c r="AM51" s="183" t="s">
        <v>28</v>
      </c>
      <c r="AN51" s="184" t="s">
        <v>28</v>
      </c>
      <c r="AO51" s="184" t="s">
        <v>28</v>
      </c>
      <c r="AP51" s="185" t="s">
        <v>28</v>
      </c>
      <c r="AQ51" s="184" t="s">
        <v>28</v>
      </c>
      <c r="AR51" s="184" t="s">
        <v>28</v>
      </c>
      <c r="AS51" s="184" t="s">
        <v>28</v>
      </c>
      <c r="AT51" s="185" t="s">
        <v>28</v>
      </c>
      <c r="AU51" s="45">
        <f t="shared" ref="AU51:BP51" si="14">SUM(AU52:AU55)</f>
        <v>89281</v>
      </c>
      <c r="AV51" s="45">
        <f t="shared" si="14"/>
        <v>93666.300000000017</v>
      </c>
      <c r="AW51" s="45">
        <f t="shared" si="14"/>
        <v>98194.9</v>
      </c>
      <c r="AX51" s="613">
        <f t="shared" si="14"/>
        <v>101956.8</v>
      </c>
      <c r="AY51" s="614">
        <f t="shared" si="14"/>
        <v>105954.29999999999</v>
      </c>
      <c r="AZ51" s="45">
        <f t="shared" si="14"/>
        <v>108857.19999999998</v>
      </c>
      <c r="BA51" s="45">
        <f t="shared" si="14"/>
        <v>113670.59999999999</v>
      </c>
      <c r="BB51" s="46">
        <f t="shared" si="14"/>
        <v>115831</v>
      </c>
      <c r="BC51" s="614">
        <f t="shared" si="14"/>
        <v>121103</v>
      </c>
      <c r="BD51" s="45">
        <f t="shared" si="14"/>
        <v>118415.20000000001</v>
      </c>
      <c r="BE51" s="45">
        <f t="shared" si="14"/>
        <v>120559.5</v>
      </c>
      <c r="BF51" s="46">
        <f t="shared" si="14"/>
        <v>122722.1</v>
      </c>
      <c r="BG51" s="45">
        <f t="shared" si="14"/>
        <v>127514.29999999999</v>
      </c>
      <c r="BH51" s="45">
        <f t="shared" si="14"/>
        <v>131611.69999999998</v>
      </c>
      <c r="BI51" s="45">
        <f t="shared" si="14"/>
        <v>138129.69999999998</v>
      </c>
      <c r="BJ51" s="46">
        <f t="shared" si="14"/>
        <v>143286.70000000001</v>
      </c>
      <c r="BK51" s="45">
        <f t="shared" si="14"/>
        <v>147030.9</v>
      </c>
      <c r="BL51" s="45">
        <f t="shared" si="14"/>
        <v>150563.29999999999</v>
      </c>
      <c r="BM51" s="45">
        <f t="shared" si="14"/>
        <v>152838.30000000002</v>
      </c>
      <c r="BN51" s="46">
        <f t="shared" si="14"/>
        <v>153091.20000000001</v>
      </c>
      <c r="BO51" s="45">
        <f t="shared" si="14"/>
        <v>154610.89999999997</v>
      </c>
      <c r="BP51" s="45">
        <f t="shared" si="14"/>
        <v>154550.00000000003</v>
      </c>
      <c r="BQ51" s="45">
        <f>SUM(BQ52:BQ55)</f>
        <v>156543.20000000001</v>
      </c>
      <c r="BR51" s="45">
        <f>SUM(BR52:BR55)</f>
        <v>154747.70000000001</v>
      </c>
      <c r="BS51" s="44">
        <f>SUM(BS52:BS55)</f>
        <v>156517.6</v>
      </c>
      <c r="BT51" s="822"/>
    </row>
    <row r="52" spans="1:72">
      <c r="A52" s="163" t="s">
        <v>378</v>
      </c>
      <c r="B52" s="163" t="s">
        <v>379</v>
      </c>
      <c r="C52" s="183" t="s">
        <v>28</v>
      </c>
      <c r="D52" s="184" t="s">
        <v>28</v>
      </c>
      <c r="E52" s="184" t="s">
        <v>28</v>
      </c>
      <c r="F52" s="185" t="s">
        <v>28</v>
      </c>
      <c r="G52" s="183" t="s">
        <v>28</v>
      </c>
      <c r="H52" s="184" t="s">
        <v>28</v>
      </c>
      <c r="I52" s="184" t="s">
        <v>28</v>
      </c>
      <c r="J52" s="185" t="s">
        <v>28</v>
      </c>
      <c r="K52" s="184" t="s">
        <v>28</v>
      </c>
      <c r="L52" s="184" t="s">
        <v>28</v>
      </c>
      <c r="M52" s="184" t="s">
        <v>28</v>
      </c>
      <c r="N52" s="184" t="s">
        <v>28</v>
      </c>
      <c r="O52" s="183" t="s">
        <v>28</v>
      </c>
      <c r="P52" s="184" t="s">
        <v>28</v>
      </c>
      <c r="Q52" s="184" t="s">
        <v>28</v>
      </c>
      <c r="R52" s="185" t="s">
        <v>28</v>
      </c>
      <c r="S52" s="184" t="s">
        <v>28</v>
      </c>
      <c r="T52" s="184" t="s">
        <v>28</v>
      </c>
      <c r="U52" s="184" t="s">
        <v>28</v>
      </c>
      <c r="V52" s="184" t="s">
        <v>28</v>
      </c>
      <c r="W52" s="183" t="s">
        <v>28</v>
      </c>
      <c r="X52" s="184" t="s">
        <v>28</v>
      </c>
      <c r="Y52" s="184" t="s">
        <v>28</v>
      </c>
      <c r="Z52" s="185" t="s">
        <v>28</v>
      </c>
      <c r="AA52" s="184" t="s">
        <v>28</v>
      </c>
      <c r="AB52" s="184" t="s">
        <v>28</v>
      </c>
      <c r="AC52" s="184" t="s">
        <v>28</v>
      </c>
      <c r="AD52" s="184" t="s">
        <v>28</v>
      </c>
      <c r="AE52" s="183" t="s">
        <v>28</v>
      </c>
      <c r="AF52" s="184" t="s">
        <v>28</v>
      </c>
      <c r="AG52" s="184" t="s">
        <v>28</v>
      </c>
      <c r="AH52" s="185" t="s">
        <v>28</v>
      </c>
      <c r="AI52" s="184" t="s">
        <v>28</v>
      </c>
      <c r="AJ52" s="184" t="s">
        <v>28</v>
      </c>
      <c r="AK52" s="184" t="s">
        <v>28</v>
      </c>
      <c r="AL52" s="184" t="s">
        <v>28</v>
      </c>
      <c r="AM52" s="183" t="s">
        <v>28</v>
      </c>
      <c r="AN52" s="184" t="s">
        <v>28</v>
      </c>
      <c r="AO52" s="184" t="s">
        <v>28</v>
      </c>
      <c r="AP52" s="185" t="s">
        <v>28</v>
      </c>
      <c r="AQ52" s="184" t="s">
        <v>28</v>
      </c>
      <c r="AR52" s="184" t="s">
        <v>28</v>
      </c>
      <c r="AS52" s="184" t="s">
        <v>28</v>
      </c>
      <c r="AT52" s="185" t="s">
        <v>28</v>
      </c>
      <c r="AU52" s="45">
        <f t="shared" ref="AU52:BS55" si="15">AU18+AU35</f>
        <v>78538.399999999994</v>
      </c>
      <c r="AV52" s="45">
        <f t="shared" si="15"/>
        <v>82700.700000000012</v>
      </c>
      <c r="AW52" s="45">
        <f t="shared" si="15"/>
        <v>86951</v>
      </c>
      <c r="AX52" s="613">
        <f t="shared" si="15"/>
        <v>90252</v>
      </c>
      <c r="AY52" s="614">
        <f t="shared" si="15"/>
        <v>94335.099999999991</v>
      </c>
      <c r="AZ52" s="45">
        <f t="shared" si="15"/>
        <v>97566.299999999988</v>
      </c>
      <c r="BA52" s="45">
        <f t="shared" si="15"/>
        <v>102492.8</v>
      </c>
      <c r="BB52" s="46">
        <f t="shared" si="15"/>
        <v>105655.2</v>
      </c>
      <c r="BC52" s="614">
        <f t="shared" si="15"/>
        <v>109300</v>
      </c>
      <c r="BD52" s="45">
        <f t="shared" si="15"/>
        <v>103401.60000000001</v>
      </c>
      <c r="BE52" s="45">
        <f t="shared" si="15"/>
        <v>106993.7</v>
      </c>
      <c r="BF52" s="46">
        <f t="shared" si="15"/>
        <v>111525.8</v>
      </c>
      <c r="BG52" s="45">
        <f t="shared" si="15"/>
        <v>117548.4</v>
      </c>
      <c r="BH52" s="45">
        <f t="shared" si="15"/>
        <v>122232.1</v>
      </c>
      <c r="BI52" s="45">
        <f t="shared" si="15"/>
        <v>128668.7</v>
      </c>
      <c r="BJ52" s="46">
        <f t="shared" si="15"/>
        <v>134481</v>
      </c>
      <c r="BK52" s="45">
        <f t="shared" si="15"/>
        <v>137646</v>
      </c>
      <c r="BL52" s="45">
        <f t="shared" si="15"/>
        <v>140591.29999999999</v>
      </c>
      <c r="BM52" s="45">
        <f t="shared" si="15"/>
        <v>137549.70000000001</v>
      </c>
      <c r="BN52" s="46">
        <f t="shared" si="15"/>
        <v>132076.5</v>
      </c>
      <c r="BO52" s="45">
        <f t="shared" si="15"/>
        <v>135533.19999999998</v>
      </c>
      <c r="BP52" s="45">
        <f t="shared" si="15"/>
        <v>134494.10000000003</v>
      </c>
      <c r="BQ52" s="45">
        <f t="shared" si="15"/>
        <v>136349.1</v>
      </c>
      <c r="BR52" s="45">
        <f t="shared" si="15"/>
        <v>135476.1</v>
      </c>
      <c r="BS52" s="44">
        <f t="shared" si="15"/>
        <v>136332.29999999999</v>
      </c>
      <c r="BT52" s="822"/>
    </row>
    <row r="53" spans="1:72">
      <c r="A53" s="163" t="s">
        <v>380</v>
      </c>
      <c r="B53" s="163" t="s">
        <v>381</v>
      </c>
      <c r="C53" s="183" t="s">
        <v>28</v>
      </c>
      <c r="D53" s="184" t="s">
        <v>28</v>
      </c>
      <c r="E53" s="184" t="s">
        <v>28</v>
      </c>
      <c r="F53" s="185" t="s">
        <v>28</v>
      </c>
      <c r="G53" s="183" t="s">
        <v>28</v>
      </c>
      <c r="H53" s="184" t="s">
        <v>28</v>
      </c>
      <c r="I53" s="184" t="s">
        <v>28</v>
      </c>
      <c r="J53" s="185" t="s">
        <v>28</v>
      </c>
      <c r="K53" s="184" t="s">
        <v>28</v>
      </c>
      <c r="L53" s="184" t="s">
        <v>28</v>
      </c>
      <c r="M53" s="184" t="s">
        <v>28</v>
      </c>
      <c r="N53" s="184" t="s">
        <v>28</v>
      </c>
      <c r="O53" s="183" t="s">
        <v>28</v>
      </c>
      <c r="P53" s="184" t="s">
        <v>28</v>
      </c>
      <c r="Q53" s="184" t="s">
        <v>28</v>
      </c>
      <c r="R53" s="185" t="s">
        <v>28</v>
      </c>
      <c r="S53" s="184" t="s">
        <v>28</v>
      </c>
      <c r="T53" s="184" t="s">
        <v>28</v>
      </c>
      <c r="U53" s="184" t="s">
        <v>28</v>
      </c>
      <c r="V53" s="184" t="s">
        <v>28</v>
      </c>
      <c r="W53" s="183" t="s">
        <v>28</v>
      </c>
      <c r="X53" s="184" t="s">
        <v>28</v>
      </c>
      <c r="Y53" s="184" t="s">
        <v>28</v>
      </c>
      <c r="Z53" s="185" t="s">
        <v>28</v>
      </c>
      <c r="AA53" s="184" t="s">
        <v>28</v>
      </c>
      <c r="AB53" s="184" t="s">
        <v>28</v>
      </c>
      <c r="AC53" s="184" t="s">
        <v>28</v>
      </c>
      <c r="AD53" s="184" t="s">
        <v>28</v>
      </c>
      <c r="AE53" s="183" t="s">
        <v>28</v>
      </c>
      <c r="AF53" s="184" t="s">
        <v>28</v>
      </c>
      <c r="AG53" s="184" t="s">
        <v>28</v>
      </c>
      <c r="AH53" s="185" t="s">
        <v>28</v>
      </c>
      <c r="AI53" s="184" t="s">
        <v>28</v>
      </c>
      <c r="AJ53" s="184" t="s">
        <v>28</v>
      </c>
      <c r="AK53" s="184" t="s">
        <v>28</v>
      </c>
      <c r="AL53" s="184" t="s">
        <v>28</v>
      </c>
      <c r="AM53" s="183" t="s">
        <v>28</v>
      </c>
      <c r="AN53" s="184" t="s">
        <v>28</v>
      </c>
      <c r="AO53" s="184" t="s">
        <v>28</v>
      </c>
      <c r="AP53" s="185" t="s">
        <v>28</v>
      </c>
      <c r="AQ53" s="184" t="s">
        <v>28</v>
      </c>
      <c r="AR53" s="184" t="s">
        <v>28</v>
      </c>
      <c r="AS53" s="184" t="s">
        <v>28</v>
      </c>
      <c r="AT53" s="185" t="s">
        <v>28</v>
      </c>
      <c r="AU53" s="45">
        <f t="shared" si="15"/>
        <v>9633.5999999999985</v>
      </c>
      <c r="AV53" s="45">
        <f t="shared" si="15"/>
        <v>9811</v>
      </c>
      <c r="AW53" s="45">
        <f t="shared" si="15"/>
        <v>10079</v>
      </c>
      <c r="AX53" s="613">
        <f t="shared" si="15"/>
        <v>10530.8</v>
      </c>
      <c r="AY53" s="614">
        <f t="shared" si="15"/>
        <v>10307.9</v>
      </c>
      <c r="AZ53" s="45">
        <f t="shared" si="15"/>
        <v>9876.5</v>
      </c>
      <c r="BA53" s="45">
        <f t="shared" si="15"/>
        <v>9775.9</v>
      </c>
      <c r="BB53" s="46">
        <f t="shared" si="15"/>
        <v>8554.5</v>
      </c>
      <c r="BC53" s="614">
        <f t="shared" si="15"/>
        <v>10187.199999999999</v>
      </c>
      <c r="BD53" s="45">
        <f t="shared" si="15"/>
        <v>13363.1</v>
      </c>
      <c r="BE53" s="45">
        <f t="shared" si="15"/>
        <v>11954.4</v>
      </c>
      <c r="BF53" s="46">
        <f t="shared" si="15"/>
        <v>9562.2999999999993</v>
      </c>
      <c r="BG53" s="45">
        <f t="shared" si="15"/>
        <v>8378</v>
      </c>
      <c r="BH53" s="45">
        <f t="shared" si="15"/>
        <v>7891.7</v>
      </c>
      <c r="BI53" s="45">
        <f t="shared" si="15"/>
        <v>8038.6</v>
      </c>
      <c r="BJ53" s="46">
        <f t="shared" si="15"/>
        <v>7479.2</v>
      </c>
      <c r="BK53" s="45">
        <f t="shared" si="15"/>
        <v>8132.4</v>
      </c>
      <c r="BL53" s="45">
        <f t="shared" si="15"/>
        <v>8729.7999999999993</v>
      </c>
      <c r="BM53" s="45">
        <f t="shared" si="15"/>
        <v>13846.4</v>
      </c>
      <c r="BN53" s="46">
        <f t="shared" si="15"/>
        <v>19532.099999999999</v>
      </c>
      <c r="BO53" s="45">
        <f t="shared" si="15"/>
        <v>17450.3</v>
      </c>
      <c r="BP53" s="45">
        <f t="shared" si="15"/>
        <v>18330.3</v>
      </c>
      <c r="BQ53" s="45">
        <f t="shared" si="15"/>
        <v>18407.400000000001</v>
      </c>
      <c r="BR53" s="45">
        <f t="shared" si="15"/>
        <v>17618.599999999999</v>
      </c>
      <c r="BS53" s="44">
        <f t="shared" si="15"/>
        <v>18457.599999999999</v>
      </c>
      <c r="BT53" s="822"/>
    </row>
    <row r="54" spans="1:72">
      <c r="A54" s="163" t="s">
        <v>382</v>
      </c>
      <c r="B54" s="163" t="s">
        <v>383</v>
      </c>
      <c r="C54" s="183" t="s">
        <v>28</v>
      </c>
      <c r="D54" s="184" t="s">
        <v>28</v>
      </c>
      <c r="E54" s="184" t="s">
        <v>28</v>
      </c>
      <c r="F54" s="185" t="s">
        <v>28</v>
      </c>
      <c r="G54" s="183" t="s">
        <v>28</v>
      </c>
      <c r="H54" s="184" t="s">
        <v>28</v>
      </c>
      <c r="I54" s="184" t="s">
        <v>28</v>
      </c>
      <c r="J54" s="185" t="s">
        <v>28</v>
      </c>
      <c r="K54" s="184" t="s">
        <v>28</v>
      </c>
      <c r="L54" s="184" t="s">
        <v>28</v>
      </c>
      <c r="M54" s="184" t="s">
        <v>28</v>
      </c>
      <c r="N54" s="184" t="s">
        <v>28</v>
      </c>
      <c r="O54" s="183" t="s">
        <v>28</v>
      </c>
      <c r="P54" s="184" t="s">
        <v>28</v>
      </c>
      <c r="Q54" s="184" t="s">
        <v>28</v>
      </c>
      <c r="R54" s="185" t="s">
        <v>28</v>
      </c>
      <c r="S54" s="184" t="s">
        <v>28</v>
      </c>
      <c r="T54" s="184" t="s">
        <v>28</v>
      </c>
      <c r="U54" s="184" t="s">
        <v>28</v>
      </c>
      <c r="V54" s="184" t="s">
        <v>28</v>
      </c>
      <c r="W54" s="183" t="s">
        <v>28</v>
      </c>
      <c r="X54" s="184" t="s">
        <v>28</v>
      </c>
      <c r="Y54" s="184" t="s">
        <v>28</v>
      </c>
      <c r="Z54" s="185" t="s">
        <v>28</v>
      </c>
      <c r="AA54" s="184" t="s">
        <v>28</v>
      </c>
      <c r="AB54" s="184" t="s">
        <v>28</v>
      </c>
      <c r="AC54" s="184" t="s">
        <v>28</v>
      </c>
      <c r="AD54" s="184" t="s">
        <v>28</v>
      </c>
      <c r="AE54" s="183" t="s">
        <v>28</v>
      </c>
      <c r="AF54" s="184" t="s">
        <v>28</v>
      </c>
      <c r="AG54" s="184" t="s">
        <v>28</v>
      </c>
      <c r="AH54" s="185" t="s">
        <v>28</v>
      </c>
      <c r="AI54" s="184" t="s">
        <v>28</v>
      </c>
      <c r="AJ54" s="184" t="s">
        <v>28</v>
      </c>
      <c r="AK54" s="184" t="s">
        <v>28</v>
      </c>
      <c r="AL54" s="184" t="s">
        <v>28</v>
      </c>
      <c r="AM54" s="183" t="s">
        <v>28</v>
      </c>
      <c r="AN54" s="184" t="s">
        <v>28</v>
      </c>
      <c r="AO54" s="184" t="s">
        <v>28</v>
      </c>
      <c r="AP54" s="185" t="s">
        <v>28</v>
      </c>
      <c r="AQ54" s="184" t="s">
        <v>28</v>
      </c>
      <c r="AR54" s="184" t="s">
        <v>28</v>
      </c>
      <c r="AS54" s="184" t="s">
        <v>28</v>
      </c>
      <c r="AT54" s="185" t="s">
        <v>28</v>
      </c>
      <c r="AU54" s="45">
        <f t="shared" si="15"/>
        <v>1109</v>
      </c>
      <c r="AV54" s="45">
        <f t="shared" si="15"/>
        <v>1154.6000000000001</v>
      </c>
      <c r="AW54" s="45">
        <f t="shared" si="15"/>
        <v>1164.9000000000001</v>
      </c>
      <c r="AX54" s="613">
        <f t="shared" si="15"/>
        <v>1174</v>
      </c>
      <c r="AY54" s="614">
        <f t="shared" si="15"/>
        <v>1311.2999999999997</v>
      </c>
      <c r="AZ54" s="45">
        <f t="shared" si="15"/>
        <v>1414.4000000000005</v>
      </c>
      <c r="BA54" s="45">
        <f t="shared" si="15"/>
        <v>1401.9</v>
      </c>
      <c r="BB54" s="46">
        <f t="shared" si="15"/>
        <v>1619.8000000000004</v>
      </c>
      <c r="BC54" s="614">
        <f t="shared" si="15"/>
        <v>1614.5</v>
      </c>
      <c r="BD54" s="45">
        <f t="shared" si="15"/>
        <v>1646.6000000000001</v>
      </c>
      <c r="BE54" s="45">
        <f t="shared" si="15"/>
        <v>1608.1</v>
      </c>
      <c r="BF54" s="46">
        <f t="shared" si="15"/>
        <v>1630.5</v>
      </c>
      <c r="BG54" s="45">
        <f t="shared" si="15"/>
        <v>1584.2</v>
      </c>
      <c r="BH54" s="45">
        <f t="shared" si="15"/>
        <v>1484.1</v>
      </c>
      <c r="BI54" s="45">
        <f t="shared" si="15"/>
        <v>1418.6</v>
      </c>
      <c r="BJ54" s="46">
        <f t="shared" si="15"/>
        <v>1273.2</v>
      </c>
      <c r="BK54" s="45">
        <f t="shared" si="15"/>
        <v>1198.4000000000001</v>
      </c>
      <c r="BL54" s="45">
        <f t="shared" si="15"/>
        <v>1188.5</v>
      </c>
      <c r="BM54" s="45">
        <f t="shared" si="15"/>
        <v>1386</v>
      </c>
      <c r="BN54" s="46">
        <f t="shared" si="15"/>
        <v>1427.7</v>
      </c>
      <c r="BO54" s="45">
        <f t="shared" si="15"/>
        <v>1571.4</v>
      </c>
      <c r="BP54" s="45">
        <f t="shared" si="15"/>
        <v>1671.1000000000004</v>
      </c>
      <c r="BQ54" s="45">
        <f t="shared" si="15"/>
        <v>1730.1000000000004</v>
      </c>
      <c r="BR54" s="45">
        <f t="shared" si="15"/>
        <v>1599.2000000000003</v>
      </c>
      <c r="BS54" s="44">
        <f t="shared" si="15"/>
        <v>1674.1000000000001</v>
      </c>
      <c r="BT54" s="822"/>
    </row>
    <row r="55" spans="1:72">
      <c r="A55" s="163" t="s">
        <v>384</v>
      </c>
      <c r="B55" s="163" t="s">
        <v>384</v>
      </c>
      <c r="C55" s="183"/>
      <c r="D55" s="184"/>
      <c r="E55" s="184"/>
      <c r="F55" s="185"/>
      <c r="G55" s="183" t="s">
        <v>28</v>
      </c>
      <c r="H55" s="184" t="s">
        <v>28</v>
      </c>
      <c r="I55" s="184" t="s">
        <v>28</v>
      </c>
      <c r="J55" s="185" t="s">
        <v>28</v>
      </c>
      <c r="K55" s="184" t="s">
        <v>28</v>
      </c>
      <c r="L55" s="184" t="s">
        <v>28</v>
      </c>
      <c r="M55" s="184" t="s">
        <v>28</v>
      </c>
      <c r="N55" s="184" t="s">
        <v>28</v>
      </c>
      <c r="O55" s="183" t="s">
        <v>28</v>
      </c>
      <c r="P55" s="184" t="s">
        <v>28</v>
      </c>
      <c r="Q55" s="184" t="s">
        <v>28</v>
      </c>
      <c r="R55" s="185" t="s">
        <v>28</v>
      </c>
      <c r="S55" s="184" t="s">
        <v>28</v>
      </c>
      <c r="T55" s="184" t="s">
        <v>28</v>
      </c>
      <c r="U55" s="184" t="s">
        <v>28</v>
      </c>
      <c r="V55" s="184" t="s">
        <v>28</v>
      </c>
      <c r="W55" s="183" t="s">
        <v>28</v>
      </c>
      <c r="X55" s="184" t="s">
        <v>28</v>
      </c>
      <c r="Y55" s="184" t="s">
        <v>28</v>
      </c>
      <c r="Z55" s="185" t="s">
        <v>28</v>
      </c>
      <c r="AA55" s="184" t="s">
        <v>28</v>
      </c>
      <c r="AB55" s="184" t="s">
        <v>28</v>
      </c>
      <c r="AC55" s="184" t="s">
        <v>28</v>
      </c>
      <c r="AD55" s="184" t="s">
        <v>28</v>
      </c>
      <c r="AE55" s="183" t="s">
        <v>28</v>
      </c>
      <c r="AF55" s="184" t="s">
        <v>28</v>
      </c>
      <c r="AG55" s="184" t="s">
        <v>28</v>
      </c>
      <c r="AH55" s="185" t="s">
        <v>28</v>
      </c>
      <c r="AI55" s="184" t="s">
        <v>28</v>
      </c>
      <c r="AJ55" s="184" t="s">
        <v>28</v>
      </c>
      <c r="AK55" s="184" t="s">
        <v>28</v>
      </c>
      <c r="AL55" s="184" t="s">
        <v>28</v>
      </c>
      <c r="AM55" s="183" t="s">
        <v>28</v>
      </c>
      <c r="AN55" s="184" t="s">
        <v>28</v>
      </c>
      <c r="AO55" s="184" t="s">
        <v>28</v>
      </c>
      <c r="AP55" s="185" t="s">
        <v>28</v>
      </c>
      <c r="AQ55" s="184" t="s">
        <v>28</v>
      </c>
      <c r="AR55" s="184" t="s">
        <v>28</v>
      </c>
      <c r="AS55" s="184" t="s">
        <v>28</v>
      </c>
      <c r="AT55" s="185" t="s">
        <v>28</v>
      </c>
      <c r="AU55" s="45">
        <f t="shared" si="15"/>
        <v>0</v>
      </c>
      <c r="AV55" s="45">
        <f t="shared" si="15"/>
        <v>0</v>
      </c>
      <c r="AW55" s="45">
        <f t="shared" si="15"/>
        <v>0</v>
      </c>
      <c r="AX55" s="613">
        <f t="shared" si="15"/>
        <v>0</v>
      </c>
      <c r="AY55" s="614">
        <f t="shared" si="15"/>
        <v>0</v>
      </c>
      <c r="AZ55" s="45">
        <f t="shared" si="15"/>
        <v>0</v>
      </c>
      <c r="BA55" s="45">
        <f t="shared" si="15"/>
        <v>0</v>
      </c>
      <c r="BB55" s="46">
        <f t="shared" si="15"/>
        <v>1.5</v>
      </c>
      <c r="BC55" s="614">
        <f t="shared" si="15"/>
        <v>1.3</v>
      </c>
      <c r="BD55" s="45">
        <f t="shared" si="15"/>
        <v>3.9000000000000004</v>
      </c>
      <c r="BE55" s="45">
        <f t="shared" si="15"/>
        <v>3.3</v>
      </c>
      <c r="BF55" s="46">
        <f t="shared" si="15"/>
        <v>3.5</v>
      </c>
      <c r="BG55" s="45">
        <f t="shared" si="15"/>
        <v>3.7</v>
      </c>
      <c r="BH55" s="45">
        <f t="shared" si="15"/>
        <v>3.8</v>
      </c>
      <c r="BI55" s="45">
        <f t="shared" si="15"/>
        <v>3.8</v>
      </c>
      <c r="BJ55" s="46">
        <f t="shared" si="15"/>
        <v>53.300000000000004</v>
      </c>
      <c r="BK55" s="45">
        <f t="shared" si="15"/>
        <v>54.1</v>
      </c>
      <c r="BL55" s="45">
        <f t="shared" si="15"/>
        <v>53.7</v>
      </c>
      <c r="BM55" s="45">
        <f t="shared" si="15"/>
        <v>56.2</v>
      </c>
      <c r="BN55" s="46">
        <f t="shared" si="15"/>
        <v>54.9</v>
      </c>
      <c r="BO55" s="45">
        <f t="shared" si="15"/>
        <v>56</v>
      </c>
      <c r="BP55" s="45">
        <f t="shared" si="15"/>
        <v>54.5</v>
      </c>
      <c r="BQ55" s="45">
        <f t="shared" si="15"/>
        <v>56.6</v>
      </c>
      <c r="BR55" s="45">
        <f t="shared" si="15"/>
        <v>53.800000000000004</v>
      </c>
      <c r="BS55" s="44">
        <f t="shared" si="15"/>
        <v>53.6</v>
      </c>
      <c r="BT55" s="822"/>
    </row>
    <row r="56" spans="1:72">
      <c r="A56" s="202"/>
      <c r="B56" s="202"/>
      <c r="C56" s="160"/>
      <c r="D56" s="161"/>
      <c r="E56" s="161"/>
      <c r="F56" s="162"/>
      <c r="G56" s="160"/>
      <c r="H56" s="161"/>
      <c r="I56" s="161"/>
      <c r="J56" s="162"/>
      <c r="K56" s="161"/>
      <c r="L56" s="161"/>
      <c r="M56" s="161"/>
      <c r="N56" s="161"/>
      <c r="O56" s="160"/>
      <c r="P56" s="161"/>
      <c r="Q56" s="161"/>
      <c r="R56" s="162"/>
      <c r="S56" s="161"/>
      <c r="T56" s="161"/>
      <c r="U56" s="161"/>
      <c r="V56" s="161"/>
      <c r="W56" s="160"/>
      <c r="X56" s="161"/>
      <c r="Y56" s="161"/>
      <c r="Z56" s="162"/>
      <c r="AA56" s="161"/>
      <c r="AB56" s="161"/>
      <c r="AC56" s="161"/>
      <c r="AD56" s="161"/>
      <c r="AE56" s="160"/>
      <c r="AF56" s="161"/>
      <c r="AG56" s="161"/>
      <c r="AH56" s="162"/>
      <c r="AI56" s="161"/>
      <c r="AJ56" s="161"/>
      <c r="AK56" s="161"/>
      <c r="AL56" s="161"/>
      <c r="AM56" s="160"/>
      <c r="AN56" s="161"/>
      <c r="AO56" s="161"/>
      <c r="AP56" s="162"/>
      <c r="AQ56" s="161"/>
      <c r="AR56" s="161"/>
      <c r="AS56" s="161"/>
      <c r="AT56" s="162"/>
      <c r="AU56" s="610"/>
      <c r="AV56" s="610"/>
      <c r="AW56" s="610"/>
      <c r="AX56" s="611"/>
      <c r="AY56" s="612"/>
      <c r="AZ56" s="610"/>
      <c r="BA56" s="610"/>
      <c r="BB56" s="843"/>
      <c r="BC56" s="612"/>
      <c r="BD56" s="610"/>
      <c r="BE56" s="610"/>
      <c r="BF56" s="843"/>
      <c r="BG56" s="610"/>
      <c r="BH56" s="610"/>
      <c r="BI56" s="610"/>
      <c r="BJ56" s="843"/>
      <c r="BK56" s="610"/>
      <c r="BL56" s="610"/>
      <c r="BM56" s="610"/>
      <c r="BN56" s="843"/>
      <c r="BO56" s="610"/>
      <c r="BP56" s="610"/>
      <c r="BQ56" s="610"/>
      <c r="BR56" s="610"/>
      <c r="BS56" s="609"/>
      <c r="BT56" s="822"/>
    </row>
    <row r="57" spans="1:72">
      <c r="A57" s="143" t="s">
        <v>397</v>
      </c>
      <c r="B57" s="143" t="s">
        <v>398</v>
      </c>
      <c r="C57" s="283" t="s">
        <v>28</v>
      </c>
      <c r="D57" s="284" t="s">
        <v>28</v>
      </c>
      <c r="E57" s="284" t="s">
        <v>28</v>
      </c>
      <c r="F57" s="285" t="s">
        <v>28</v>
      </c>
      <c r="G57" s="283" t="s">
        <v>28</v>
      </c>
      <c r="H57" s="284" t="s">
        <v>28</v>
      </c>
      <c r="I57" s="284" t="s">
        <v>28</v>
      </c>
      <c r="J57" s="285" t="s">
        <v>28</v>
      </c>
      <c r="K57" s="284" t="s">
        <v>28</v>
      </c>
      <c r="L57" s="284" t="s">
        <v>28</v>
      </c>
      <c r="M57" s="284" t="s">
        <v>28</v>
      </c>
      <c r="N57" s="284" t="s">
        <v>28</v>
      </c>
      <c r="O57" s="283" t="s">
        <v>28</v>
      </c>
      <c r="P57" s="284" t="s">
        <v>28</v>
      </c>
      <c r="Q57" s="284" t="s">
        <v>28</v>
      </c>
      <c r="R57" s="285" t="s">
        <v>28</v>
      </c>
      <c r="S57" s="284" t="s">
        <v>28</v>
      </c>
      <c r="T57" s="284" t="s">
        <v>28</v>
      </c>
      <c r="U57" s="284" t="s">
        <v>28</v>
      </c>
      <c r="V57" s="284" t="s">
        <v>28</v>
      </c>
      <c r="W57" s="283" t="s">
        <v>28</v>
      </c>
      <c r="X57" s="284" t="s">
        <v>28</v>
      </c>
      <c r="Y57" s="284" t="s">
        <v>28</v>
      </c>
      <c r="Z57" s="285" t="s">
        <v>28</v>
      </c>
      <c r="AA57" s="284" t="s">
        <v>28</v>
      </c>
      <c r="AB57" s="284" t="s">
        <v>28</v>
      </c>
      <c r="AC57" s="284" t="s">
        <v>28</v>
      </c>
      <c r="AD57" s="284" t="s">
        <v>28</v>
      </c>
      <c r="AE57" s="283" t="s">
        <v>28</v>
      </c>
      <c r="AF57" s="284" t="s">
        <v>28</v>
      </c>
      <c r="AG57" s="284" t="s">
        <v>28</v>
      </c>
      <c r="AH57" s="285" t="s">
        <v>28</v>
      </c>
      <c r="AI57" s="284" t="s">
        <v>28</v>
      </c>
      <c r="AJ57" s="284" t="s">
        <v>28</v>
      </c>
      <c r="AK57" s="284" t="s">
        <v>28</v>
      </c>
      <c r="AL57" s="284" t="s">
        <v>28</v>
      </c>
      <c r="AM57" s="283" t="s">
        <v>28</v>
      </c>
      <c r="AN57" s="284" t="s">
        <v>28</v>
      </c>
      <c r="AO57" s="284" t="s">
        <v>28</v>
      </c>
      <c r="AP57" s="285" t="s">
        <v>28</v>
      </c>
      <c r="AQ57" s="284" t="s">
        <v>28</v>
      </c>
      <c r="AR57" s="284" t="s">
        <v>28</v>
      </c>
      <c r="AS57" s="284" t="s">
        <v>28</v>
      </c>
      <c r="AT57" s="285" t="s">
        <v>28</v>
      </c>
      <c r="AU57" s="286">
        <f t="shared" ref="AU57:BP57" si="16">AU42/AU41</f>
        <v>0.86080125033929011</v>
      </c>
      <c r="AV57" s="286">
        <f t="shared" si="16"/>
        <v>0.86374153696001044</v>
      </c>
      <c r="AW57" s="286">
        <f t="shared" si="16"/>
        <v>0.86732112336004008</v>
      </c>
      <c r="AX57" s="287">
        <f t="shared" si="16"/>
        <v>0.86701500957527233</v>
      </c>
      <c r="AY57" s="288">
        <f t="shared" si="16"/>
        <v>0.87263982290992037</v>
      </c>
      <c r="AZ57" s="286">
        <f t="shared" si="16"/>
        <v>0.87794392523364495</v>
      </c>
      <c r="BA57" s="286">
        <f t="shared" si="16"/>
        <v>0.88306061244949685</v>
      </c>
      <c r="BB57" s="289">
        <f t="shared" si="16"/>
        <v>0.89432772221141887</v>
      </c>
      <c r="BC57" s="288">
        <f t="shared" si="16"/>
        <v>0.88391626005496127</v>
      </c>
      <c r="BD57" s="286">
        <f t="shared" si="16"/>
        <v>0.85337369672460472</v>
      </c>
      <c r="BE57" s="286">
        <f t="shared" si="16"/>
        <v>0.86707201572263004</v>
      </c>
      <c r="BF57" s="289">
        <f t="shared" si="16"/>
        <v>0.88789561910083459</v>
      </c>
      <c r="BG57" s="286">
        <f t="shared" si="16"/>
        <v>0.90055330497164721</v>
      </c>
      <c r="BH57" s="286">
        <f t="shared" si="16"/>
        <v>0.91019178399675538</v>
      </c>
      <c r="BI57" s="286">
        <f t="shared" si="16"/>
        <v>0.91350141325984879</v>
      </c>
      <c r="BJ57" s="289">
        <f t="shared" si="16"/>
        <v>0.92046737609144258</v>
      </c>
      <c r="BK57" s="286">
        <f t="shared" si="16"/>
        <v>0.91924121119852709</v>
      </c>
      <c r="BL57" s="286">
        <f t="shared" si="16"/>
        <v>0.91600421695875578</v>
      </c>
      <c r="BM57" s="286">
        <f t="shared" si="16"/>
        <v>0.88450635574197356</v>
      </c>
      <c r="BN57" s="289">
        <f t="shared" si="16"/>
        <v>0.84717102284210066</v>
      </c>
      <c r="BO57" s="286">
        <f t="shared" si="16"/>
        <v>0.86013738569654374</v>
      </c>
      <c r="BP57" s="286">
        <f t="shared" si="16"/>
        <v>0.85291613641021236</v>
      </c>
      <c r="BQ57" s="286">
        <f>BQ42/BQ41</f>
        <v>0.85297841103575978</v>
      </c>
      <c r="BR57" s="286">
        <f>BR42/BR41</f>
        <v>0.85805638719086441</v>
      </c>
      <c r="BS57" s="290">
        <f>BS42/BS41</f>
        <v>0.85250085646838003</v>
      </c>
    </row>
    <row r="58" spans="1:72">
      <c r="A58" s="143" t="s">
        <v>399</v>
      </c>
      <c r="B58" s="143" t="s">
        <v>400</v>
      </c>
      <c r="C58" s="283" t="s">
        <v>28</v>
      </c>
      <c r="D58" s="284" t="s">
        <v>28</v>
      </c>
      <c r="E58" s="284" t="s">
        <v>28</v>
      </c>
      <c r="F58" s="285" t="s">
        <v>28</v>
      </c>
      <c r="G58" s="283" t="s">
        <v>28</v>
      </c>
      <c r="H58" s="284" t="s">
        <v>28</v>
      </c>
      <c r="I58" s="284" t="s">
        <v>28</v>
      </c>
      <c r="J58" s="285" t="s">
        <v>28</v>
      </c>
      <c r="K58" s="284" t="s">
        <v>28</v>
      </c>
      <c r="L58" s="284" t="s">
        <v>28</v>
      </c>
      <c r="M58" s="284" t="s">
        <v>28</v>
      </c>
      <c r="N58" s="284" t="s">
        <v>28</v>
      </c>
      <c r="O58" s="283" t="s">
        <v>28</v>
      </c>
      <c r="P58" s="284" t="s">
        <v>28</v>
      </c>
      <c r="Q58" s="284" t="s">
        <v>28</v>
      </c>
      <c r="R58" s="285" t="s">
        <v>28</v>
      </c>
      <c r="S58" s="284" t="s">
        <v>28</v>
      </c>
      <c r="T58" s="284" t="s">
        <v>28</v>
      </c>
      <c r="U58" s="284" t="s">
        <v>28</v>
      </c>
      <c r="V58" s="284" t="s">
        <v>28</v>
      </c>
      <c r="W58" s="283" t="s">
        <v>28</v>
      </c>
      <c r="X58" s="284" t="s">
        <v>28</v>
      </c>
      <c r="Y58" s="284" t="s">
        <v>28</v>
      </c>
      <c r="Z58" s="285" t="s">
        <v>28</v>
      </c>
      <c r="AA58" s="284" t="s">
        <v>28</v>
      </c>
      <c r="AB58" s="284" t="s">
        <v>28</v>
      </c>
      <c r="AC58" s="284" t="s">
        <v>28</v>
      </c>
      <c r="AD58" s="284" t="s">
        <v>28</v>
      </c>
      <c r="AE58" s="283" t="s">
        <v>28</v>
      </c>
      <c r="AF58" s="284" t="s">
        <v>28</v>
      </c>
      <c r="AG58" s="284" t="s">
        <v>28</v>
      </c>
      <c r="AH58" s="285" t="s">
        <v>28</v>
      </c>
      <c r="AI58" s="284" t="s">
        <v>28</v>
      </c>
      <c r="AJ58" s="284" t="s">
        <v>28</v>
      </c>
      <c r="AK58" s="284" t="s">
        <v>28</v>
      </c>
      <c r="AL58" s="284" t="s">
        <v>28</v>
      </c>
      <c r="AM58" s="283" t="s">
        <v>28</v>
      </c>
      <c r="AN58" s="284" t="s">
        <v>28</v>
      </c>
      <c r="AO58" s="284" t="s">
        <v>28</v>
      </c>
      <c r="AP58" s="285" t="s">
        <v>28</v>
      </c>
      <c r="AQ58" s="284" t="s">
        <v>28</v>
      </c>
      <c r="AR58" s="284" t="s">
        <v>28</v>
      </c>
      <c r="AS58" s="284" t="s">
        <v>28</v>
      </c>
      <c r="AT58" s="285" t="s">
        <v>28</v>
      </c>
      <c r="AU58" s="286">
        <f t="shared" ref="AU58:BP58" si="17">AU43/AU41</f>
        <v>0.10919783029358454</v>
      </c>
      <c r="AV58" s="286">
        <f t="shared" si="17"/>
        <v>0.10630193436445215</v>
      </c>
      <c r="AW58" s="286">
        <f t="shared" si="17"/>
        <v>0.10433590839731152</v>
      </c>
      <c r="AX58" s="287">
        <f t="shared" si="17"/>
        <v>0.1051130803209923</v>
      </c>
      <c r="AY58" s="288">
        <f t="shared" si="17"/>
        <v>9.8992319752546909E-2</v>
      </c>
      <c r="AZ58" s="286">
        <f t="shared" si="17"/>
        <v>9.2304996405463705E-2</v>
      </c>
      <c r="BA58" s="286">
        <f t="shared" si="17"/>
        <v>8.7641290644590836E-2</v>
      </c>
      <c r="BB58" s="289">
        <f t="shared" si="17"/>
        <v>7.5824547460622088E-2</v>
      </c>
      <c r="BC58" s="288">
        <f t="shared" si="17"/>
        <v>8.6179615271592944E-2</v>
      </c>
      <c r="BD58" s="286">
        <f t="shared" si="17"/>
        <v>0.11439678849231702</v>
      </c>
      <c r="BE58" s="286">
        <f t="shared" si="17"/>
        <v>0.10052915183780867</v>
      </c>
      <c r="BF58" s="289">
        <f t="shared" si="17"/>
        <v>7.9146043729621779E-2</v>
      </c>
      <c r="BG58" s="286">
        <f t="shared" si="17"/>
        <v>6.7182667032328197E-2</v>
      </c>
      <c r="BH58" s="286">
        <f t="shared" si="17"/>
        <v>6.1412774605891243E-2</v>
      </c>
      <c r="BI58" s="286">
        <f t="shared" si="17"/>
        <v>5.947946699914284E-2</v>
      </c>
      <c r="BJ58" s="289">
        <f t="shared" si="17"/>
        <v>5.3531311069717757E-2</v>
      </c>
      <c r="BK58" s="286">
        <f t="shared" si="17"/>
        <v>5.7165120351305429E-2</v>
      </c>
      <c r="BL58" s="286">
        <f t="shared" si="17"/>
        <v>6.0235392666888217E-2</v>
      </c>
      <c r="BM58" s="286">
        <f t="shared" si="17"/>
        <v>9.3260091584253663E-2</v>
      </c>
      <c r="BN58" s="289">
        <f t="shared" si="17"/>
        <v>0.12992675894919686</v>
      </c>
      <c r="BO58" s="286">
        <f t="shared" si="17"/>
        <v>0.11529093180975146</v>
      </c>
      <c r="BP58" s="286">
        <f t="shared" si="17"/>
        <v>0.12088835139367841</v>
      </c>
      <c r="BQ58" s="286">
        <f>BQ43/BQ41</f>
        <v>0.1196324741049106</v>
      </c>
      <c r="BR58" s="286">
        <f>BR43/BR41</f>
        <v>0.11520462441186992</v>
      </c>
      <c r="BS58" s="290">
        <f>BS43/BS41</f>
        <v>0.11933771437450351</v>
      </c>
    </row>
    <row r="59" spans="1:72">
      <c r="A59" s="143" t="s">
        <v>401</v>
      </c>
      <c r="B59" s="143" t="s">
        <v>402</v>
      </c>
      <c r="C59" s="283" t="s">
        <v>28</v>
      </c>
      <c r="D59" s="284" t="s">
        <v>28</v>
      </c>
      <c r="E59" s="284" t="s">
        <v>28</v>
      </c>
      <c r="F59" s="285" t="s">
        <v>28</v>
      </c>
      <c r="G59" s="283" t="s">
        <v>28</v>
      </c>
      <c r="H59" s="284" t="s">
        <v>28</v>
      </c>
      <c r="I59" s="284" t="s">
        <v>28</v>
      </c>
      <c r="J59" s="285" t="s">
        <v>28</v>
      </c>
      <c r="K59" s="284" t="s">
        <v>28</v>
      </c>
      <c r="L59" s="284" t="s">
        <v>28</v>
      </c>
      <c r="M59" s="284" t="s">
        <v>28</v>
      </c>
      <c r="N59" s="284" t="s">
        <v>28</v>
      </c>
      <c r="O59" s="283" t="s">
        <v>28</v>
      </c>
      <c r="P59" s="284" t="s">
        <v>28</v>
      </c>
      <c r="Q59" s="284" t="s">
        <v>28</v>
      </c>
      <c r="R59" s="285" t="s">
        <v>28</v>
      </c>
      <c r="S59" s="284" t="s">
        <v>28</v>
      </c>
      <c r="T59" s="284" t="s">
        <v>28</v>
      </c>
      <c r="U59" s="284" t="s">
        <v>28</v>
      </c>
      <c r="V59" s="284" t="s">
        <v>28</v>
      </c>
      <c r="W59" s="283" t="s">
        <v>28</v>
      </c>
      <c r="X59" s="284" t="s">
        <v>28</v>
      </c>
      <c r="Y59" s="284" t="s">
        <v>28</v>
      </c>
      <c r="Z59" s="285" t="s">
        <v>28</v>
      </c>
      <c r="AA59" s="284" t="s">
        <v>28</v>
      </c>
      <c r="AB59" s="284" t="s">
        <v>28</v>
      </c>
      <c r="AC59" s="284" t="s">
        <v>28</v>
      </c>
      <c r="AD59" s="284" t="s">
        <v>28</v>
      </c>
      <c r="AE59" s="283" t="s">
        <v>28</v>
      </c>
      <c r="AF59" s="284" t="s">
        <v>28</v>
      </c>
      <c r="AG59" s="284" t="s">
        <v>28</v>
      </c>
      <c r="AH59" s="285" t="s">
        <v>28</v>
      </c>
      <c r="AI59" s="284" t="s">
        <v>28</v>
      </c>
      <c r="AJ59" s="284" t="s">
        <v>28</v>
      </c>
      <c r="AK59" s="284" t="s">
        <v>28</v>
      </c>
      <c r="AL59" s="284" t="s">
        <v>28</v>
      </c>
      <c r="AM59" s="283" t="s">
        <v>28</v>
      </c>
      <c r="AN59" s="284" t="s">
        <v>28</v>
      </c>
      <c r="AO59" s="284" t="s">
        <v>28</v>
      </c>
      <c r="AP59" s="285" t="s">
        <v>28</v>
      </c>
      <c r="AQ59" s="284" t="s">
        <v>28</v>
      </c>
      <c r="AR59" s="284" t="s">
        <v>28</v>
      </c>
      <c r="AS59" s="284" t="s">
        <v>28</v>
      </c>
      <c r="AT59" s="285" t="s">
        <v>28</v>
      </c>
      <c r="AU59" s="286">
        <f t="shared" ref="AU59:BP59" si="18">(AU44+AU45)/AU41</f>
        <v>3.0000919367125178E-2</v>
      </c>
      <c r="AV59" s="286">
        <f t="shared" si="18"/>
        <v>2.9956528675537504E-2</v>
      </c>
      <c r="AW59" s="286">
        <f t="shared" si="18"/>
        <v>2.8342968242648321E-2</v>
      </c>
      <c r="AX59" s="287">
        <f t="shared" si="18"/>
        <v>2.7871910103735315E-2</v>
      </c>
      <c r="AY59" s="288">
        <f t="shared" si="18"/>
        <v>2.8367857337532689E-2</v>
      </c>
      <c r="AZ59" s="286">
        <f t="shared" si="18"/>
        <v>2.9751078360891449E-2</v>
      </c>
      <c r="BA59" s="286">
        <f t="shared" si="18"/>
        <v>2.9298096905912369E-2</v>
      </c>
      <c r="BB59" s="289">
        <f t="shared" si="18"/>
        <v>2.9847730327958944E-2</v>
      </c>
      <c r="BC59" s="288">
        <f t="shared" si="18"/>
        <v>2.9904124673445859E-2</v>
      </c>
      <c r="BD59" s="286">
        <f t="shared" si="18"/>
        <v>3.2229514783078332E-2</v>
      </c>
      <c r="BE59" s="286">
        <f t="shared" si="18"/>
        <v>3.2398832439561293E-2</v>
      </c>
      <c r="BF59" s="289">
        <f t="shared" si="18"/>
        <v>3.2958337169543557E-2</v>
      </c>
      <c r="BG59" s="286">
        <f t="shared" si="18"/>
        <v>3.2264027996024583E-2</v>
      </c>
      <c r="BH59" s="286">
        <f t="shared" si="18"/>
        <v>2.8395441397353446E-2</v>
      </c>
      <c r="BI59" s="286">
        <f t="shared" si="18"/>
        <v>2.7019119741008631E-2</v>
      </c>
      <c r="BJ59" s="289">
        <f t="shared" si="18"/>
        <v>2.6001312838839816E-2</v>
      </c>
      <c r="BK59" s="286">
        <f t="shared" si="18"/>
        <v>2.3593668450167405E-2</v>
      </c>
      <c r="BL59" s="286">
        <f t="shared" si="18"/>
        <v>2.3760390374355896E-2</v>
      </c>
      <c r="BM59" s="286">
        <f t="shared" si="18"/>
        <v>2.2233552673772784E-2</v>
      </c>
      <c r="BN59" s="289">
        <f t="shared" si="18"/>
        <v>2.2902218208702464E-2</v>
      </c>
      <c r="BO59" s="286">
        <f t="shared" si="18"/>
        <v>2.4571682493704849E-2</v>
      </c>
      <c r="BP59" s="286">
        <f t="shared" si="18"/>
        <v>2.6195512196109286E-2</v>
      </c>
      <c r="BQ59" s="286">
        <f>(BQ44+BQ45)/BQ41</f>
        <v>2.7389114859329503E-2</v>
      </c>
      <c r="BR59" s="286">
        <f>(BR44+BR45)/BR41</f>
        <v>2.6738988397265698E-2</v>
      </c>
      <c r="BS59" s="290">
        <f>(BS44+BS45)/BS41</f>
        <v>2.8161429157116554E-2</v>
      </c>
    </row>
    <row r="60" spans="1:72">
      <c r="A60" s="202"/>
      <c r="B60" s="202"/>
      <c r="C60" s="270"/>
      <c r="D60" s="150"/>
      <c r="E60" s="150"/>
      <c r="F60" s="271"/>
      <c r="G60" s="270"/>
      <c r="H60" s="150"/>
      <c r="I60" s="150"/>
      <c r="J60" s="271"/>
      <c r="K60" s="150"/>
      <c r="L60" s="150"/>
      <c r="M60" s="150"/>
      <c r="N60" s="150"/>
      <c r="O60" s="270"/>
      <c r="P60" s="150"/>
      <c r="Q60" s="150"/>
      <c r="R60" s="271"/>
      <c r="S60" s="150"/>
      <c r="T60" s="150"/>
      <c r="U60" s="150"/>
      <c r="V60" s="150"/>
      <c r="W60" s="270"/>
      <c r="X60" s="150"/>
      <c r="Y60" s="150"/>
      <c r="Z60" s="271"/>
      <c r="AA60" s="150"/>
      <c r="AB60" s="150"/>
      <c r="AC60" s="150"/>
      <c r="AD60" s="150"/>
      <c r="AE60" s="270"/>
      <c r="AF60" s="150"/>
      <c r="AG60" s="150"/>
      <c r="AH60" s="271"/>
      <c r="AI60" s="150"/>
      <c r="AJ60" s="150"/>
      <c r="AK60" s="150"/>
      <c r="AL60" s="150"/>
      <c r="AM60" s="270"/>
      <c r="AN60" s="150"/>
      <c r="AO60" s="150"/>
      <c r="AP60" s="271"/>
      <c r="AQ60" s="150"/>
      <c r="AR60" s="150"/>
      <c r="AS60" s="150"/>
      <c r="AT60" s="271"/>
      <c r="AU60" s="150"/>
      <c r="AV60" s="150"/>
      <c r="AW60" s="150"/>
      <c r="AX60" s="282"/>
      <c r="AY60" s="219"/>
      <c r="AZ60" s="150"/>
      <c r="BA60" s="150"/>
      <c r="BB60" s="271"/>
      <c r="BC60" s="219"/>
      <c r="BD60" s="150"/>
      <c r="BE60" s="150"/>
      <c r="BF60" s="271"/>
      <c r="BG60" s="150"/>
      <c r="BH60" s="150"/>
      <c r="BI60" s="150"/>
      <c r="BJ60" s="271"/>
      <c r="BK60" s="150"/>
      <c r="BL60" s="150"/>
      <c r="BM60" s="150"/>
      <c r="BN60" s="271"/>
      <c r="BO60" s="150"/>
      <c r="BP60" s="150"/>
      <c r="BQ60" s="150"/>
      <c r="BR60" s="150"/>
      <c r="BS60" s="270"/>
    </row>
    <row r="61" spans="1:72">
      <c r="A61" s="143" t="s">
        <v>403</v>
      </c>
      <c r="B61" s="143" t="s">
        <v>404</v>
      </c>
      <c r="C61" s="283" t="s">
        <v>28</v>
      </c>
      <c r="D61" s="284" t="s">
        <v>28</v>
      </c>
      <c r="E61" s="284" t="s">
        <v>28</v>
      </c>
      <c r="F61" s="285" t="s">
        <v>28</v>
      </c>
      <c r="G61" s="283" t="s">
        <v>28</v>
      </c>
      <c r="H61" s="284" t="s">
        <v>28</v>
      </c>
      <c r="I61" s="284" t="s">
        <v>28</v>
      </c>
      <c r="J61" s="285" t="s">
        <v>28</v>
      </c>
      <c r="K61" s="284" t="s">
        <v>28</v>
      </c>
      <c r="L61" s="284" t="s">
        <v>28</v>
      </c>
      <c r="M61" s="284" t="s">
        <v>28</v>
      </c>
      <c r="N61" s="284" t="s">
        <v>28</v>
      </c>
      <c r="O61" s="283" t="s">
        <v>28</v>
      </c>
      <c r="P61" s="284" t="s">
        <v>28</v>
      </c>
      <c r="Q61" s="284" t="s">
        <v>28</v>
      </c>
      <c r="R61" s="285" t="s">
        <v>28</v>
      </c>
      <c r="S61" s="284" t="s">
        <v>28</v>
      </c>
      <c r="T61" s="284" t="s">
        <v>28</v>
      </c>
      <c r="U61" s="284" t="s">
        <v>28</v>
      </c>
      <c r="V61" s="284" t="s">
        <v>28</v>
      </c>
      <c r="W61" s="283" t="s">
        <v>28</v>
      </c>
      <c r="X61" s="284" t="s">
        <v>28</v>
      </c>
      <c r="Y61" s="284" t="s">
        <v>28</v>
      </c>
      <c r="Z61" s="285" t="s">
        <v>28</v>
      </c>
      <c r="AA61" s="284" t="s">
        <v>28</v>
      </c>
      <c r="AB61" s="284" t="s">
        <v>28</v>
      </c>
      <c r="AC61" s="284" t="s">
        <v>28</v>
      </c>
      <c r="AD61" s="284" t="s">
        <v>28</v>
      </c>
      <c r="AE61" s="283" t="s">
        <v>28</v>
      </c>
      <c r="AF61" s="284" t="s">
        <v>28</v>
      </c>
      <c r="AG61" s="284" t="s">
        <v>28</v>
      </c>
      <c r="AH61" s="285" t="s">
        <v>28</v>
      </c>
      <c r="AI61" s="284" t="s">
        <v>28</v>
      </c>
      <c r="AJ61" s="284" t="s">
        <v>28</v>
      </c>
      <c r="AK61" s="284" t="s">
        <v>28</v>
      </c>
      <c r="AL61" s="284" t="s">
        <v>28</v>
      </c>
      <c r="AM61" s="283" t="s">
        <v>28</v>
      </c>
      <c r="AN61" s="284" t="s">
        <v>28</v>
      </c>
      <c r="AO61" s="284" t="s">
        <v>28</v>
      </c>
      <c r="AP61" s="285" t="s">
        <v>28</v>
      </c>
      <c r="AQ61" s="284" t="s">
        <v>28</v>
      </c>
      <c r="AR61" s="284" t="s">
        <v>28</v>
      </c>
      <c r="AS61" s="284" t="s">
        <v>28</v>
      </c>
      <c r="AT61" s="285" t="s">
        <v>28</v>
      </c>
      <c r="AU61" s="291">
        <f t="shared" ref="AU61:BS62" si="19">-AU47/AU42</f>
        <v>1.4062480133250263E-3</v>
      </c>
      <c r="AV61" s="291">
        <f t="shared" si="19"/>
        <v>1.6188848165263876E-3</v>
      </c>
      <c r="AW61" s="291">
        <f t="shared" si="19"/>
        <v>1.4584625278485956E-3</v>
      </c>
      <c r="AX61" s="292">
        <f t="shared" si="19"/>
        <v>1.2637468433994126E-3</v>
      </c>
      <c r="AY61" s="293">
        <f t="shared" si="19"/>
        <v>1.2524694717183289E-3</v>
      </c>
      <c r="AZ61" s="291">
        <f t="shared" si="19"/>
        <v>1.3439429423035981E-3</v>
      </c>
      <c r="BA61" s="291">
        <f t="shared" si="19"/>
        <v>1.2054591610510981E-3</v>
      </c>
      <c r="BB61" s="294">
        <f t="shared" si="19"/>
        <v>1.1646990311821696E-3</v>
      </c>
      <c r="BC61" s="293">
        <f t="shared" si="19"/>
        <v>1.7353182939081194E-3</v>
      </c>
      <c r="BD61" s="291">
        <f t="shared" si="19"/>
        <v>2.4302121973691195E-3</v>
      </c>
      <c r="BE61" s="291">
        <f t="shared" si="19"/>
        <v>2.8174396063226962E-3</v>
      </c>
      <c r="BF61" s="294">
        <f t="shared" si="19"/>
        <v>3.0598535239268381E-3</v>
      </c>
      <c r="BG61" s="291">
        <f t="shared" si="19"/>
        <v>2.8663211925389126E-3</v>
      </c>
      <c r="BH61" s="291">
        <f t="shared" si="19"/>
        <v>2.43286961092041E-3</v>
      </c>
      <c r="BI61" s="291">
        <f t="shared" si="19"/>
        <v>2.2015841479737512E-3</v>
      </c>
      <c r="BJ61" s="294">
        <f t="shared" si="19"/>
        <v>2.0459094056176795E-3</v>
      </c>
      <c r="BK61" s="291">
        <f t="shared" si="19"/>
        <v>1.8969222870965777E-3</v>
      </c>
      <c r="BL61" s="291">
        <f t="shared" si="19"/>
        <v>1.8005621786802363E-3</v>
      </c>
      <c r="BM61" s="291">
        <f t="shared" si="19"/>
        <v>2.641501225401337E-3</v>
      </c>
      <c r="BN61" s="294">
        <f t="shared" si="19"/>
        <v>2.9253231066553934E-3</v>
      </c>
      <c r="BO61" s="291">
        <f t="shared" si="19"/>
        <v>2.5764755492396789E-3</v>
      </c>
      <c r="BP61" s="291">
        <f t="shared" si="19"/>
        <v>2.6074246342300865E-3</v>
      </c>
      <c r="BQ61" s="291">
        <f t="shared" si="19"/>
        <v>2.6274922590654704E-3</v>
      </c>
      <c r="BR61" s="291">
        <f t="shared" si="19"/>
        <v>2.3292908881498526E-3</v>
      </c>
      <c r="BS61" s="295">
        <f t="shared" si="19"/>
        <v>2.0634750999530059E-3</v>
      </c>
    </row>
    <row r="62" spans="1:72">
      <c r="A62" s="143" t="s">
        <v>405</v>
      </c>
      <c r="B62" s="143" t="s">
        <v>406</v>
      </c>
      <c r="C62" s="283" t="s">
        <v>28</v>
      </c>
      <c r="D62" s="284" t="s">
        <v>28</v>
      </c>
      <c r="E62" s="284" t="s">
        <v>28</v>
      </c>
      <c r="F62" s="285" t="s">
        <v>28</v>
      </c>
      <c r="G62" s="283" t="s">
        <v>28</v>
      </c>
      <c r="H62" s="284" t="s">
        <v>28</v>
      </c>
      <c r="I62" s="284" t="s">
        <v>28</v>
      </c>
      <c r="J62" s="285" t="s">
        <v>28</v>
      </c>
      <c r="K62" s="284" t="s">
        <v>28</v>
      </c>
      <c r="L62" s="284" t="s">
        <v>28</v>
      </c>
      <c r="M62" s="284" t="s">
        <v>28</v>
      </c>
      <c r="N62" s="284" t="s">
        <v>28</v>
      </c>
      <c r="O62" s="283" t="s">
        <v>28</v>
      </c>
      <c r="P62" s="284" t="s">
        <v>28</v>
      </c>
      <c r="Q62" s="284" t="s">
        <v>28</v>
      </c>
      <c r="R62" s="285" t="s">
        <v>28</v>
      </c>
      <c r="S62" s="284" t="s">
        <v>28</v>
      </c>
      <c r="T62" s="284" t="s">
        <v>28</v>
      </c>
      <c r="U62" s="284" t="s">
        <v>28</v>
      </c>
      <c r="V62" s="284" t="s">
        <v>28</v>
      </c>
      <c r="W62" s="283" t="s">
        <v>28</v>
      </c>
      <c r="X62" s="284" t="s">
        <v>28</v>
      </c>
      <c r="Y62" s="284" t="s">
        <v>28</v>
      </c>
      <c r="Z62" s="285" t="s">
        <v>28</v>
      </c>
      <c r="AA62" s="284" t="s">
        <v>28</v>
      </c>
      <c r="AB62" s="284" t="s">
        <v>28</v>
      </c>
      <c r="AC62" s="284" t="s">
        <v>28</v>
      </c>
      <c r="AD62" s="284" t="s">
        <v>28</v>
      </c>
      <c r="AE62" s="283" t="s">
        <v>28</v>
      </c>
      <c r="AF62" s="284" t="s">
        <v>28</v>
      </c>
      <c r="AG62" s="284" t="s">
        <v>28</v>
      </c>
      <c r="AH62" s="285" t="s">
        <v>28</v>
      </c>
      <c r="AI62" s="284" t="s">
        <v>28</v>
      </c>
      <c r="AJ62" s="284" t="s">
        <v>28</v>
      </c>
      <c r="AK62" s="284" t="s">
        <v>28</v>
      </c>
      <c r="AL62" s="284" t="s">
        <v>28</v>
      </c>
      <c r="AM62" s="283" t="s">
        <v>28</v>
      </c>
      <c r="AN62" s="284" t="s">
        <v>28</v>
      </c>
      <c r="AO62" s="284" t="s">
        <v>28</v>
      </c>
      <c r="AP62" s="285" t="s">
        <v>28</v>
      </c>
      <c r="AQ62" s="284" t="s">
        <v>28</v>
      </c>
      <c r="AR62" s="284" t="s">
        <v>28</v>
      </c>
      <c r="AS62" s="284" t="s">
        <v>28</v>
      </c>
      <c r="AT62" s="285" t="s">
        <v>28</v>
      </c>
      <c r="AU62" s="291">
        <f t="shared" si="19"/>
        <v>3.4428842048290588E-2</v>
      </c>
      <c r="AV62" s="291">
        <f t="shared" si="19"/>
        <v>3.7627763718046811E-2</v>
      </c>
      <c r="AW62" s="291">
        <f t="shared" si="19"/>
        <v>3.7822666870322284E-2</v>
      </c>
      <c r="AX62" s="292">
        <f t="shared" si="19"/>
        <v>3.8774690569206613E-2</v>
      </c>
      <c r="AY62" s="293">
        <f t="shared" si="19"/>
        <v>3.7975510508828907E-2</v>
      </c>
      <c r="AZ62" s="291">
        <f t="shared" si="19"/>
        <v>3.8474643924569438E-2</v>
      </c>
      <c r="BA62" s="291">
        <f t="shared" si="19"/>
        <v>4.0110364871764663E-2</v>
      </c>
      <c r="BB62" s="294">
        <f t="shared" si="19"/>
        <v>4.6140294147162794E-2</v>
      </c>
      <c r="BC62" s="293">
        <f t="shared" si="19"/>
        <v>4.5695550351288056E-2</v>
      </c>
      <c r="BD62" s="291">
        <f t="shared" si="19"/>
        <v>3.8279956818999636E-2</v>
      </c>
      <c r="BE62" s="291">
        <f t="shared" si="19"/>
        <v>3.9035369774919615E-2</v>
      </c>
      <c r="BF62" s="294">
        <f t="shared" si="19"/>
        <v>4.106580557171223E-2</v>
      </c>
      <c r="BG62" s="291">
        <f t="shared" si="19"/>
        <v>4.7359144920120527E-2</v>
      </c>
      <c r="BH62" s="291">
        <f t="shared" si="19"/>
        <v>4.5443549362556547E-2</v>
      </c>
      <c r="BI62" s="291">
        <f t="shared" si="19"/>
        <v>4.2602098543406033E-2</v>
      </c>
      <c r="BJ62" s="294">
        <f t="shared" si="19"/>
        <v>4.5655225213729743E-2</v>
      </c>
      <c r="BK62" s="291">
        <f t="shared" si="19"/>
        <v>5.1736803442124037E-2</v>
      </c>
      <c r="BL62" s="291">
        <f t="shared" si="19"/>
        <v>5.7440238398583435E-2</v>
      </c>
      <c r="BM62" s="291">
        <f t="shared" si="19"/>
        <v>4.7788024454484816E-2</v>
      </c>
      <c r="BN62" s="294">
        <f t="shared" si="19"/>
        <v>3.8556956791399623E-2</v>
      </c>
      <c r="BO62" s="291">
        <f t="shared" si="19"/>
        <v>4.1902984050292365E-2</v>
      </c>
      <c r="BP62" s="291">
        <f t="shared" si="19"/>
        <v>4.0921077415709169E-2</v>
      </c>
      <c r="BQ62" s="291">
        <f t="shared" si="19"/>
        <v>3.9966203706118274E-2</v>
      </c>
      <c r="BR62" s="291">
        <f t="shared" si="19"/>
        <v>3.3633541394705951E-2</v>
      </c>
      <c r="BS62" s="295">
        <f t="shared" si="19"/>
        <v>3.4846266471449484E-2</v>
      </c>
    </row>
    <row r="63" spans="1:72">
      <c r="A63" s="143" t="s">
        <v>407</v>
      </c>
      <c r="B63" s="143" t="s">
        <v>408</v>
      </c>
      <c r="C63" s="283" t="s">
        <v>28</v>
      </c>
      <c r="D63" s="284" t="s">
        <v>28</v>
      </c>
      <c r="E63" s="284" t="s">
        <v>28</v>
      </c>
      <c r="F63" s="285" t="s">
        <v>28</v>
      </c>
      <c r="G63" s="283" t="s">
        <v>28</v>
      </c>
      <c r="H63" s="284" t="s">
        <v>28</v>
      </c>
      <c r="I63" s="284" t="s">
        <v>28</v>
      </c>
      <c r="J63" s="285" t="s">
        <v>28</v>
      </c>
      <c r="K63" s="284" t="s">
        <v>28</v>
      </c>
      <c r="L63" s="284" t="s">
        <v>28</v>
      </c>
      <c r="M63" s="284" t="s">
        <v>28</v>
      </c>
      <c r="N63" s="284" t="s">
        <v>28</v>
      </c>
      <c r="O63" s="283" t="s">
        <v>28</v>
      </c>
      <c r="P63" s="284" t="s">
        <v>28</v>
      </c>
      <c r="Q63" s="284" t="s">
        <v>28</v>
      </c>
      <c r="R63" s="285" t="s">
        <v>28</v>
      </c>
      <c r="S63" s="284" t="s">
        <v>28</v>
      </c>
      <c r="T63" s="284" t="s">
        <v>28</v>
      </c>
      <c r="U63" s="284" t="s">
        <v>28</v>
      </c>
      <c r="V63" s="284" t="s">
        <v>28</v>
      </c>
      <c r="W63" s="283" t="s">
        <v>28</v>
      </c>
      <c r="X63" s="284" t="s">
        <v>28</v>
      </c>
      <c r="Y63" s="284" t="s">
        <v>28</v>
      </c>
      <c r="Z63" s="285" t="s">
        <v>28</v>
      </c>
      <c r="AA63" s="284" t="s">
        <v>28</v>
      </c>
      <c r="AB63" s="284" t="s">
        <v>28</v>
      </c>
      <c r="AC63" s="284" t="s">
        <v>28</v>
      </c>
      <c r="AD63" s="284" t="s">
        <v>28</v>
      </c>
      <c r="AE63" s="283" t="s">
        <v>28</v>
      </c>
      <c r="AF63" s="284" t="s">
        <v>28</v>
      </c>
      <c r="AG63" s="284" t="s">
        <v>28</v>
      </c>
      <c r="AH63" s="285" t="s">
        <v>28</v>
      </c>
      <c r="AI63" s="284" t="s">
        <v>28</v>
      </c>
      <c r="AJ63" s="284" t="s">
        <v>28</v>
      </c>
      <c r="AK63" s="284" t="s">
        <v>28</v>
      </c>
      <c r="AL63" s="284" t="s">
        <v>28</v>
      </c>
      <c r="AM63" s="283" t="s">
        <v>28</v>
      </c>
      <c r="AN63" s="284" t="s">
        <v>28</v>
      </c>
      <c r="AO63" s="284" t="s">
        <v>28</v>
      </c>
      <c r="AP63" s="285" t="s">
        <v>28</v>
      </c>
      <c r="AQ63" s="284" t="s">
        <v>28</v>
      </c>
      <c r="AR63" s="284" t="s">
        <v>28</v>
      </c>
      <c r="AS63" s="284" t="s">
        <v>28</v>
      </c>
      <c r="AT63" s="285" t="s">
        <v>28</v>
      </c>
      <c r="AU63" s="291">
        <f t="shared" ref="AU63:BP63" si="20">(-AU49-AU50)/(AU44+AU45)</f>
        <v>0.59541789792419098</v>
      </c>
      <c r="AV63" s="291">
        <f t="shared" si="20"/>
        <v>0.59810644296703674</v>
      </c>
      <c r="AW63" s="291">
        <f t="shared" si="20"/>
        <v>0.59063114984537513</v>
      </c>
      <c r="AX63" s="292">
        <f t="shared" si="20"/>
        <v>0.59586919104991398</v>
      </c>
      <c r="AY63" s="293">
        <f t="shared" si="20"/>
        <v>0.57293600390815835</v>
      </c>
      <c r="AZ63" s="291">
        <f t="shared" si="20"/>
        <v>0.57277917056815764</v>
      </c>
      <c r="BA63" s="291">
        <f t="shared" si="20"/>
        <v>0.588233566351407</v>
      </c>
      <c r="BB63" s="294">
        <f t="shared" si="20"/>
        <v>0.54074724527660534</v>
      </c>
      <c r="BC63" s="293">
        <f t="shared" si="20"/>
        <v>0.56379245181145721</v>
      </c>
      <c r="BD63" s="291">
        <f t="shared" si="20"/>
        <v>0.57838403964543894</v>
      </c>
      <c r="BE63" s="291">
        <f t="shared" si="20"/>
        <v>0.59807442881372841</v>
      </c>
      <c r="BF63" s="294">
        <f t="shared" si="20"/>
        <v>0.60650210716435882</v>
      </c>
      <c r="BG63" s="291">
        <f t="shared" si="20"/>
        <v>0.62403220078134247</v>
      </c>
      <c r="BH63" s="291">
        <f t="shared" si="20"/>
        <v>0.61076230837649759</v>
      </c>
      <c r="BI63" s="291">
        <f t="shared" si="20"/>
        <v>0.62706798458351898</v>
      </c>
      <c r="BJ63" s="294">
        <f t="shared" si="20"/>
        <v>0.65152629643251192</v>
      </c>
      <c r="BK63" s="291">
        <f t="shared" si="20"/>
        <v>0.6461464572268053</v>
      </c>
      <c r="BL63" s="291">
        <f t="shared" si="20"/>
        <v>0.65998795642415276</v>
      </c>
      <c r="BM63" s="291">
        <f t="shared" si="20"/>
        <v>0.58398476937721755</v>
      </c>
      <c r="BN63" s="294">
        <f t="shared" si="20"/>
        <v>0.58598156939402402</v>
      </c>
      <c r="BO63" s="291">
        <f t="shared" si="20"/>
        <v>0.5807615023957956</v>
      </c>
      <c r="BP63" s="291">
        <f t="shared" si="20"/>
        <v>0.58333936979355305</v>
      </c>
      <c r="BQ63" s="291">
        <f>(-BQ49-BQ50)/(BQ44+BQ45)</f>
        <v>0.59297901906736217</v>
      </c>
      <c r="BR63" s="291">
        <f>(-BR49-BR50)/(BR44+BR45)</f>
        <v>0.60936761508649206</v>
      </c>
      <c r="BS63" s="295">
        <f>(-BS49-BS50)/(BS44+BS45)</f>
        <v>0.6171641294954463</v>
      </c>
    </row>
    <row r="64" spans="1:72">
      <c r="A64" s="296"/>
      <c r="B64" s="296"/>
      <c r="C64" s="297"/>
      <c r="D64" s="298"/>
      <c r="E64" s="298"/>
      <c r="F64" s="298"/>
      <c r="G64" s="297"/>
      <c r="H64" s="298"/>
      <c r="I64" s="298"/>
      <c r="J64" s="298"/>
      <c r="K64" s="298"/>
      <c r="L64" s="298"/>
      <c r="M64" s="298"/>
      <c r="N64" s="298"/>
      <c r="O64" s="297"/>
      <c r="P64" s="298"/>
      <c r="Q64" s="298"/>
      <c r="R64" s="298"/>
      <c r="S64" s="298"/>
      <c r="T64" s="298"/>
      <c r="U64" s="298"/>
      <c r="V64" s="298"/>
      <c r="W64" s="297"/>
      <c r="X64" s="298"/>
      <c r="Y64" s="298"/>
      <c r="Z64" s="299"/>
      <c r="AA64" s="298"/>
      <c r="AB64" s="298"/>
      <c r="AC64" s="298"/>
      <c r="AD64" s="298"/>
      <c r="AE64" s="297"/>
      <c r="AF64" s="298"/>
      <c r="AG64" s="298"/>
      <c r="AH64" s="299"/>
      <c r="AI64" s="298"/>
      <c r="AJ64" s="298"/>
      <c r="AK64" s="298"/>
      <c r="AL64" s="298"/>
      <c r="AM64" s="297"/>
      <c r="AN64" s="298"/>
      <c r="AO64" s="298"/>
      <c r="AP64" s="299"/>
      <c r="AQ64" s="298"/>
      <c r="AR64" s="298"/>
      <c r="AS64" s="298"/>
      <c r="AT64" s="299"/>
      <c r="AU64" s="300"/>
      <c r="AV64" s="300"/>
      <c r="AW64" s="300"/>
      <c r="AX64" s="300"/>
      <c r="AY64" s="300"/>
      <c r="AZ64" s="300"/>
      <c r="BA64" s="300"/>
      <c r="BB64" s="300"/>
      <c r="BC64" s="300"/>
      <c r="BD64" s="300"/>
      <c r="BE64" s="300"/>
      <c r="BF64" s="300"/>
      <c r="BG64" s="300"/>
      <c r="BH64" s="300"/>
      <c r="BI64" s="300"/>
      <c r="BJ64" s="300"/>
      <c r="BK64" s="300"/>
      <c r="BL64" s="300"/>
      <c r="BM64" s="300"/>
      <c r="BN64" s="300"/>
      <c r="BO64" s="300"/>
      <c r="BP64" s="300"/>
      <c r="BQ64" s="300"/>
      <c r="BR64" s="300"/>
    </row>
    <row r="65" spans="1:70">
      <c r="A65" s="301" t="s">
        <v>4</v>
      </c>
      <c r="B65" s="301" t="s">
        <v>5</v>
      </c>
      <c r="C65" s="302"/>
      <c r="D65" s="303"/>
      <c r="E65" s="303"/>
      <c r="F65" s="303"/>
      <c r="G65" s="302"/>
      <c r="H65" s="303"/>
      <c r="I65" s="303"/>
      <c r="J65" s="303"/>
      <c r="K65" s="303"/>
      <c r="L65" s="303"/>
      <c r="M65" s="303"/>
      <c r="N65" s="303"/>
      <c r="O65" s="302"/>
      <c r="P65" s="303"/>
      <c r="Q65" s="303"/>
      <c r="R65" s="303"/>
      <c r="S65" s="303"/>
      <c r="T65" s="303"/>
      <c r="U65" s="303"/>
      <c r="V65" s="303"/>
      <c r="W65" s="302"/>
      <c r="X65" s="303"/>
      <c r="Y65" s="303"/>
      <c r="Z65" s="304"/>
      <c r="AA65" s="303"/>
      <c r="AB65" s="303"/>
      <c r="AC65" s="303"/>
      <c r="AD65" s="303"/>
      <c r="AE65" s="302"/>
      <c r="AF65" s="303"/>
      <c r="AG65" s="303"/>
      <c r="AH65" s="304"/>
      <c r="AI65" s="303"/>
      <c r="AJ65" s="303"/>
      <c r="AK65" s="303"/>
      <c r="AL65" s="303"/>
      <c r="AM65" s="302"/>
      <c r="AN65" s="303"/>
      <c r="AO65" s="303"/>
      <c r="AP65" s="304"/>
      <c r="AQ65" s="303"/>
      <c r="AR65" s="303"/>
      <c r="AS65" s="303"/>
      <c r="AT65" s="304"/>
      <c r="AU65" s="305"/>
      <c r="AV65" s="305"/>
      <c r="AW65" s="305"/>
      <c r="AX65" s="305"/>
      <c r="AY65" s="305"/>
      <c r="AZ65" s="305"/>
      <c r="BA65" s="305"/>
      <c r="BB65" s="305"/>
      <c r="BC65" s="305"/>
      <c r="BD65" s="305"/>
      <c r="BE65" s="305"/>
      <c r="BF65" s="305"/>
      <c r="BG65" s="305"/>
      <c r="BH65" s="305"/>
      <c r="BI65" s="305"/>
      <c r="BJ65" s="305"/>
      <c r="BK65" s="305"/>
      <c r="BL65" s="305"/>
      <c r="BM65" s="305"/>
      <c r="BN65" s="305"/>
      <c r="BO65" s="305"/>
      <c r="BP65" s="305"/>
      <c r="BQ65" s="305"/>
      <c r="BR65" s="305"/>
    </row>
    <row r="66" spans="1:70">
      <c r="A66" s="579" t="s">
        <v>409</v>
      </c>
      <c r="B66" s="579" t="s">
        <v>410</v>
      </c>
      <c r="C66" s="581" t="s">
        <v>372</v>
      </c>
      <c r="D66" s="577"/>
      <c r="E66" s="577"/>
      <c r="F66" s="577"/>
      <c r="G66" s="581">
        <v>2008</v>
      </c>
      <c r="H66" s="577"/>
      <c r="I66" s="577"/>
      <c r="J66" s="577"/>
      <c r="K66" s="581">
        <v>2009</v>
      </c>
      <c r="L66" s="577"/>
      <c r="M66" s="577"/>
      <c r="N66" s="577"/>
      <c r="O66" s="581">
        <v>2010</v>
      </c>
      <c r="P66" s="577"/>
      <c r="Q66" s="577"/>
      <c r="R66" s="577"/>
      <c r="S66" s="581">
        <v>2011</v>
      </c>
      <c r="T66" s="577"/>
      <c r="U66" s="577"/>
      <c r="V66" s="577"/>
      <c r="W66" s="583">
        <v>2012</v>
      </c>
      <c r="X66" s="584"/>
      <c r="Y66" s="584"/>
      <c r="Z66" s="585"/>
      <c r="AA66" s="583">
        <v>2013</v>
      </c>
      <c r="AB66" s="584"/>
      <c r="AC66" s="584"/>
      <c r="AD66" s="585"/>
      <c r="AE66" s="576">
        <v>2014</v>
      </c>
      <c r="AF66" s="577"/>
      <c r="AG66" s="577"/>
      <c r="AH66" s="578"/>
      <c r="AI66" s="576">
        <v>2015</v>
      </c>
      <c r="AJ66" s="577"/>
      <c r="AK66" s="577"/>
      <c r="AL66" s="578"/>
      <c r="AM66" s="576">
        <v>2016</v>
      </c>
      <c r="AN66" s="577"/>
      <c r="AO66" s="577"/>
      <c r="AP66" s="578"/>
      <c r="AQ66" s="593">
        <v>2017</v>
      </c>
      <c r="AR66" s="587"/>
      <c r="AS66" s="587"/>
      <c r="AT66" s="588"/>
      <c r="AU66" s="306"/>
      <c r="AV66" s="307"/>
      <c r="AW66" s="307"/>
      <c r="AX66" s="307"/>
      <c r="AY66" s="307"/>
      <c r="AZ66" s="307"/>
      <c r="BA66" s="307"/>
      <c r="BB66" s="307"/>
      <c r="BC66" s="307"/>
      <c r="BD66" s="307"/>
      <c r="BE66" s="307"/>
      <c r="BF66" s="307"/>
      <c r="BG66" s="307"/>
      <c r="BH66" s="307"/>
      <c r="BI66" s="307"/>
      <c r="BJ66" s="307"/>
      <c r="BK66" s="307"/>
      <c r="BL66" s="307"/>
      <c r="BM66" s="307"/>
      <c r="BN66" s="307"/>
      <c r="BO66" s="307"/>
      <c r="BP66" s="307"/>
      <c r="BQ66" s="307"/>
      <c r="BR66" s="307"/>
    </row>
    <row r="67" spans="1:70" ht="20.399999999999999">
      <c r="A67" s="580"/>
      <c r="B67" s="580"/>
      <c r="C67" s="262" t="s">
        <v>373</v>
      </c>
      <c r="D67" s="263" t="s">
        <v>9</v>
      </c>
      <c r="E67" s="263" t="s">
        <v>10</v>
      </c>
      <c r="F67" s="263" t="s">
        <v>11</v>
      </c>
      <c r="G67" s="262" t="s">
        <v>374</v>
      </c>
      <c r="H67" s="263" t="s">
        <v>9</v>
      </c>
      <c r="I67" s="263" t="s">
        <v>10</v>
      </c>
      <c r="J67" s="263" t="s">
        <v>11</v>
      </c>
      <c r="K67" s="262" t="s">
        <v>8</v>
      </c>
      <c r="L67" s="263" t="s">
        <v>9</v>
      </c>
      <c r="M67" s="263" t="s">
        <v>10</v>
      </c>
      <c r="N67" s="263" t="s">
        <v>11</v>
      </c>
      <c r="O67" s="262" t="s">
        <v>8</v>
      </c>
      <c r="P67" s="263" t="s">
        <v>9</v>
      </c>
      <c r="Q67" s="263" t="s">
        <v>10</v>
      </c>
      <c r="R67" s="263" t="s">
        <v>11</v>
      </c>
      <c r="S67" s="262" t="s">
        <v>8</v>
      </c>
      <c r="T67" s="263" t="s">
        <v>9</v>
      </c>
      <c r="U67" s="263" t="s">
        <v>10</v>
      </c>
      <c r="V67" s="263" t="s">
        <v>11</v>
      </c>
      <c r="W67" s="262" t="s">
        <v>8</v>
      </c>
      <c r="X67" s="263" t="s">
        <v>9</v>
      </c>
      <c r="Y67" s="263" t="s">
        <v>10</v>
      </c>
      <c r="Z67" s="264" t="s">
        <v>11</v>
      </c>
      <c r="AA67" s="262" t="s">
        <v>8</v>
      </c>
      <c r="AB67" s="263" t="s">
        <v>9</v>
      </c>
      <c r="AC67" s="263" t="s">
        <v>10</v>
      </c>
      <c r="AD67" s="264" t="s">
        <v>11</v>
      </c>
      <c r="AE67" s="265" t="s">
        <v>8</v>
      </c>
      <c r="AF67" s="266" t="s">
        <v>9</v>
      </c>
      <c r="AG67" s="266" t="s">
        <v>10</v>
      </c>
      <c r="AH67" s="267" t="s">
        <v>11</v>
      </c>
      <c r="AI67" s="266" t="s">
        <v>8</v>
      </c>
      <c r="AJ67" s="266" t="s">
        <v>9</v>
      </c>
      <c r="AK67" s="266" t="s">
        <v>10</v>
      </c>
      <c r="AL67" s="267" t="s">
        <v>11</v>
      </c>
      <c r="AM67" s="266" t="s">
        <v>8</v>
      </c>
      <c r="AN67" s="266" t="s">
        <v>9</v>
      </c>
      <c r="AO67" s="266" t="s">
        <v>10</v>
      </c>
      <c r="AP67" s="267" t="s">
        <v>11</v>
      </c>
      <c r="AQ67" s="266" t="s">
        <v>8</v>
      </c>
      <c r="AR67" s="266" t="s">
        <v>9</v>
      </c>
      <c r="AS67" s="266" t="s">
        <v>10</v>
      </c>
      <c r="AT67" s="267" t="s">
        <v>11</v>
      </c>
      <c r="AU67" s="308"/>
      <c r="AV67" s="309"/>
      <c r="AW67" s="309"/>
      <c r="AX67" s="309"/>
      <c r="AY67" s="309"/>
      <c r="AZ67" s="309"/>
      <c r="BA67" s="309"/>
      <c r="BB67" s="309"/>
      <c r="BC67" s="309"/>
      <c r="BD67" s="309"/>
      <c r="BE67" s="309"/>
      <c r="BF67" s="309"/>
      <c r="BG67" s="309"/>
      <c r="BH67" s="309"/>
      <c r="BI67" s="309"/>
      <c r="BJ67" s="309"/>
      <c r="BK67" s="309"/>
      <c r="BL67" s="309"/>
      <c r="BM67" s="309"/>
      <c r="BN67" s="309"/>
      <c r="BO67" s="309"/>
      <c r="BP67" s="309"/>
      <c r="BQ67" s="309"/>
      <c r="BR67" s="309"/>
    </row>
    <row r="68" spans="1:70">
      <c r="A68" s="17" t="s">
        <v>12</v>
      </c>
      <c r="B68" s="17" t="s">
        <v>13</v>
      </c>
      <c r="C68" s="18"/>
      <c r="D68" s="19"/>
      <c r="E68" s="20"/>
      <c r="F68" s="19"/>
      <c r="G68" s="18"/>
      <c r="H68" s="19"/>
      <c r="I68" s="20"/>
      <c r="J68" s="21"/>
      <c r="K68" s="18"/>
      <c r="L68" s="19"/>
      <c r="M68" s="20"/>
      <c r="N68" s="21"/>
      <c r="O68" s="18"/>
      <c r="P68" s="19"/>
      <c r="Q68" s="20"/>
      <c r="R68" s="21"/>
      <c r="S68" s="18"/>
      <c r="T68" s="19"/>
      <c r="U68" s="20"/>
      <c r="V68" s="21"/>
      <c r="W68" s="18"/>
      <c r="X68" s="20"/>
      <c r="Y68" s="20"/>
      <c r="Z68" s="154"/>
      <c r="AA68" s="18"/>
      <c r="AB68" s="20"/>
      <c r="AC68" s="20"/>
      <c r="AD68" s="154"/>
      <c r="AE68" s="270"/>
      <c r="AF68" s="150"/>
      <c r="AG68" s="150"/>
      <c r="AH68" s="271"/>
      <c r="AI68" s="150"/>
      <c r="AJ68" s="150"/>
      <c r="AK68" s="150"/>
      <c r="AL68" s="271"/>
      <c r="AM68" s="150"/>
      <c r="AN68" s="150"/>
      <c r="AO68" s="150"/>
      <c r="AP68" s="271"/>
      <c r="AQ68" s="150"/>
      <c r="AR68" s="150"/>
      <c r="AS68" s="150"/>
      <c r="AT68" s="271"/>
      <c r="AU68" s="276"/>
      <c r="AV68" s="272"/>
      <c r="AW68" s="272"/>
      <c r="AX68" s="272"/>
      <c r="AY68" s="272"/>
      <c r="AZ68" s="272"/>
      <c r="BA68" s="272"/>
      <c r="BB68" s="272"/>
      <c r="BC68" s="272"/>
      <c r="BD68" s="272"/>
      <c r="BE68" s="272"/>
      <c r="BF68" s="272"/>
      <c r="BG68" s="272"/>
      <c r="BH68" s="272"/>
      <c r="BI68" s="272"/>
      <c r="BJ68" s="272"/>
      <c r="BK68" s="272"/>
      <c r="BL68" s="272"/>
      <c r="BM68" s="272"/>
      <c r="BN68" s="272"/>
      <c r="BO68" s="272"/>
      <c r="BP68" s="272"/>
      <c r="BQ68" s="272"/>
      <c r="BR68" s="272"/>
    </row>
    <row r="69" spans="1:70">
      <c r="A69" s="155" t="s">
        <v>411</v>
      </c>
      <c r="B69" s="155" t="s">
        <v>375</v>
      </c>
      <c r="C69" s="183"/>
      <c r="D69" s="184"/>
      <c r="E69" s="184"/>
      <c r="F69" s="184"/>
      <c r="G69" s="183"/>
      <c r="H69" s="161"/>
      <c r="I69" s="161"/>
      <c r="J69" s="162"/>
      <c r="K69" s="160"/>
      <c r="L69" s="161"/>
      <c r="M69" s="161"/>
      <c r="N69" s="162"/>
      <c r="O69" s="160"/>
      <c r="P69" s="161"/>
      <c r="Q69" s="161"/>
      <c r="R69" s="162"/>
      <c r="S69" s="160"/>
      <c r="T69" s="161"/>
      <c r="U69" s="161"/>
      <c r="V69" s="162"/>
      <c r="W69" s="160"/>
      <c r="X69" s="161"/>
      <c r="Y69" s="161"/>
      <c r="Z69" s="162"/>
      <c r="AA69" s="160"/>
      <c r="AB69" s="161"/>
      <c r="AC69" s="161"/>
      <c r="AD69" s="162"/>
      <c r="AE69" s="160"/>
      <c r="AF69" s="161"/>
      <c r="AG69" s="161"/>
      <c r="AH69" s="162"/>
      <c r="AI69" s="161"/>
      <c r="AJ69" s="161"/>
      <c r="AK69" s="161"/>
      <c r="AL69" s="162"/>
      <c r="AM69" s="161"/>
      <c r="AN69" s="161"/>
      <c r="AO69" s="161"/>
      <c r="AP69" s="162"/>
      <c r="AQ69" s="161"/>
      <c r="AR69" s="161"/>
      <c r="AS69" s="161"/>
      <c r="AT69" s="162"/>
      <c r="AU69" s="310"/>
      <c r="AV69" s="311"/>
      <c r="AW69" s="311"/>
      <c r="AX69" s="311"/>
      <c r="AY69" s="311"/>
      <c r="AZ69" s="311"/>
      <c r="BA69" s="311"/>
      <c r="BB69" s="311"/>
      <c r="BC69" s="311"/>
      <c r="BD69" s="311"/>
      <c r="BE69" s="311"/>
      <c r="BF69" s="311"/>
      <c r="BG69" s="311"/>
      <c r="BH69" s="311"/>
      <c r="BI69" s="311"/>
      <c r="BJ69" s="311"/>
      <c r="BK69" s="311"/>
      <c r="BL69" s="311"/>
      <c r="BM69" s="311"/>
      <c r="BN69" s="311"/>
      <c r="BO69" s="311"/>
      <c r="BP69" s="311"/>
      <c r="BQ69" s="311"/>
      <c r="BR69" s="311"/>
    </row>
    <row r="70" spans="1:70">
      <c r="A70" s="177" t="s">
        <v>412</v>
      </c>
      <c r="B70" s="177" t="s">
        <v>413</v>
      </c>
      <c r="C70" s="312"/>
      <c r="D70" s="313"/>
      <c r="E70" s="313"/>
      <c r="F70" s="313"/>
      <c r="G70" s="312"/>
      <c r="H70" s="157">
        <f t="shared" ref="H70:AQ70" si="21">H71+H72</f>
        <v>14090.5</v>
      </c>
      <c r="I70" s="157">
        <f t="shared" si="21"/>
        <v>15666.1</v>
      </c>
      <c r="J70" s="158">
        <f t="shared" si="21"/>
        <v>16997.100000000002</v>
      </c>
      <c r="K70" s="156">
        <f t="shared" si="21"/>
        <v>17573.5</v>
      </c>
      <c r="L70" s="157">
        <f t="shared" si="21"/>
        <v>17136.900000000001</v>
      </c>
      <c r="M70" s="157">
        <f t="shared" si="21"/>
        <v>16943.8</v>
      </c>
      <c r="N70" s="158">
        <f t="shared" si="21"/>
        <v>17604.600000000002</v>
      </c>
      <c r="O70" s="156">
        <f t="shared" si="21"/>
        <v>17355.7</v>
      </c>
      <c r="P70" s="157">
        <f t="shared" si="21"/>
        <v>17890.3</v>
      </c>
      <c r="Q70" s="157">
        <f t="shared" si="21"/>
        <v>19053.5</v>
      </c>
      <c r="R70" s="158">
        <f t="shared" si="21"/>
        <v>19583.499999999996</v>
      </c>
      <c r="S70" s="156">
        <f t="shared" si="21"/>
        <v>19912.5</v>
      </c>
      <c r="T70" s="157">
        <f t="shared" si="21"/>
        <v>20950.399999999998</v>
      </c>
      <c r="U70" s="157">
        <f t="shared" si="21"/>
        <v>22378.6</v>
      </c>
      <c r="V70" s="158">
        <f t="shared" si="21"/>
        <v>24457.200000000001</v>
      </c>
      <c r="W70" s="156">
        <f t="shared" si="21"/>
        <v>29827.399999999998</v>
      </c>
      <c r="X70" s="157">
        <f t="shared" si="21"/>
        <v>30072.399999999998</v>
      </c>
      <c r="Y70" s="157">
        <f t="shared" si="21"/>
        <v>30382.799999999999</v>
      </c>
      <c r="Z70" s="158">
        <f t="shared" si="21"/>
        <v>29878</v>
      </c>
      <c r="AA70" s="156">
        <f t="shared" si="21"/>
        <v>29710.399999999998</v>
      </c>
      <c r="AB70" s="157">
        <f t="shared" si="21"/>
        <v>30426.3</v>
      </c>
      <c r="AC70" s="157">
        <f t="shared" si="21"/>
        <v>31503</v>
      </c>
      <c r="AD70" s="158">
        <f t="shared" si="21"/>
        <v>31476.799999999996</v>
      </c>
      <c r="AE70" s="156">
        <f t="shared" si="21"/>
        <v>33297.599999999999</v>
      </c>
      <c r="AF70" s="157">
        <f t="shared" si="21"/>
        <v>35206</v>
      </c>
      <c r="AG70" s="157">
        <f t="shared" si="21"/>
        <v>36729.5</v>
      </c>
      <c r="AH70" s="158">
        <f t="shared" si="21"/>
        <v>36781.1</v>
      </c>
      <c r="AI70" s="157">
        <f t="shared" si="21"/>
        <v>38078.600000000006</v>
      </c>
      <c r="AJ70" s="157">
        <f t="shared" si="21"/>
        <v>41302.199999999997</v>
      </c>
      <c r="AK70" s="157">
        <f t="shared" si="21"/>
        <v>43494.5</v>
      </c>
      <c r="AL70" s="158">
        <f t="shared" si="21"/>
        <v>43593.399999999994</v>
      </c>
      <c r="AM70" s="157">
        <f t="shared" si="21"/>
        <v>45146</v>
      </c>
      <c r="AN70" s="157">
        <f>AN71+AN72</f>
        <v>46247.6</v>
      </c>
      <c r="AO70" s="157">
        <f>AO71+AO72</f>
        <v>47306.5</v>
      </c>
      <c r="AP70" s="158">
        <f t="shared" si="21"/>
        <v>47807.299999999996</v>
      </c>
      <c r="AQ70" s="157">
        <f t="shared" si="21"/>
        <v>49343.8</v>
      </c>
      <c r="AR70" s="157">
        <f>AR71+AR72</f>
        <v>50457.2</v>
      </c>
      <c r="AS70" s="157">
        <f>AS71+AS72</f>
        <v>52100.700000000004</v>
      </c>
      <c r="AT70" s="158">
        <f>AT71+AT72</f>
        <v>51534.6</v>
      </c>
      <c r="AU70" s="314"/>
      <c r="AV70" s="315"/>
      <c r="AW70" s="315"/>
      <c r="AX70" s="315"/>
      <c r="AY70" s="315"/>
      <c r="AZ70" s="315"/>
      <c r="BA70" s="315"/>
      <c r="BB70" s="315"/>
      <c r="BC70" s="315"/>
      <c r="BD70" s="315"/>
      <c r="BE70" s="315"/>
      <c r="BF70" s="315"/>
      <c r="BG70" s="315"/>
      <c r="BH70" s="315"/>
      <c r="BI70" s="315"/>
      <c r="BJ70" s="315"/>
      <c r="BK70" s="315"/>
      <c r="BL70" s="315"/>
      <c r="BM70" s="315"/>
      <c r="BN70" s="315"/>
      <c r="BO70" s="315"/>
      <c r="BP70" s="315"/>
      <c r="BQ70" s="315"/>
      <c r="BR70" s="315"/>
    </row>
    <row r="71" spans="1:70">
      <c r="A71" s="163" t="s">
        <v>414</v>
      </c>
      <c r="B71" s="163" t="s">
        <v>415</v>
      </c>
      <c r="C71" s="316"/>
      <c r="D71" s="317"/>
      <c r="E71" s="317"/>
      <c r="F71" s="317"/>
      <c r="G71" s="316"/>
      <c r="H71" s="161">
        <v>13867.3</v>
      </c>
      <c r="I71" s="161">
        <v>15405.6</v>
      </c>
      <c r="J71" s="162">
        <v>16649.400000000001</v>
      </c>
      <c r="K71" s="160">
        <v>16827.599999999999</v>
      </c>
      <c r="L71" s="161">
        <f>16280.5+0.1</f>
        <v>16280.6</v>
      </c>
      <c r="M71" s="161">
        <f>16149.1+0.1</f>
        <v>16149.2</v>
      </c>
      <c r="N71" s="162">
        <v>16632.600000000002</v>
      </c>
      <c r="O71" s="160">
        <f>16315.9+0.1</f>
        <v>16316</v>
      </c>
      <c r="P71" s="161">
        <v>16843.7</v>
      </c>
      <c r="Q71" s="161">
        <f>17914.1+0.2</f>
        <v>17914.3</v>
      </c>
      <c r="R71" s="162">
        <f>18405.8+0.1</f>
        <v>18405.899999999998</v>
      </c>
      <c r="S71" s="160">
        <f>18727.7+0.1</f>
        <v>18727.8</v>
      </c>
      <c r="T71" s="161">
        <f>19803.8+0.3</f>
        <v>19804.099999999999</v>
      </c>
      <c r="U71" s="161">
        <f>21189.2+0.1</f>
        <v>21189.3</v>
      </c>
      <c r="V71" s="162">
        <f>23323.9+0.1</f>
        <v>23324</v>
      </c>
      <c r="W71" s="160">
        <v>28645.899999999998</v>
      </c>
      <c r="X71" s="161">
        <f>28547.8+0.1</f>
        <v>28547.899999999998</v>
      </c>
      <c r="Y71" s="161">
        <f>28858.4+0.1</f>
        <v>28858.5</v>
      </c>
      <c r="Z71" s="162">
        <f>28500.4+0.3</f>
        <v>28500.7</v>
      </c>
      <c r="AA71" s="160">
        <f>28213.1+0.2</f>
        <v>28213.3</v>
      </c>
      <c r="AB71" s="161">
        <f>28757.2+0.1</f>
        <v>28757.3</v>
      </c>
      <c r="AC71" s="161">
        <f>29791.7+0.1</f>
        <v>29791.8</v>
      </c>
      <c r="AD71" s="162">
        <f>29663.1+0.1</f>
        <v>29663.199999999997</v>
      </c>
      <c r="AE71" s="160">
        <f>31419-38.1+0.1</f>
        <v>31381</v>
      </c>
      <c r="AF71" s="161">
        <f>33338+0.1</f>
        <v>33338.1</v>
      </c>
      <c r="AG71" s="161">
        <f>34873.1+0.1</f>
        <v>34873.199999999997</v>
      </c>
      <c r="AH71" s="162">
        <f>34981.4+0.1</f>
        <v>34981.5</v>
      </c>
      <c r="AI71" s="161">
        <v>35951.100000000006</v>
      </c>
      <c r="AJ71" s="161">
        <v>39415.699999999997</v>
      </c>
      <c r="AK71" s="161">
        <v>41800.199999999997</v>
      </c>
      <c r="AL71" s="162">
        <v>41867.199999999997</v>
      </c>
      <c r="AM71" s="161">
        <v>43220</v>
      </c>
      <c r="AN71" s="161">
        <v>44581.7</v>
      </c>
      <c r="AO71" s="161">
        <v>45644.6</v>
      </c>
      <c r="AP71" s="162">
        <v>46269.2</v>
      </c>
      <c r="AQ71" s="161">
        <v>47772.3</v>
      </c>
      <c r="AR71" s="161">
        <v>48785.2</v>
      </c>
      <c r="AS71" s="161">
        <v>50371.8</v>
      </c>
      <c r="AT71" s="162">
        <v>49737.7</v>
      </c>
      <c r="AU71" s="314"/>
      <c r="AV71" s="315"/>
      <c r="AW71" s="315"/>
      <c r="AX71" s="315"/>
      <c r="AY71" s="315"/>
      <c r="AZ71" s="315"/>
      <c r="BA71" s="315"/>
      <c r="BB71" s="315"/>
      <c r="BC71" s="315"/>
      <c r="BD71" s="315"/>
      <c r="BE71" s="315"/>
      <c r="BF71" s="315"/>
      <c r="BG71" s="315"/>
      <c r="BH71" s="315"/>
      <c r="BI71" s="315"/>
      <c r="BJ71" s="315"/>
      <c r="BK71" s="315"/>
      <c r="BL71" s="315"/>
      <c r="BM71" s="315"/>
      <c r="BN71" s="315"/>
      <c r="BO71" s="315"/>
      <c r="BP71" s="315"/>
      <c r="BQ71" s="315"/>
      <c r="BR71" s="315"/>
    </row>
    <row r="72" spans="1:70">
      <c r="A72" s="159" t="s">
        <v>416</v>
      </c>
      <c r="B72" s="159" t="s">
        <v>417</v>
      </c>
      <c r="C72" s="316"/>
      <c r="D72" s="317"/>
      <c r="E72" s="317"/>
      <c r="F72" s="317"/>
      <c r="G72" s="316"/>
      <c r="H72" s="161">
        <v>223.2</v>
      </c>
      <c r="I72" s="161">
        <v>260.5</v>
      </c>
      <c r="J72" s="162">
        <v>347.7</v>
      </c>
      <c r="K72" s="160">
        <v>745.9</v>
      </c>
      <c r="L72" s="161">
        <v>856.3</v>
      </c>
      <c r="M72" s="161">
        <v>794.6</v>
      </c>
      <c r="N72" s="162">
        <v>972</v>
      </c>
      <c r="O72" s="160">
        <v>1039.7</v>
      </c>
      <c r="P72" s="161">
        <v>1046.5999999999999</v>
      </c>
      <c r="Q72" s="161">
        <v>1139.2</v>
      </c>
      <c r="R72" s="162">
        <v>1177.5999999999999</v>
      </c>
      <c r="S72" s="160">
        <v>1184.7</v>
      </c>
      <c r="T72" s="161">
        <v>1146.3</v>
      </c>
      <c r="U72" s="161">
        <v>1189.3</v>
      </c>
      <c r="V72" s="162">
        <v>1133.2</v>
      </c>
      <c r="W72" s="160">
        <v>1181.5</v>
      </c>
      <c r="X72" s="161">
        <v>1524.5</v>
      </c>
      <c r="Y72" s="161">
        <v>1524.3</v>
      </c>
      <c r="Z72" s="162">
        <v>1377.3</v>
      </c>
      <c r="AA72" s="160">
        <v>1497.1000000000001</v>
      </c>
      <c r="AB72" s="161">
        <v>1669</v>
      </c>
      <c r="AC72" s="161">
        <v>1711.2</v>
      </c>
      <c r="AD72" s="162">
        <v>1813.6000000000001</v>
      </c>
      <c r="AE72" s="160">
        <f>1878.5+38.1</f>
        <v>1916.6</v>
      </c>
      <c r="AF72" s="161">
        <v>1867.8999999999999</v>
      </c>
      <c r="AG72" s="161">
        <v>1856.3</v>
      </c>
      <c r="AH72" s="162">
        <v>1799.6</v>
      </c>
      <c r="AI72" s="161">
        <v>2127.5</v>
      </c>
      <c r="AJ72" s="161">
        <v>1886.5</v>
      </c>
      <c r="AK72" s="161">
        <v>1694.3</v>
      </c>
      <c r="AL72" s="162">
        <v>1726.2</v>
      </c>
      <c r="AM72" s="161">
        <v>1926</v>
      </c>
      <c r="AN72" s="161">
        <v>1665.9</v>
      </c>
      <c r="AO72" s="161">
        <v>1661.9</v>
      </c>
      <c r="AP72" s="162">
        <v>1538.1</v>
      </c>
      <c r="AQ72" s="161">
        <v>1571.5</v>
      </c>
      <c r="AR72" s="161">
        <v>1672</v>
      </c>
      <c r="AS72" s="161">
        <v>1728.9</v>
      </c>
      <c r="AT72" s="162">
        <v>1796.8999999999999</v>
      </c>
      <c r="AU72" s="314"/>
      <c r="AV72" s="315"/>
      <c r="AW72" s="315"/>
      <c r="AX72" s="315"/>
      <c r="AY72" s="315"/>
      <c r="AZ72" s="315"/>
      <c r="BA72" s="315"/>
      <c r="BB72" s="315"/>
      <c r="BC72" s="315"/>
      <c r="BD72" s="315"/>
      <c r="BE72" s="315"/>
      <c r="BF72" s="315"/>
      <c r="BG72" s="315"/>
      <c r="BH72" s="315"/>
      <c r="BI72" s="315"/>
      <c r="BJ72" s="315"/>
      <c r="BK72" s="315"/>
      <c r="BL72" s="315"/>
      <c r="BM72" s="315"/>
      <c r="BN72" s="315"/>
      <c r="BO72" s="315"/>
      <c r="BP72" s="315"/>
      <c r="BQ72" s="315"/>
      <c r="BR72" s="315"/>
    </row>
    <row r="73" spans="1:70">
      <c r="A73" s="203" t="s">
        <v>418</v>
      </c>
      <c r="B73" s="203" t="s">
        <v>419</v>
      </c>
      <c r="C73" s="312"/>
      <c r="D73" s="313"/>
      <c r="E73" s="313"/>
      <c r="F73" s="313"/>
      <c r="G73" s="312"/>
      <c r="H73" s="157">
        <f t="shared" ref="H73:Z73" si="22">SUM(H74:H76)</f>
        <v>268.40000000000003</v>
      </c>
      <c r="I73" s="157">
        <f t="shared" si="22"/>
        <v>271.5</v>
      </c>
      <c r="J73" s="158">
        <f t="shared" si="22"/>
        <v>338.7</v>
      </c>
      <c r="K73" s="156">
        <f t="shared" si="22"/>
        <v>500.6</v>
      </c>
      <c r="L73" s="157">
        <f t="shared" si="22"/>
        <v>571.70000000000005</v>
      </c>
      <c r="M73" s="157">
        <f t="shared" si="22"/>
        <v>613.69999999999993</v>
      </c>
      <c r="N73" s="158">
        <f t="shared" si="22"/>
        <v>668.7</v>
      </c>
      <c r="O73" s="156">
        <f t="shared" si="22"/>
        <v>697.6</v>
      </c>
      <c r="P73" s="157">
        <f t="shared" si="22"/>
        <v>726.6</v>
      </c>
      <c r="Q73" s="157">
        <f t="shared" si="22"/>
        <v>765.4</v>
      </c>
      <c r="R73" s="158">
        <f t="shared" si="22"/>
        <v>785.80000000000007</v>
      </c>
      <c r="S73" s="156">
        <f t="shared" si="22"/>
        <v>795.4</v>
      </c>
      <c r="T73" s="157">
        <f t="shared" si="22"/>
        <v>798.9</v>
      </c>
      <c r="U73" s="157">
        <f t="shared" si="22"/>
        <v>818.69999999999993</v>
      </c>
      <c r="V73" s="158">
        <f t="shared" si="22"/>
        <v>736.6</v>
      </c>
      <c r="W73" s="156">
        <f t="shared" si="22"/>
        <v>805.59999999999991</v>
      </c>
      <c r="X73" s="157">
        <f t="shared" si="22"/>
        <v>877.5</v>
      </c>
      <c r="Y73" s="157">
        <f t="shared" si="22"/>
        <v>927.5</v>
      </c>
      <c r="Z73" s="158">
        <f t="shared" si="22"/>
        <v>975.8</v>
      </c>
      <c r="AA73" s="156">
        <f t="shared" ref="AA73:AT73" si="23">SUM(AA74:AA76)</f>
        <v>985.9</v>
      </c>
      <c r="AB73" s="157">
        <f t="shared" si="23"/>
        <v>1027.2999999999997</v>
      </c>
      <c r="AC73" s="157">
        <f t="shared" si="23"/>
        <v>1038.7</v>
      </c>
      <c r="AD73" s="158">
        <f t="shared" si="23"/>
        <v>1081</v>
      </c>
      <c r="AE73" s="156">
        <f t="shared" si="23"/>
        <v>1127.7</v>
      </c>
      <c r="AF73" s="157">
        <f t="shared" si="23"/>
        <v>1091.6000000000001</v>
      </c>
      <c r="AG73" s="157">
        <f t="shared" si="23"/>
        <v>1127.5999999999999</v>
      </c>
      <c r="AH73" s="158">
        <f t="shared" si="23"/>
        <v>1172</v>
      </c>
      <c r="AI73" s="157">
        <f t="shared" si="23"/>
        <v>1203.1000000000001</v>
      </c>
      <c r="AJ73" s="157">
        <f t="shared" si="23"/>
        <v>1049.5</v>
      </c>
      <c r="AK73" s="157">
        <f t="shared" si="23"/>
        <v>1004.8</v>
      </c>
      <c r="AL73" s="158">
        <f t="shared" si="23"/>
        <v>1056.0999999999999</v>
      </c>
      <c r="AM73" s="157">
        <f t="shared" si="23"/>
        <v>1102.3999999999999</v>
      </c>
      <c r="AN73" s="157">
        <f t="shared" si="23"/>
        <v>1005.3000000000001</v>
      </c>
      <c r="AO73" s="157">
        <f t="shared" si="23"/>
        <v>1024.5999999999999</v>
      </c>
      <c r="AP73" s="158">
        <f t="shared" si="23"/>
        <v>962.30000000000007</v>
      </c>
      <c r="AQ73" s="157">
        <f t="shared" si="23"/>
        <v>973.3</v>
      </c>
      <c r="AR73" s="157">
        <f t="shared" si="23"/>
        <v>963.4</v>
      </c>
      <c r="AS73" s="157">
        <f t="shared" si="23"/>
        <v>1026.5</v>
      </c>
      <c r="AT73" s="158">
        <f t="shared" si="23"/>
        <v>1079.7</v>
      </c>
      <c r="AU73" s="314"/>
      <c r="AV73" s="315"/>
      <c r="AW73" s="315"/>
      <c r="AX73" s="315"/>
      <c r="AY73" s="315"/>
      <c r="AZ73" s="315"/>
      <c r="BA73" s="315"/>
      <c r="BB73" s="315"/>
      <c r="BC73" s="315"/>
      <c r="BD73" s="315"/>
      <c r="BE73" s="315"/>
      <c r="BF73" s="315"/>
      <c r="BG73" s="315"/>
      <c r="BH73" s="315"/>
      <c r="BI73" s="315"/>
      <c r="BJ73" s="315"/>
      <c r="BK73" s="315"/>
      <c r="BL73" s="315"/>
      <c r="BM73" s="315"/>
      <c r="BN73" s="315"/>
      <c r="BO73" s="315"/>
      <c r="BP73" s="315"/>
      <c r="BQ73" s="315"/>
      <c r="BR73" s="315"/>
    </row>
    <row r="74" spans="1:70">
      <c r="A74" s="159" t="s">
        <v>420</v>
      </c>
      <c r="B74" s="159" t="s">
        <v>421</v>
      </c>
      <c r="C74" s="316"/>
      <c r="D74" s="317"/>
      <c r="E74" s="317"/>
      <c r="F74" s="317"/>
      <c r="G74" s="316"/>
      <c r="H74" s="161">
        <v>77.3</v>
      </c>
      <c r="I74" s="161">
        <v>71.3</v>
      </c>
      <c r="J74" s="162">
        <v>71.2</v>
      </c>
      <c r="K74" s="160">
        <v>75.3</v>
      </c>
      <c r="L74" s="161">
        <v>84.6</v>
      </c>
      <c r="M74" s="161">
        <v>96.5</v>
      </c>
      <c r="N74" s="162">
        <v>77.2</v>
      </c>
      <c r="O74" s="160">
        <v>76</v>
      </c>
      <c r="P74" s="161">
        <v>72.7</v>
      </c>
      <c r="Q74" s="161">
        <v>70.3</v>
      </c>
      <c r="R74" s="162">
        <v>62.1</v>
      </c>
      <c r="S74" s="160">
        <v>56</v>
      </c>
      <c r="T74" s="161">
        <v>60.3</v>
      </c>
      <c r="U74" s="161">
        <v>65.900000000000006</v>
      </c>
      <c r="V74" s="162">
        <v>63</v>
      </c>
      <c r="W74" s="160">
        <v>79.400000000000006</v>
      </c>
      <c r="X74" s="161">
        <v>86.399999999999977</v>
      </c>
      <c r="Y74" s="161">
        <v>78.599999999999994</v>
      </c>
      <c r="Z74" s="162">
        <v>58</v>
      </c>
      <c r="AA74" s="160">
        <v>56.800000000000004</v>
      </c>
      <c r="AB74" s="161">
        <v>54.400000000000006</v>
      </c>
      <c r="AC74" s="161">
        <v>44.3</v>
      </c>
      <c r="AD74" s="162">
        <v>47.899999999999991</v>
      </c>
      <c r="AE74" s="160">
        <v>51.899999999999991</v>
      </c>
      <c r="AF74" s="161">
        <v>53.400000000000006</v>
      </c>
      <c r="AG74" s="161">
        <v>68.099999999999994</v>
      </c>
      <c r="AH74" s="162">
        <v>79.500000000000014</v>
      </c>
      <c r="AI74" s="161">
        <v>71.399999999999991</v>
      </c>
      <c r="AJ74" s="161">
        <v>72.099999999999994</v>
      </c>
      <c r="AK74" s="161">
        <v>85.9</v>
      </c>
      <c r="AL74" s="162">
        <v>79.2</v>
      </c>
      <c r="AM74" s="161">
        <v>74.100000000000009</v>
      </c>
      <c r="AN74" s="161">
        <v>78</v>
      </c>
      <c r="AO74" s="161">
        <v>68.5</v>
      </c>
      <c r="AP74" s="162">
        <v>70.2</v>
      </c>
      <c r="AQ74" s="161">
        <v>67.900000000000006</v>
      </c>
      <c r="AR74" s="161">
        <v>71.7</v>
      </c>
      <c r="AS74" s="161">
        <v>76.099999999999994</v>
      </c>
      <c r="AT74" s="162">
        <v>78.399999999999991</v>
      </c>
      <c r="AU74" s="314"/>
      <c r="AV74" s="315"/>
      <c r="AW74" s="315"/>
      <c r="AX74" s="315"/>
      <c r="AY74" s="315"/>
      <c r="AZ74" s="315"/>
      <c r="BA74" s="315"/>
      <c r="BB74" s="315"/>
      <c r="BC74" s="315"/>
      <c r="BD74" s="315"/>
      <c r="BE74" s="315"/>
      <c r="BF74" s="315"/>
      <c r="BG74" s="315"/>
      <c r="BH74" s="315"/>
      <c r="BI74" s="315"/>
      <c r="BJ74" s="315"/>
      <c r="BK74" s="315"/>
      <c r="BL74" s="315"/>
      <c r="BM74" s="315"/>
      <c r="BN74" s="315"/>
      <c r="BO74" s="315"/>
      <c r="BP74" s="315"/>
      <c r="BQ74" s="315"/>
      <c r="BR74" s="315"/>
    </row>
    <row r="75" spans="1:70">
      <c r="A75" s="165" t="s">
        <v>422</v>
      </c>
      <c r="B75" s="165" t="s">
        <v>423</v>
      </c>
      <c r="C75" s="316"/>
      <c r="D75" s="317"/>
      <c r="E75" s="317"/>
      <c r="F75" s="317"/>
      <c r="G75" s="316"/>
      <c r="H75" s="161">
        <v>184.8</v>
      </c>
      <c r="I75" s="161">
        <v>192.9</v>
      </c>
      <c r="J75" s="162">
        <v>258.2</v>
      </c>
      <c r="K75" s="160">
        <v>408.8</v>
      </c>
      <c r="L75" s="161">
        <v>473.6</v>
      </c>
      <c r="M75" s="161">
        <v>502.3</v>
      </c>
      <c r="N75" s="162">
        <v>571.4</v>
      </c>
      <c r="O75" s="160">
        <v>604.20000000000005</v>
      </c>
      <c r="P75" s="161">
        <v>636.29999999999995</v>
      </c>
      <c r="Q75" s="161">
        <v>685.9</v>
      </c>
      <c r="R75" s="162">
        <v>712.6</v>
      </c>
      <c r="S75" s="160">
        <v>729.5</v>
      </c>
      <c r="T75" s="161">
        <v>728</v>
      </c>
      <c r="U75" s="161">
        <v>743.8</v>
      </c>
      <c r="V75" s="162">
        <v>663</v>
      </c>
      <c r="W75" s="160">
        <v>711.3</v>
      </c>
      <c r="X75" s="161">
        <v>773.5</v>
      </c>
      <c r="Y75" s="161">
        <v>828.9</v>
      </c>
      <c r="Z75" s="162">
        <v>895.5</v>
      </c>
      <c r="AA75" s="160">
        <v>905.6</v>
      </c>
      <c r="AB75" s="161">
        <v>945.69999999999982</v>
      </c>
      <c r="AC75" s="161">
        <v>978.00000000000011</v>
      </c>
      <c r="AD75" s="162">
        <v>1019.6</v>
      </c>
      <c r="AE75" s="160">
        <v>1061.8</v>
      </c>
      <c r="AF75" s="161">
        <v>1022</v>
      </c>
      <c r="AG75" s="161">
        <v>1043.2</v>
      </c>
      <c r="AH75" s="162">
        <v>1074.2</v>
      </c>
      <c r="AI75" s="161">
        <v>1117.6000000000001</v>
      </c>
      <c r="AJ75" s="161">
        <v>963.6</v>
      </c>
      <c r="AK75" s="161">
        <v>904.4</v>
      </c>
      <c r="AL75" s="162">
        <v>950.8</v>
      </c>
      <c r="AM75" s="161">
        <v>995.7</v>
      </c>
      <c r="AN75" s="161">
        <v>894.6</v>
      </c>
      <c r="AO75" s="161">
        <v>925.6</v>
      </c>
      <c r="AP75" s="162">
        <v>869.6</v>
      </c>
      <c r="AQ75" s="161">
        <v>884.5</v>
      </c>
      <c r="AR75" s="161">
        <v>861.8</v>
      </c>
      <c r="AS75" s="161">
        <v>913.9</v>
      </c>
      <c r="AT75" s="162">
        <v>960.7</v>
      </c>
      <c r="AU75" s="314"/>
      <c r="AV75" s="315"/>
      <c r="AW75" s="315"/>
      <c r="AX75" s="315"/>
      <c r="AY75" s="315"/>
      <c r="AZ75" s="315"/>
      <c r="BA75" s="315"/>
      <c r="BB75" s="315"/>
      <c r="BC75" s="315"/>
      <c r="BD75" s="315"/>
      <c r="BE75" s="315"/>
      <c r="BF75" s="315"/>
      <c r="BG75" s="315"/>
      <c r="BH75" s="315"/>
      <c r="BI75" s="315"/>
      <c r="BJ75" s="315"/>
      <c r="BK75" s="315"/>
      <c r="BL75" s="315"/>
      <c r="BM75" s="315"/>
      <c r="BN75" s="315"/>
      <c r="BO75" s="315"/>
      <c r="BP75" s="315"/>
      <c r="BQ75" s="315"/>
      <c r="BR75" s="315"/>
    </row>
    <row r="76" spans="1:70">
      <c r="A76" s="165" t="s">
        <v>424</v>
      </c>
      <c r="B76" s="165" t="s">
        <v>425</v>
      </c>
      <c r="C76" s="316"/>
      <c r="D76" s="317"/>
      <c r="E76" s="317"/>
      <c r="F76" s="317"/>
      <c r="G76" s="316"/>
      <c r="H76" s="161">
        <v>6.3</v>
      </c>
      <c r="I76" s="161">
        <v>7.3</v>
      </c>
      <c r="J76" s="162">
        <v>9.3000000000000007</v>
      </c>
      <c r="K76" s="160">
        <v>16.5</v>
      </c>
      <c r="L76" s="161">
        <v>13.5</v>
      </c>
      <c r="M76" s="161">
        <v>14.9</v>
      </c>
      <c r="N76" s="162">
        <v>20.100000000000001</v>
      </c>
      <c r="O76" s="160">
        <v>17.399999999999999</v>
      </c>
      <c r="P76" s="161">
        <v>17.600000000000001</v>
      </c>
      <c r="Q76" s="161">
        <v>9.1999999999999993</v>
      </c>
      <c r="R76" s="162">
        <v>11.1</v>
      </c>
      <c r="S76" s="160">
        <v>9.9</v>
      </c>
      <c r="T76" s="161">
        <v>10.6</v>
      </c>
      <c r="U76" s="161">
        <v>9</v>
      </c>
      <c r="V76" s="162">
        <v>10.6</v>
      </c>
      <c r="W76" s="160">
        <v>14.9</v>
      </c>
      <c r="X76" s="161">
        <v>17.600000000000001</v>
      </c>
      <c r="Y76" s="161">
        <v>20</v>
      </c>
      <c r="Z76" s="162">
        <v>22.3</v>
      </c>
      <c r="AA76" s="160">
        <v>23.5</v>
      </c>
      <c r="AB76" s="161">
        <v>27.2</v>
      </c>
      <c r="AC76" s="161">
        <v>16.399999999999999</v>
      </c>
      <c r="AD76" s="162">
        <v>13.5</v>
      </c>
      <c r="AE76" s="160">
        <v>14</v>
      </c>
      <c r="AF76" s="161">
        <v>16.2</v>
      </c>
      <c r="AG76" s="161">
        <v>16.3</v>
      </c>
      <c r="AH76" s="162">
        <v>18.3</v>
      </c>
      <c r="AI76" s="161">
        <v>14.1</v>
      </c>
      <c r="AJ76" s="161">
        <v>13.8</v>
      </c>
      <c r="AK76" s="161">
        <v>14.5</v>
      </c>
      <c r="AL76" s="162">
        <v>26.1</v>
      </c>
      <c r="AM76" s="161">
        <v>32.6</v>
      </c>
      <c r="AN76" s="161">
        <v>32.700000000000003</v>
      </c>
      <c r="AO76" s="161">
        <v>30.5</v>
      </c>
      <c r="AP76" s="162">
        <v>22.5</v>
      </c>
      <c r="AQ76" s="161">
        <v>20.9</v>
      </c>
      <c r="AR76" s="161">
        <v>29.9</v>
      </c>
      <c r="AS76" s="161">
        <v>36.5</v>
      </c>
      <c r="AT76" s="162">
        <v>40.6</v>
      </c>
      <c r="AU76" s="314"/>
      <c r="AV76" s="315"/>
      <c r="AW76" s="315"/>
      <c r="AX76" s="315"/>
      <c r="AY76" s="315"/>
      <c r="AZ76" s="315"/>
      <c r="BA76" s="315"/>
      <c r="BB76" s="315"/>
      <c r="BC76" s="315"/>
      <c r="BD76" s="315"/>
      <c r="BE76" s="315"/>
      <c r="BF76" s="315"/>
      <c r="BG76" s="315"/>
      <c r="BH76" s="315"/>
      <c r="BI76" s="315"/>
      <c r="BJ76" s="315"/>
      <c r="BK76" s="315"/>
      <c r="BL76" s="315"/>
      <c r="BM76" s="315"/>
      <c r="BN76" s="315"/>
      <c r="BO76" s="315"/>
      <c r="BP76" s="315"/>
      <c r="BQ76" s="315"/>
      <c r="BR76" s="315"/>
    </row>
    <row r="77" spans="1:70">
      <c r="A77" s="165" t="s">
        <v>426</v>
      </c>
      <c r="B77" s="165"/>
      <c r="C77" s="316"/>
      <c r="D77" s="317"/>
      <c r="E77" s="317"/>
      <c r="F77" s="317"/>
      <c r="G77" s="316"/>
      <c r="H77" s="161"/>
      <c r="I77" s="161"/>
      <c r="J77" s="162"/>
      <c r="K77" s="160"/>
      <c r="L77" s="161"/>
      <c r="M77" s="161"/>
      <c r="N77" s="162"/>
      <c r="O77" s="160"/>
      <c r="P77" s="161"/>
      <c r="Q77" s="161"/>
      <c r="R77" s="162"/>
      <c r="S77" s="160"/>
      <c r="T77" s="161"/>
      <c r="U77" s="161"/>
      <c r="V77" s="162"/>
      <c r="W77" s="160"/>
      <c r="X77" s="161"/>
      <c r="Y77" s="161"/>
      <c r="Z77" s="162"/>
      <c r="AA77" s="160"/>
      <c r="AB77" s="161"/>
      <c r="AC77" s="161"/>
      <c r="AD77" s="162"/>
      <c r="AE77" s="160"/>
      <c r="AF77" s="161"/>
      <c r="AG77" s="161"/>
      <c r="AH77" s="162"/>
      <c r="AI77" s="161"/>
      <c r="AJ77" s="161"/>
      <c r="AK77" s="161"/>
      <c r="AL77" s="162"/>
      <c r="AM77" s="161"/>
      <c r="AN77" s="161"/>
      <c r="AO77" s="161"/>
      <c r="AP77" s="162"/>
      <c r="AQ77" s="161"/>
      <c r="AR77" s="161"/>
      <c r="AS77" s="161"/>
      <c r="AT77" s="162"/>
      <c r="AU77" s="310"/>
      <c r="AV77" s="311"/>
      <c r="AW77" s="311"/>
      <c r="AX77" s="311"/>
      <c r="AY77" s="311"/>
      <c r="AZ77" s="311"/>
      <c r="BA77" s="311"/>
      <c r="BB77" s="311"/>
      <c r="BC77" s="311"/>
      <c r="BD77" s="311"/>
      <c r="BE77" s="311"/>
      <c r="BF77" s="311"/>
      <c r="BG77" s="311"/>
      <c r="BH77" s="311"/>
      <c r="BI77" s="311"/>
      <c r="BJ77" s="311"/>
      <c r="BK77" s="311"/>
      <c r="BL77" s="311"/>
      <c r="BM77" s="311"/>
      <c r="BN77" s="311"/>
      <c r="BO77" s="311"/>
      <c r="BP77" s="311"/>
      <c r="BQ77" s="311"/>
      <c r="BR77" s="311"/>
    </row>
    <row r="78" spans="1:70">
      <c r="A78" s="165" t="s">
        <v>427</v>
      </c>
      <c r="B78" s="165" t="s">
        <v>428</v>
      </c>
      <c r="C78" s="318"/>
      <c r="D78" s="319"/>
      <c r="E78" s="319"/>
      <c r="F78" s="319"/>
      <c r="G78" s="318"/>
      <c r="H78" s="320">
        <f t="shared" ref="H78:AQ78" si="24">H72/H70</f>
        <v>1.584045988431922E-2</v>
      </c>
      <c r="I78" s="320">
        <f t="shared" si="24"/>
        <v>1.6628261022207186E-2</v>
      </c>
      <c r="J78" s="321">
        <f t="shared" si="24"/>
        <v>2.0456430802901666E-2</v>
      </c>
      <c r="K78" s="322">
        <f t="shared" si="24"/>
        <v>4.2444589865422371E-2</v>
      </c>
      <c r="L78" s="320">
        <f t="shared" si="24"/>
        <v>4.9968197281888782E-2</v>
      </c>
      <c r="M78" s="320">
        <f t="shared" si="24"/>
        <v>4.6896209823062127E-2</v>
      </c>
      <c r="N78" s="321">
        <f t="shared" si="24"/>
        <v>5.5212842098087994E-2</v>
      </c>
      <c r="O78" s="322">
        <f t="shared" si="24"/>
        <v>5.9905391312364241E-2</v>
      </c>
      <c r="P78" s="320">
        <f t="shared" si="24"/>
        <v>5.850097538889789E-2</v>
      </c>
      <c r="Q78" s="320">
        <f t="shared" si="24"/>
        <v>5.978953997953132E-2</v>
      </c>
      <c r="R78" s="321">
        <f t="shared" si="24"/>
        <v>6.0132254193581335E-2</v>
      </c>
      <c r="S78" s="322">
        <f t="shared" si="24"/>
        <v>5.9495291902071562E-2</v>
      </c>
      <c r="T78" s="320">
        <f t="shared" si="24"/>
        <v>5.4714945776691615E-2</v>
      </c>
      <c r="U78" s="320">
        <f t="shared" si="24"/>
        <v>5.3144521998695182E-2</v>
      </c>
      <c r="V78" s="321">
        <f>V72/V70</f>
        <v>4.6334003892514269E-2</v>
      </c>
      <c r="W78" s="322">
        <f t="shared" si="24"/>
        <v>3.9611229942938378E-2</v>
      </c>
      <c r="X78" s="320">
        <f t="shared" si="24"/>
        <v>5.0694324363868531E-2</v>
      </c>
      <c r="Y78" s="320">
        <f t="shared" si="24"/>
        <v>5.0169832931790358E-2</v>
      </c>
      <c r="Z78" s="321">
        <f t="shared" si="24"/>
        <v>4.6097463016266146E-2</v>
      </c>
      <c r="AA78" s="322">
        <f t="shared" si="24"/>
        <v>5.0389762507404824E-2</v>
      </c>
      <c r="AB78" s="320">
        <f t="shared" si="24"/>
        <v>5.4853859982975255E-2</v>
      </c>
      <c r="AC78" s="320">
        <f t="shared" si="24"/>
        <v>5.4318636320350444E-2</v>
      </c>
      <c r="AD78" s="321">
        <f t="shared" si="24"/>
        <v>5.7617038580796025E-2</v>
      </c>
      <c r="AE78" s="322">
        <f t="shared" si="24"/>
        <v>5.7559704002690885E-2</v>
      </c>
      <c r="AF78" s="320">
        <f t="shared" si="24"/>
        <v>5.3056297222064418E-2</v>
      </c>
      <c r="AG78" s="320">
        <f t="shared" si="24"/>
        <v>5.0539756871179842E-2</v>
      </c>
      <c r="AH78" s="321">
        <f t="shared" si="24"/>
        <v>4.892730233734173E-2</v>
      </c>
      <c r="AI78" s="320">
        <f t="shared" si="24"/>
        <v>5.5871276780133712E-2</v>
      </c>
      <c r="AJ78" s="320">
        <f t="shared" si="24"/>
        <v>4.5675533022454015E-2</v>
      </c>
      <c r="AK78" s="320">
        <f t="shared" si="24"/>
        <v>3.8954350550069551E-2</v>
      </c>
      <c r="AL78" s="321">
        <f t="shared" si="24"/>
        <v>3.9597737272155882E-2</v>
      </c>
      <c r="AM78" s="320">
        <f t="shared" si="24"/>
        <v>4.2661586851548312E-2</v>
      </c>
      <c r="AN78" s="320">
        <f>AN72/AN70</f>
        <v>3.6021328674352836E-2</v>
      </c>
      <c r="AO78" s="320">
        <f>AO72/AO70</f>
        <v>3.5130478898248656E-2</v>
      </c>
      <c r="AP78" s="321">
        <f t="shared" si="24"/>
        <v>3.2172910831609398E-2</v>
      </c>
      <c r="AQ78" s="320">
        <f t="shared" si="24"/>
        <v>3.1847972794961064E-2</v>
      </c>
      <c r="AR78" s="320">
        <f>AR72/AR70</f>
        <v>3.3136995314841093E-2</v>
      </c>
      <c r="AS78" s="320">
        <f>AS72/AS70</f>
        <v>3.3183815188663493E-2</v>
      </c>
      <c r="AT78" s="321">
        <f>AT72/AT70</f>
        <v>3.4867836366247143E-2</v>
      </c>
      <c r="AU78" s="314"/>
      <c r="AV78" s="315"/>
      <c r="AW78" s="315"/>
      <c r="AX78" s="315"/>
      <c r="AY78" s="315"/>
      <c r="AZ78" s="315"/>
      <c r="BA78" s="315"/>
      <c r="BB78" s="315"/>
      <c r="BC78" s="315"/>
      <c r="BD78" s="315"/>
      <c r="BE78" s="315"/>
      <c r="BF78" s="315"/>
      <c r="BG78" s="315"/>
      <c r="BH78" s="315"/>
      <c r="BI78" s="315"/>
      <c r="BJ78" s="315"/>
      <c r="BK78" s="315"/>
      <c r="BL78" s="315"/>
      <c r="BM78" s="315"/>
      <c r="BN78" s="315"/>
      <c r="BO78" s="315"/>
      <c r="BP78" s="315"/>
      <c r="BQ78" s="315"/>
      <c r="BR78" s="315"/>
    </row>
    <row r="79" spans="1:70">
      <c r="A79" s="165" t="s">
        <v>429</v>
      </c>
      <c r="B79" s="165" t="s">
        <v>430</v>
      </c>
      <c r="C79" s="318"/>
      <c r="D79" s="319"/>
      <c r="E79" s="319"/>
      <c r="F79" s="319"/>
      <c r="G79" s="318"/>
      <c r="H79" s="320">
        <f t="shared" ref="H79:AQ79" si="25">H75/H72</f>
        <v>0.82795698924731187</v>
      </c>
      <c r="I79" s="320">
        <f t="shared" si="25"/>
        <v>0.74049904030710179</v>
      </c>
      <c r="J79" s="321">
        <f t="shared" si="25"/>
        <v>0.74259419039401786</v>
      </c>
      <c r="K79" s="322">
        <f t="shared" si="25"/>
        <v>0.54806274299503954</v>
      </c>
      <c r="L79" s="320">
        <f t="shared" si="25"/>
        <v>0.5530771925726965</v>
      </c>
      <c r="M79" s="320">
        <f t="shared" si="25"/>
        <v>0.63214195821797126</v>
      </c>
      <c r="N79" s="321">
        <f t="shared" si="25"/>
        <v>0.58786008230452669</v>
      </c>
      <c r="O79" s="322">
        <f t="shared" si="25"/>
        <v>0.58112917187650281</v>
      </c>
      <c r="P79" s="320">
        <f t="shared" si="25"/>
        <v>0.60796866042423081</v>
      </c>
      <c r="Q79" s="320">
        <f t="shared" si="25"/>
        <v>0.6020891853932584</v>
      </c>
      <c r="R79" s="321">
        <f t="shared" si="25"/>
        <v>0.60512907608695654</v>
      </c>
      <c r="S79" s="322">
        <f t="shared" si="25"/>
        <v>0.61576770490419508</v>
      </c>
      <c r="T79" s="320">
        <f t="shared" si="25"/>
        <v>0.63508680101195147</v>
      </c>
      <c r="U79" s="320">
        <f t="shared" si="25"/>
        <v>0.62540990498612625</v>
      </c>
      <c r="V79" s="321">
        <f>V75/V72</f>
        <v>0.58506883162725021</v>
      </c>
      <c r="W79" s="322">
        <f t="shared" si="25"/>
        <v>0.60203131612357175</v>
      </c>
      <c r="X79" s="320">
        <f t="shared" si="25"/>
        <v>0.50737946867825512</v>
      </c>
      <c r="Y79" s="320">
        <f t="shared" si="25"/>
        <v>0.54379059240307026</v>
      </c>
      <c r="Z79" s="321">
        <f t="shared" si="25"/>
        <v>0.65018514484861689</v>
      </c>
      <c r="AA79" s="322">
        <f t="shared" si="25"/>
        <v>0.60490281210339991</v>
      </c>
      <c r="AB79" s="320">
        <f t="shared" si="25"/>
        <v>0.56662672258837621</v>
      </c>
      <c r="AC79" s="320">
        <f t="shared" si="25"/>
        <v>0.57152875175315576</v>
      </c>
      <c r="AD79" s="321">
        <f t="shared" si="25"/>
        <v>0.56219673577415086</v>
      </c>
      <c r="AE79" s="322">
        <f t="shared" si="25"/>
        <v>0.55400187832620262</v>
      </c>
      <c r="AF79" s="320">
        <f t="shared" si="25"/>
        <v>0.54713849777825374</v>
      </c>
      <c r="AG79" s="320">
        <f t="shared" si="25"/>
        <v>0.5619781285352583</v>
      </c>
      <c r="AH79" s="321">
        <f t="shared" si="25"/>
        <v>0.5969104245387864</v>
      </c>
      <c r="AI79" s="320">
        <f t="shared" si="25"/>
        <v>0.52531139835487672</v>
      </c>
      <c r="AJ79" s="320">
        <f t="shared" si="25"/>
        <v>0.51078717201166179</v>
      </c>
      <c r="AK79" s="320">
        <f t="shared" si="25"/>
        <v>0.53378976568494363</v>
      </c>
      <c r="AL79" s="321">
        <f t="shared" si="25"/>
        <v>0.55080523693662375</v>
      </c>
      <c r="AM79" s="320">
        <f t="shared" si="25"/>
        <v>0.51697819314641746</v>
      </c>
      <c r="AN79" s="320">
        <f>AN75/AN72</f>
        <v>0.53700702323068605</v>
      </c>
      <c r="AO79" s="320">
        <f>AO75/AO72</f>
        <v>0.55695288525182018</v>
      </c>
      <c r="AP79" s="321">
        <f t="shared" si="25"/>
        <v>0.56537286262271635</v>
      </c>
      <c r="AQ79" s="320">
        <f t="shared" si="25"/>
        <v>0.56283805281578114</v>
      </c>
      <c r="AR79" s="320">
        <f>AR75/AR72</f>
        <v>0.51543062200956935</v>
      </c>
      <c r="AS79" s="320">
        <f>AS75/AS72</f>
        <v>0.52860200127248536</v>
      </c>
      <c r="AT79" s="321">
        <f>AT75/AT72</f>
        <v>0.53464299627135625</v>
      </c>
      <c r="AU79" s="314"/>
      <c r="AV79" s="315"/>
      <c r="AW79" s="315"/>
      <c r="AX79" s="315"/>
      <c r="AY79" s="315"/>
      <c r="AZ79" s="315"/>
      <c r="BA79" s="315"/>
      <c r="BB79" s="315"/>
      <c r="BC79" s="315"/>
      <c r="BD79" s="315"/>
      <c r="BE79" s="315"/>
      <c r="BF79" s="315"/>
      <c r="BG79" s="315"/>
      <c r="BH79" s="315"/>
      <c r="BI79" s="315"/>
      <c r="BJ79" s="315"/>
      <c r="BK79" s="315"/>
      <c r="BL79" s="315"/>
      <c r="BM79" s="315"/>
      <c r="BN79" s="315"/>
      <c r="BO79" s="315"/>
      <c r="BP79" s="315"/>
      <c r="BQ79" s="315"/>
      <c r="BR79" s="315"/>
    </row>
    <row r="80" spans="1:70">
      <c r="A80" s="165"/>
      <c r="B80" s="165"/>
      <c r="C80" s="316"/>
      <c r="D80" s="317"/>
      <c r="E80" s="317"/>
      <c r="F80" s="317"/>
      <c r="G80" s="316"/>
      <c r="H80" s="161"/>
      <c r="I80" s="161"/>
      <c r="J80" s="162"/>
      <c r="K80" s="160"/>
      <c r="L80" s="161"/>
      <c r="M80" s="161"/>
      <c r="N80" s="162"/>
      <c r="O80" s="160"/>
      <c r="P80" s="161"/>
      <c r="Q80" s="161"/>
      <c r="R80" s="162"/>
      <c r="S80" s="160"/>
      <c r="T80" s="161"/>
      <c r="U80" s="161"/>
      <c r="V80" s="162"/>
      <c r="W80" s="160"/>
      <c r="X80" s="161"/>
      <c r="Y80" s="161"/>
      <c r="Z80" s="162"/>
      <c r="AA80" s="160"/>
      <c r="AB80" s="161"/>
      <c r="AC80" s="161"/>
      <c r="AD80" s="162"/>
      <c r="AE80" s="160"/>
      <c r="AF80" s="161"/>
      <c r="AG80" s="161"/>
      <c r="AH80" s="162"/>
      <c r="AI80" s="161"/>
      <c r="AJ80" s="161"/>
      <c r="AK80" s="161"/>
      <c r="AL80" s="162"/>
      <c r="AM80" s="161"/>
      <c r="AN80" s="161"/>
      <c r="AO80" s="161"/>
      <c r="AP80" s="162"/>
      <c r="AQ80" s="161"/>
      <c r="AR80" s="161"/>
      <c r="AS80" s="161"/>
      <c r="AT80" s="162"/>
      <c r="AU80" s="310"/>
      <c r="AV80" s="311"/>
      <c r="AW80" s="311"/>
      <c r="AX80" s="311"/>
      <c r="AY80" s="311"/>
      <c r="AZ80" s="311"/>
      <c r="BA80" s="311"/>
      <c r="BB80" s="311"/>
      <c r="BC80" s="311"/>
      <c r="BD80" s="311"/>
      <c r="BE80" s="311"/>
      <c r="BF80" s="311"/>
      <c r="BG80" s="311"/>
      <c r="BH80" s="311"/>
      <c r="BI80" s="311"/>
      <c r="BJ80" s="311"/>
      <c r="BK80" s="311"/>
      <c r="BL80" s="311"/>
      <c r="BM80" s="311"/>
      <c r="BN80" s="311"/>
      <c r="BO80" s="311"/>
      <c r="BP80" s="311"/>
      <c r="BQ80" s="311"/>
      <c r="BR80" s="311"/>
    </row>
    <row r="81" spans="1:70">
      <c r="A81" s="203" t="s">
        <v>431</v>
      </c>
      <c r="B81" s="203" t="s">
        <v>395</v>
      </c>
      <c r="C81" s="316"/>
      <c r="D81" s="317"/>
      <c r="E81" s="317"/>
      <c r="F81" s="317"/>
      <c r="G81" s="316"/>
      <c r="H81" s="161"/>
      <c r="I81" s="161"/>
      <c r="J81" s="162"/>
      <c r="K81" s="160"/>
      <c r="L81" s="161"/>
      <c r="M81" s="161"/>
      <c r="N81" s="162"/>
      <c r="O81" s="160"/>
      <c r="P81" s="161"/>
      <c r="Q81" s="161"/>
      <c r="R81" s="162"/>
      <c r="S81" s="160"/>
      <c r="T81" s="161"/>
      <c r="U81" s="161"/>
      <c r="V81" s="162"/>
      <c r="W81" s="160"/>
      <c r="X81" s="161"/>
      <c r="Y81" s="161"/>
      <c r="Z81" s="162"/>
      <c r="AA81" s="160"/>
      <c r="AB81" s="161"/>
      <c r="AC81" s="161"/>
      <c r="AD81" s="162"/>
      <c r="AE81" s="160"/>
      <c r="AF81" s="161"/>
      <c r="AG81" s="161"/>
      <c r="AH81" s="162"/>
      <c r="AI81" s="161"/>
      <c r="AJ81" s="161"/>
      <c r="AK81" s="161"/>
      <c r="AL81" s="162"/>
      <c r="AM81" s="161"/>
      <c r="AN81" s="161"/>
      <c r="AO81" s="161"/>
      <c r="AP81" s="162"/>
      <c r="AQ81" s="161"/>
      <c r="AR81" s="161"/>
      <c r="AS81" s="161"/>
      <c r="AT81" s="162"/>
      <c r="AU81" s="310"/>
      <c r="AV81" s="311"/>
      <c r="AW81" s="311"/>
      <c r="AX81" s="311"/>
      <c r="AY81" s="311"/>
      <c r="AZ81" s="311"/>
      <c r="BA81" s="311"/>
      <c r="BB81" s="311"/>
      <c r="BC81" s="311"/>
      <c r="BD81" s="311"/>
      <c r="BE81" s="311"/>
      <c r="BF81" s="311"/>
      <c r="BG81" s="311"/>
      <c r="BH81" s="311"/>
      <c r="BI81" s="311"/>
      <c r="BJ81" s="311"/>
      <c r="BK81" s="311"/>
      <c r="BL81" s="311"/>
      <c r="BM81" s="311"/>
      <c r="BN81" s="311"/>
      <c r="BO81" s="311"/>
      <c r="BP81" s="311"/>
      <c r="BQ81" s="311"/>
      <c r="BR81" s="311"/>
    </row>
    <row r="82" spans="1:70">
      <c r="A82" s="203" t="s">
        <v>412</v>
      </c>
      <c r="B82" s="203" t="s">
        <v>413</v>
      </c>
      <c r="C82" s="312"/>
      <c r="D82" s="313"/>
      <c r="E82" s="313"/>
      <c r="F82" s="313"/>
      <c r="G82" s="312"/>
      <c r="H82" s="157">
        <f t="shared" ref="H82:AQ82" si="26">H83+H84</f>
        <v>5723.8</v>
      </c>
      <c r="I82" s="157">
        <f t="shared" si="26"/>
        <v>6439.6</v>
      </c>
      <c r="J82" s="158">
        <f t="shared" si="26"/>
        <v>7300.9000000000005</v>
      </c>
      <c r="K82" s="156">
        <f t="shared" si="26"/>
        <v>8041</v>
      </c>
      <c r="L82" s="157">
        <f t="shared" si="26"/>
        <v>8639.7999999999993</v>
      </c>
      <c r="M82" s="157">
        <f t="shared" si="26"/>
        <v>9190.2000000000007</v>
      </c>
      <c r="N82" s="158">
        <f t="shared" si="26"/>
        <v>9756.8000000000011</v>
      </c>
      <c r="O82" s="156">
        <f t="shared" si="26"/>
        <v>10220.700000000001</v>
      </c>
      <c r="P82" s="157">
        <f t="shared" si="26"/>
        <v>11104.1</v>
      </c>
      <c r="Q82" s="157">
        <f t="shared" si="26"/>
        <v>11614.3</v>
      </c>
      <c r="R82" s="158">
        <f t="shared" si="26"/>
        <v>12594.8</v>
      </c>
      <c r="S82" s="156">
        <f t="shared" si="26"/>
        <v>13076.2</v>
      </c>
      <c r="T82" s="157">
        <f t="shared" si="26"/>
        <v>13804.3</v>
      </c>
      <c r="U82" s="157">
        <f t="shared" si="26"/>
        <v>14540.6</v>
      </c>
      <c r="V82" s="158">
        <f t="shared" si="26"/>
        <v>15008.9</v>
      </c>
      <c r="W82" s="156">
        <f t="shared" si="26"/>
        <v>15278.5</v>
      </c>
      <c r="X82" s="157">
        <f t="shared" si="26"/>
        <v>15835.199999999999</v>
      </c>
      <c r="Y82" s="157">
        <f t="shared" si="26"/>
        <v>16362.1</v>
      </c>
      <c r="Z82" s="158">
        <f t="shared" si="26"/>
        <v>16632</v>
      </c>
      <c r="AA82" s="156">
        <f t="shared" si="26"/>
        <v>16960</v>
      </c>
      <c r="AB82" s="157">
        <f t="shared" si="26"/>
        <v>17710.400000000001</v>
      </c>
      <c r="AC82" s="157">
        <f t="shared" si="26"/>
        <v>18261.5</v>
      </c>
      <c r="AD82" s="158">
        <f t="shared" si="26"/>
        <v>18505.5</v>
      </c>
      <c r="AE82" s="156">
        <f t="shared" si="26"/>
        <v>19048.599999999999</v>
      </c>
      <c r="AF82" s="157">
        <f t="shared" si="26"/>
        <v>19893.099999999999</v>
      </c>
      <c r="AG82" s="157">
        <f t="shared" si="26"/>
        <v>21021.3</v>
      </c>
      <c r="AH82" s="158">
        <f t="shared" si="26"/>
        <v>21969.399999999998</v>
      </c>
      <c r="AI82" s="157">
        <f t="shared" si="26"/>
        <v>23244.499999999996</v>
      </c>
      <c r="AJ82" s="157">
        <f t="shared" si="26"/>
        <v>24641.5</v>
      </c>
      <c r="AK82" s="157">
        <f t="shared" si="26"/>
        <v>25551.999999999996</v>
      </c>
      <c r="AL82" s="158">
        <f t="shared" si="26"/>
        <v>26453.5</v>
      </c>
      <c r="AM82" s="157">
        <f t="shared" si="26"/>
        <v>27761</v>
      </c>
      <c r="AN82" s="157">
        <f>AN83+AN84</f>
        <v>29563.200000000001</v>
      </c>
      <c r="AO82" s="157">
        <f>AO83+AO84</f>
        <v>30581.8</v>
      </c>
      <c r="AP82" s="158">
        <f t="shared" si="26"/>
        <v>31640.600000000002</v>
      </c>
      <c r="AQ82" s="157">
        <f t="shared" si="26"/>
        <v>32786.200000000004</v>
      </c>
      <c r="AR82" s="157">
        <f>AR83+AR84</f>
        <v>34321.300000000003</v>
      </c>
      <c r="AS82" s="157">
        <f>AS83+AS84</f>
        <v>35795.299999999996</v>
      </c>
      <c r="AT82" s="158">
        <f>AT83+AT84</f>
        <v>37509</v>
      </c>
      <c r="AU82" s="314"/>
      <c r="AV82" s="315"/>
      <c r="AW82" s="315"/>
      <c r="AX82" s="315"/>
      <c r="AY82" s="315"/>
      <c r="AZ82" s="315"/>
      <c r="BA82" s="315"/>
      <c r="BB82" s="315"/>
      <c r="BC82" s="315"/>
      <c r="BD82" s="315"/>
      <c r="BE82" s="315"/>
      <c r="BF82" s="315"/>
      <c r="BG82" s="315"/>
      <c r="BH82" s="315"/>
      <c r="BI82" s="315"/>
      <c r="BJ82" s="315"/>
      <c r="BK82" s="315"/>
      <c r="BL82" s="315"/>
      <c r="BM82" s="315"/>
      <c r="BN82" s="315"/>
      <c r="BO82" s="315"/>
      <c r="BP82" s="315"/>
      <c r="BQ82" s="315"/>
      <c r="BR82" s="315"/>
    </row>
    <row r="83" spans="1:70">
      <c r="A83" s="163" t="s">
        <v>414</v>
      </c>
      <c r="B83" s="163" t="s">
        <v>415</v>
      </c>
      <c r="C83" s="316"/>
      <c r="D83" s="317"/>
      <c r="E83" s="317"/>
      <c r="F83" s="317"/>
      <c r="G83" s="316"/>
      <c r="H83" s="161">
        <v>5582.2</v>
      </c>
      <c r="I83" s="161">
        <v>6306.1</v>
      </c>
      <c r="J83" s="162">
        <v>7146.3</v>
      </c>
      <c r="K83" s="160">
        <v>7889</v>
      </c>
      <c r="L83" s="161">
        <v>8469.5</v>
      </c>
      <c r="M83" s="161">
        <v>9018.2000000000007</v>
      </c>
      <c r="N83" s="162">
        <v>9564.1</v>
      </c>
      <c r="O83" s="160">
        <v>9982.2000000000007</v>
      </c>
      <c r="P83" s="161">
        <v>10841.9</v>
      </c>
      <c r="Q83" s="161">
        <v>11323</v>
      </c>
      <c r="R83" s="162">
        <v>12264.8</v>
      </c>
      <c r="S83" s="160">
        <v>12736</v>
      </c>
      <c r="T83" s="161">
        <v>13432.4</v>
      </c>
      <c r="U83" s="161">
        <v>14140.6</v>
      </c>
      <c r="V83" s="162">
        <v>14589.1</v>
      </c>
      <c r="W83" s="160">
        <v>14837.9</v>
      </c>
      <c r="X83" s="161">
        <v>15370.199999999999</v>
      </c>
      <c r="Y83" s="161">
        <v>15863.2</v>
      </c>
      <c r="Z83" s="162">
        <v>16114.3</v>
      </c>
      <c r="AA83" s="160">
        <v>16421.8</v>
      </c>
      <c r="AB83" s="161">
        <v>17092.2</v>
      </c>
      <c r="AC83" s="161">
        <v>17778.400000000001</v>
      </c>
      <c r="AD83" s="162">
        <v>18004.5</v>
      </c>
      <c r="AE83" s="160">
        <v>18532</v>
      </c>
      <c r="AF83" s="161">
        <v>19363</v>
      </c>
      <c r="AG83" s="161">
        <v>20470.8</v>
      </c>
      <c r="AH83" s="162">
        <v>21389.599999999999</v>
      </c>
      <c r="AI83" s="161">
        <v>22632.199999999997</v>
      </c>
      <c r="AJ83" s="161">
        <v>24009.8</v>
      </c>
      <c r="AK83" s="161">
        <v>25032.899999999998</v>
      </c>
      <c r="AL83" s="162">
        <v>25911.3</v>
      </c>
      <c r="AM83" s="161">
        <v>27254</v>
      </c>
      <c r="AN83" s="161">
        <v>29018.100000000002</v>
      </c>
      <c r="AO83" s="161">
        <v>30084</v>
      </c>
      <c r="AP83" s="162">
        <v>31101.9</v>
      </c>
      <c r="AQ83" s="161">
        <v>32192.9</v>
      </c>
      <c r="AR83" s="161">
        <v>33687.5</v>
      </c>
      <c r="AS83" s="161">
        <v>35152.1</v>
      </c>
      <c r="AT83" s="162">
        <v>36809</v>
      </c>
      <c r="AU83" s="314"/>
      <c r="AV83" s="315"/>
      <c r="AW83" s="315"/>
      <c r="AX83" s="315"/>
      <c r="AY83" s="315"/>
      <c r="AZ83" s="315"/>
      <c r="BA83" s="315"/>
      <c r="BB83" s="315"/>
      <c r="BC83" s="315"/>
      <c r="BD83" s="315"/>
      <c r="BE83" s="315"/>
      <c r="BF83" s="315"/>
      <c r="BG83" s="315"/>
      <c r="BH83" s="315"/>
      <c r="BI83" s="315"/>
      <c r="BJ83" s="315"/>
      <c r="BK83" s="315"/>
      <c r="BL83" s="315"/>
      <c r="BM83" s="315"/>
      <c r="BN83" s="315"/>
      <c r="BO83" s="315"/>
      <c r="BP83" s="315"/>
      <c r="BQ83" s="315"/>
      <c r="BR83" s="315"/>
    </row>
    <row r="84" spans="1:70">
      <c r="A84" s="163" t="s">
        <v>416</v>
      </c>
      <c r="B84" s="163" t="s">
        <v>417</v>
      </c>
      <c r="C84" s="316"/>
      <c r="D84" s="317"/>
      <c r="E84" s="317"/>
      <c r="F84" s="317"/>
      <c r="G84" s="316"/>
      <c r="H84" s="161">
        <v>141.6</v>
      </c>
      <c r="I84" s="161">
        <v>133.5</v>
      </c>
      <c r="J84" s="162">
        <v>154.6</v>
      </c>
      <c r="K84" s="160">
        <v>152</v>
      </c>
      <c r="L84" s="161">
        <v>170.3</v>
      </c>
      <c r="M84" s="161">
        <v>172</v>
      </c>
      <c r="N84" s="162">
        <v>192.7</v>
      </c>
      <c r="O84" s="160">
        <v>238.5</v>
      </c>
      <c r="P84" s="161">
        <v>262.2</v>
      </c>
      <c r="Q84" s="161">
        <v>291.3</v>
      </c>
      <c r="R84" s="162">
        <v>330</v>
      </c>
      <c r="S84" s="160">
        <v>340.2</v>
      </c>
      <c r="T84" s="161">
        <v>371.9</v>
      </c>
      <c r="U84" s="161">
        <v>400</v>
      </c>
      <c r="V84" s="162">
        <v>419.8</v>
      </c>
      <c r="W84" s="160">
        <v>440.6</v>
      </c>
      <c r="X84" s="161">
        <v>465</v>
      </c>
      <c r="Y84" s="161">
        <v>498.90000000000003</v>
      </c>
      <c r="Z84" s="162">
        <v>517.70000000000005</v>
      </c>
      <c r="AA84" s="160">
        <v>538.20000000000005</v>
      </c>
      <c r="AB84" s="161">
        <v>618.20000000000005</v>
      </c>
      <c r="AC84" s="161">
        <v>483.1</v>
      </c>
      <c r="AD84" s="162">
        <v>501</v>
      </c>
      <c r="AE84" s="160">
        <v>516.6</v>
      </c>
      <c r="AF84" s="161">
        <v>530.1</v>
      </c>
      <c r="AG84" s="161">
        <v>550.5</v>
      </c>
      <c r="AH84" s="162">
        <v>579.79999999999995</v>
      </c>
      <c r="AI84" s="161">
        <v>612.29999999999995</v>
      </c>
      <c r="AJ84" s="161">
        <v>631.70000000000005</v>
      </c>
      <c r="AK84" s="161">
        <v>519.1</v>
      </c>
      <c r="AL84" s="162">
        <v>542.20000000000005</v>
      </c>
      <c r="AM84" s="161">
        <v>507</v>
      </c>
      <c r="AN84" s="161">
        <v>545.1</v>
      </c>
      <c r="AO84" s="161">
        <v>497.8</v>
      </c>
      <c r="AP84" s="162">
        <v>538.70000000000005</v>
      </c>
      <c r="AQ84" s="161">
        <v>593.29999999999995</v>
      </c>
      <c r="AR84" s="161">
        <v>633.79999999999995</v>
      </c>
      <c r="AS84" s="161">
        <v>643.20000000000005</v>
      </c>
      <c r="AT84" s="162">
        <v>700</v>
      </c>
      <c r="AU84" s="314"/>
      <c r="AV84" s="315"/>
      <c r="AW84" s="315"/>
      <c r="AX84" s="315"/>
      <c r="AY84" s="315"/>
      <c r="AZ84" s="315"/>
      <c r="BA84" s="315"/>
      <c r="BB84" s="315"/>
      <c r="BC84" s="315"/>
      <c r="BD84" s="315"/>
      <c r="BE84" s="315"/>
      <c r="BF84" s="315"/>
      <c r="BG84" s="315"/>
      <c r="BH84" s="315"/>
      <c r="BI84" s="315"/>
      <c r="BJ84" s="315"/>
      <c r="BK84" s="315"/>
      <c r="BL84" s="315"/>
      <c r="BM84" s="315"/>
      <c r="BN84" s="315"/>
      <c r="BO84" s="315"/>
      <c r="BP84" s="315"/>
      <c r="BQ84" s="315"/>
      <c r="BR84" s="315"/>
    </row>
    <row r="85" spans="1:70">
      <c r="A85" s="203" t="s">
        <v>418</v>
      </c>
      <c r="B85" s="203" t="s">
        <v>419</v>
      </c>
      <c r="C85" s="312"/>
      <c r="D85" s="313"/>
      <c r="E85" s="313"/>
      <c r="F85" s="313"/>
      <c r="G85" s="312"/>
      <c r="H85" s="157">
        <f t="shared" ref="H85:AT85" si="27">SUM(H86:H88)</f>
        <v>132.69999999999999</v>
      </c>
      <c r="I85" s="157">
        <f t="shared" si="27"/>
        <v>141.19999999999999</v>
      </c>
      <c r="J85" s="158">
        <f t="shared" si="27"/>
        <v>164.2</v>
      </c>
      <c r="K85" s="156">
        <f t="shared" si="27"/>
        <v>180.7</v>
      </c>
      <c r="L85" s="157">
        <f t="shared" si="27"/>
        <v>198.29999999999998</v>
      </c>
      <c r="M85" s="157">
        <f t="shared" si="27"/>
        <v>202.6</v>
      </c>
      <c r="N85" s="158">
        <f t="shared" si="27"/>
        <v>224.1</v>
      </c>
      <c r="O85" s="156">
        <f t="shared" si="27"/>
        <v>246</v>
      </c>
      <c r="P85" s="157">
        <f t="shared" si="27"/>
        <v>259</v>
      </c>
      <c r="Q85" s="157">
        <f t="shared" si="27"/>
        <v>280.89999999999998</v>
      </c>
      <c r="R85" s="158">
        <f t="shared" si="27"/>
        <v>305.5</v>
      </c>
      <c r="S85" s="156">
        <f t="shared" si="27"/>
        <v>334.9</v>
      </c>
      <c r="T85" s="157">
        <f t="shared" si="27"/>
        <v>348.7</v>
      </c>
      <c r="U85" s="157">
        <f t="shared" si="27"/>
        <v>369.59999999999997</v>
      </c>
      <c r="V85" s="158">
        <f t="shared" si="27"/>
        <v>382.79999999999995</v>
      </c>
      <c r="W85" s="156">
        <f t="shared" si="27"/>
        <v>400.9</v>
      </c>
      <c r="X85" s="157">
        <f t="shared" si="27"/>
        <v>426.70000000000005</v>
      </c>
      <c r="Y85" s="157">
        <f t="shared" si="27"/>
        <v>447.2</v>
      </c>
      <c r="Z85" s="158">
        <f t="shared" si="27"/>
        <v>470.5</v>
      </c>
      <c r="AA85" s="156">
        <f t="shared" si="27"/>
        <v>506.59999999999997</v>
      </c>
      <c r="AB85" s="157">
        <f t="shared" si="27"/>
        <v>569.4</v>
      </c>
      <c r="AC85" s="157">
        <f t="shared" si="27"/>
        <v>470.6</v>
      </c>
      <c r="AD85" s="158">
        <f t="shared" si="27"/>
        <v>486.9</v>
      </c>
      <c r="AE85" s="156">
        <f t="shared" si="27"/>
        <v>525</v>
      </c>
      <c r="AF85" s="157">
        <f t="shared" si="27"/>
        <v>536.80000000000007</v>
      </c>
      <c r="AG85" s="157">
        <f t="shared" si="27"/>
        <v>550.19999999999993</v>
      </c>
      <c r="AH85" s="158">
        <f t="shared" si="27"/>
        <v>566.6</v>
      </c>
      <c r="AI85" s="157">
        <f t="shared" si="27"/>
        <v>602</v>
      </c>
      <c r="AJ85" s="157">
        <f t="shared" si="27"/>
        <v>626.1</v>
      </c>
      <c r="AK85" s="157">
        <f t="shared" si="27"/>
        <v>514.70000000000005</v>
      </c>
      <c r="AL85" s="158">
        <f t="shared" si="27"/>
        <v>515.9</v>
      </c>
      <c r="AM85" s="157">
        <f t="shared" si="27"/>
        <v>494.6</v>
      </c>
      <c r="AN85" s="157">
        <f t="shared" si="27"/>
        <v>515.79999999999995</v>
      </c>
      <c r="AO85" s="157">
        <f t="shared" si="27"/>
        <v>468.3</v>
      </c>
      <c r="AP85" s="158">
        <f t="shared" si="27"/>
        <v>531.5</v>
      </c>
      <c r="AQ85" s="157">
        <f t="shared" si="27"/>
        <v>567.39999999999986</v>
      </c>
      <c r="AR85" s="157">
        <f t="shared" si="27"/>
        <v>606.5</v>
      </c>
      <c r="AS85" s="157">
        <f t="shared" si="27"/>
        <v>606.9</v>
      </c>
      <c r="AT85" s="158">
        <f t="shared" si="27"/>
        <v>633.09999999999991</v>
      </c>
      <c r="AU85" s="314"/>
      <c r="AV85" s="315"/>
      <c r="AW85" s="315"/>
      <c r="AX85" s="315"/>
      <c r="AY85" s="315"/>
      <c r="AZ85" s="315"/>
      <c r="BA85" s="315"/>
      <c r="BB85" s="315"/>
      <c r="BC85" s="315"/>
      <c r="BD85" s="315"/>
      <c r="BE85" s="315"/>
      <c r="BF85" s="315"/>
      <c r="BG85" s="315"/>
      <c r="BH85" s="315"/>
      <c r="BI85" s="315"/>
      <c r="BJ85" s="315"/>
      <c r="BK85" s="315"/>
      <c r="BL85" s="315"/>
      <c r="BM85" s="315"/>
      <c r="BN85" s="315"/>
      <c r="BO85" s="315"/>
      <c r="BP85" s="315"/>
      <c r="BQ85" s="315"/>
      <c r="BR85" s="315"/>
    </row>
    <row r="86" spans="1:70">
      <c r="A86" s="159" t="s">
        <v>420</v>
      </c>
      <c r="B86" s="159" t="s">
        <v>432</v>
      </c>
      <c r="C86" s="316"/>
      <c r="D86" s="317"/>
      <c r="E86" s="317"/>
      <c r="F86" s="317"/>
      <c r="G86" s="316"/>
      <c r="H86" s="161">
        <v>28.5</v>
      </c>
      <c r="I86" s="161">
        <v>32.799999999999997</v>
      </c>
      <c r="J86" s="162">
        <v>44.9</v>
      </c>
      <c r="K86" s="160">
        <v>51.7</v>
      </c>
      <c r="L86" s="161">
        <v>56.6</v>
      </c>
      <c r="M86" s="161">
        <v>63.9</v>
      </c>
      <c r="N86" s="162">
        <v>75.900000000000006</v>
      </c>
      <c r="O86" s="160">
        <v>85.6</v>
      </c>
      <c r="P86" s="161">
        <v>88.1</v>
      </c>
      <c r="Q86" s="161">
        <v>92.2</v>
      </c>
      <c r="R86" s="162">
        <v>90.1</v>
      </c>
      <c r="S86" s="160">
        <v>98.4</v>
      </c>
      <c r="T86" s="161">
        <v>97.8</v>
      </c>
      <c r="U86" s="161">
        <v>98.7</v>
      </c>
      <c r="V86" s="162">
        <v>96.9</v>
      </c>
      <c r="W86" s="160">
        <v>95.899999999999991</v>
      </c>
      <c r="X86" s="161">
        <v>96.9</v>
      </c>
      <c r="Y86" s="161">
        <v>96</v>
      </c>
      <c r="Z86" s="162">
        <v>70.399999999999991</v>
      </c>
      <c r="AA86" s="160">
        <v>86.5</v>
      </c>
      <c r="AB86" s="161">
        <v>91.3</v>
      </c>
      <c r="AC86" s="161">
        <v>105.19999999999999</v>
      </c>
      <c r="AD86" s="162">
        <v>103.5</v>
      </c>
      <c r="AE86" s="160">
        <v>108.3</v>
      </c>
      <c r="AF86" s="161">
        <v>106.60000000000001</v>
      </c>
      <c r="AG86" s="161">
        <v>103.8</v>
      </c>
      <c r="AH86" s="162">
        <v>87.8</v>
      </c>
      <c r="AI86" s="161">
        <v>97.8</v>
      </c>
      <c r="AJ86" s="161">
        <v>101.5</v>
      </c>
      <c r="AK86" s="161">
        <v>106.5</v>
      </c>
      <c r="AL86" s="162">
        <v>101.7</v>
      </c>
      <c r="AM86" s="161">
        <v>103.3</v>
      </c>
      <c r="AN86" s="161">
        <v>99.7</v>
      </c>
      <c r="AO86" s="161">
        <v>104.1</v>
      </c>
      <c r="AP86" s="162">
        <v>141.9</v>
      </c>
      <c r="AQ86" s="161">
        <v>139.19999999999999</v>
      </c>
      <c r="AR86" s="161">
        <v>155.6</v>
      </c>
      <c r="AS86" s="161">
        <v>157</v>
      </c>
      <c r="AT86" s="162">
        <v>163.80000000000001</v>
      </c>
      <c r="AU86" s="314"/>
      <c r="AV86" s="315"/>
      <c r="AW86" s="315"/>
      <c r="AX86" s="315"/>
      <c r="AY86" s="315"/>
      <c r="AZ86" s="315"/>
      <c r="BA86" s="315"/>
      <c r="BB86" s="315"/>
      <c r="BC86" s="315"/>
      <c r="BD86" s="315"/>
      <c r="BE86" s="315"/>
      <c r="BF86" s="315"/>
      <c r="BG86" s="315"/>
      <c r="BH86" s="315"/>
      <c r="BI86" s="315"/>
      <c r="BJ86" s="315"/>
      <c r="BK86" s="315"/>
      <c r="BL86" s="315"/>
      <c r="BM86" s="315"/>
      <c r="BN86" s="315"/>
      <c r="BO86" s="315"/>
      <c r="BP86" s="315"/>
      <c r="BQ86" s="315"/>
      <c r="BR86" s="315"/>
    </row>
    <row r="87" spans="1:70">
      <c r="A87" s="163" t="s">
        <v>422</v>
      </c>
      <c r="B87" s="163" t="s">
        <v>433</v>
      </c>
      <c r="C87" s="316"/>
      <c r="D87" s="317"/>
      <c r="E87" s="317"/>
      <c r="F87" s="317"/>
      <c r="G87" s="316"/>
      <c r="H87" s="161">
        <v>104.2</v>
      </c>
      <c r="I87" s="161">
        <v>108.4</v>
      </c>
      <c r="J87" s="162">
        <v>119.3</v>
      </c>
      <c r="K87" s="160">
        <v>129</v>
      </c>
      <c r="L87" s="161">
        <v>141.69999999999999</v>
      </c>
      <c r="M87" s="161">
        <v>138.69999999999999</v>
      </c>
      <c r="N87" s="162">
        <v>148.19999999999999</v>
      </c>
      <c r="O87" s="160">
        <v>160.4</v>
      </c>
      <c r="P87" s="161">
        <v>170.9</v>
      </c>
      <c r="Q87" s="161">
        <v>188.7</v>
      </c>
      <c r="R87" s="162">
        <v>215.4</v>
      </c>
      <c r="S87" s="160">
        <v>236.5</v>
      </c>
      <c r="T87" s="161">
        <v>250.9</v>
      </c>
      <c r="U87" s="161">
        <v>270.89999999999998</v>
      </c>
      <c r="V87" s="162">
        <v>285.89999999999998</v>
      </c>
      <c r="W87" s="160">
        <v>305</v>
      </c>
      <c r="X87" s="161">
        <v>329.8</v>
      </c>
      <c r="Y87" s="161">
        <v>351.2</v>
      </c>
      <c r="Z87" s="162">
        <v>400.1</v>
      </c>
      <c r="AA87" s="160">
        <v>420.09999999999997</v>
      </c>
      <c r="AB87" s="161">
        <v>478.1</v>
      </c>
      <c r="AC87" s="161">
        <v>365.40000000000003</v>
      </c>
      <c r="AD87" s="162">
        <v>383.4</v>
      </c>
      <c r="AE87" s="160">
        <v>416.7</v>
      </c>
      <c r="AF87" s="161">
        <v>430.20000000000005</v>
      </c>
      <c r="AG87" s="161">
        <v>446.4</v>
      </c>
      <c r="AH87" s="162">
        <v>478.8</v>
      </c>
      <c r="AI87" s="161">
        <v>504.20000000000005</v>
      </c>
      <c r="AJ87" s="161">
        <v>524.5</v>
      </c>
      <c r="AK87" s="161">
        <v>408.1</v>
      </c>
      <c r="AL87" s="162">
        <v>414.2</v>
      </c>
      <c r="AM87" s="161">
        <v>382.8</v>
      </c>
      <c r="AN87" s="161">
        <v>407.3</v>
      </c>
      <c r="AO87" s="161">
        <v>355.5</v>
      </c>
      <c r="AP87" s="162">
        <v>385.3</v>
      </c>
      <c r="AQ87" s="161">
        <v>423.9</v>
      </c>
      <c r="AR87" s="161">
        <v>446</v>
      </c>
      <c r="AS87" s="161">
        <v>445</v>
      </c>
      <c r="AT87" s="162">
        <v>464</v>
      </c>
      <c r="AU87" s="314"/>
      <c r="AV87" s="315"/>
      <c r="AW87" s="315"/>
      <c r="AX87" s="315"/>
      <c r="AY87" s="315"/>
      <c r="AZ87" s="315"/>
      <c r="BA87" s="315"/>
      <c r="BB87" s="315"/>
      <c r="BC87" s="315"/>
      <c r="BD87" s="315"/>
      <c r="BE87" s="315"/>
      <c r="BF87" s="315"/>
      <c r="BG87" s="315"/>
      <c r="BH87" s="315"/>
      <c r="BI87" s="315"/>
      <c r="BJ87" s="315"/>
      <c r="BK87" s="315"/>
      <c r="BL87" s="315"/>
      <c r="BM87" s="315"/>
      <c r="BN87" s="315"/>
      <c r="BO87" s="315"/>
      <c r="BP87" s="315"/>
      <c r="BQ87" s="315"/>
      <c r="BR87" s="315"/>
    </row>
    <row r="88" spans="1:70">
      <c r="A88" s="163" t="s">
        <v>424</v>
      </c>
      <c r="B88" s="163" t="s">
        <v>425</v>
      </c>
      <c r="C88" s="316"/>
      <c r="D88" s="317"/>
      <c r="E88" s="317"/>
      <c r="F88" s="317"/>
      <c r="G88" s="316"/>
      <c r="H88" s="161">
        <v>0</v>
      </c>
      <c r="I88" s="161">
        <v>0</v>
      </c>
      <c r="J88" s="162">
        <v>0</v>
      </c>
      <c r="K88" s="160">
        <v>0</v>
      </c>
      <c r="L88" s="161">
        <v>0</v>
      </c>
      <c r="M88" s="161">
        <v>0</v>
      </c>
      <c r="N88" s="162">
        <v>0</v>
      </c>
      <c r="O88" s="160">
        <v>0</v>
      </c>
      <c r="P88" s="161">
        <v>0</v>
      </c>
      <c r="Q88" s="161">
        <v>0</v>
      </c>
      <c r="R88" s="162">
        <v>0</v>
      </c>
      <c r="S88" s="160">
        <v>0</v>
      </c>
      <c r="T88" s="161">
        <v>0</v>
      </c>
      <c r="U88" s="161">
        <v>0</v>
      </c>
      <c r="V88" s="162">
        <v>0</v>
      </c>
      <c r="W88" s="160">
        <v>0</v>
      </c>
      <c r="X88" s="161">
        <v>0</v>
      </c>
      <c r="Y88" s="161">
        <v>0</v>
      </c>
      <c r="Z88" s="162">
        <v>0</v>
      </c>
      <c r="AA88" s="160">
        <v>0</v>
      </c>
      <c r="AB88" s="161">
        <v>0</v>
      </c>
      <c r="AC88" s="161">
        <v>0</v>
      </c>
      <c r="AD88" s="162">
        <v>0</v>
      </c>
      <c r="AE88" s="160">
        <v>0</v>
      </c>
      <c r="AF88" s="161">
        <v>0</v>
      </c>
      <c r="AG88" s="161">
        <v>0</v>
      </c>
      <c r="AH88" s="162">
        <v>0</v>
      </c>
      <c r="AI88" s="161">
        <v>0</v>
      </c>
      <c r="AJ88" s="161">
        <v>0.1</v>
      </c>
      <c r="AK88" s="161">
        <v>0.1</v>
      </c>
      <c r="AL88" s="162">
        <v>0</v>
      </c>
      <c r="AM88" s="161">
        <v>8.5</v>
      </c>
      <c r="AN88" s="161">
        <v>8.8000000000000007</v>
      </c>
      <c r="AO88" s="161">
        <v>8.6999999999999993</v>
      </c>
      <c r="AP88" s="162">
        <v>4.3</v>
      </c>
      <c r="AQ88" s="161">
        <v>4.3</v>
      </c>
      <c r="AR88" s="161">
        <v>4.9000000000000004</v>
      </c>
      <c r="AS88" s="161">
        <v>4.9000000000000004</v>
      </c>
      <c r="AT88" s="162">
        <v>5.3</v>
      </c>
      <c r="AU88" s="314"/>
      <c r="AV88" s="315"/>
      <c r="AW88" s="315"/>
      <c r="AX88" s="315"/>
      <c r="AY88" s="315"/>
      <c r="AZ88" s="315"/>
      <c r="BA88" s="315"/>
      <c r="BB88" s="315"/>
      <c r="BC88" s="315"/>
      <c r="BD88" s="315"/>
      <c r="BE88" s="315"/>
      <c r="BF88" s="315"/>
      <c r="BG88" s="315"/>
      <c r="BH88" s="315"/>
      <c r="BI88" s="315"/>
      <c r="BJ88" s="315"/>
      <c r="BK88" s="315"/>
      <c r="BL88" s="315"/>
      <c r="BM88" s="315"/>
      <c r="BN88" s="315"/>
      <c r="BO88" s="315"/>
      <c r="BP88" s="315"/>
      <c r="BQ88" s="315"/>
      <c r="BR88" s="315"/>
    </row>
    <row r="89" spans="1:70">
      <c r="A89" s="163" t="s">
        <v>426</v>
      </c>
      <c r="B89" s="163"/>
      <c r="C89" s="316"/>
      <c r="D89" s="317"/>
      <c r="E89" s="317"/>
      <c r="F89" s="317"/>
      <c r="G89" s="316"/>
      <c r="H89" s="161"/>
      <c r="I89" s="161"/>
      <c r="J89" s="162"/>
      <c r="K89" s="160"/>
      <c r="L89" s="161"/>
      <c r="M89" s="161"/>
      <c r="N89" s="162"/>
      <c r="O89" s="160"/>
      <c r="P89" s="161"/>
      <c r="Q89" s="161"/>
      <c r="R89" s="162"/>
      <c r="S89" s="160"/>
      <c r="T89" s="161"/>
      <c r="U89" s="161"/>
      <c r="V89" s="162"/>
      <c r="W89" s="160"/>
      <c r="X89" s="161"/>
      <c r="Y89" s="161"/>
      <c r="Z89" s="162"/>
      <c r="AA89" s="160"/>
      <c r="AB89" s="161"/>
      <c r="AC89" s="161"/>
      <c r="AD89" s="162"/>
      <c r="AE89" s="160"/>
      <c r="AF89" s="161"/>
      <c r="AG89" s="161"/>
      <c r="AH89" s="162"/>
      <c r="AI89" s="161"/>
      <c r="AJ89" s="161"/>
      <c r="AK89" s="161"/>
      <c r="AL89" s="162"/>
      <c r="AM89" s="161"/>
      <c r="AN89" s="161"/>
      <c r="AO89" s="161"/>
      <c r="AP89" s="162"/>
      <c r="AQ89" s="161"/>
      <c r="AR89" s="161"/>
      <c r="AS89" s="161"/>
      <c r="AT89" s="162"/>
      <c r="AU89" s="310"/>
      <c r="AV89" s="311"/>
      <c r="AW89" s="311"/>
      <c r="AX89" s="311"/>
      <c r="AY89" s="311"/>
      <c r="AZ89" s="311"/>
      <c r="BA89" s="311"/>
      <c r="BB89" s="311"/>
      <c r="BC89" s="311"/>
      <c r="BD89" s="311"/>
      <c r="BE89" s="311"/>
      <c r="BF89" s="311"/>
      <c r="BG89" s="311"/>
      <c r="BH89" s="311"/>
      <c r="BI89" s="311"/>
      <c r="BJ89" s="311"/>
      <c r="BK89" s="311"/>
      <c r="BL89" s="311"/>
      <c r="BM89" s="311"/>
      <c r="BN89" s="311"/>
      <c r="BO89" s="311"/>
      <c r="BP89" s="311"/>
      <c r="BQ89" s="311"/>
      <c r="BR89" s="311"/>
    </row>
    <row r="90" spans="1:70">
      <c r="A90" s="163" t="s">
        <v>427</v>
      </c>
      <c r="B90" s="163" t="s">
        <v>434</v>
      </c>
      <c r="C90" s="318"/>
      <c r="D90" s="319"/>
      <c r="E90" s="319"/>
      <c r="F90" s="319"/>
      <c r="G90" s="318"/>
      <c r="H90" s="320">
        <f t="shared" ref="H90:AQ90" si="28">H84/H82</f>
        <v>2.4738809881547221E-2</v>
      </c>
      <c r="I90" s="320">
        <f t="shared" si="28"/>
        <v>2.0731101310640411E-2</v>
      </c>
      <c r="J90" s="321">
        <f t="shared" si="28"/>
        <v>2.1175471517210203E-2</v>
      </c>
      <c r="K90" s="322">
        <f t="shared" si="28"/>
        <v>1.890312150230071E-2</v>
      </c>
      <c r="L90" s="320">
        <f t="shared" si="28"/>
        <v>1.9711104423713516E-2</v>
      </c>
      <c r="M90" s="320">
        <f t="shared" si="28"/>
        <v>1.8715588344105676E-2</v>
      </c>
      <c r="N90" s="321">
        <f t="shared" si="28"/>
        <v>1.9750327976385696E-2</v>
      </c>
      <c r="O90" s="322">
        <f t="shared" si="28"/>
        <v>2.3334996624497343E-2</v>
      </c>
      <c r="P90" s="320">
        <f t="shared" si="28"/>
        <v>2.3612899739735772E-2</v>
      </c>
      <c r="Q90" s="320">
        <f t="shared" si="28"/>
        <v>2.5081149961685166E-2</v>
      </c>
      <c r="R90" s="321">
        <f t="shared" si="28"/>
        <v>2.6201289421030904E-2</v>
      </c>
      <c r="S90" s="322">
        <f t="shared" si="28"/>
        <v>2.6016732689925205E-2</v>
      </c>
      <c r="T90" s="320">
        <f t="shared" si="28"/>
        <v>2.6940880740059257E-2</v>
      </c>
      <c r="U90" s="320">
        <f t="shared" si="28"/>
        <v>2.7509181189221903E-2</v>
      </c>
      <c r="V90" s="321">
        <f t="shared" si="28"/>
        <v>2.7970071091152585E-2</v>
      </c>
      <c r="W90" s="322">
        <f t="shared" si="28"/>
        <v>2.8837909480642736E-2</v>
      </c>
      <c r="X90" s="320">
        <f t="shared" si="28"/>
        <v>2.936495907850864E-2</v>
      </c>
      <c r="Y90" s="320">
        <f t="shared" si="28"/>
        <v>3.0491196117857732E-2</v>
      </c>
      <c r="Z90" s="321">
        <f t="shared" si="28"/>
        <v>3.1126743626743631E-2</v>
      </c>
      <c r="AA90" s="322">
        <f t="shared" si="28"/>
        <v>3.1733490566037741E-2</v>
      </c>
      <c r="AB90" s="320">
        <f t="shared" si="28"/>
        <v>3.4906043906405275E-2</v>
      </c>
      <c r="AC90" s="320">
        <f t="shared" si="28"/>
        <v>2.6454562878186351E-2</v>
      </c>
      <c r="AD90" s="321">
        <f t="shared" si="28"/>
        <v>2.707303234173624E-2</v>
      </c>
      <c r="AE90" s="322">
        <f t="shared" si="28"/>
        <v>2.7120103314679296E-2</v>
      </c>
      <c r="AF90" s="320">
        <f t="shared" si="28"/>
        <v>2.6647430516108603E-2</v>
      </c>
      <c r="AG90" s="320">
        <f t="shared" si="28"/>
        <v>2.6187723880064507E-2</v>
      </c>
      <c r="AH90" s="321">
        <f t="shared" si="28"/>
        <v>2.6391253288665144E-2</v>
      </c>
      <c r="AI90" s="320">
        <f t="shared" si="28"/>
        <v>2.6341715244466435E-2</v>
      </c>
      <c r="AJ90" s="320">
        <f t="shared" si="28"/>
        <v>2.5635614715013293E-2</v>
      </c>
      <c r="AK90" s="320">
        <f t="shared" si="28"/>
        <v>2.0315435190983097E-2</v>
      </c>
      <c r="AL90" s="321">
        <f t="shared" si="28"/>
        <v>2.049634263897027E-2</v>
      </c>
      <c r="AM90" s="320">
        <f t="shared" si="28"/>
        <v>1.8263030870645871E-2</v>
      </c>
      <c r="AN90" s="320">
        <f>AN84/AN82</f>
        <v>1.8438464036369541E-2</v>
      </c>
      <c r="AO90" s="320">
        <f>AO84/AO82</f>
        <v>1.627765533748831E-2</v>
      </c>
      <c r="AP90" s="321">
        <f t="shared" si="28"/>
        <v>1.7025593699234527E-2</v>
      </c>
      <c r="AQ90" s="320">
        <f t="shared" si="28"/>
        <v>1.8096028206989523E-2</v>
      </c>
      <c r="AR90" s="320">
        <f>AR84/AR82</f>
        <v>1.8466666472423829E-2</v>
      </c>
      <c r="AS90" s="320">
        <f>AS84/AS82</f>
        <v>1.7968839484513333E-2</v>
      </c>
      <c r="AT90" s="321">
        <f>AT84/AT82</f>
        <v>1.8662187741608681E-2</v>
      </c>
      <c r="AU90" s="314"/>
      <c r="AV90" s="315"/>
      <c r="AW90" s="315"/>
      <c r="AX90" s="315"/>
      <c r="AY90" s="315"/>
      <c r="AZ90" s="315"/>
      <c r="BA90" s="315"/>
      <c r="BB90" s="315"/>
      <c r="BC90" s="315"/>
      <c r="BD90" s="315"/>
      <c r="BE90" s="315"/>
      <c r="BF90" s="315"/>
      <c r="BG90" s="315"/>
      <c r="BH90" s="315"/>
      <c r="BI90" s="315"/>
      <c r="BJ90" s="315"/>
      <c r="BK90" s="315"/>
      <c r="BL90" s="315"/>
      <c r="BM90" s="315"/>
      <c r="BN90" s="315"/>
      <c r="BO90" s="315"/>
      <c r="BP90" s="315"/>
      <c r="BQ90" s="315"/>
      <c r="BR90" s="315"/>
    </row>
    <row r="91" spans="1:70">
      <c r="A91" s="163" t="s">
        <v>429</v>
      </c>
      <c r="B91" s="163" t="s">
        <v>430</v>
      </c>
      <c r="C91" s="318"/>
      <c r="D91" s="319"/>
      <c r="E91" s="319"/>
      <c r="F91" s="319"/>
      <c r="G91" s="318"/>
      <c r="H91" s="320">
        <f t="shared" ref="H91:AQ91" si="29">H87/H84</f>
        <v>0.73587570621468934</v>
      </c>
      <c r="I91" s="320">
        <f t="shared" si="29"/>
        <v>0.81198501872659179</v>
      </c>
      <c r="J91" s="321">
        <f t="shared" si="29"/>
        <v>0.77166882276843463</v>
      </c>
      <c r="K91" s="322">
        <f t="shared" si="29"/>
        <v>0.84868421052631582</v>
      </c>
      <c r="L91" s="320">
        <f t="shared" si="29"/>
        <v>0.83206106870228991</v>
      </c>
      <c r="M91" s="320">
        <f t="shared" si="29"/>
        <v>0.8063953488372092</v>
      </c>
      <c r="N91" s="321">
        <f t="shared" si="29"/>
        <v>0.7690710949662688</v>
      </c>
      <c r="O91" s="322">
        <f t="shared" si="29"/>
        <v>0.67253668763102725</v>
      </c>
      <c r="P91" s="320">
        <f t="shared" si="29"/>
        <v>0.65179252479023653</v>
      </c>
      <c r="Q91" s="320">
        <f t="shared" si="29"/>
        <v>0.64778578784757979</v>
      </c>
      <c r="R91" s="321">
        <f t="shared" si="29"/>
        <v>0.65272727272727271</v>
      </c>
      <c r="S91" s="322">
        <f t="shared" si="29"/>
        <v>0.69517930629041746</v>
      </c>
      <c r="T91" s="320">
        <f t="shared" si="29"/>
        <v>0.67464372143049212</v>
      </c>
      <c r="U91" s="320">
        <f t="shared" si="29"/>
        <v>0.67724999999999991</v>
      </c>
      <c r="V91" s="321">
        <f t="shared" si="29"/>
        <v>0.6810385898046688</v>
      </c>
      <c r="W91" s="322">
        <f t="shared" si="29"/>
        <v>0.69223785746709032</v>
      </c>
      <c r="X91" s="320">
        <f t="shared" si="29"/>
        <v>0.70924731182795697</v>
      </c>
      <c r="Y91" s="320">
        <f t="shared" si="29"/>
        <v>0.7039486871116456</v>
      </c>
      <c r="Z91" s="321">
        <f t="shared" si="29"/>
        <v>0.7728414139463009</v>
      </c>
      <c r="AA91" s="322">
        <f t="shared" si="29"/>
        <v>0.78056484578223695</v>
      </c>
      <c r="AB91" s="320">
        <f t="shared" si="29"/>
        <v>0.77337431252021993</v>
      </c>
      <c r="AC91" s="320">
        <f t="shared" si="29"/>
        <v>0.75636514179258951</v>
      </c>
      <c r="AD91" s="321">
        <f t="shared" si="29"/>
        <v>0.76526946107784422</v>
      </c>
      <c r="AE91" s="322">
        <f t="shared" si="29"/>
        <v>0.80662020905923337</v>
      </c>
      <c r="AF91" s="320">
        <f t="shared" si="29"/>
        <v>0.81154499151103565</v>
      </c>
      <c r="AG91" s="320">
        <f t="shared" si="29"/>
        <v>0.81089918256130789</v>
      </c>
      <c r="AH91" s="321">
        <f t="shared" si="29"/>
        <v>0.82580200068989318</v>
      </c>
      <c r="AI91" s="320">
        <f t="shared" si="29"/>
        <v>0.82345255593663247</v>
      </c>
      <c r="AJ91" s="320">
        <f t="shared" si="29"/>
        <v>0.83029919265474117</v>
      </c>
      <c r="AK91" s="320">
        <f t="shared" si="29"/>
        <v>0.78616836832980164</v>
      </c>
      <c r="AL91" s="321">
        <f t="shared" si="29"/>
        <v>0.76392475101438573</v>
      </c>
      <c r="AM91" s="320">
        <f t="shared" si="29"/>
        <v>0.75502958579881663</v>
      </c>
      <c r="AN91" s="320">
        <f>AN87/AN84</f>
        <v>0.74720234819299214</v>
      </c>
      <c r="AO91" s="320">
        <f>AO87/AO84</f>
        <v>0.71414222579349129</v>
      </c>
      <c r="AP91" s="321">
        <f t="shared" si="29"/>
        <v>0.71524039354000368</v>
      </c>
      <c r="AQ91" s="320">
        <f t="shared" si="29"/>
        <v>0.71447834147985845</v>
      </c>
      <c r="AR91" s="320">
        <f>AR87/AR84</f>
        <v>0.70369201640896184</v>
      </c>
      <c r="AS91" s="320">
        <f>AS87/AS84</f>
        <v>0.69185323383084574</v>
      </c>
      <c r="AT91" s="321">
        <f>AT87/AT84</f>
        <v>0.66285714285714281</v>
      </c>
      <c r="AU91" s="314"/>
      <c r="AV91" s="315"/>
      <c r="AW91" s="315"/>
      <c r="AX91" s="315"/>
      <c r="AY91" s="315"/>
      <c r="AZ91" s="315"/>
      <c r="BA91" s="315"/>
      <c r="BB91" s="315"/>
      <c r="BC91" s="315"/>
      <c r="BD91" s="315"/>
      <c r="BE91" s="315"/>
      <c r="BF91" s="315"/>
      <c r="BG91" s="315"/>
      <c r="BH91" s="315"/>
      <c r="BI91" s="315"/>
      <c r="BJ91" s="315"/>
      <c r="BK91" s="315"/>
      <c r="BL91" s="315"/>
      <c r="BM91" s="315"/>
      <c r="BN91" s="315"/>
      <c r="BO91" s="315"/>
      <c r="BP91" s="315"/>
      <c r="BQ91" s="315"/>
      <c r="BR91" s="315"/>
    </row>
    <row r="92" spans="1:70">
      <c r="A92" s="163"/>
      <c r="B92" s="163"/>
      <c r="C92" s="323"/>
      <c r="D92" s="324"/>
      <c r="E92" s="324"/>
      <c r="F92" s="324"/>
      <c r="G92" s="323"/>
      <c r="H92" s="20"/>
      <c r="I92" s="20"/>
      <c r="J92" s="154"/>
      <c r="K92" s="18"/>
      <c r="L92" s="20"/>
      <c r="M92" s="20"/>
      <c r="N92" s="154"/>
      <c r="O92" s="18"/>
      <c r="P92" s="20"/>
      <c r="Q92" s="20"/>
      <c r="R92" s="154"/>
      <c r="S92" s="18"/>
      <c r="T92" s="20"/>
      <c r="U92" s="20"/>
      <c r="V92" s="154"/>
      <c r="W92" s="18"/>
      <c r="X92" s="20"/>
      <c r="Y92" s="20"/>
      <c r="Z92" s="154"/>
      <c r="AA92" s="18"/>
      <c r="AB92" s="20"/>
      <c r="AC92" s="20"/>
      <c r="AD92" s="154"/>
      <c r="AE92" s="18"/>
      <c r="AF92" s="20"/>
      <c r="AG92" s="20"/>
      <c r="AH92" s="154"/>
      <c r="AI92" s="20"/>
      <c r="AJ92" s="20"/>
      <c r="AK92" s="20"/>
      <c r="AL92" s="154"/>
      <c r="AM92" s="20"/>
      <c r="AN92" s="20"/>
      <c r="AO92" s="20"/>
      <c r="AP92" s="154"/>
      <c r="AQ92" s="20"/>
      <c r="AR92" s="20"/>
      <c r="AS92" s="20"/>
      <c r="AT92" s="154"/>
      <c r="AU92" s="325"/>
      <c r="AV92" s="228"/>
      <c r="AW92" s="228"/>
      <c r="AX92" s="228"/>
      <c r="AY92" s="228"/>
      <c r="AZ92" s="228"/>
      <c r="BA92" s="228"/>
      <c r="BB92" s="228"/>
      <c r="BC92" s="228"/>
      <c r="BD92" s="228"/>
      <c r="BE92" s="228"/>
      <c r="BF92" s="228"/>
      <c r="BG92" s="228"/>
      <c r="BH92" s="228"/>
      <c r="BI92" s="228"/>
      <c r="BJ92" s="228"/>
      <c r="BK92" s="228"/>
      <c r="BL92" s="228"/>
      <c r="BM92" s="228"/>
      <c r="BN92" s="228"/>
      <c r="BO92" s="228"/>
      <c r="BP92" s="228"/>
      <c r="BQ92" s="228"/>
      <c r="BR92" s="228"/>
    </row>
    <row r="93" spans="1:70">
      <c r="A93" s="143" t="s">
        <v>435</v>
      </c>
      <c r="B93" s="143" t="s">
        <v>436</v>
      </c>
      <c r="C93" s="277"/>
      <c r="D93" s="326"/>
      <c r="E93" s="326"/>
      <c r="F93" s="326"/>
      <c r="G93" s="277"/>
      <c r="H93" s="173">
        <f>H70+H82</f>
        <v>19814.3</v>
      </c>
      <c r="I93" s="173">
        <f t="shared" ref="I93:AQ93" si="30">I70+I82</f>
        <v>22105.7</v>
      </c>
      <c r="J93" s="174">
        <f t="shared" si="30"/>
        <v>24298.000000000004</v>
      </c>
      <c r="K93" s="172">
        <f t="shared" si="30"/>
        <v>25614.5</v>
      </c>
      <c r="L93" s="173">
        <f t="shared" si="30"/>
        <v>25776.7</v>
      </c>
      <c r="M93" s="173">
        <f t="shared" si="30"/>
        <v>26134</v>
      </c>
      <c r="N93" s="174">
        <f t="shared" si="30"/>
        <v>27361.4</v>
      </c>
      <c r="O93" s="172">
        <f t="shared" si="30"/>
        <v>27576.400000000001</v>
      </c>
      <c r="P93" s="173">
        <f t="shared" si="30"/>
        <v>28994.400000000001</v>
      </c>
      <c r="Q93" s="173">
        <f t="shared" si="30"/>
        <v>30667.8</v>
      </c>
      <c r="R93" s="174">
        <f t="shared" si="30"/>
        <v>32178.299999999996</v>
      </c>
      <c r="S93" s="172">
        <f t="shared" si="30"/>
        <v>32988.699999999997</v>
      </c>
      <c r="T93" s="173">
        <f t="shared" si="30"/>
        <v>34754.699999999997</v>
      </c>
      <c r="U93" s="173">
        <f t="shared" si="30"/>
        <v>36919.199999999997</v>
      </c>
      <c r="V93" s="174">
        <f t="shared" si="30"/>
        <v>39466.1</v>
      </c>
      <c r="W93" s="172">
        <f t="shared" si="30"/>
        <v>45105.899999999994</v>
      </c>
      <c r="X93" s="173">
        <f t="shared" si="30"/>
        <v>45907.6</v>
      </c>
      <c r="Y93" s="173">
        <f t="shared" si="30"/>
        <v>46744.9</v>
      </c>
      <c r="Z93" s="174">
        <f t="shared" si="30"/>
        <v>46510</v>
      </c>
      <c r="AA93" s="172">
        <f t="shared" si="30"/>
        <v>46670.399999999994</v>
      </c>
      <c r="AB93" s="173">
        <f t="shared" si="30"/>
        <v>48136.7</v>
      </c>
      <c r="AC93" s="173">
        <f t="shared" si="30"/>
        <v>49764.5</v>
      </c>
      <c r="AD93" s="174">
        <f t="shared" si="30"/>
        <v>49982.299999999996</v>
      </c>
      <c r="AE93" s="172">
        <f t="shared" si="30"/>
        <v>52346.2</v>
      </c>
      <c r="AF93" s="173">
        <f t="shared" si="30"/>
        <v>55099.1</v>
      </c>
      <c r="AG93" s="173">
        <f t="shared" si="30"/>
        <v>57750.8</v>
      </c>
      <c r="AH93" s="174">
        <f t="shared" si="30"/>
        <v>58750.5</v>
      </c>
      <c r="AI93" s="173">
        <f t="shared" si="30"/>
        <v>61323.100000000006</v>
      </c>
      <c r="AJ93" s="173">
        <f t="shared" si="30"/>
        <v>65943.7</v>
      </c>
      <c r="AK93" s="173">
        <f t="shared" si="30"/>
        <v>69046.5</v>
      </c>
      <c r="AL93" s="174">
        <f t="shared" si="30"/>
        <v>70046.899999999994</v>
      </c>
      <c r="AM93" s="173">
        <f t="shared" si="30"/>
        <v>72907</v>
      </c>
      <c r="AN93" s="173">
        <f>AN70+AN82</f>
        <v>75810.8</v>
      </c>
      <c r="AO93" s="173">
        <f>AO70+AO82</f>
        <v>77888.3</v>
      </c>
      <c r="AP93" s="174">
        <f t="shared" si="30"/>
        <v>79447.899999999994</v>
      </c>
      <c r="AQ93" s="173">
        <f t="shared" si="30"/>
        <v>82130</v>
      </c>
      <c r="AR93" s="173">
        <f>AR70+AR82</f>
        <v>84778.5</v>
      </c>
      <c r="AS93" s="173">
        <f>AS70+AS82</f>
        <v>87896</v>
      </c>
      <c r="AT93" s="174">
        <f>AT70+AT82</f>
        <v>89043.6</v>
      </c>
      <c r="AU93" s="327"/>
      <c r="AV93" s="328"/>
      <c r="AW93" s="328"/>
      <c r="AX93" s="328"/>
      <c r="AY93" s="328"/>
      <c r="AZ93" s="328"/>
      <c r="BA93" s="328"/>
      <c r="BB93" s="328"/>
      <c r="BC93" s="328"/>
      <c r="BD93" s="328"/>
      <c r="BE93" s="328"/>
      <c r="BF93" s="328"/>
      <c r="BG93" s="328"/>
      <c r="BH93" s="328"/>
      <c r="BI93" s="328"/>
      <c r="BJ93" s="328"/>
      <c r="BK93" s="328"/>
      <c r="BL93" s="328"/>
      <c r="BM93" s="328"/>
      <c r="BN93" s="328"/>
      <c r="BO93" s="328"/>
      <c r="BP93" s="328"/>
      <c r="BQ93" s="328"/>
      <c r="BR93" s="328"/>
    </row>
    <row r="94" spans="1:70">
      <c r="A94" s="150"/>
      <c r="B94" s="150"/>
      <c r="C94" s="316"/>
      <c r="D94" s="317"/>
      <c r="E94" s="317"/>
      <c r="F94" s="317"/>
      <c r="G94" s="316"/>
      <c r="H94" s="161"/>
      <c r="I94" s="161"/>
      <c r="J94" s="162"/>
      <c r="K94" s="160"/>
      <c r="L94" s="161"/>
      <c r="M94" s="161"/>
      <c r="N94" s="162"/>
      <c r="O94" s="160"/>
      <c r="P94" s="161"/>
      <c r="Q94" s="161"/>
      <c r="R94" s="162"/>
      <c r="S94" s="160"/>
      <c r="T94" s="161"/>
      <c r="U94" s="161"/>
      <c r="V94" s="162"/>
      <c r="W94" s="160"/>
      <c r="X94" s="161"/>
      <c r="Y94" s="161"/>
      <c r="Z94" s="162"/>
      <c r="AA94" s="160"/>
      <c r="AB94" s="161"/>
      <c r="AC94" s="161"/>
      <c r="AD94" s="162"/>
      <c r="AE94" s="160"/>
      <c r="AF94" s="161"/>
      <c r="AG94" s="161"/>
      <c r="AH94" s="162"/>
      <c r="AI94" s="161"/>
      <c r="AJ94" s="161"/>
      <c r="AK94" s="161"/>
      <c r="AL94" s="162"/>
      <c r="AM94" s="161"/>
      <c r="AN94" s="161"/>
      <c r="AO94" s="161"/>
      <c r="AP94" s="162"/>
      <c r="AQ94" s="161"/>
      <c r="AR94" s="161"/>
      <c r="AS94" s="161"/>
      <c r="AT94" s="162"/>
      <c r="AU94" s="310"/>
      <c r="AV94" s="311"/>
      <c r="AW94" s="311"/>
      <c r="AX94" s="311"/>
      <c r="AY94" s="311"/>
      <c r="AZ94" s="311"/>
      <c r="BA94" s="311"/>
      <c r="BB94" s="311"/>
      <c r="BC94" s="311"/>
      <c r="BD94" s="311"/>
      <c r="BE94" s="311"/>
      <c r="BF94" s="311"/>
      <c r="BG94" s="311"/>
      <c r="BH94" s="311"/>
      <c r="BI94" s="311"/>
      <c r="BJ94" s="311"/>
      <c r="BK94" s="311"/>
      <c r="BL94" s="311"/>
      <c r="BM94" s="311"/>
      <c r="BN94" s="311"/>
      <c r="BO94" s="311"/>
      <c r="BP94" s="311"/>
      <c r="BQ94" s="311"/>
      <c r="BR94" s="311"/>
    </row>
    <row r="95" spans="1:70" ht="21.6">
      <c r="A95" s="143" t="s">
        <v>437</v>
      </c>
      <c r="B95" s="143" t="s">
        <v>438</v>
      </c>
      <c r="C95" s="277"/>
      <c r="D95" s="326"/>
      <c r="E95" s="326"/>
      <c r="F95" s="326"/>
      <c r="G95" s="277"/>
      <c r="H95" s="173">
        <f t="shared" ref="H95:AQ95" si="31">H96+H97</f>
        <v>401.1</v>
      </c>
      <c r="I95" s="173">
        <f t="shared" si="31"/>
        <v>412.7</v>
      </c>
      <c r="J95" s="174">
        <f t="shared" si="31"/>
        <v>502.9</v>
      </c>
      <c r="K95" s="172">
        <f t="shared" si="31"/>
        <v>681.30000000000007</v>
      </c>
      <c r="L95" s="173">
        <f t="shared" si="31"/>
        <v>770</v>
      </c>
      <c r="M95" s="173">
        <f t="shared" si="31"/>
        <v>816.29999999999984</v>
      </c>
      <c r="N95" s="174">
        <f t="shared" si="31"/>
        <v>892.80000000000007</v>
      </c>
      <c r="O95" s="172">
        <f t="shared" si="31"/>
        <v>943.6</v>
      </c>
      <c r="P95" s="173">
        <f t="shared" si="31"/>
        <v>985.6</v>
      </c>
      <c r="Q95" s="173">
        <f t="shared" si="31"/>
        <v>1046.3</v>
      </c>
      <c r="R95" s="174">
        <f t="shared" si="31"/>
        <v>1091.3</v>
      </c>
      <c r="S95" s="172">
        <f t="shared" si="31"/>
        <v>1130.3000000000002</v>
      </c>
      <c r="T95" s="173">
        <f t="shared" si="31"/>
        <v>1147.5999999999999</v>
      </c>
      <c r="U95" s="173">
        <f t="shared" si="31"/>
        <v>1188.3</v>
      </c>
      <c r="V95" s="174">
        <f t="shared" si="31"/>
        <v>1119.3999999999999</v>
      </c>
      <c r="W95" s="172">
        <f t="shared" si="31"/>
        <v>1206.5</v>
      </c>
      <c r="X95" s="173">
        <f t="shared" si="31"/>
        <v>1304.1999999999998</v>
      </c>
      <c r="Y95" s="173">
        <f t="shared" si="31"/>
        <v>1374.7</v>
      </c>
      <c r="Z95" s="174">
        <f t="shared" si="31"/>
        <v>1446.3</v>
      </c>
      <c r="AA95" s="172">
        <f t="shared" si="31"/>
        <v>1492.5</v>
      </c>
      <c r="AB95" s="173">
        <f t="shared" si="31"/>
        <v>1596.7</v>
      </c>
      <c r="AC95" s="173">
        <f t="shared" si="31"/>
        <v>1509.3000000000002</v>
      </c>
      <c r="AD95" s="174">
        <f t="shared" si="31"/>
        <v>1567.9</v>
      </c>
      <c r="AE95" s="172">
        <f t="shared" si="31"/>
        <v>1652.7</v>
      </c>
      <c r="AF95" s="173">
        <f t="shared" si="31"/>
        <v>1628.4</v>
      </c>
      <c r="AG95" s="173">
        <f t="shared" si="31"/>
        <v>1677.8</v>
      </c>
      <c r="AH95" s="174">
        <f t="shared" si="31"/>
        <v>1738.6</v>
      </c>
      <c r="AI95" s="173">
        <f t="shared" si="31"/>
        <v>1805.1000000000001</v>
      </c>
      <c r="AJ95" s="173">
        <f t="shared" si="31"/>
        <v>1675.6000000000001</v>
      </c>
      <c r="AK95" s="173">
        <f t="shared" si="31"/>
        <v>1519.5</v>
      </c>
      <c r="AL95" s="174">
        <f t="shared" si="31"/>
        <v>1572</v>
      </c>
      <c r="AM95" s="173">
        <f t="shared" si="31"/>
        <v>1596.9999999999998</v>
      </c>
      <c r="AN95" s="173">
        <f>AN96+AN97</f>
        <v>1521.1</v>
      </c>
      <c r="AO95" s="173">
        <f>AO96+AO97</f>
        <v>1492.9</v>
      </c>
      <c r="AP95" s="174">
        <f t="shared" si="31"/>
        <v>1493.8</v>
      </c>
      <c r="AQ95" s="173">
        <f t="shared" si="31"/>
        <v>1540.7</v>
      </c>
      <c r="AR95" s="173">
        <f>AR96+AR97</f>
        <v>1569.8999999999999</v>
      </c>
      <c r="AS95" s="173">
        <f>AS96+AS97</f>
        <v>1633.4</v>
      </c>
      <c r="AT95" s="174">
        <f>AT96+AT97</f>
        <v>1712.8000000000002</v>
      </c>
      <c r="AU95" s="327"/>
      <c r="AV95" s="328"/>
      <c r="AW95" s="328"/>
      <c r="AX95" s="328"/>
      <c r="AY95" s="328"/>
      <c r="AZ95" s="328"/>
      <c r="BA95" s="328"/>
      <c r="BB95" s="328"/>
      <c r="BC95" s="328"/>
      <c r="BD95" s="328"/>
      <c r="BE95" s="328"/>
      <c r="BF95" s="328"/>
      <c r="BG95" s="328"/>
      <c r="BH95" s="328"/>
      <c r="BI95" s="328"/>
      <c r="BJ95" s="328"/>
      <c r="BK95" s="328"/>
      <c r="BL95" s="328"/>
      <c r="BM95" s="328"/>
      <c r="BN95" s="328"/>
      <c r="BO95" s="328"/>
      <c r="BP95" s="328"/>
      <c r="BQ95" s="328"/>
      <c r="BR95" s="328"/>
    </row>
    <row r="96" spans="1:70">
      <c r="A96" s="163" t="s">
        <v>439</v>
      </c>
      <c r="B96" s="163" t="s">
        <v>440</v>
      </c>
      <c r="C96" s="316"/>
      <c r="D96" s="317"/>
      <c r="E96" s="317"/>
      <c r="F96" s="317"/>
      <c r="G96" s="316"/>
      <c r="H96" s="161">
        <f t="shared" ref="H96:AQ96" si="32">H74+H75+H86+H87</f>
        <v>394.8</v>
      </c>
      <c r="I96" s="161">
        <f t="shared" si="32"/>
        <v>405.4</v>
      </c>
      <c r="J96" s="162">
        <f t="shared" si="32"/>
        <v>493.59999999999997</v>
      </c>
      <c r="K96" s="160">
        <f t="shared" si="32"/>
        <v>664.80000000000007</v>
      </c>
      <c r="L96" s="161">
        <f t="shared" si="32"/>
        <v>756.5</v>
      </c>
      <c r="M96" s="161">
        <f t="shared" si="32"/>
        <v>801.39999999999986</v>
      </c>
      <c r="N96" s="162">
        <f t="shared" si="32"/>
        <v>872.7</v>
      </c>
      <c r="O96" s="160">
        <f t="shared" si="32"/>
        <v>926.2</v>
      </c>
      <c r="P96" s="161">
        <f t="shared" si="32"/>
        <v>968</v>
      </c>
      <c r="Q96" s="161">
        <f t="shared" si="32"/>
        <v>1037.0999999999999</v>
      </c>
      <c r="R96" s="162">
        <f t="shared" si="32"/>
        <v>1080.2</v>
      </c>
      <c r="S96" s="160">
        <f t="shared" si="32"/>
        <v>1120.4000000000001</v>
      </c>
      <c r="T96" s="161">
        <f t="shared" si="32"/>
        <v>1137</v>
      </c>
      <c r="U96" s="161">
        <f t="shared" si="32"/>
        <v>1179.3</v>
      </c>
      <c r="V96" s="162">
        <f t="shared" si="32"/>
        <v>1108.8</v>
      </c>
      <c r="W96" s="160">
        <f t="shared" si="32"/>
        <v>1191.5999999999999</v>
      </c>
      <c r="X96" s="161">
        <f t="shared" si="32"/>
        <v>1286.5999999999999</v>
      </c>
      <c r="Y96" s="161">
        <f t="shared" si="32"/>
        <v>1354.7</v>
      </c>
      <c r="Z96" s="162">
        <f t="shared" si="32"/>
        <v>1424</v>
      </c>
      <c r="AA96" s="160">
        <f t="shared" si="32"/>
        <v>1469</v>
      </c>
      <c r="AB96" s="161">
        <f t="shared" si="32"/>
        <v>1569.5</v>
      </c>
      <c r="AC96" s="161">
        <f t="shared" si="32"/>
        <v>1492.9</v>
      </c>
      <c r="AD96" s="162">
        <f t="shared" si="32"/>
        <v>1554.4</v>
      </c>
      <c r="AE96" s="160">
        <f t="shared" si="32"/>
        <v>1638.7</v>
      </c>
      <c r="AF96" s="161">
        <f t="shared" si="32"/>
        <v>1612.2</v>
      </c>
      <c r="AG96" s="161">
        <f t="shared" si="32"/>
        <v>1661.5</v>
      </c>
      <c r="AH96" s="162">
        <f t="shared" si="32"/>
        <v>1720.3</v>
      </c>
      <c r="AI96" s="161">
        <f t="shared" si="32"/>
        <v>1791.0000000000002</v>
      </c>
      <c r="AJ96" s="161">
        <f t="shared" si="32"/>
        <v>1661.7</v>
      </c>
      <c r="AK96" s="161">
        <f t="shared" si="32"/>
        <v>1504.9</v>
      </c>
      <c r="AL96" s="162">
        <f t="shared" si="32"/>
        <v>1545.9</v>
      </c>
      <c r="AM96" s="161">
        <f t="shared" si="32"/>
        <v>1555.8999999999999</v>
      </c>
      <c r="AN96" s="161">
        <f>AN74+AN75+AN86+AN87</f>
        <v>1479.6</v>
      </c>
      <c r="AO96" s="161">
        <f>AO74+AO75+AO86+AO87</f>
        <v>1453.7</v>
      </c>
      <c r="AP96" s="162">
        <f t="shared" si="32"/>
        <v>1467</v>
      </c>
      <c r="AQ96" s="161">
        <f t="shared" si="32"/>
        <v>1515.5</v>
      </c>
      <c r="AR96" s="161">
        <f>AR74+AR75+AR86+AR87</f>
        <v>1535.1</v>
      </c>
      <c r="AS96" s="161">
        <f>AS74+AS75+AS86+AS87</f>
        <v>1592</v>
      </c>
      <c r="AT96" s="162">
        <f>AT74+AT75+AT86+AT87</f>
        <v>1666.9</v>
      </c>
      <c r="AU96" s="310"/>
      <c r="AV96" s="311"/>
      <c r="AW96" s="311"/>
      <c r="AX96" s="311"/>
      <c r="AY96" s="311"/>
      <c r="AZ96" s="311"/>
      <c r="BA96" s="311"/>
      <c r="BB96" s="311"/>
      <c r="BC96" s="311"/>
      <c r="BD96" s="311"/>
      <c r="BE96" s="311"/>
      <c r="BF96" s="311"/>
      <c r="BG96" s="311"/>
      <c r="BH96" s="311"/>
      <c r="BI96" s="311"/>
      <c r="BJ96" s="311"/>
      <c r="BK96" s="311"/>
      <c r="BL96" s="311"/>
      <c r="BM96" s="311"/>
      <c r="BN96" s="311"/>
      <c r="BO96" s="311"/>
      <c r="BP96" s="311"/>
      <c r="BQ96" s="311"/>
      <c r="BR96" s="311"/>
    </row>
    <row r="97" spans="1:70">
      <c r="A97" s="163" t="s">
        <v>424</v>
      </c>
      <c r="B97" s="163" t="s">
        <v>441</v>
      </c>
      <c r="C97" s="316"/>
      <c r="D97" s="317"/>
      <c r="E97" s="317"/>
      <c r="F97" s="317"/>
      <c r="G97" s="316"/>
      <c r="H97" s="161">
        <f t="shared" ref="H97:AQ97" si="33">H76+H88</f>
        <v>6.3</v>
      </c>
      <c r="I97" s="161">
        <f t="shared" si="33"/>
        <v>7.3</v>
      </c>
      <c r="J97" s="162">
        <f t="shared" si="33"/>
        <v>9.3000000000000007</v>
      </c>
      <c r="K97" s="160">
        <f t="shared" si="33"/>
        <v>16.5</v>
      </c>
      <c r="L97" s="161">
        <f t="shared" si="33"/>
        <v>13.5</v>
      </c>
      <c r="M97" s="161">
        <f t="shared" si="33"/>
        <v>14.9</v>
      </c>
      <c r="N97" s="162">
        <f t="shared" si="33"/>
        <v>20.100000000000001</v>
      </c>
      <c r="O97" s="160">
        <f t="shared" si="33"/>
        <v>17.399999999999999</v>
      </c>
      <c r="P97" s="161">
        <f t="shared" si="33"/>
        <v>17.600000000000001</v>
      </c>
      <c r="Q97" s="161">
        <f t="shared" si="33"/>
        <v>9.1999999999999993</v>
      </c>
      <c r="R97" s="162">
        <f t="shared" si="33"/>
        <v>11.1</v>
      </c>
      <c r="S97" s="160">
        <f t="shared" si="33"/>
        <v>9.9</v>
      </c>
      <c r="T97" s="161">
        <f t="shared" si="33"/>
        <v>10.6</v>
      </c>
      <c r="U97" s="161">
        <f t="shared" si="33"/>
        <v>9</v>
      </c>
      <c r="V97" s="162">
        <f t="shared" si="33"/>
        <v>10.6</v>
      </c>
      <c r="W97" s="160">
        <f t="shared" si="33"/>
        <v>14.9</v>
      </c>
      <c r="X97" s="161">
        <f t="shared" si="33"/>
        <v>17.600000000000001</v>
      </c>
      <c r="Y97" s="161">
        <f t="shared" si="33"/>
        <v>20</v>
      </c>
      <c r="Z97" s="162">
        <f t="shared" si="33"/>
        <v>22.3</v>
      </c>
      <c r="AA97" s="160">
        <f t="shared" si="33"/>
        <v>23.5</v>
      </c>
      <c r="AB97" s="161">
        <f t="shared" si="33"/>
        <v>27.2</v>
      </c>
      <c r="AC97" s="161">
        <f t="shared" si="33"/>
        <v>16.399999999999999</v>
      </c>
      <c r="AD97" s="162">
        <f t="shared" si="33"/>
        <v>13.5</v>
      </c>
      <c r="AE97" s="160">
        <f t="shared" si="33"/>
        <v>14</v>
      </c>
      <c r="AF97" s="161">
        <f t="shared" si="33"/>
        <v>16.2</v>
      </c>
      <c r="AG97" s="161">
        <f t="shared" si="33"/>
        <v>16.3</v>
      </c>
      <c r="AH97" s="162">
        <f t="shared" si="33"/>
        <v>18.3</v>
      </c>
      <c r="AI97" s="161">
        <f t="shared" si="33"/>
        <v>14.1</v>
      </c>
      <c r="AJ97" s="161">
        <f t="shared" si="33"/>
        <v>13.9</v>
      </c>
      <c r="AK97" s="161">
        <f t="shared" si="33"/>
        <v>14.6</v>
      </c>
      <c r="AL97" s="162">
        <f t="shared" si="33"/>
        <v>26.1</v>
      </c>
      <c r="AM97" s="161">
        <f t="shared" si="33"/>
        <v>41.1</v>
      </c>
      <c r="AN97" s="161">
        <f>AN76+AN88</f>
        <v>41.5</v>
      </c>
      <c r="AO97" s="161">
        <f>AO76+AO88</f>
        <v>39.200000000000003</v>
      </c>
      <c r="AP97" s="162">
        <f t="shared" si="33"/>
        <v>26.8</v>
      </c>
      <c r="AQ97" s="161">
        <f t="shared" si="33"/>
        <v>25.2</v>
      </c>
      <c r="AR97" s="161">
        <f>AR76+AR88</f>
        <v>34.799999999999997</v>
      </c>
      <c r="AS97" s="161">
        <f>AS76+AS88</f>
        <v>41.4</v>
      </c>
      <c r="AT97" s="162">
        <f>AT76+AT88</f>
        <v>45.9</v>
      </c>
      <c r="AU97" s="310"/>
      <c r="AV97" s="311"/>
      <c r="AW97" s="311"/>
      <c r="AX97" s="311"/>
      <c r="AY97" s="311"/>
      <c r="AZ97" s="311"/>
      <c r="BA97" s="311"/>
      <c r="BB97" s="311"/>
      <c r="BC97" s="311"/>
      <c r="BD97" s="311"/>
      <c r="BE97" s="311"/>
      <c r="BF97" s="311"/>
      <c r="BG97" s="311"/>
      <c r="BH97" s="311"/>
      <c r="BI97" s="311"/>
      <c r="BJ97" s="311"/>
      <c r="BK97" s="311"/>
      <c r="BL97" s="311"/>
      <c r="BM97" s="311"/>
      <c r="BN97" s="311"/>
      <c r="BO97" s="311"/>
      <c r="BP97" s="311"/>
      <c r="BQ97" s="311"/>
      <c r="BR97" s="311"/>
    </row>
    <row r="98" spans="1:70">
      <c r="A98" s="163"/>
      <c r="B98" s="163"/>
      <c r="C98" s="323"/>
      <c r="D98" s="324"/>
      <c r="E98" s="324"/>
      <c r="F98" s="324"/>
      <c r="G98" s="323"/>
      <c r="H98" s="20"/>
      <c r="I98" s="20"/>
      <c r="J98" s="154"/>
      <c r="K98" s="18"/>
      <c r="L98" s="20"/>
      <c r="M98" s="20"/>
      <c r="N98" s="154"/>
      <c r="O98" s="18"/>
      <c r="P98" s="20"/>
      <c r="Q98" s="20"/>
      <c r="R98" s="154"/>
      <c r="S98" s="18"/>
      <c r="T98" s="20"/>
      <c r="U98" s="20"/>
      <c r="V98" s="154"/>
      <c r="W98" s="18"/>
      <c r="X98" s="20"/>
      <c r="Y98" s="20"/>
      <c r="Z98" s="154"/>
      <c r="AA98" s="18"/>
      <c r="AB98" s="20"/>
      <c r="AC98" s="20"/>
      <c r="AD98" s="154"/>
      <c r="AE98" s="18"/>
      <c r="AF98" s="20"/>
      <c r="AG98" s="20"/>
      <c r="AH98" s="154"/>
      <c r="AI98" s="20"/>
      <c r="AJ98" s="20"/>
      <c r="AK98" s="20"/>
      <c r="AL98" s="154"/>
      <c r="AM98" s="20"/>
      <c r="AN98" s="20"/>
      <c r="AO98" s="20"/>
      <c r="AP98" s="154"/>
      <c r="AQ98" s="20"/>
      <c r="AR98" s="20"/>
      <c r="AS98" s="20"/>
      <c r="AT98" s="154"/>
      <c r="AU98" s="325"/>
      <c r="AV98" s="228"/>
      <c r="AW98" s="228"/>
      <c r="AX98" s="228"/>
      <c r="AY98" s="228"/>
      <c r="AZ98" s="228"/>
      <c r="BA98" s="228"/>
      <c r="BB98" s="228"/>
      <c r="BC98" s="228"/>
      <c r="BD98" s="228"/>
      <c r="BE98" s="228"/>
      <c r="BF98" s="228"/>
      <c r="BG98" s="228"/>
      <c r="BH98" s="228"/>
      <c r="BI98" s="228"/>
      <c r="BJ98" s="228"/>
      <c r="BK98" s="228"/>
      <c r="BL98" s="228"/>
      <c r="BM98" s="228"/>
      <c r="BN98" s="228"/>
      <c r="BO98" s="228"/>
      <c r="BP98" s="228"/>
      <c r="BQ98" s="228"/>
      <c r="BR98" s="228"/>
    </row>
    <row r="99" spans="1:70">
      <c r="A99" s="163" t="s">
        <v>442</v>
      </c>
      <c r="B99" s="163" t="s">
        <v>443</v>
      </c>
      <c r="C99" s="318"/>
      <c r="D99" s="319"/>
      <c r="E99" s="319"/>
      <c r="F99" s="319"/>
      <c r="G99" s="318"/>
      <c r="H99" s="320">
        <f t="shared" ref="H99:AQ99" si="34">H95/H93</f>
        <v>2.0242955845021022E-2</v>
      </c>
      <c r="I99" s="320">
        <f t="shared" si="34"/>
        <v>1.8669392961996226E-2</v>
      </c>
      <c r="J99" s="321">
        <f t="shared" si="34"/>
        <v>2.0697176722363975E-2</v>
      </c>
      <c r="K99" s="322">
        <f t="shared" si="34"/>
        <v>2.6598215854301277E-2</v>
      </c>
      <c r="L99" s="320">
        <f t="shared" si="34"/>
        <v>2.9871938611226417E-2</v>
      </c>
      <c r="M99" s="320">
        <f t="shared" si="34"/>
        <v>3.1235172572128257E-2</v>
      </c>
      <c r="N99" s="321">
        <f t="shared" si="34"/>
        <v>3.2629909288267415E-2</v>
      </c>
      <c r="O99" s="322">
        <f t="shared" si="34"/>
        <v>3.4217664379686978E-2</v>
      </c>
      <c r="P99" s="320">
        <f t="shared" si="34"/>
        <v>3.3992771017851725E-2</v>
      </c>
      <c r="Q99" s="320">
        <f t="shared" si="34"/>
        <v>3.4117217407182779E-2</v>
      </c>
      <c r="R99" s="321">
        <f t="shared" si="34"/>
        <v>3.3914159542300246E-2</v>
      </c>
      <c r="S99" s="322">
        <f t="shared" si="34"/>
        <v>3.4263247718158044E-2</v>
      </c>
      <c r="T99" s="320">
        <f t="shared" si="34"/>
        <v>3.3019994418021163E-2</v>
      </c>
      <c r="U99" s="320">
        <f t="shared" si="34"/>
        <v>3.2186504582981217E-2</v>
      </c>
      <c r="V99" s="321">
        <f t="shared" si="34"/>
        <v>2.8363582923065615E-2</v>
      </c>
      <c r="W99" s="322">
        <f t="shared" si="34"/>
        <v>2.6748163765715798E-2</v>
      </c>
      <c r="X99" s="320">
        <f t="shared" si="34"/>
        <v>2.8409239428765606E-2</v>
      </c>
      <c r="Y99" s="320">
        <f t="shared" si="34"/>
        <v>2.9408555799670125E-2</v>
      </c>
      <c r="Z99" s="321">
        <f t="shared" si="34"/>
        <v>3.1096538378843259E-2</v>
      </c>
      <c r="AA99" s="322">
        <f t="shared" si="34"/>
        <v>3.1979584490383628E-2</v>
      </c>
      <c r="AB99" s="320">
        <f t="shared" si="34"/>
        <v>3.317011760257766E-2</v>
      </c>
      <c r="AC99" s="320">
        <f t="shared" si="34"/>
        <v>3.0328848878216404E-2</v>
      </c>
      <c r="AD99" s="321">
        <f t="shared" si="34"/>
        <v>3.1369104663050727E-2</v>
      </c>
      <c r="AE99" s="322">
        <f t="shared" si="34"/>
        <v>3.1572492368118411E-2</v>
      </c>
      <c r="AF99" s="320">
        <f t="shared" si="34"/>
        <v>2.9554021753531366E-2</v>
      </c>
      <c r="AG99" s="320">
        <f t="shared" si="34"/>
        <v>2.905241139516682E-2</v>
      </c>
      <c r="AH99" s="321">
        <f t="shared" si="34"/>
        <v>2.9592939634556299E-2</v>
      </c>
      <c r="AI99" s="320">
        <f t="shared" si="34"/>
        <v>2.9435889575054098E-2</v>
      </c>
      <c r="AJ99" s="320">
        <f t="shared" si="34"/>
        <v>2.540955390734824E-2</v>
      </c>
      <c r="AK99" s="320">
        <f t="shared" si="34"/>
        <v>2.2006908387825597E-2</v>
      </c>
      <c r="AL99" s="321">
        <f t="shared" si="34"/>
        <v>2.2442106645690248E-2</v>
      </c>
      <c r="AM99" s="320">
        <f t="shared" si="34"/>
        <v>2.1904618212242991E-2</v>
      </c>
      <c r="AN99" s="320">
        <f>AN95/AN93</f>
        <v>2.0064423538598719E-2</v>
      </c>
      <c r="AO99" s="320">
        <f>AO95/AO93</f>
        <v>1.9167191991608497E-2</v>
      </c>
      <c r="AP99" s="321">
        <f t="shared" si="34"/>
        <v>1.880225909054865E-2</v>
      </c>
      <c r="AQ99" s="320">
        <f t="shared" si="34"/>
        <v>1.8759284061853159E-2</v>
      </c>
      <c r="AR99" s="320">
        <f>AR95/AR93</f>
        <v>1.8517666625382612E-2</v>
      </c>
      <c r="AS99" s="320">
        <f>AS95/AS93</f>
        <v>1.8583325748611997E-2</v>
      </c>
      <c r="AT99" s="321">
        <f>AT95/AT93</f>
        <v>1.9235520576436713E-2</v>
      </c>
      <c r="AU99" s="329"/>
      <c r="AV99" s="330"/>
      <c r="AW99" s="330"/>
      <c r="AX99" s="330"/>
      <c r="AY99" s="330"/>
      <c r="AZ99" s="330"/>
      <c r="BA99" s="330"/>
      <c r="BB99" s="330"/>
      <c r="BC99" s="330"/>
      <c r="BD99" s="330"/>
      <c r="BE99" s="330"/>
      <c r="BF99" s="330"/>
      <c r="BG99" s="330"/>
      <c r="BH99" s="330"/>
      <c r="BI99" s="330"/>
      <c r="BJ99" s="330"/>
      <c r="BK99" s="330"/>
      <c r="BL99" s="330"/>
      <c r="BM99" s="330"/>
      <c r="BN99" s="330"/>
      <c r="BO99" s="330"/>
      <c r="BP99" s="330"/>
      <c r="BQ99" s="330"/>
      <c r="BR99" s="330"/>
    </row>
    <row r="100" spans="1:70">
      <c r="A100" s="163" t="s">
        <v>427</v>
      </c>
      <c r="B100" s="163" t="s">
        <v>444</v>
      </c>
      <c r="C100" s="318"/>
      <c r="D100" s="319"/>
      <c r="E100" s="319"/>
      <c r="F100" s="319"/>
      <c r="G100" s="318"/>
      <c r="H100" s="320">
        <f t="shared" ref="H100:AQ100" si="35">(H84+H72)/H93</f>
        <v>1.8410945630176184E-2</v>
      </c>
      <c r="I100" s="320">
        <f t="shared" si="35"/>
        <v>1.7823457298343864E-2</v>
      </c>
      <c r="J100" s="321">
        <f t="shared" si="35"/>
        <v>2.0672483331961474E-2</v>
      </c>
      <c r="K100" s="322">
        <f t="shared" si="35"/>
        <v>3.5054363739288295E-2</v>
      </c>
      <c r="L100" s="320">
        <f t="shared" si="35"/>
        <v>3.9826665166603943E-2</v>
      </c>
      <c r="M100" s="320">
        <f t="shared" si="35"/>
        <v>3.6986301369863014E-2</v>
      </c>
      <c r="N100" s="321">
        <f t="shared" si="35"/>
        <v>4.2567266294853336E-2</v>
      </c>
      <c r="O100" s="322">
        <f t="shared" si="35"/>
        <v>4.6351227861504765E-2</v>
      </c>
      <c r="P100" s="320">
        <f t="shared" si="35"/>
        <v>4.5139751124355046E-2</v>
      </c>
      <c r="Q100" s="320">
        <f t="shared" si="35"/>
        <v>4.6645015292913088E-2</v>
      </c>
      <c r="R100" s="321">
        <f t="shared" si="35"/>
        <v>4.6851449579374926E-2</v>
      </c>
      <c r="S100" s="322">
        <f t="shared" si="35"/>
        <v>4.6224919442112003E-2</v>
      </c>
      <c r="T100" s="320">
        <f t="shared" si="35"/>
        <v>4.3683300388148938E-2</v>
      </c>
      <c r="U100" s="320">
        <f t="shared" si="35"/>
        <v>4.3048061713146547E-2</v>
      </c>
      <c r="V100" s="321">
        <f t="shared" si="35"/>
        <v>3.9350227156977759E-2</v>
      </c>
      <c r="W100" s="322">
        <f t="shared" si="35"/>
        <v>3.5962036008593115E-2</v>
      </c>
      <c r="X100" s="320">
        <f t="shared" si="35"/>
        <v>4.3337050945812895E-2</v>
      </c>
      <c r="Y100" s="320">
        <f t="shared" si="35"/>
        <v>4.3281726990538005E-2</v>
      </c>
      <c r="Z100" s="321">
        <f t="shared" si="35"/>
        <v>4.074392603741131E-2</v>
      </c>
      <c r="AA100" s="322">
        <f t="shared" si="35"/>
        <v>4.3610082621961678E-2</v>
      </c>
      <c r="AB100" s="320">
        <f t="shared" si="35"/>
        <v>4.7514682144808432E-2</v>
      </c>
      <c r="AC100" s="320">
        <f t="shared" si="35"/>
        <v>4.4093681238633969E-2</v>
      </c>
      <c r="AD100" s="321">
        <f t="shared" si="35"/>
        <v>4.6308393171182613E-2</v>
      </c>
      <c r="AE100" s="322">
        <f t="shared" si="35"/>
        <v>4.6482839250986702E-2</v>
      </c>
      <c r="AF100" s="320">
        <f t="shared" si="35"/>
        <v>4.3521582022210889E-2</v>
      </c>
      <c r="AG100" s="320">
        <f t="shared" si="35"/>
        <v>4.1675613151679287E-2</v>
      </c>
      <c r="AH100" s="321">
        <f t="shared" si="35"/>
        <v>4.0500080850375736E-2</v>
      </c>
      <c r="AI100" s="320">
        <f t="shared" si="35"/>
        <v>4.4678106618876084E-2</v>
      </c>
      <c r="AJ100" s="320">
        <f t="shared" si="35"/>
        <v>3.8187120225283082E-2</v>
      </c>
      <c r="AK100" s="320">
        <f t="shared" si="35"/>
        <v>3.2056657469965895E-2</v>
      </c>
      <c r="AL100" s="321">
        <f t="shared" si="35"/>
        <v>3.2384016994328087E-2</v>
      </c>
      <c r="AM100" s="320">
        <f t="shared" si="35"/>
        <v>3.3371281221281905E-2</v>
      </c>
      <c r="AN100" s="320">
        <f>(AN84+AN72)/AN93</f>
        <v>2.9164710041313373E-2</v>
      </c>
      <c r="AO100" s="320">
        <f>(AO84+AO72)/AO93</f>
        <v>2.7728169699428543E-2</v>
      </c>
      <c r="AP100" s="321">
        <f t="shared" si="35"/>
        <v>2.6140401445475591E-2</v>
      </c>
      <c r="AQ100" s="320">
        <f t="shared" si="35"/>
        <v>2.6358212589796665E-2</v>
      </c>
      <c r="AR100" s="320">
        <f>(AR84+AR72)/AR93</f>
        <v>2.7197933438312782E-2</v>
      </c>
      <c r="AS100" s="320">
        <f>(AS84+AS72)/AS93</f>
        <v>2.6987576226449445E-2</v>
      </c>
      <c r="AT100" s="321">
        <f>(AT84+AT72)/AT93</f>
        <v>2.8041319084134059E-2</v>
      </c>
      <c r="AU100" s="329"/>
      <c r="AV100" s="330"/>
      <c r="AW100" s="330"/>
      <c r="AX100" s="330"/>
      <c r="AY100" s="330"/>
      <c r="AZ100" s="330"/>
      <c r="BA100" s="330"/>
      <c r="BB100" s="330"/>
      <c r="BC100" s="330"/>
      <c r="BD100" s="330"/>
      <c r="BE100" s="330"/>
      <c r="BF100" s="330"/>
      <c r="BG100" s="330"/>
      <c r="BH100" s="330"/>
      <c r="BI100" s="330"/>
      <c r="BJ100" s="330"/>
      <c r="BK100" s="330"/>
      <c r="BL100" s="330"/>
      <c r="BM100" s="330"/>
      <c r="BN100" s="330"/>
      <c r="BO100" s="330"/>
      <c r="BP100" s="330"/>
      <c r="BQ100" s="330"/>
      <c r="BR100" s="330"/>
    </row>
    <row r="101" spans="1:70">
      <c r="A101" s="175" t="s">
        <v>429</v>
      </c>
      <c r="B101" s="175" t="s">
        <v>430</v>
      </c>
      <c r="C101" s="331"/>
      <c r="D101" s="332"/>
      <c r="E101" s="332"/>
      <c r="F101" s="332"/>
      <c r="G101" s="331"/>
      <c r="H101" s="333">
        <f t="shared" ref="H101:AQ101" si="36">(H87+H75)/(H84+H72)</f>
        <v>0.79221491228070184</v>
      </c>
      <c r="I101" s="333">
        <f t="shared" si="36"/>
        <v>0.76472081218274113</v>
      </c>
      <c r="J101" s="334">
        <f t="shared" si="36"/>
        <v>0.75154290264782009</v>
      </c>
      <c r="K101" s="335">
        <f t="shared" si="36"/>
        <v>0.59895311281879937</v>
      </c>
      <c r="L101" s="333">
        <f t="shared" si="36"/>
        <v>0.5993571011104617</v>
      </c>
      <c r="M101" s="333">
        <f t="shared" si="36"/>
        <v>0.66314918270225531</v>
      </c>
      <c r="N101" s="334">
        <f t="shared" si="36"/>
        <v>0.61784150425002138</v>
      </c>
      <c r="O101" s="335">
        <f t="shared" si="36"/>
        <v>0.59818494758253793</v>
      </c>
      <c r="P101" s="333">
        <f t="shared" si="36"/>
        <v>0.61674816625916873</v>
      </c>
      <c r="Q101" s="333">
        <f t="shared" si="36"/>
        <v>0.61139461726668987</v>
      </c>
      <c r="R101" s="334">
        <f t="shared" si="36"/>
        <v>0.61554789068718496</v>
      </c>
      <c r="S101" s="335">
        <f t="shared" si="36"/>
        <v>0.63348416289592757</v>
      </c>
      <c r="T101" s="333">
        <f t="shared" si="36"/>
        <v>0.64477670926096697</v>
      </c>
      <c r="U101" s="333">
        <f t="shared" si="36"/>
        <v>0.63845718240734917</v>
      </c>
      <c r="V101" s="334">
        <f t="shared" si="36"/>
        <v>0.61101094655505472</v>
      </c>
      <c r="W101" s="335">
        <f t="shared" si="36"/>
        <v>0.62653350594907842</v>
      </c>
      <c r="X101" s="333">
        <f t="shared" si="36"/>
        <v>0.55456144759989945</v>
      </c>
      <c r="Y101" s="333">
        <f t="shared" si="36"/>
        <v>0.58328390668248309</v>
      </c>
      <c r="Z101" s="334">
        <f t="shared" si="36"/>
        <v>0.68369393139841683</v>
      </c>
      <c r="AA101" s="335">
        <f t="shared" si="36"/>
        <v>0.6513536088045988</v>
      </c>
      <c r="AB101" s="333">
        <f t="shared" si="36"/>
        <v>0.62250786988457496</v>
      </c>
      <c r="AC101" s="333">
        <f t="shared" si="36"/>
        <v>0.61222257667593305</v>
      </c>
      <c r="AD101" s="334">
        <f t="shared" si="36"/>
        <v>0.60615225092888614</v>
      </c>
      <c r="AE101" s="335">
        <f t="shared" si="36"/>
        <v>0.60763603485122475</v>
      </c>
      <c r="AF101" s="333">
        <f t="shared" si="36"/>
        <v>0.60558798999165975</v>
      </c>
      <c r="AG101" s="333">
        <f t="shared" si="36"/>
        <v>0.61891307960777786</v>
      </c>
      <c r="AH101" s="334">
        <f t="shared" si="36"/>
        <v>0.65268555097923853</v>
      </c>
      <c r="AI101" s="333">
        <f t="shared" si="36"/>
        <v>0.59194101759252504</v>
      </c>
      <c r="AJ101" s="333">
        <f t="shared" si="36"/>
        <v>0.59093797156699235</v>
      </c>
      <c r="AK101" s="333">
        <f t="shared" si="36"/>
        <v>0.59297912713472478</v>
      </c>
      <c r="AL101" s="334">
        <f t="shared" si="36"/>
        <v>0.601745723858226</v>
      </c>
      <c r="AM101" s="333">
        <f t="shared" si="36"/>
        <v>0.56658446362515413</v>
      </c>
      <c r="AN101" s="333">
        <f>(AN87+AN75)/(AN84+AN72)</f>
        <v>0.58882858435097241</v>
      </c>
      <c r="AO101" s="333">
        <f>(AO87+AO75)/(AO84+AO72)</f>
        <v>0.59318423855165059</v>
      </c>
      <c r="AP101" s="334">
        <f t="shared" si="36"/>
        <v>0.60424691833590138</v>
      </c>
      <c r="AQ101" s="333">
        <f t="shared" si="36"/>
        <v>0.60439763488543974</v>
      </c>
      <c r="AR101" s="333">
        <f>(AR87+AR75)/(AR84+AR72)</f>
        <v>0.56717841963743598</v>
      </c>
      <c r="AS101" s="333">
        <f>(AS87+AS75)/(AS84+AS72)</f>
        <v>0.57286792293748146</v>
      </c>
      <c r="AT101" s="334">
        <f>(AT87+AT75)/(AT84+AT72)</f>
        <v>0.57058752853538397</v>
      </c>
      <c r="AU101" s="336"/>
      <c r="AV101" s="337"/>
      <c r="AW101" s="337"/>
      <c r="AX101" s="337"/>
      <c r="AY101" s="337"/>
      <c r="AZ101" s="337"/>
      <c r="BA101" s="337"/>
      <c r="BB101" s="337"/>
      <c r="BC101" s="337"/>
      <c r="BD101" s="337"/>
      <c r="BE101" s="337"/>
      <c r="BF101" s="337"/>
      <c r="BG101" s="337"/>
      <c r="BH101" s="337"/>
      <c r="BI101" s="337"/>
      <c r="BJ101" s="337"/>
      <c r="BK101" s="337"/>
      <c r="BL101" s="337"/>
      <c r="BM101" s="337"/>
      <c r="BN101" s="337"/>
      <c r="BO101" s="337"/>
      <c r="BP101" s="337"/>
      <c r="BQ101" s="337"/>
      <c r="BR101" s="337"/>
    </row>
    <row r="102" spans="1:70">
      <c r="BP102" s="249" t="b">
        <v>1</v>
      </c>
    </row>
  </sheetData>
  <mergeCells count="33">
    <mergeCell ref="AA66:AD66"/>
    <mergeCell ref="AE66:AH66"/>
    <mergeCell ref="AI66:AL66"/>
    <mergeCell ref="AM66:AP66"/>
    <mergeCell ref="AQ66:AT66"/>
    <mergeCell ref="BO3:BR3"/>
    <mergeCell ref="BS3:BV3"/>
    <mergeCell ref="A66:A67"/>
    <mergeCell ref="B66:B67"/>
    <mergeCell ref="C66:F66"/>
    <mergeCell ref="G66:J66"/>
    <mergeCell ref="K66:N66"/>
    <mergeCell ref="O66:R66"/>
    <mergeCell ref="S66:V66"/>
    <mergeCell ref="W66:Z66"/>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B58EFB11-D8E4-456B-AA45-632DF202938E}"/>
    <hyperlink ref="A1" location="'Spis tresci_Table of content'!A1" display="Go back to Table of content" xr:uid="{2DE62173-73C9-4066-A498-42ADED09D136}"/>
    <hyperlink ref="B1" location="'Spis tresci_Table of content'!A1" display="Powrót do spisu treści" xr:uid="{FC32B229-112B-4619-AD78-9059095F225A}"/>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FC082-AFE6-4EA2-89CE-39B2CAE7F88C}">
  <dimension ref="A1:BV37"/>
  <sheetViews>
    <sheetView showGridLines="0" workbookViewId="0">
      <pane xSplit="2" ySplit="4" topLeftCell="BI5" activePane="bottomRight" state="frozen"/>
      <selection pane="topRight" activeCell="C1" sqref="C1"/>
      <selection pane="bottomLeft" activeCell="A5" sqref="A5"/>
      <selection pane="bottomRight" activeCell="BM1" sqref="BM1"/>
    </sheetView>
  </sheetViews>
  <sheetFormatPr defaultColWidth="0" defaultRowHeight="13.2" customHeight="1" zeroHeight="1" outlineLevelRow="1" outlineLevelCol="1"/>
  <cols>
    <col min="1" max="1" width="48.88671875" style="249" customWidth="1" outlineLevel="1"/>
    <col min="2" max="2" width="51.33203125" style="249" customWidth="1"/>
    <col min="3" max="74" width="8.88671875" style="249" customWidth="1"/>
    <col min="75" max="16384" width="8.88671875" style="249" hidden="1"/>
  </cols>
  <sheetData>
    <row r="1" spans="1:74" ht="13.8">
      <c r="A1" s="1" t="s">
        <v>0</v>
      </c>
      <c r="B1" s="1" t="s">
        <v>1</v>
      </c>
    </row>
    <row r="2" spans="1:74" ht="13.8">
      <c r="A2" s="152" t="s">
        <v>4</v>
      </c>
      <c r="B2" s="152" t="s">
        <v>5</v>
      </c>
    </row>
    <row r="3" spans="1:74">
      <c r="A3" s="536" t="s">
        <v>326</v>
      </c>
      <c r="B3" s="536" t="s">
        <v>327</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40">
        <v>2014</v>
      </c>
      <c r="AF3" s="534"/>
      <c r="AG3" s="534"/>
      <c r="AH3" s="535"/>
      <c r="AI3" s="540">
        <v>2015</v>
      </c>
      <c r="AJ3" s="534"/>
      <c r="AK3" s="534"/>
      <c r="AL3" s="535"/>
      <c r="AM3" s="540">
        <v>2016</v>
      </c>
      <c r="AN3" s="534"/>
      <c r="AO3" s="534"/>
      <c r="AP3" s="535"/>
      <c r="AQ3" s="594">
        <v>2017</v>
      </c>
      <c r="AR3" s="595"/>
      <c r="AS3" s="595"/>
      <c r="AT3" s="595"/>
      <c r="AU3" s="594">
        <v>2018</v>
      </c>
      <c r="AV3" s="595"/>
      <c r="AW3" s="595"/>
      <c r="AX3" s="539"/>
      <c r="AY3" s="594">
        <v>2019</v>
      </c>
      <c r="AZ3" s="595"/>
      <c r="BA3" s="595"/>
      <c r="BB3" s="539"/>
      <c r="BC3" s="594">
        <v>2020</v>
      </c>
      <c r="BD3" s="595"/>
      <c r="BE3" s="595"/>
      <c r="BF3" s="539"/>
      <c r="BG3" s="594">
        <v>2021</v>
      </c>
      <c r="BH3" s="595"/>
      <c r="BI3" s="595"/>
      <c r="BJ3" s="539"/>
      <c r="BK3" s="594">
        <v>2022</v>
      </c>
      <c r="BL3" s="595"/>
      <c r="BM3" s="595"/>
      <c r="BN3" s="539"/>
      <c r="BO3" s="594">
        <v>2023</v>
      </c>
      <c r="BP3" s="595"/>
      <c r="BQ3" s="595"/>
      <c r="BR3" s="539"/>
      <c r="BS3" s="594">
        <v>2024</v>
      </c>
      <c r="BT3" s="595"/>
      <c r="BU3" s="595"/>
      <c r="BV3" s="539"/>
    </row>
    <row r="4" spans="1:74">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5" t="s">
        <v>8</v>
      </c>
      <c r="AB4" s="14" t="s">
        <v>9</v>
      </c>
      <c r="AC4" s="14" t="s">
        <v>10</v>
      </c>
      <c r="AD4" s="16" t="s">
        <v>11</v>
      </c>
      <c r="AE4" s="15" t="s">
        <v>8</v>
      </c>
      <c r="AF4" s="14" t="s">
        <v>9</v>
      </c>
      <c r="AG4" s="14" t="s">
        <v>10</v>
      </c>
      <c r="AH4" s="16" t="s">
        <v>11</v>
      </c>
      <c r="AI4" s="15" t="s">
        <v>8</v>
      </c>
      <c r="AJ4" s="14" t="s">
        <v>9</v>
      </c>
      <c r="AK4" s="14" t="s">
        <v>10</v>
      </c>
      <c r="AL4" s="16" t="s">
        <v>11</v>
      </c>
      <c r="AM4" s="15" t="s">
        <v>8</v>
      </c>
      <c r="AN4" s="14" t="s">
        <v>9</v>
      </c>
      <c r="AO4" s="14" t="s">
        <v>10</v>
      </c>
      <c r="AP4" s="16" t="s">
        <v>11</v>
      </c>
      <c r="AQ4" s="14" t="s">
        <v>8</v>
      </c>
      <c r="AR4" s="14" t="s">
        <v>9</v>
      </c>
      <c r="AS4" s="14" t="s">
        <v>10</v>
      </c>
      <c r="AT4" s="14" t="s">
        <v>11</v>
      </c>
      <c r="AU4" s="15" t="s">
        <v>8</v>
      </c>
      <c r="AV4" s="14" t="s">
        <v>9</v>
      </c>
      <c r="AW4" s="14" t="s">
        <v>10</v>
      </c>
      <c r="AX4" s="14" t="s">
        <v>11</v>
      </c>
      <c r="AY4" s="15" t="s">
        <v>8</v>
      </c>
      <c r="AZ4" s="14" t="s">
        <v>9</v>
      </c>
      <c r="BA4" s="14" t="s">
        <v>10</v>
      </c>
      <c r="BB4" s="14" t="s">
        <v>11</v>
      </c>
      <c r="BC4" s="15" t="s">
        <v>8</v>
      </c>
      <c r="BD4" s="14" t="s">
        <v>9</v>
      </c>
      <c r="BE4" s="14" t="s">
        <v>10</v>
      </c>
      <c r="BF4" s="14" t="s">
        <v>11</v>
      </c>
      <c r="BG4" s="15" t="s">
        <v>8</v>
      </c>
      <c r="BH4" s="14" t="s">
        <v>9</v>
      </c>
      <c r="BI4" s="14" t="s">
        <v>10</v>
      </c>
      <c r="BJ4" s="14" t="s">
        <v>11</v>
      </c>
      <c r="BK4" s="15" t="s">
        <v>8</v>
      </c>
      <c r="BL4" s="14" t="s">
        <v>9</v>
      </c>
      <c r="BM4" s="14" t="s">
        <v>10</v>
      </c>
      <c r="BN4" s="14" t="s">
        <v>11</v>
      </c>
      <c r="BO4" s="15" t="s">
        <v>8</v>
      </c>
      <c r="BP4" s="14" t="s">
        <v>9</v>
      </c>
      <c r="BQ4" s="14" t="s">
        <v>10</v>
      </c>
      <c r="BR4" s="14" t="s">
        <v>11</v>
      </c>
      <c r="BS4" s="15" t="s">
        <v>8</v>
      </c>
      <c r="BT4" s="14" t="s">
        <v>9</v>
      </c>
      <c r="BU4" s="14" t="s">
        <v>10</v>
      </c>
      <c r="BV4" s="14" t="s">
        <v>11</v>
      </c>
    </row>
    <row r="5" spans="1:74">
      <c r="A5" s="17" t="s">
        <v>12</v>
      </c>
      <c r="B5" s="17" t="s">
        <v>13</v>
      </c>
      <c r="C5" s="18"/>
      <c r="D5" s="19"/>
      <c r="E5" s="20"/>
      <c r="F5" s="19"/>
      <c r="G5" s="18"/>
      <c r="H5" s="19"/>
      <c r="I5" s="20"/>
      <c r="J5" s="21"/>
      <c r="K5" s="18"/>
      <c r="L5" s="19"/>
      <c r="M5" s="20"/>
      <c r="N5" s="21"/>
      <c r="O5" s="18"/>
      <c r="P5" s="19"/>
      <c r="Q5" s="20"/>
      <c r="R5" s="21"/>
      <c r="S5" s="18"/>
      <c r="T5" s="19"/>
      <c r="U5" s="20"/>
      <c r="V5" s="21"/>
      <c r="W5" s="18"/>
      <c r="X5" s="20"/>
      <c r="Y5" s="20"/>
      <c r="Z5" s="154"/>
      <c r="AA5" s="18"/>
      <c r="AB5" s="20"/>
      <c r="AC5" s="20"/>
      <c r="AD5" s="154"/>
      <c r="AE5" s="18"/>
      <c r="AF5" s="20"/>
      <c r="AG5" s="20"/>
      <c r="AH5" s="154"/>
      <c r="AI5" s="18"/>
      <c r="AJ5" s="20"/>
      <c r="AK5" s="20"/>
      <c r="AL5" s="154"/>
      <c r="AM5" s="18"/>
      <c r="AN5" s="607"/>
      <c r="AO5" s="607"/>
      <c r="AP5" s="608"/>
      <c r="AQ5" s="607"/>
      <c r="AR5" s="607"/>
      <c r="AS5" s="607"/>
      <c r="AT5" s="607"/>
      <c r="AU5" s="606"/>
      <c r="AV5" s="607"/>
      <c r="AW5" s="607"/>
      <c r="AX5" s="607"/>
      <c r="AY5" s="606"/>
      <c r="AZ5" s="607"/>
      <c r="BA5" s="607"/>
      <c r="BB5" s="607"/>
      <c r="BC5" s="606"/>
      <c r="BD5" s="607"/>
      <c r="BE5" s="607"/>
      <c r="BF5" s="607"/>
      <c r="BG5" s="606"/>
      <c r="BH5" s="607"/>
      <c r="BI5" s="607"/>
      <c r="BJ5" s="607"/>
      <c r="BK5" s="606"/>
      <c r="BL5" s="607"/>
      <c r="BM5" s="607"/>
      <c r="BN5" s="607"/>
      <c r="BO5" s="606"/>
      <c r="BP5" s="607"/>
      <c r="BQ5" s="607"/>
      <c r="BR5" s="607"/>
      <c r="BS5" s="606"/>
      <c r="BT5" s="822"/>
    </row>
    <row r="6" spans="1:74">
      <c r="A6" s="155" t="s">
        <v>328</v>
      </c>
      <c r="B6" s="155" t="s">
        <v>329</v>
      </c>
      <c r="C6" s="156"/>
      <c r="D6" s="157"/>
      <c r="E6" s="157"/>
      <c r="F6" s="157"/>
      <c r="G6" s="156"/>
      <c r="H6" s="157"/>
      <c r="I6" s="157"/>
      <c r="J6" s="158"/>
      <c r="K6" s="156"/>
      <c r="L6" s="157"/>
      <c r="M6" s="157"/>
      <c r="N6" s="158"/>
      <c r="O6" s="156"/>
      <c r="P6" s="157"/>
      <c r="Q6" s="157"/>
      <c r="R6" s="158"/>
      <c r="S6" s="156"/>
      <c r="T6" s="157"/>
      <c r="U6" s="157"/>
      <c r="V6" s="158"/>
      <c r="W6" s="156"/>
      <c r="X6" s="157"/>
      <c r="Y6" s="157"/>
      <c r="Z6" s="158"/>
      <c r="AA6" s="156"/>
      <c r="AB6" s="157"/>
      <c r="AC6" s="157"/>
      <c r="AD6" s="158"/>
      <c r="AE6" s="156"/>
      <c r="AF6" s="157"/>
      <c r="AG6" s="157"/>
      <c r="AH6" s="158"/>
      <c r="AI6" s="156"/>
      <c r="AJ6" s="157"/>
      <c r="AK6" s="157"/>
      <c r="AL6" s="158"/>
      <c r="AM6" s="156"/>
      <c r="AN6" s="36"/>
      <c r="AO6" s="36"/>
      <c r="AP6" s="37"/>
      <c r="AQ6" s="36"/>
      <c r="AR6" s="36"/>
      <c r="AS6" s="36"/>
      <c r="AT6" s="36"/>
      <c r="AU6" s="35"/>
      <c r="AV6" s="36"/>
      <c r="AW6" s="36"/>
      <c r="AX6" s="36"/>
      <c r="AY6" s="35"/>
      <c r="AZ6" s="36"/>
      <c r="BA6" s="36"/>
      <c r="BB6" s="36"/>
      <c r="BC6" s="35"/>
      <c r="BD6" s="36"/>
      <c r="BE6" s="36"/>
      <c r="BF6" s="36"/>
      <c r="BG6" s="35"/>
      <c r="BH6" s="36"/>
      <c r="BI6" s="36"/>
      <c r="BJ6" s="36"/>
      <c r="BK6" s="35"/>
      <c r="BL6" s="36"/>
      <c r="BM6" s="36"/>
      <c r="BN6" s="36"/>
      <c r="BO6" s="35"/>
      <c r="BP6" s="36"/>
      <c r="BQ6" s="36"/>
      <c r="BR6" s="36"/>
      <c r="BS6" s="35"/>
      <c r="BT6" s="822"/>
    </row>
    <row r="7" spans="1:74">
      <c r="A7" s="163" t="s">
        <v>330</v>
      </c>
      <c r="B7" s="163" t="s">
        <v>331</v>
      </c>
      <c r="C7" s="160">
        <v>893.8</v>
      </c>
      <c r="D7" s="161">
        <v>849.7</v>
      </c>
      <c r="E7" s="161">
        <v>1144.1999999999998</v>
      </c>
      <c r="F7" s="161">
        <v>1651</v>
      </c>
      <c r="G7" s="160">
        <v>2061.5</v>
      </c>
      <c r="H7" s="161">
        <v>2185.9</v>
      </c>
      <c r="I7" s="161">
        <v>1621.6</v>
      </c>
      <c r="J7" s="162">
        <v>4579.8</v>
      </c>
      <c r="K7" s="160">
        <v>5167.3999999999996</v>
      </c>
      <c r="L7" s="161">
        <v>3242</v>
      </c>
      <c r="M7" s="161">
        <v>1953.3</v>
      </c>
      <c r="N7" s="162">
        <v>1566.7</v>
      </c>
      <c r="O7" s="160">
        <v>1408.3</v>
      </c>
      <c r="P7" s="161">
        <v>1755.7</v>
      </c>
      <c r="Q7" s="161">
        <v>1527.9</v>
      </c>
      <c r="R7" s="162">
        <v>1158.9000000000001</v>
      </c>
      <c r="S7" s="160">
        <v>879.1</v>
      </c>
      <c r="T7" s="161">
        <v>912.6</v>
      </c>
      <c r="U7" s="161">
        <v>1782</v>
      </c>
      <c r="V7" s="162">
        <v>1858.4</v>
      </c>
      <c r="W7" s="160">
        <v>1293.9000000000001</v>
      </c>
      <c r="X7" s="161">
        <v>1235.1000000000001</v>
      </c>
      <c r="Y7" s="161">
        <v>1524.7000000000003</v>
      </c>
      <c r="Z7" s="162">
        <v>1822.1000000000001</v>
      </c>
      <c r="AA7" s="160">
        <v>1572.1</v>
      </c>
      <c r="AB7" s="161">
        <v>1519.3</v>
      </c>
      <c r="AC7" s="161">
        <v>1329.4</v>
      </c>
      <c r="AD7" s="162">
        <v>1471.4</v>
      </c>
      <c r="AE7" s="160">
        <v>1352.3999999999999</v>
      </c>
      <c r="AF7" s="161">
        <v>1467.3999999999999</v>
      </c>
      <c r="AG7" s="161">
        <v>1998.4999999999998</v>
      </c>
      <c r="AH7" s="162">
        <v>2412.2999999999997</v>
      </c>
      <c r="AI7" s="160">
        <v>2608</v>
      </c>
      <c r="AJ7" s="161">
        <v>1949.8</v>
      </c>
      <c r="AK7" s="161">
        <v>1947.2</v>
      </c>
      <c r="AL7" s="162">
        <v>1990.9</v>
      </c>
      <c r="AM7" s="160">
        <v>1613.8</v>
      </c>
      <c r="AN7" s="45">
        <v>1320.5</v>
      </c>
      <c r="AO7" s="45">
        <v>1124.9000000000001</v>
      </c>
      <c r="AP7" s="46">
        <v>1117.0999999999999</v>
      </c>
      <c r="AQ7" s="45">
        <v>1210.5999999999999</v>
      </c>
      <c r="AR7" s="45">
        <v>1029.7</v>
      </c>
      <c r="AS7" s="45">
        <v>828.5</v>
      </c>
      <c r="AT7" s="45">
        <v>784.8</v>
      </c>
      <c r="AU7" s="44">
        <v>647.70000000000005</v>
      </c>
      <c r="AV7" s="45">
        <v>676.7</v>
      </c>
      <c r="AW7" s="45">
        <v>528.20000000000005</v>
      </c>
      <c r="AX7" s="45">
        <v>509</v>
      </c>
      <c r="AY7" s="44">
        <v>692.69999999999993</v>
      </c>
      <c r="AZ7" s="45">
        <v>554.20000000000005</v>
      </c>
      <c r="BA7" s="45">
        <v>708.2</v>
      </c>
      <c r="BB7" s="45">
        <v>554.29999999999995</v>
      </c>
      <c r="BC7" s="44">
        <v>1090.5</v>
      </c>
      <c r="BD7" s="45">
        <v>700.3</v>
      </c>
      <c r="BE7" s="45">
        <v>716.6</v>
      </c>
      <c r="BF7" s="45">
        <v>1199.8</v>
      </c>
      <c r="BG7" s="44">
        <v>1134.3</v>
      </c>
      <c r="BH7" s="45">
        <v>1287.2</v>
      </c>
      <c r="BI7" s="45">
        <v>1131.2</v>
      </c>
      <c r="BJ7" s="45">
        <v>629.29999999999995</v>
      </c>
      <c r="BK7" s="44">
        <v>1108.4000000000001</v>
      </c>
      <c r="BL7" s="45">
        <v>2789.3</v>
      </c>
      <c r="BM7" s="45">
        <v>2735.2</v>
      </c>
      <c r="BN7" s="45">
        <v>974.9</v>
      </c>
      <c r="BO7" s="44">
        <v>1136.5</v>
      </c>
      <c r="BP7" s="45">
        <v>1371.8</v>
      </c>
      <c r="BQ7" s="45">
        <v>1149.5</v>
      </c>
      <c r="BR7" s="45">
        <v>899.8</v>
      </c>
      <c r="BS7" s="44">
        <v>1091.2</v>
      </c>
      <c r="BT7" s="822"/>
    </row>
    <row r="8" spans="1:74">
      <c r="A8" s="163" t="s">
        <v>332</v>
      </c>
      <c r="B8" s="163" t="s">
        <v>333</v>
      </c>
      <c r="C8" s="160">
        <v>9032.9</v>
      </c>
      <c r="D8" s="161">
        <v>4323.5</v>
      </c>
      <c r="E8" s="161">
        <v>5318.4</v>
      </c>
      <c r="F8" s="161">
        <v>4373.2</v>
      </c>
      <c r="G8" s="160">
        <v>4973.8999999999996</v>
      </c>
      <c r="H8" s="161">
        <v>4814</v>
      </c>
      <c r="I8" s="161">
        <v>7100.1</v>
      </c>
      <c r="J8" s="162">
        <v>6115.9</v>
      </c>
      <c r="K8" s="160">
        <v>10762.5</v>
      </c>
      <c r="L8" s="161">
        <v>9937.6</v>
      </c>
      <c r="M8" s="161">
        <v>11558.9</v>
      </c>
      <c r="N8" s="162">
        <v>7531.5</v>
      </c>
      <c r="O8" s="160">
        <v>3424.4</v>
      </c>
      <c r="P8" s="161">
        <v>904.7</v>
      </c>
      <c r="Q8" s="161">
        <v>2652.4</v>
      </c>
      <c r="R8" s="162">
        <v>489.9</v>
      </c>
      <c r="S8" s="160">
        <v>362.5</v>
      </c>
      <c r="T8" s="161">
        <v>431.1</v>
      </c>
      <c r="U8" s="161">
        <v>319.5</v>
      </c>
      <c r="V8" s="162">
        <v>444.7</v>
      </c>
      <c r="W8" s="160">
        <v>853.7</v>
      </c>
      <c r="X8" s="161">
        <v>412.40000000000003</v>
      </c>
      <c r="Y8" s="161">
        <v>994</v>
      </c>
      <c r="Z8" s="162">
        <v>507.6</v>
      </c>
      <c r="AA8" s="160">
        <v>1034.7</v>
      </c>
      <c r="AB8" s="161">
        <v>1405.7</v>
      </c>
      <c r="AC8" s="161">
        <v>1056.7</v>
      </c>
      <c r="AD8" s="162">
        <v>1276.3</v>
      </c>
      <c r="AE8" s="160">
        <v>1768.5</v>
      </c>
      <c r="AF8" s="161">
        <v>2565.5</v>
      </c>
      <c r="AG8" s="161">
        <v>1073.5999999999999</v>
      </c>
      <c r="AH8" s="162">
        <v>1409.8</v>
      </c>
      <c r="AI8" s="160">
        <v>2068.3000000000002</v>
      </c>
      <c r="AJ8" s="161">
        <v>1740.5</v>
      </c>
      <c r="AK8" s="161">
        <v>2411.8000000000002</v>
      </c>
      <c r="AL8" s="162">
        <v>964.3</v>
      </c>
      <c r="AM8" s="160">
        <v>2067.6999999999998</v>
      </c>
      <c r="AN8" s="45">
        <v>1847.3</v>
      </c>
      <c r="AO8" s="45">
        <v>1617.3</v>
      </c>
      <c r="AP8" s="46">
        <v>2805.2</v>
      </c>
      <c r="AQ8" s="45">
        <v>1470.6000000000001</v>
      </c>
      <c r="AR8" s="45">
        <v>2676.6000000000004</v>
      </c>
      <c r="AS8" s="45">
        <v>1392.8</v>
      </c>
      <c r="AT8" s="45">
        <v>482.4</v>
      </c>
      <c r="AU8" s="44">
        <v>733.2</v>
      </c>
      <c r="AV8" s="45">
        <v>1313.5</v>
      </c>
      <c r="AW8" s="45">
        <v>643.20000000000005</v>
      </c>
      <c r="AX8" s="45">
        <v>790.5</v>
      </c>
      <c r="AY8" s="44">
        <v>773.9</v>
      </c>
      <c r="AZ8" s="45">
        <v>1299.8999999999999</v>
      </c>
      <c r="BA8" s="45">
        <v>330.3</v>
      </c>
      <c r="BB8" s="45">
        <v>417.1</v>
      </c>
      <c r="BC8" s="44">
        <v>218.4</v>
      </c>
      <c r="BD8" s="45">
        <v>174.10000000000002</v>
      </c>
      <c r="BE8" s="45">
        <v>310.40000000000003</v>
      </c>
      <c r="BF8" s="45">
        <v>235.9</v>
      </c>
      <c r="BG8" s="44">
        <v>346.2</v>
      </c>
      <c r="BH8" s="45">
        <v>88.8</v>
      </c>
      <c r="BI8" s="45">
        <v>453.09999999999997</v>
      </c>
      <c r="BJ8" s="45">
        <v>301.09999999999997</v>
      </c>
      <c r="BK8" s="44">
        <v>131</v>
      </c>
      <c r="BL8" s="45">
        <v>386.3</v>
      </c>
      <c r="BM8" s="45">
        <v>353</v>
      </c>
      <c r="BN8" s="45">
        <v>443.29999999999995</v>
      </c>
      <c r="BO8" s="44">
        <v>329.5</v>
      </c>
      <c r="BP8" s="45">
        <v>852.5</v>
      </c>
      <c r="BQ8" s="45">
        <v>432.1</v>
      </c>
      <c r="BR8" s="45">
        <v>719.30000000000007</v>
      </c>
      <c r="BS8" s="44">
        <v>753.8</v>
      </c>
      <c r="BT8" s="822"/>
    </row>
    <row r="9" spans="1:74">
      <c r="A9" s="163" t="s">
        <v>334</v>
      </c>
      <c r="B9" s="163" t="s">
        <v>335</v>
      </c>
      <c r="C9" s="160">
        <v>0</v>
      </c>
      <c r="D9" s="161">
        <v>0</v>
      </c>
      <c r="E9" s="161">
        <v>0</v>
      </c>
      <c r="F9" s="161">
        <v>0</v>
      </c>
      <c r="G9" s="160">
        <v>0</v>
      </c>
      <c r="H9" s="161">
        <v>0</v>
      </c>
      <c r="I9" s="161">
        <v>0</v>
      </c>
      <c r="J9" s="162">
        <v>0</v>
      </c>
      <c r="K9" s="160">
        <v>0</v>
      </c>
      <c r="L9" s="161">
        <v>0</v>
      </c>
      <c r="M9" s="161">
        <v>0</v>
      </c>
      <c r="N9" s="162">
        <v>0</v>
      </c>
      <c r="O9" s="160">
        <v>0</v>
      </c>
      <c r="P9" s="161">
        <v>0</v>
      </c>
      <c r="Q9" s="161">
        <v>0</v>
      </c>
      <c r="R9" s="162">
        <v>0</v>
      </c>
      <c r="S9" s="160">
        <v>0</v>
      </c>
      <c r="T9" s="161">
        <v>0</v>
      </c>
      <c r="U9" s="161">
        <v>0</v>
      </c>
      <c r="V9" s="162">
        <v>0</v>
      </c>
      <c r="W9" s="160">
        <v>0</v>
      </c>
      <c r="X9" s="161">
        <v>0</v>
      </c>
      <c r="Y9" s="161">
        <v>0</v>
      </c>
      <c r="Z9" s="162">
        <v>0</v>
      </c>
      <c r="AA9" s="160">
        <v>0</v>
      </c>
      <c r="AB9" s="161">
        <v>651.70000000000005</v>
      </c>
      <c r="AC9" s="161">
        <v>547</v>
      </c>
      <c r="AD9" s="162">
        <v>675.1</v>
      </c>
      <c r="AE9" s="160">
        <v>931.8</v>
      </c>
      <c r="AF9" s="161">
        <v>338.2</v>
      </c>
      <c r="AG9" s="161">
        <v>381.8</v>
      </c>
      <c r="AH9" s="162">
        <v>447</v>
      </c>
      <c r="AI9" s="160">
        <v>577.4</v>
      </c>
      <c r="AJ9" s="161">
        <v>15.1</v>
      </c>
      <c r="AK9" s="161">
        <v>357.4</v>
      </c>
      <c r="AL9" s="162">
        <v>162.79999999999998</v>
      </c>
      <c r="AM9" s="160">
        <v>0</v>
      </c>
      <c r="AN9" s="45">
        <v>0</v>
      </c>
      <c r="AO9" s="45">
        <v>0</v>
      </c>
      <c r="AP9" s="46">
        <v>21.6</v>
      </c>
      <c r="AQ9" s="45">
        <v>34.6</v>
      </c>
      <c r="AR9" s="45">
        <v>0</v>
      </c>
      <c r="AS9" s="45">
        <v>22.4</v>
      </c>
      <c r="AT9" s="45">
        <v>236.5</v>
      </c>
      <c r="AU9" s="44">
        <v>121.5</v>
      </c>
      <c r="AV9" s="45">
        <v>327.7</v>
      </c>
      <c r="AW9" s="45">
        <v>385.4</v>
      </c>
      <c r="AX9" s="45">
        <v>635.4</v>
      </c>
      <c r="AY9" s="44">
        <v>767.7</v>
      </c>
      <c r="AZ9" s="45">
        <v>942.8</v>
      </c>
      <c r="BA9" s="45">
        <v>205.2</v>
      </c>
      <c r="BB9" s="45">
        <v>171.5</v>
      </c>
      <c r="BC9" s="44">
        <v>44.3</v>
      </c>
      <c r="BD9" s="45">
        <v>0</v>
      </c>
      <c r="BE9" s="45">
        <v>12.3</v>
      </c>
      <c r="BF9" s="45">
        <v>274.89999999999998</v>
      </c>
      <c r="BG9" s="44">
        <v>28.6</v>
      </c>
      <c r="BH9" s="45">
        <v>0</v>
      </c>
      <c r="BI9" s="45">
        <v>285.60000000000002</v>
      </c>
      <c r="BJ9" s="45">
        <v>524.70000000000005</v>
      </c>
      <c r="BK9" s="44">
        <v>184.2</v>
      </c>
      <c r="BL9" s="45">
        <v>248.2</v>
      </c>
      <c r="BM9" s="45">
        <v>246.8</v>
      </c>
      <c r="BN9" s="45">
        <v>477.6</v>
      </c>
      <c r="BO9" s="44">
        <v>68.099999999999994</v>
      </c>
      <c r="BP9" s="45">
        <v>72.599999999999994</v>
      </c>
      <c r="BQ9" s="45">
        <v>262.39999999999998</v>
      </c>
      <c r="BR9" s="45">
        <v>615.79999999999995</v>
      </c>
      <c r="BS9" s="44">
        <v>138.19999999999999</v>
      </c>
      <c r="BT9" s="822"/>
    </row>
    <row r="10" spans="1:74">
      <c r="A10" s="163" t="s">
        <v>336</v>
      </c>
      <c r="B10" s="163" t="s">
        <v>337</v>
      </c>
      <c r="C10" s="160">
        <v>11.2</v>
      </c>
      <c r="D10" s="161">
        <v>2.1</v>
      </c>
      <c r="E10" s="161">
        <v>0.7</v>
      </c>
      <c r="F10" s="161">
        <v>38.5</v>
      </c>
      <c r="G10" s="160">
        <v>23.1</v>
      </c>
      <c r="H10" s="161">
        <v>2.1</v>
      </c>
      <c r="I10" s="161">
        <v>4.9000000000000004</v>
      </c>
      <c r="J10" s="162">
        <v>1</v>
      </c>
      <c r="K10" s="160">
        <v>12.1</v>
      </c>
      <c r="L10" s="161">
        <v>1.1000000000000001</v>
      </c>
      <c r="M10" s="161">
        <v>1.9</v>
      </c>
      <c r="N10" s="162">
        <v>2.1</v>
      </c>
      <c r="O10" s="160">
        <v>21.2</v>
      </c>
      <c r="P10" s="161">
        <v>7.3</v>
      </c>
      <c r="Q10" s="161">
        <v>15.1</v>
      </c>
      <c r="R10" s="162">
        <v>22.9</v>
      </c>
      <c r="S10" s="160">
        <v>25.2</v>
      </c>
      <c r="T10" s="161">
        <v>5</v>
      </c>
      <c r="U10" s="161">
        <v>7.8</v>
      </c>
      <c r="V10" s="162">
        <v>0</v>
      </c>
      <c r="W10" s="160">
        <v>0</v>
      </c>
      <c r="X10" s="161">
        <v>0</v>
      </c>
      <c r="Y10" s="161">
        <v>0</v>
      </c>
      <c r="Z10" s="162">
        <v>0</v>
      </c>
      <c r="AA10" s="160">
        <v>0</v>
      </c>
      <c r="AB10" s="161">
        <v>0</v>
      </c>
      <c r="AC10" s="161">
        <v>0</v>
      </c>
      <c r="AD10" s="162">
        <v>0</v>
      </c>
      <c r="AE10" s="160">
        <v>0</v>
      </c>
      <c r="AF10" s="161">
        <v>0</v>
      </c>
      <c r="AG10" s="161">
        <v>0</v>
      </c>
      <c r="AH10" s="162">
        <v>0</v>
      </c>
      <c r="AI10" s="160">
        <v>0</v>
      </c>
      <c r="AJ10" s="161">
        <v>0</v>
      </c>
      <c r="AK10" s="161">
        <v>0</v>
      </c>
      <c r="AL10" s="162">
        <v>0</v>
      </c>
      <c r="AM10" s="160">
        <v>0</v>
      </c>
      <c r="AN10" s="45">
        <v>0</v>
      </c>
      <c r="AO10" s="45">
        <v>0</v>
      </c>
      <c r="AP10" s="46">
        <v>0</v>
      </c>
      <c r="AQ10" s="48" t="s">
        <v>28</v>
      </c>
      <c r="AR10" s="47" t="s">
        <v>28</v>
      </c>
      <c r="AS10" s="47" t="s">
        <v>28</v>
      </c>
      <c r="AT10" s="49" t="s">
        <v>28</v>
      </c>
      <c r="AU10" s="48" t="s">
        <v>28</v>
      </c>
      <c r="AV10" s="47" t="s">
        <v>28</v>
      </c>
      <c r="AW10" s="47" t="s">
        <v>28</v>
      </c>
      <c r="AX10" s="49" t="s">
        <v>28</v>
      </c>
      <c r="AY10" s="48" t="s">
        <v>28</v>
      </c>
      <c r="AZ10" s="47" t="s">
        <v>28</v>
      </c>
      <c r="BA10" s="47" t="s">
        <v>28</v>
      </c>
      <c r="BB10" s="49" t="s">
        <v>28</v>
      </c>
      <c r="BC10" s="48" t="s">
        <v>28</v>
      </c>
      <c r="BD10" s="47" t="s">
        <v>28</v>
      </c>
      <c r="BE10" s="47" t="s">
        <v>28</v>
      </c>
      <c r="BF10" s="49" t="s">
        <v>28</v>
      </c>
      <c r="BG10" s="48" t="s">
        <v>28</v>
      </c>
      <c r="BH10" s="47" t="s">
        <v>28</v>
      </c>
      <c r="BI10" s="47" t="s">
        <v>28</v>
      </c>
      <c r="BJ10" s="49" t="s">
        <v>28</v>
      </c>
      <c r="BK10" s="48" t="s">
        <v>28</v>
      </c>
      <c r="BL10" s="47" t="s">
        <v>28</v>
      </c>
      <c r="BM10" s="47" t="s">
        <v>28</v>
      </c>
      <c r="BN10" s="47" t="s">
        <v>28</v>
      </c>
      <c r="BO10" s="48" t="s">
        <v>28</v>
      </c>
      <c r="BP10" s="47" t="s">
        <v>28</v>
      </c>
      <c r="BQ10" s="47" t="s">
        <v>28</v>
      </c>
      <c r="BR10" s="47" t="s">
        <v>28</v>
      </c>
      <c r="BS10" s="48" t="s">
        <v>28</v>
      </c>
      <c r="BT10" s="822"/>
    </row>
    <row r="11" spans="1:74" ht="21.6">
      <c r="A11" s="163" t="s">
        <v>338</v>
      </c>
      <c r="B11" s="163" t="s">
        <v>339</v>
      </c>
      <c r="C11" s="160">
        <v>1177</v>
      </c>
      <c r="D11" s="161">
        <v>1822.6999999999998</v>
      </c>
      <c r="E11" s="161">
        <v>1780.6</v>
      </c>
      <c r="F11" s="161">
        <v>1844.8000000000002</v>
      </c>
      <c r="G11" s="160">
        <v>4180.2</v>
      </c>
      <c r="H11" s="161">
        <v>4158.1000000000004</v>
      </c>
      <c r="I11" s="161">
        <v>4091.3</v>
      </c>
      <c r="J11" s="162">
        <v>4431.8999999999996</v>
      </c>
      <c r="K11" s="160">
        <v>1202.8</v>
      </c>
      <c r="L11" s="161">
        <v>883.4</v>
      </c>
      <c r="M11" s="161">
        <v>616.90000000000009</v>
      </c>
      <c r="N11" s="162">
        <v>734.1</v>
      </c>
      <c r="O11" s="160">
        <v>312.8</v>
      </c>
      <c r="P11" s="161">
        <v>539.5</v>
      </c>
      <c r="Q11" s="161">
        <v>1278.2</v>
      </c>
      <c r="R11" s="162">
        <v>146.80000000000001</v>
      </c>
      <c r="S11" s="160">
        <v>189.2</v>
      </c>
      <c r="T11" s="161">
        <v>136.4</v>
      </c>
      <c r="U11" s="161">
        <v>793.2</v>
      </c>
      <c r="V11" s="162">
        <v>194.9</v>
      </c>
      <c r="W11" s="160">
        <v>572</v>
      </c>
      <c r="X11" s="161">
        <v>379.1</v>
      </c>
      <c r="Y11" s="161">
        <v>528.6</v>
      </c>
      <c r="Z11" s="162">
        <v>1047</v>
      </c>
      <c r="AA11" s="160">
        <v>377.4</v>
      </c>
      <c r="AB11" s="184" t="s">
        <v>28</v>
      </c>
      <c r="AC11" s="184" t="s">
        <v>28</v>
      </c>
      <c r="AD11" s="185" t="s">
        <v>28</v>
      </c>
      <c r="AE11" s="183" t="s">
        <v>28</v>
      </c>
      <c r="AF11" s="184" t="s">
        <v>28</v>
      </c>
      <c r="AG11" s="184" t="s">
        <v>28</v>
      </c>
      <c r="AH11" s="185" t="s">
        <v>28</v>
      </c>
      <c r="AI11" s="183" t="s">
        <v>28</v>
      </c>
      <c r="AJ11" s="184" t="s">
        <v>28</v>
      </c>
      <c r="AK11" s="184" t="s">
        <v>28</v>
      </c>
      <c r="AL11" s="185" t="s">
        <v>28</v>
      </c>
      <c r="AM11" s="183" t="s">
        <v>28</v>
      </c>
      <c r="AN11" s="47" t="s">
        <v>28</v>
      </c>
      <c r="AO11" s="47" t="s">
        <v>28</v>
      </c>
      <c r="AP11" s="49" t="s">
        <v>28</v>
      </c>
      <c r="AQ11" s="48" t="s">
        <v>28</v>
      </c>
      <c r="AR11" s="47" t="s">
        <v>28</v>
      </c>
      <c r="AS11" s="47" t="s">
        <v>28</v>
      </c>
      <c r="AT11" s="49" t="s">
        <v>28</v>
      </c>
      <c r="AU11" s="48" t="s">
        <v>28</v>
      </c>
      <c r="AV11" s="47" t="s">
        <v>28</v>
      </c>
      <c r="AW11" s="47" t="s">
        <v>28</v>
      </c>
      <c r="AX11" s="49" t="s">
        <v>28</v>
      </c>
      <c r="AY11" s="48" t="s">
        <v>28</v>
      </c>
      <c r="AZ11" s="47" t="s">
        <v>28</v>
      </c>
      <c r="BA11" s="47" t="s">
        <v>28</v>
      </c>
      <c r="BB11" s="49" t="s">
        <v>28</v>
      </c>
      <c r="BC11" s="48" t="s">
        <v>28</v>
      </c>
      <c r="BD11" s="47" t="s">
        <v>28</v>
      </c>
      <c r="BE11" s="47" t="s">
        <v>28</v>
      </c>
      <c r="BF11" s="49" t="s">
        <v>28</v>
      </c>
      <c r="BG11" s="48" t="s">
        <v>28</v>
      </c>
      <c r="BH11" s="47" t="s">
        <v>28</v>
      </c>
      <c r="BI11" s="47" t="s">
        <v>28</v>
      </c>
      <c r="BJ11" s="49" t="s">
        <v>28</v>
      </c>
      <c r="BK11" s="48" t="s">
        <v>28</v>
      </c>
      <c r="BL11" s="47" t="s">
        <v>28</v>
      </c>
      <c r="BM11" s="47" t="s">
        <v>28</v>
      </c>
      <c r="BN11" s="47" t="s">
        <v>28</v>
      </c>
      <c r="BO11" s="48" t="s">
        <v>28</v>
      </c>
      <c r="BP11" s="47" t="s">
        <v>28</v>
      </c>
      <c r="BQ11" s="47" t="s">
        <v>28</v>
      </c>
      <c r="BR11" s="47" t="s">
        <v>28</v>
      </c>
      <c r="BS11" s="48" t="s">
        <v>28</v>
      </c>
      <c r="BT11" s="822"/>
    </row>
    <row r="12" spans="1:74" outlineLevel="1">
      <c r="A12" s="250" t="s">
        <v>332</v>
      </c>
      <c r="B12" s="250" t="s">
        <v>333</v>
      </c>
      <c r="C12" s="251">
        <v>690.3</v>
      </c>
      <c r="D12" s="252">
        <v>1035.8</v>
      </c>
      <c r="E12" s="252">
        <v>1514.7</v>
      </c>
      <c r="F12" s="252">
        <v>1513.2</v>
      </c>
      <c r="G12" s="251">
        <v>1587.6</v>
      </c>
      <c r="H12" s="252">
        <v>1432.4</v>
      </c>
      <c r="I12" s="252">
        <v>1576.6</v>
      </c>
      <c r="J12" s="253">
        <v>1822.7</v>
      </c>
      <c r="K12" s="251">
        <v>205.2</v>
      </c>
      <c r="L12" s="252">
        <v>203.6</v>
      </c>
      <c r="M12" s="252">
        <v>199.8</v>
      </c>
      <c r="N12" s="253">
        <v>186.5</v>
      </c>
      <c r="O12" s="251">
        <v>185.5</v>
      </c>
      <c r="P12" s="252">
        <v>191.8</v>
      </c>
      <c r="Q12" s="252">
        <v>188.3</v>
      </c>
      <c r="R12" s="253">
        <v>61.2</v>
      </c>
      <c r="S12" s="251">
        <v>62.6</v>
      </c>
      <c r="T12" s="252">
        <v>62.5</v>
      </c>
      <c r="U12" s="252">
        <v>0</v>
      </c>
      <c r="V12" s="253">
        <v>0</v>
      </c>
      <c r="W12" s="251">
        <v>414.5</v>
      </c>
      <c r="X12" s="252">
        <v>0</v>
      </c>
      <c r="Y12" s="252">
        <v>0</v>
      </c>
      <c r="Z12" s="253">
        <v>0</v>
      </c>
      <c r="AA12" s="251">
        <v>0</v>
      </c>
      <c r="AB12" s="254" t="s">
        <v>28</v>
      </c>
      <c r="AC12" s="254" t="s">
        <v>28</v>
      </c>
      <c r="AD12" s="255" t="s">
        <v>28</v>
      </c>
      <c r="AE12" s="256" t="s">
        <v>28</v>
      </c>
      <c r="AF12" s="254" t="s">
        <v>28</v>
      </c>
      <c r="AG12" s="254" t="s">
        <v>28</v>
      </c>
      <c r="AH12" s="255" t="s">
        <v>28</v>
      </c>
      <c r="AI12" s="256" t="s">
        <v>28</v>
      </c>
      <c r="AJ12" s="254" t="s">
        <v>28</v>
      </c>
      <c r="AK12" s="254" t="s">
        <v>28</v>
      </c>
      <c r="AL12" s="255" t="s">
        <v>28</v>
      </c>
      <c r="AM12" s="256" t="s">
        <v>28</v>
      </c>
      <c r="AN12" s="54" t="s">
        <v>28</v>
      </c>
      <c r="AO12" s="54" t="s">
        <v>28</v>
      </c>
      <c r="AP12" s="56" t="s">
        <v>28</v>
      </c>
      <c r="AQ12" s="55" t="s">
        <v>28</v>
      </c>
      <c r="AR12" s="54" t="s">
        <v>28</v>
      </c>
      <c r="AS12" s="54" t="s">
        <v>28</v>
      </c>
      <c r="AT12" s="56" t="s">
        <v>28</v>
      </c>
      <c r="AU12" s="55" t="s">
        <v>28</v>
      </c>
      <c r="AV12" s="54" t="s">
        <v>28</v>
      </c>
      <c r="AW12" s="54" t="s">
        <v>28</v>
      </c>
      <c r="AX12" s="56" t="s">
        <v>28</v>
      </c>
      <c r="AY12" s="55" t="s">
        <v>28</v>
      </c>
      <c r="AZ12" s="54" t="s">
        <v>28</v>
      </c>
      <c r="BA12" s="54" t="s">
        <v>28</v>
      </c>
      <c r="BB12" s="56" t="s">
        <v>28</v>
      </c>
      <c r="BC12" s="55" t="s">
        <v>28</v>
      </c>
      <c r="BD12" s="54" t="s">
        <v>28</v>
      </c>
      <c r="BE12" s="54" t="s">
        <v>28</v>
      </c>
      <c r="BF12" s="56" t="s">
        <v>28</v>
      </c>
      <c r="BG12" s="55" t="s">
        <v>28</v>
      </c>
      <c r="BH12" s="54" t="s">
        <v>28</v>
      </c>
      <c r="BI12" s="54" t="s">
        <v>28</v>
      </c>
      <c r="BJ12" s="56" t="s">
        <v>28</v>
      </c>
      <c r="BK12" s="55" t="s">
        <v>28</v>
      </c>
      <c r="BL12" s="54" t="s">
        <v>28</v>
      </c>
      <c r="BM12" s="54" t="s">
        <v>28</v>
      </c>
      <c r="BN12" s="54" t="s">
        <v>28</v>
      </c>
      <c r="BO12" s="55" t="s">
        <v>28</v>
      </c>
      <c r="BP12" s="54" t="s">
        <v>28</v>
      </c>
      <c r="BQ12" s="54" t="s">
        <v>28</v>
      </c>
      <c r="BR12" s="54" t="s">
        <v>28</v>
      </c>
      <c r="BS12" s="55" t="s">
        <v>28</v>
      </c>
      <c r="BT12" s="822"/>
    </row>
    <row r="13" spans="1:74" outlineLevel="1">
      <c r="A13" s="257" t="s">
        <v>340</v>
      </c>
      <c r="B13" s="257" t="s">
        <v>341</v>
      </c>
      <c r="C13" s="251">
        <v>486.7</v>
      </c>
      <c r="D13" s="252">
        <v>786.9</v>
      </c>
      <c r="E13" s="252">
        <v>265.89999999999998</v>
      </c>
      <c r="F13" s="252">
        <v>331.6</v>
      </c>
      <c r="G13" s="251">
        <v>358.3</v>
      </c>
      <c r="H13" s="252">
        <v>255</v>
      </c>
      <c r="I13" s="252">
        <v>369.7</v>
      </c>
      <c r="J13" s="253">
        <v>362.5</v>
      </c>
      <c r="K13" s="251">
        <v>997.6</v>
      </c>
      <c r="L13" s="252">
        <v>679.8</v>
      </c>
      <c r="M13" s="252">
        <v>417.1</v>
      </c>
      <c r="N13" s="253">
        <v>547.6</v>
      </c>
      <c r="O13" s="251">
        <v>127.3</v>
      </c>
      <c r="P13" s="252">
        <v>347.7</v>
      </c>
      <c r="Q13" s="252">
        <v>1089.9000000000001</v>
      </c>
      <c r="R13" s="253">
        <v>85.6</v>
      </c>
      <c r="S13" s="251">
        <v>126.6</v>
      </c>
      <c r="T13" s="252">
        <v>73.900000000000006</v>
      </c>
      <c r="U13" s="252">
        <v>793.2</v>
      </c>
      <c r="V13" s="253">
        <v>194.9</v>
      </c>
      <c r="W13" s="251">
        <v>157.5</v>
      </c>
      <c r="X13" s="252">
        <v>379.1</v>
      </c>
      <c r="Y13" s="252">
        <v>528.6</v>
      </c>
      <c r="Z13" s="253">
        <v>1047</v>
      </c>
      <c r="AA13" s="251">
        <v>377.4</v>
      </c>
      <c r="AB13" s="254" t="s">
        <v>28</v>
      </c>
      <c r="AC13" s="254" t="s">
        <v>28</v>
      </c>
      <c r="AD13" s="255" t="s">
        <v>28</v>
      </c>
      <c r="AE13" s="256" t="s">
        <v>28</v>
      </c>
      <c r="AF13" s="254" t="s">
        <v>28</v>
      </c>
      <c r="AG13" s="254" t="s">
        <v>28</v>
      </c>
      <c r="AH13" s="255" t="s">
        <v>28</v>
      </c>
      <c r="AI13" s="256" t="s">
        <v>28</v>
      </c>
      <c r="AJ13" s="254" t="s">
        <v>28</v>
      </c>
      <c r="AK13" s="254" t="s">
        <v>28</v>
      </c>
      <c r="AL13" s="255" t="s">
        <v>28</v>
      </c>
      <c r="AM13" s="256" t="s">
        <v>28</v>
      </c>
      <c r="AN13" s="54" t="s">
        <v>28</v>
      </c>
      <c r="AO13" s="54" t="s">
        <v>28</v>
      </c>
      <c r="AP13" s="56" t="s">
        <v>28</v>
      </c>
      <c r="AQ13" s="55" t="s">
        <v>28</v>
      </c>
      <c r="AR13" s="54" t="s">
        <v>28</v>
      </c>
      <c r="AS13" s="54" t="s">
        <v>28</v>
      </c>
      <c r="AT13" s="56" t="s">
        <v>28</v>
      </c>
      <c r="AU13" s="55" t="s">
        <v>28</v>
      </c>
      <c r="AV13" s="54" t="s">
        <v>28</v>
      </c>
      <c r="AW13" s="54" t="s">
        <v>28</v>
      </c>
      <c r="AX13" s="56" t="s">
        <v>28</v>
      </c>
      <c r="AY13" s="55" t="s">
        <v>28</v>
      </c>
      <c r="AZ13" s="54" t="s">
        <v>28</v>
      </c>
      <c r="BA13" s="54" t="s">
        <v>28</v>
      </c>
      <c r="BB13" s="56" t="s">
        <v>28</v>
      </c>
      <c r="BC13" s="55" t="s">
        <v>28</v>
      </c>
      <c r="BD13" s="54" t="s">
        <v>28</v>
      </c>
      <c r="BE13" s="54" t="s">
        <v>28</v>
      </c>
      <c r="BF13" s="56" t="s">
        <v>28</v>
      </c>
      <c r="BG13" s="55" t="s">
        <v>28</v>
      </c>
      <c r="BH13" s="54" t="s">
        <v>28</v>
      </c>
      <c r="BI13" s="54" t="s">
        <v>28</v>
      </c>
      <c r="BJ13" s="56" t="s">
        <v>28</v>
      </c>
      <c r="BK13" s="55" t="s">
        <v>28</v>
      </c>
      <c r="BL13" s="54" t="s">
        <v>28</v>
      </c>
      <c r="BM13" s="54" t="s">
        <v>28</v>
      </c>
      <c r="BN13" s="54" t="s">
        <v>28</v>
      </c>
      <c r="BO13" s="55" t="s">
        <v>28</v>
      </c>
      <c r="BP13" s="54" t="s">
        <v>28</v>
      </c>
      <c r="BQ13" s="54" t="s">
        <v>28</v>
      </c>
      <c r="BR13" s="54" t="s">
        <v>28</v>
      </c>
      <c r="BS13" s="55" t="s">
        <v>28</v>
      </c>
      <c r="BT13" s="822"/>
    </row>
    <row r="14" spans="1:74" outlineLevel="1">
      <c r="A14" s="257" t="s">
        <v>342</v>
      </c>
      <c r="B14" s="257" t="s">
        <v>343</v>
      </c>
      <c r="C14" s="251">
        <v>0</v>
      </c>
      <c r="D14" s="252">
        <v>0</v>
      </c>
      <c r="E14" s="252">
        <v>0</v>
      </c>
      <c r="F14" s="252">
        <v>0</v>
      </c>
      <c r="G14" s="251">
        <v>2234.3000000000002</v>
      </c>
      <c r="H14" s="252">
        <v>2470.6999999999998</v>
      </c>
      <c r="I14" s="252">
        <v>2145</v>
      </c>
      <c r="J14" s="253">
        <v>2246.6999999999998</v>
      </c>
      <c r="K14" s="251">
        <v>0</v>
      </c>
      <c r="L14" s="252">
        <v>0</v>
      </c>
      <c r="M14" s="252">
        <v>0</v>
      </c>
      <c r="N14" s="253">
        <v>0</v>
      </c>
      <c r="O14" s="251">
        <v>0</v>
      </c>
      <c r="P14" s="252">
        <v>0</v>
      </c>
      <c r="Q14" s="252">
        <v>0</v>
      </c>
      <c r="R14" s="253">
        <v>0</v>
      </c>
      <c r="S14" s="251">
        <v>0</v>
      </c>
      <c r="T14" s="252">
        <v>0</v>
      </c>
      <c r="U14" s="252">
        <v>0</v>
      </c>
      <c r="V14" s="253">
        <v>0</v>
      </c>
      <c r="W14" s="251">
        <v>0</v>
      </c>
      <c r="X14" s="252">
        <v>0</v>
      </c>
      <c r="Y14" s="252">
        <v>0</v>
      </c>
      <c r="Z14" s="253">
        <v>0</v>
      </c>
      <c r="AA14" s="251">
        <v>0</v>
      </c>
      <c r="AB14" s="254" t="s">
        <v>28</v>
      </c>
      <c r="AC14" s="254" t="s">
        <v>28</v>
      </c>
      <c r="AD14" s="255" t="s">
        <v>28</v>
      </c>
      <c r="AE14" s="256" t="s">
        <v>28</v>
      </c>
      <c r="AF14" s="254" t="s">
        <v>28</v>
      </c>
      <c r="AG14" s="254" t="s">
        <v>28</v>
      </c>
      <c r="AH14" s="255" t="s">
        <v>28</v>
      </c>
      <c r="AI14" s="256" t="s">
        <v>28</v>
      </c>
      <c r="AJ14" s="254" t="s">
        <v>28</v>
      </c>
      <c r="AK14" s="254" t="s">
        <v>28</v>
      </c>
      <c r="AL14" s="255" t="s">
        <v>28</v>
      </c>
      <c r="AM14" s="256" t="s">
        <v>28</v>
      </c>
      <c r="AN14" s="54" t="s">
        <v>28</v>
      </c>
      <c r="AO14" s="54" t="s">
        <v>28</v>
      </c>
      <c r="AP14" s="56" t="s">
        <v>28</v>
      </c>
      <c r="AQ14" s="55" t="s">
        <v>28</v>
      </c>
      <c r="AR14" s="54" t="s">
        <v>28</v>
      </c>
      <c r="AS14" s="54" t="s">
        <v>28</v>
      </c>
      <c r="AT14" s="56" t="s">
        <v>28</v>
      </c>
      <c r="AU14" s="55" t="s">
        <v>28</v>
      </c>
      <c r="AV14" s="54" t="s">
        <v>28</v>
      </c>
      <c r="AW14" s="54" t="s">
        <v>28</v>
      </c>
      <c r="AX14" s="56" t="s">
        <v>28</v>
      </c>
      <c r="AY14" s="55" t="s">
        <v>28</v>
      </c>
      <c r="AZ14" s="54" t="s">
        <v>28</v>
      </c>
      <c r="BA14" s="54" t="s">
        <v>28</v>
      </c>
      <c r="BB14" s="56" t="s">
        <v>28</v>
      </c>
      <c r="BC14" s="55" t="s">
        <v>28</v>
      </c>
      <c r="BD14" s="54" t="s">
        <v>28</v>
      </c>
      <c r="BE14" s="54" t="s">
        <v>28</v>
      </c>
      <c r="BF14" s="56" t="s">
        <v>28</v>
      </c>
      <c r="BG14" s="55" t="s">
        <v>28</v>
      </c>
      <c r="BH14" s="54" t="s">
        <v>28</v>
      </c>
      <c r="BI14" s="54" t="s">
        <v>28</v>
      </c>
      <c r="BJ14" s="56" t="s">
        <v>28</v>
      </c>
      <c r="BK14" s="55" t="s">
        <v>28</v>
      </c>
      <c r="BL14" s="54" t="s">
        <v>28</v>
      </c>
      <c r="BM14" s="54" t="s">
        <v>28</v>
      </c>
      <c r="BN14" s="54" t="s">
        <v>28</v>
      </c>
      <c r="BO14" s="55" t="s">
        <v>28</v>
      </c>
      <c r="BP14" s="54" t="s">
        <v>28</v>
      </c>
      <c r="BQ14" s="54" t="s">
        <v>28</v>
      </c>
      <c r="BR14" s="54" t="s">
        <v>28</v>
      </c>
      <c r="BS14" s="55" t="s">
        <v>28</v>
      </c>
      <c r="BT14" s="822"/>
    </row>
    <row r="15" spans="1:74" ht="21.6">
      <c r="A15" s="163" t="s">
        <v>344</v>
      </c>
      <c r="B15" s="163" t="s">
        <v>345</v>
      </c>
      <c r="C15" s="160"/>
      <c r="D15" s="161"/>
      <c r="E15" s="161"/>
      <c r="F15" s="161"/>
      <c r="G15" s="160"/>
      <c r="H15" s="161"/>
      <c r="I15" s="161"/>
      <c r="J15" s="162"/>
      <c r="K15" s="160"/>
      <c r="L15" s="161"/>
      <c r="M15" s="161"/>
      <c r="N15" s="162"/>
      <c r="O15" s="160"/>
      <c r="P15" s="161"/>
      <c r="Q15" s="161"/>
      <c r="R15" s="162"/>
      <c r="S15" s="160"/>
      <c r="T15" s="161"/>
      <c r="U15" s="161"/>
      <c r="V15" s="162"/>
      <c r="W15" s="160"/>
      <c r="X15" s="161"/>
      <c r="Y15" s="161"/>
      <c r="Z15" s="162"/>
      <c r="AA15" s="160"/>
      <c r="AB15" s="161"/>
      <c r="AC15" s="161"/>
      <c r="AD15" s="162"/>
      <c r="AE15" s="160"/>
      <c r="AF15" s="161"/>
      <c r="AG15" s="161"/>
      <c r="AH15" s="162"/>
      <c r="AI15" s="160"/>
      <c r="AJ15" s="161"/>
      <c r="AK15" s="161"/>
      <c r="AL15" s="162"/>
      <c r="AM15" s="160"/>
      <c r="AN15" s="45"/>
      <c r="AO15" s="45"/>
      <c r="AP15" s="46"/>
      <c r="AQ15" s="45"/>
      <c r="AR15" s="45"/>
      <c r="AS15" s="45"/>
      <c r="AT15" s="45"/>
      <c r="AU15" s="44">
        <f t="shared" ref="AU15:BP15" si="0">+AU16+AU17</f>
        <v>262.3</v>
      </c>
      <c r="AV15" s="45">
        <f t="shared" si="0"/>
        <v>249</v>
      </c>
      <c r="AW15" s="45">
        <f t="shared" si="0"/>
        <v>237.8</v>
      </c>
      <c r="AX15" s="45">
        <f t="shared" si="0"/>
        <v>218.5</v>
      </c>
      <c r="AY15" s="44">
        <f t="shared" si="0"/>
        <v>206.2</v>
      </c>
      <c r="AZ15" s="45">
        <f t="shared" si="0"/>
        <v>193.6</v>
      </c>
      <c r="BA15" s="45">
        <f t="shared" si="0"/>
        <v>178</v>
      </c>
      <c r="BB15" s="45">
        <f t="shared" si="0"/>
        <v>160.4</v>
      </c>
      <c r="BC15" s="44">
        <f t="shared" si="0"/>
        <v>148.79999999999998</v>
      </c>
      <c r="BD15" s="45">
        <f t="shared" si="0"/>
        <v>233.5</v>
      </c>
      <c r="BE15" s="45">
        <f t="shared" si="0"/>
        <v>219.9</v>
      </c>
      <c r="BF15" s="45">
        <f t="shared" si="0"/>
        <v>107</v>
      </c>
      <c r="BG15" s="44">
        <f t="shared" si="0"/>
        <v>101</v>
      </c>
      <c r="BH15" s="45">
        <f t="shared" si="0"/>
        <v>95.1</v>
      </c>
      <c r="BI15" s="45">
        <f t="shared" si="0"/>
        <v>87.6</v>
      </c>
      <c r="BJ15" s="45">
        <f t="shared" si="0"/>
        <v>83.2</v>
      </c>
      <c r="BK15" s="44">
        <f t="shared" si="0"/>
        <v>74.7</v>
      </c>
      <c r="BL15" s="45">
        <f t="shared" si="0"/>
        <v>63.800000000000004</v>
      </c>
      <c r="BM15" s="45">
        <f t="shared" si="0"/>
        <v>61.3</v>
      </c>
      <c r="BN15" s="45">
        <f t="shared" si="0"/>
        <v>56.5</v>
      </c>
      <c r="BO15" s="44">
        <f t="shared" si="0"/>
        <v>50.300000000000004</v>
      </c>
      <c r="BP15" s="45">
        <f t="shared" si="0"/>
        <v>42.8</v>
      </c>
      <c r="BQ15" s="45">
        <f>+BQ16+BQ17</f>
        <v>41.1</v>
      </c>
      <c r="BR15" s="45">
        <f>+BR16+BR17</f>
        <v>39</v>
      </c>
      <c r="BS15" s="44">
        <f>+BS16+BS17</f>
        <v>27.5</v>
      </c>
      <c r="BT15" s="822"/>
    </row>
    <row r="16" spans="1:74" ht="21.6" customHeight="1">
      <c r="A16" s="250" t="s">
        <v>346</v>
      </c>
      <c r="B16" s="250" t="s">
        <v>347</v>
      </c>
      <c r="C16" s="160"/>
      <c r="D16" s="161"/>
      <c r="E16" s="161"/>
      <c r="F16" s="161"/>
      <c r="G16" s="160"/>
      <c r="H16" s="161"/>
      <c r="I16" s="161"/>
      <c r="J16" s="162"/>
      <c r="K16" s="160"/>
      <c r="L16" s="161"/>
      <c r="M16" s="161"/>
      <c r="N16" s="162"/>
      <c r="O16" s="160"/>
      <c r="P16" s="161"/>
      <c r="Q16" s="161"/>
      <c r="R16" s="162"/>
      <c r="S16" s="160"/>
      <c r="T16" s="161"/>
      <c r="U16" s="161"/>
      <c r="V16" s="162"/>
      <c r="W16" s="160"/>
      <c r="X16" s="161"/>
      <c r="Y16" s="161"/>
      <c r="Z16" s="162"/>
      <c r="AA16" s="160"/>
      <c r="AB16" s="161"/>
      <c r="AC16" s="161"/>
      <c r="AD16" s="162"/>
      <c r="AE16" s="160"/>
      <c r="AF16" s="161"/>
      <c r="AG16" s="161"/>
      <c r="AH16" s="162"/>
      <c r="AI16" s="160"/>
      <c r="AJ16" s="161"/>
      <c r="AK16" s="161"/>
      <c r="AL16" s="162"/>
      <c r="AM16" s="160"/>
      <c r="AN16" s="45"/>
      <c r="AO16" s="45"/>
      <c r="AP16" s="46"/>
      <c r="AQ16" s="45"/>
      <c r="AR16" s="45"/>
      <c r="AS16" s="45"/>
      <c r="AT16" s="45"/>
      <c r="AU16" s="44">
        <v>262.3</v>
      </c>
      <c r="AV16" s="45">
        <v>249</v>
      </c>
      <c r="AW16" s="45">
        <v>237.8</v>
      </c>
      <c r="AX16" s="45">
        <v>218.4</v>
      </c>
      <c r="AY16" s="44">
        <v>206.1</v>
      </c>
      <c r="AZ16" s="45">
        <v>193.5</v>
      </c>
      <c r="BA16" s="45">
        <v>177.9</v>
      </c>
      <c r="BB16" s="45">
        <v>160.30000000000001</v>
      </c>
      <c r="BC16" s="44">
        <v>148.69999999999999</v>
      </c>
      <c r="BD16" s="45">
        <v>233.4</v>
      </c>
      <c r="BE16" s="45">
        <v>219.8</v>
      </c>
      <c r="BF16" s="45">
        <v>106.2</v>
      </c>
      <c r="BG16" s="44">
        <v>100.2</v>
      </c>
      <c r="BH16" s="45">
        <v>94.3</v>
      </c>
      <c r="BI16" s="45">
        <v>87.5</v>
      </c>
      <c r="BJ16" s="45">
        <v>78.400000000000006</v>
      </c>
      <c r="BK16" s="44">
        <v>72.900000000000006</v>
      </c>
      <c r="BL16" s="45">
        <v>63.2</v>
      </c>
      <c r="BM16" s="45">
        <v>60.4</v>
      </c>
      <c r="BN16" s="45">
        <v>54.6</v>
      </c>
      <c r="BO16" s="44">
        <v>50.2</v>
      </c>
      <c r="BP16" s="45">
        <v>42.3</v>
      </c>
      <c r="BQ16" s="45">
        <v>40.700000000000003</v>
      </c>
      <c r="BR16" s="45">
        <v>38.6</v>
      </c>
      <c r="BS16" s="44">
        <v>27.1</v>
      </c>
      <c r="BT16" s="822"/>
    </row>
    <row r="17" spans="1:72">
      <c r="A17" s="250" t="s">
        <v>336</v>
      </c>
      <c r="B17" s="250" t="s">
        <v>337</v>
      </c>
      <c r="C17" s="160"/>
      <c r="D17" s="161"/>
      <c r="E17" s="161"/>
      <c r="F17" s="161"/>
      <c r="G17" s="160"/>
      <c r="H17" s="161"/>
      <c r="I17" s="161"/>
      <c r="J17" s="162"/>
      <c r="K17" s="160"/>
      <c r="L17" s="161"/>
      <c r="M17" s="161"/>
      <c r="N17" s="162"/>
      <c r="O17" s="160"/>
      <c r="P17" s="161"/>
      <c r="Q17" s="161"/>
      <c r="R17" s="162"/>
      <c r="S17" s="160"/>
      <c r="T17" s="161"/>
      <c r="U17" s="161"/>
      <c r="V17" s="162"/>
      <c r="W17" s="160"/>
      <c r="X17" s="161"/>
      <c r="Y17" s="161"/>
      <c r="Z17" s="162"/>
      <c r="AA17" s="160"/>
      <c r="AB17" s="161"/>
      <c r="AC17" s="161"/>
      <c r="AD17" s="162"/>
      <c r="AE17" s="160"/>
      <c r="AF17" s="161"/>
      <c r="AG17" s="161"/>
      <c r="AH17" s="162"/>
      <c r="AI17" s="160"/>
      <c r="AJ17" s="161"/>
      <c r="AK17" s="161"/>
      <c r="AL17" s="162"/>
      <c r="AM17" s="160"/>
      <c r="AN17" s="45"/>
      <c r="AO17" s="45"/>
      <c r="AP17" s="46"/>
      <c r="AQ17" s="45"/>
      <c r="AR17" s="45"/>
      <c r="AS17" s="45"/>
      <c r="AT17" s="45"/>
      <c r="AU17" s="44">
        <v>0</v>
      </c>
      <c r="AV17" s="45">
        <v>0</v>
      </c>
      <c r="AW17" s="45">
        <v>0</v>
      </c>
      <c r="AX17" s="45">
        <v>0.1</v>
      </c>
      <c r="AY17" s="44">
        <v>0.1</v>
      </c>
      <c r="AZ17" s="45">
        <v>0.1</v>
      </c>
      <c r="BA17" s="45">
        <v>0.1</v>
      </c>
      <c r="BB17" s="45">
        <v>0.1</v>
      </c>
      <c r="BC17" s="44">
        <v>0.1</v>
      </c>
      <c r="BD17" s="45">
        <v>0.1</v>
      </c>
      <c r="BE17" s="45">
        <v>0.1</v>
      </c>
      <c r="BF17" s="45">
        <v>0.8</v>
      </c>
      <c r="BG17" s="44">
        <v>0.8</v>
      </c>
      <c r="BH17" s="45">
        <v>0.8</v>
      </c>
      <c r="BI17" s="45">
        <v>0.1</v>
      </c>
      <c r="BJ17" s="45">
        <v>4.8</v>
      </c>
      <c r="BK17" s="44">
        <v>1.8</v>
      </c>
      <c r="BL17" s="45">
        <v>0.6</v>
      </c>
      <c r="BM17" s="45">
        <v>0.9</v>
      </c>
      <c r="BN17" s="45">
        <v>1.9</v>
      </c>
      <c r="BO17" s="44">
        <v>0.1</v>
      </c>
      <c r="BP17" s="45">
        <v>0.5</v>
      </c>
      <c r="BQ17" s="45">
        <v>0.4</v>
      </c>
      <c r="BR17" s="45">
        <v>0.4</v>
      </c>
      <c r="BS17" s="44">
        <v>0.4</v>
      </c>
      <c r="BT17" s="822"/>
    </row>
    <row r="18" spans="1:72">
      <c r="A18" s="143" t="s">
        <v>348</v>
      </c>
      <c r="B18" s="143" t="s">
        <v>349</v>
      </c>
      <c r="C18" s="172">
        <f t="shared" ref="C18:AT18" si="1">SUM(C7:C11)</f>
        <v>11114.9</v>
      </c>
      <c r="D18" s="173">
        <f t="shared" si="1"/>
        <v>6998</v>
      </c>
      <c r="E18" s="173">
        <f t="shared" si="1"/>
        <v>8243.9</v>
      </c>
      <c r="F18" s="173">
        <f t="shared" si="1"/>
        <v>7907.5</v>
      </c>
      <c r="G18" s="172">
        <f t="shared" si="1"/>
        <v>11238.7</v>
      </c>
      <c r="H18" s="173">
        <f t="shared" si="1"/>
        <v>11160.1</v>
      </c>
      <c r="I18" s="173">
        <f t="shared" si="1"/>
        <v>12817.900000000001</v>
      </c>
      <c r="J18" s="174">
        <f t="shared" si="1"/>
        <v>15128.6</v>
      </c>
      <c r="K18" s="172">
        <f t="shared" si="1"/>
        <v>17144.8</v>
      </c>
      <c r="L18" s="173">
        <f t="shared" si="1"/>
        <v>14064.1</v>
      </c>
      <c r="M18" s="173">
        <f t="shared" si="1"/>
        <v>14130.999999999998</v>
      </c>
      <c r="N18" s="174">
        <f t="shared" si="1"/>
        <v>9834.4000000000015</v>
      </c>
      <c r="O18" s="172">
        <f t="shared" si="1"/>
        <v>5166.7</v>
      </c>
      <c r="P18" s="173">
        <f t="shared" si="1"/>
        <v>3207.2000000000003</v>
      </c>
      <c r="Q18" s="173">
        <f t="shared" si="1"/>
        <v>5473.6</v>
      </c>
      <c r="R18" s="174">
        <f t="shared" si="1"/>
        <v>1818.5000000000002</v>
      </c>
      <c r="S18" s="172">
        <f t="shared" si="1"/>
        <v>1456</v>
      </c>
      <c r="T18" s="173">
        <f t="shared" si="1"/>
        <v>1485.1000000000001</v>
      </c>
      <c r="U18" s="173">
        <f t="shared" si="1"/>
        <v>2902.5</v>
      </c>
      <c r="V18" s="174">
        <f t="shared" si="1"/>
        <v>2498</v>
      </c>
      <c r="W18" s="172">
        <f t="shared" si="1"/>
        <v>2719.6000000000004</v>
      </c>
      <c r="X18" s="173">
        <f t="shared" si="1"/>
        <v>2026.6000000000004</v>
      </c>
      <c r="Y18" s="173">
        <f t="shared" si="1"/>
        <v>3047.3</v>
      </c>
      <c r="Z18" s="174">
        <f t="shared" si="1"/>
        <v>3376.7000000000003</v>
      </c>
      <c r="AA18" s="172">
        <f t="shared" si="1"/>
        <v>2984.2000000000003</v>
      </c>
      <c r="AB18" s="173">
        <f t="shared" si="1"/>
        <v>3576.7</v>
      </c>
      <c r="AC18" s="173">
        <f t="shared" si="1"/>
        <v>2933.1000000000004</v>
      </c>
      <c r="AD18" s="174">
        <f t="shared" si="1"/>
        <v>3422.7999999999997</v>
      </c>
      <c r="AE18" s="172">
        <f t="shared" si="1"/>
        <v>4052.7</v>
      </c>
      <c r="AF18" s="173">
        <f t="shared" si="1"/>
        <v>4371.0999999999995</v>
      </c>
      <c r="AG18" s="173">
        <f t="shared" si="1"/>
        <v>3453.8999999999996</v>
      </c>
      <c r="AH18" s="174">
        <f t="shared" si="1"/>
        <v>4269.0999999999995</v>
      </c>
      <c r="AI18" s="172">
        <f t="shared" si="1"/>
        <v>5253.7</v>
      </c>
      <c r="AJ18" s="173">
        <f t="shared" si="1"/>
        <v>3705.4</v>
      </c>
      <c r="AK18" s="173">
        <f t="shared" si="1"/>
        <v>4716.3999999999996</v>
      </c>
      <c r="AL18" s="174">
        <f t="shared" si="1"/>
        <v>3118</v>
      </c>
      <c r="AM18" s="172">
        <f t="shared" si="1"/>
        <v>3681.5</v>
      </c>
      <c r="AN18" s="173">
        <f t="shared" si="1"/>
        <v>3167.8</v>
      </c>
      <c r="AO18" s="173">
        <f t="shared" si="1"/>
        <v>2742.2</v>
      </c>
      <c r="AP18" s="174">
        <f t="shared" si="1"/>
        <v>3943.8999999999996</v>
      </c>
      <c r="AQ18" s="173">
        <f t="shared" si="1"/>
        <v>2715.7999999999997</v>
      </c>
      <c r="AR18" s="173">
        <f t="shared" si="1"/>
        <v>3706.3</v>
      </c>
      <c r="AS18" s="173">
        <f t="shared" si="1"/>
        <v>2243.7000000000003</v>
      </c>
      <c r="AT18" s="173">
        <f t="shared" si="1"/>
        <v>1503.6999999999998</v>
      </c>
      <c r="AU18" s="172">
        <f t="shared" ref="AU18:BP18" si="2">+AU7+AU8+AU9+AU16+AU17</f>
        <v>1764.7</v>
      </c>
      <c r="AV18" s="173">
        <f t="shared" si="2"/>
        <v>2566.9</v>
      </c>
      <c r="AW18" s="173">
        <f t="shared" si="2"/>
        <v>1794.6000000000001</v>
      </c>
      <c r="AX18" s="173">
        <f t="shared" si="2"/>
        <v>2153.4</v>
      </c>
      <c r="AY18" s="172">
        <f t="shared" si="2"/>
        <v>2440.5</v>
      </c>
      <c r="AZ18" s="173">
        <f t="shared" si="2"/>
        <v>2990.4999999999995</v>
      </c>
      <c r="BA18" s="173">
        <f t="shared" si="2"/>
        <v>1421.7</v>
      </c>
      <c r="BB18" s="173">
        <f t="shared" si="2"/>
        <v>1303.3</v>
      </c>
      <c r="BC18" s="172">
        <f t="shared" si="2"/>
        <v>1502</v>
      </c>
      <c r="BD18" s="173">
        <f t="shared" si="2"/>
        <v>1107.8999999999999</v>
      </c>
      <c r="BE18" s="173">
        <f t="shared" si="2"/>
        <v>1259.1999999999998</v>
      </c>
      <c r="BF18" s="173">
        <f t="shared" si="2"/>
        <v>1817.6</v>
      </c>
      <c r="BG18" s="172">
        <f t="shared" si="2"/>
        <v>1610.1</v>
      </c>
      <c r="BH18" s="173">
        <f t="shared" si="2"/>
        <v>1471.1</v>
      </c>
      <c r="BI18" s="173">
        <f t="shared" si="2"/>
        <v>1957.5</v>
      </c>
      <c r="BJ18" s="173">
        <f t="shared" si="2"/>
        <v>1538.3</v>
      </c>
      <c r="BK18" s="172">
        <f t="shared" si="2"/>
        <v>1498.3000000000002</v>
      </c>
      <c r="BL18" s="173">
        <f t="shared" si="2"/>
        <v>3487.6</v>
      </c>
      <c r="BM18" s="173">
        <f t="shared" si="2"/>
        <v>3396.3</v>
      </c>
      <c r="BN18" s="173">
        <f t="shared" si="2"/>
        <v>1952.2999999999997</v>
      </c>
      <c r="BO18" s="172">
        <f t="shared" si="2"/>
        <v>1584.3999999999999</v>
      </c>
      <c r="BP18" s="173">
        <f t="shared" si="2"/>
        <v>2339.7000000000003</v>
      </c>
      <c r="BQ18" s="173">
        <f>+BQ7+BQ8+BQ9+BQ16+BQ17</f>
        <v>1885.1000000000001</v>
      </c>
      <c r="BR18" s="173">
        <f>+BR7+BR8+BR9+BR16+BR17</f>
        <v>2273.8999999999996</v>
      </c>
      <c r="BS18" s="172">
        <f>+BS7+BS8+BS9+BS16+BS17</f>
        <v>2010.7</v>
      </c>
    </row>
    <row r="19" spans="1:72">
      <c r="A19" s="155"/>
      <c r="B19" s="155"/>
      <c r="C19" s="160"/>
      <c r="D19" s="161"/>
      <c r="E19" s="161"/>
      <c r="F19" s="161"/>
      <c r="G19" s="160"/>
      <c r="H19" s="161"/>
      <c r="I19" s="161"/>
      <c r="J19" s="162"/>
      <c r="K19" s="160"/>
      <c r="L19" s="161"/>
      <c r="M19" s="161"/>
      <c r="N19" s="162"/>
      <c r="O19" s="160"/>
      <c r="P19" s="161"/>
      <c r="Q19" s="161"/>
      <c r="R19" s="162"/>
      <c r="S19" s="160"/>
      <c r="T19" s="161"/>
      <c r="U19" s="161"/>
      <c r="V19" s="162"/>
      <c r="W19" s="160"/>
      <c r="X19" s="161"/>
      <c r="Y19" s="161"/>
      <c r="Z19" s="162"/>
      <c r="AA19" s="160"/>
      <c r="AB19" s="161"/>
      <c r="AC19" s="161"/>
      <c r="AD19" s="162"/>
      <c r="AE19" s="160"/>
      <c r="AF19" s="161"/>
      <c r="AG19" s="161"/>
      <c r="AH19" s="162"/>
      <c r="AI19" s="160"/>
      <c r="AJ19" s="161"/>
      <c r="AK19" s="161"/>
      <c r="AL19" s="162"/>
      <c r="AM19" s="160"/>
      <c r="AN19" s="161"/>
      <c r="AO19" s="161"/>
      <c r="AP19" s="162"/>
      <c r="AQ19" s="161"/>
      <c r="AR19" s="161"/>
      <c r="AS19" s="161"/>
      <c r="AT19" s="161"/>
      <c r="AU19" s="160"/>
      <c r="AV19" s="161"/>
      <c r="AW19" s="161"/>
      <c r="AX19" s="161"/>
      <c r="AY19" s="160"/>
      <c r="AZ19" s="161"/>
      <c r="BA19" s="161"/>
      <c r="BB19" s="161"/>
      <c r="BC19" s="160"/>
      <c r="BD19" s="161"/>
      <c r="BE19" s="161"/>
      <c r="BF19" s="161"/>
      <c r="BG19" s="160"/>
      <c r="BH19" s="161"/>
      <c r="BI19" s="161"/>
      <c r="BJ19" s="161"/>
      <c r="BK19" s="160"/>
      <c r="BL19" s="161"/>
      <c r="BM19" s="161"/>
      <c r="BN19" s="161"/>
      <c r="BO19" s="160"/>
      <c r="BP19" s="161"/>
      <c r="BQ19" s="161"/>
      <c r="BR19" s="161"/>
      <c r="BS19" s="160"/>
    </row>
    <row r="20" spans="1:72" ht="21.6">
      <c r="A20" s="155" t="s">
        <v>350</v>
      </c>
      <c r="B20" s="155" t="s">
        <v>351</v>
      </c>
      <c r="C20" s="180" t="s">
        <v>28</v>
      </c>
      <c r="D20" s="181" t="s">
        <v>28</v>
      </c>
      <c r="E20" s="181" t="s">
        <v>28</v>
      </c>
      <c r="F20" s="181" t="s">
        <v>28</v>
      </c>
      <c r="G20" s="180" t="s">
        <v>28</v>
      </c>
      <c r="H20" s="181" t="s">
        <v>28</v>
      </c>
      <c r="I20" s="181" t="s">
        <v>28</v>
      </c>
      <c r="J20" s="182" t="s">
        <v>28</v>
      </c>
      <c r="K20" s="180" t="s">
        <v>28</v>
      </c>
      <c r="L20" s="181" t="s">
        <v>28</v>
      </c>
      <c r="M20" s="181" t="s">
        <v>28</v>
      </c>
      <c r="N20" s="182" t="s">
        <v>28</v>
      </c>
      <c r="O20" s="180" t="s">
        <v>28</v>
      </c>
      <c r="P20" s="181" t="s">
        <v>28</v>
      </c>
      <c r="Q20" s="181" t="s">
        <v>28</v>
      </c>
      <c r="R20" s="182" t="s">
        <v>28</v>
      </c>
      <c r="S20" s="180" t="s">
        <v>28</v>
      </c>
      <c r="T20" s="181" t="s">
        <v>28</v>
      </c>
      <c r="U20" s="181" t="s">
        <v>28</v>
      </c>
      <c r="V20" s="182" t="s">
        <v>28</v>
      </c>
      <c r="W20" s="180" t="s">
        <v>28</v>
      </c>
      <c r="X20" s="181" t="s">
        <v>28</v>
      </c>
      <c r="Y20" s="181" t="s">
        <v>28</v>
      </c>
      <c r="Z20" s="182" t="s">
        <v>28</v>
      </c>
      <c r="AA20" s="180" t="s">
        <v>28</v>
      </c>
      <c r="AB20" s="181" t="s">
        <v>28</v>
      </c>
      <c r="AC20" s="181" t="s">
        <v>28</v>
      </c>
      <c r="AD20" s="182" t="s">
        <v>28</v>
      </c>
      <c r="AE20" s="180" t="s">
        <v>28</v>
      </c>
      <c r="AF20" s="181" t="s">
        <v>28</v>
      </c>
      <c r="AG20" s="181" t="s">
        <v>28</v>
      </c>
      <c r="AH20" s="182" t="s">
        <v>28</v>
      </c>
      <c r="AI20" s="180" t="s">
        <v>28</v>
      </c>
      <c r="AJ20" s="38" t="s">
        <v>28</v>
      </c>
      <c r="AK20" s="38" t="s">
        <v>28</v>
      </c>
      <c r="AL20" s="40" t="s">
        <v>28</v>
      </c>
      <c r="AM20" s="39" t="s">
        <v>28</v>
      </c>
      <c r="AN20" s="38" t="s">
        <v>28</v>
      </c>
      <c r="AO20" s="38" t="s">
        <v>28</v>
      </c>
      <c r="AP20" s="40" t="s">
        <v>28</v>
      </c>
      <c r="AQ20" s="38" t="s">
        <v>28</v>
      </c>
      <c r="AR20" s="38" t="s">
        <v>28</v>
      </c>
      <c r="AS20" s="38" t="s">
        <v>28</v>
      </c>
      <c r="AT20" s="38" t="s">
        <v>28</v>
      </c>
      <c r="AU20" s="35">
        <f t="shared" ref="AU20:BP20" si="3">AU21+AU22</f>
        <v>17011.200000000004</v>
      </c>
      <c r="AV20" s="36">
        <f t="shared" si="3"/>
        <v>16532.7</v>
      </c>
      <c r="AW20" s="36">
        <f t="shared" si="3"/>
        <v>16725.2</v>
      </c>
      <c r="AX20" s="36">
        <f t="shared" si="3"/>
        <v>20077.2</v>
      </c>
      <c r="AY20" s="35">
        <f t="shared" si="3"/>
        <v>17781.900000000001</v>
      </c>
      <c r="AZ20" s="36">
        <f t="shared" si="3"/>
        <v>19165.300000000003</v>
      </c>
      <c r="BA20" s="36">
        <f t="shared" si="3"/>
        <v>19918.2</v>
      </c>
      <c r="BB20" s="36">
        <f t="shared" si="3"/>
        <v>21225.599999999999</v>
      </c>
      <c r="BC20" s="35">
        <f t="shared" si="3"/>
        <v>20290.8</v>
      </c>
      <c r="BD20" s="36">
        <f t="shared" si="3"/>
        <v>22912.5</v>
      </c>
      <c r="BE20" s="36">
        <f t="shared" si="3"/>
        <v>23547.399999999998</v>
      </c>
      <c r="BF20" s="36">
        <f t="shared" si="3"/>
        <v>20630.5</v>
      </c>
      <c r="BG20" s="35">
        <f t="shared" si="3"/>
        <v>19953.399999999998</v>
      </c>
      <c r="BH20" s="36">
        <f t="shared" si="3"/>
        <v>21221.5</v>
      </c>
      <c r="BI20" s="36">
        <f t="shared" si="3"/>
        <v>17490.899999999998</v>
      </c>
      <c r="BJ20" s="36">
        <f t="shared" si="3"/>
        <v>14378.899999999998</v>
      </c>
      <c r="BK20" s="35">
        <f t="shared" si="3"/>
        <v>11050.3</v>
      </c>
      <c r="BL20" s="36">
        <f t="shared" si="3"/>
        <v>12151</v>
      </c>
      <c r="BM20" s="36">
        <f t="shared" si="3"/>
        <v>14957.300000000001</v>
      </c>
      <c r="BN20" s="36">
        <f t="shared" si="3"/>
        <v>15812.699999999999</v>
      </c>
      <c r="BO20" s="35">
        <f t="shared" si="3"/>
        <v>15193.400000000001</v>
      </c>
      <c r="BP20" s="36">
        <f t="shared" si="3"/>
        <v>15643.800000000001</v>
      </c>
      <c r="BQ20" s="36">
        <f>BQ21+BQ22</f>
        <v>23246.400000000005</v>
      </c>
      <c r="BR20" s="36">
        <f>BR21+BR22</f>
        <v>23916.2</v>
      </c>
      <c r="BS20" s="35">
        <f>BS21+BS22</f>
        <v>28922.900000000005</v>
      </c>
      <c r="BT20" s="822"/>
    </row>
    <row r="21" spans="1:72">
      <c r="A21" s="159" t="s">
        <v>332</v>
      </c>
      <c r="B21" s="159" t="s">
        <v>333</v>
      </c>
      <c r="C21" s="183" t="s">
        <v>28</v>
      </c>
      <c r="D21" s="184" t="s">
        <v>28</v>
      </c>
      <c r="E21" s="184" t="s">
        <v>28</v>
      </c>
      <c r="F21" s="184" t="s">
        <v>28</v>
      </c>
      <c r="G21" s="183" t="s">
        <v>28</v>
      </c>
      <c r="H21" s="184" t="s">
        <v>28</v>
      </c>
      <c r="I21" s="184" t="s">
        <v>28</v>
      </c>
      <c r="J21" s="185" t="s">
        <v>28</v>
      </c>
      <c r="K21" s="183" t="s">
        <v>28</v>
      </c>
      <c r="L21" s="184" t="s">
        <v>28</v>
      </c>
      <c r="M21" s="184" t="s">
        <v>28</v>
      </c>
      <c r="N21" s="185" t="s">
        <v>28</v>
      </c>
      <c r="O21" s="183" t="s">
        <v>28</v>
      </c>
      <c r="P21" s="184" t="s">
        <v>28</v>
      </c>
      <c r="Q21" s="184" t="s">
        <v>28</v>
      </c>
      <c r="R21" s="185" t="s">
        <v>28</v>
      </c>
      <c r="S21" s="183" t="s">
        <v>28</v>
      </c>
      <c r="T21" s="184" t="s">
        <v>28</v>
      </c>
      <c r="U21" s="184" t="s">
        <v>28</v>
      </c>
      <c r="V21" s="185" t="s">
        <v>28</v>
      </c>
      <c r="W21" s="183" t="s">
        <v>28</v>
      </c>
      <c r="X21" s="184" t="s">
        <v>28</v>
      </c>
      <c r="Y21" s="184" t="s">
        <v>28</v>
      </c>
      <c r="Z21" s="185" t="s">
        <v>28</v>
      </c>
      <c r="AA21" s="183" t="s">
        <v>28</v>
      </c>
      <c r="AB21" s="184" t="s">
        <v>28</v>
      </c>
      <c r="AC21" s="184" t="s">
        <v>28</v>
      </c>
      <c r="AD21" s="185" t="s">
        <v>28</v>
      </c>
      <c r="AE21" s="183" t="s">
        <v>28</v>
      </c>
      <c r="AF21" s="184" t="s">
        <v>28</v>
      </c>
      <c r="AG21" s="184" t="s">
        <v>28</v>
      </c>
      <c r="AH21" s="185" t="s">
        <v>28</v>
      </c>
      <c r="AI21" s="183" t="s">
        <v>28</v>
      </c>
      <c r="AJ21" s="47" t="s">
        <v>28</v>
      </c>
      <c r="AK21" s="47" t="s">
        <v>28</v>
      </c>
      <c r="AL21" s="49" t="s">
        <v>28</v>
      </c>
      <c r="AM21" s="48" t="s">
        <v>28</v>
      </c>
      <c r="AN21" s="47" t="s">
        <v>28</v>
      </c>
      <c r="AO21" s="47" t="s">
        <v>28</v>
      </c>
      <c r="AP21" s="49" t="s">
        <v>28</v>
      </c>
      <c r="AQ21" s="47" t="s">
        <v>28</v>
      </c>
      <c r="AR21" s="47" t="s">
        <v>28</v>
      </c>
      <c r="AS21" s="47" t="s">
        <v>28</v>
      </c>
      <c r="AT21" s="47" t="s">
        <v>28</v>
      </c>
      <c r="AU21" s="44">
        <v>16935.800000000003</v>
      </c>
      <c r="AV21" s="45">
        <v>16455.3</v>
      </c>
      <c r="AW21" s="45">
        <v>16647.900000000001</v>
      </c>
      <c r="AX21" s="45">
        <v>19994</v>
      </c>
      <c r="AY21" s="44">
        <v>17669.2</v>
      </c>
      <c r="AZ21" s="45">
        <v>19038.600000000002</v>
      </c>
      <c r="BA21" s="45">
        <v>19791.400000000001</v>
      </c>
      <c r="BB21" s="45">
        <v>21115</v>
      </c>
      <c r="BC21" s="44">
        <v>20179.099999999999</v>
      </c>
      <c r="BD21" s="45">
        <v>22789.1</v>
      </c>
      <c r="BE21" s="45">
        <v>23422.3</v>
      </c>
      <c r="BF21" s="45">
        <v>20472.8</v>
      </c>
      <c r="BG21" s="44">
        <v>19795.8</v>
      </c>
      <c r="BH21" s="45">
        <v>21041.599999999999</v>
      </c>
      <c r="BI21" s="45">
        <v>17311.599999999999</v>
      </c>
      <c r="BJ21" s="45">
        <v>14211.499999999998</v>
      </c>
      <c r="BK21" s="44">
        <v>10882.9</v>
      </c>
      <c r="BL21" s="45">
        <v>12023.5</v>
      </c>
      <c r="BM21" s="45">
        <v>14829.7</v>
      </c>
      <c r="BN21" s="45">
        <v>15691.8</v>
      </c>
      <c r="BO21" s="44">
        <v>15072.500000000002</v>
      </c>
      <c r="BP21" s="45">
        <v>15517.1</v>
      </c>
      <c r="BQ21" s="45">
        <v>23119.700000000004</v>
      </c>
      <c r="BR21" s="45">
        <v>23680.3</v>
      </c>
      <c r="BS21" s="44">
        <v>28687.000000000004</v>
      </c>
      <c r="BT21" s="822"/>
    </row>
    <row r="22" spans="1:72">
      <c r="A22" s="165" t="s">
        <v>336</v>
      </c>
      <c r="B22" s="165" t="s">
        <v>337</v>
      </c>
      <c r="C22" s="183" t="s">
        <v>28</v>
      </c>
      <c r="D22" s="184" t="s">
        <v>28</v>
      </c>
      <c r="E22" s="184" t="s">
        <v>28</v>
      </c>
      <c r="F22" s="184" t="s">
        <v>28</v>
      </c>
      <c r="G22" s="183" t="s">
        <v>28</v>
      </c>
      <c r="H22" s="184" t="s">
        <v>28</v>
      </c>
      <c r="I22" s="184" t="s">
        <v>28</v>
      </c>
      <c r="J22" s="185" t="s">
        <v>28</v>
      </c>
      <c r="K22" s="183" t="s">
        <v>28</v>
      </c>
      <c r="L22" s="184" t="s">
        <v>28</v>
      </c>
      <c r="M22" s="184" t="s">
        <v>28</v>
      </c>
      <c r="N22" s="185" t="s">
        <v>28</v>
      </c>
      <c r="O22" s="183" t="s">
        <v>28</v>
      </c>
      <c r="P22" s="184" t="s">
        <v>28</v>
      </c>
      <c r="Q22" s="184" t="s">
        <v>28</v>
      </c>
      <c r="R22" s="185" t="s">
        <v>28</v>
      </c>
      <c r="S22" s="183" t="s">
        <v>28</v>
      </c>
      <c r="T22" s="184" t="s">
        <v>28</v>
      </c>
      <c r="U22" s="184" t="s">
        <v>28</v>
      </c>
      <c r="V22" s="185" t="s">
        <v>28</v>
      </c>
      <c r="W22" s="183" t="s">
        <v>28</v>
      </c>
      <c r="X22" s="184" t="s">
        <v>28</v>
      </c>
      <c r="Y22" s="184" t="s">
        <v>28</v>
      </c>
      <c r="Z22" s="185" t="s">
        <v>28</v>
      </c>
      <c r="AA22" s="183" t="s">
        <v>28</v>
      </c>
      <c r="AB22" s="184" t="s">
        <v>28</v>
      </c>
      <c r="AC22" s="184" t="s">
        <v>28</v>
      </c>
      <c r="AD22" s="185" t="s">
        <v>28</v>
      </c>
      <c r="AE22" s="183" t="s">
        <v>28</v>
      </c>
      <c r="AF22" s="184" t="s">
        <v>28</v>
      </c>
      <c r="AG22" s="184" t="s">
        <v>28</v>
      </c>
      <c r="AH22" s="185" t="s">
        <v>28</v>
      </c>
      <c r="AI22" s="183" t="s">
        <v>28</v>
      </c>
      <c r="AJ22" s="47" t="s">
        <v>28</v>
      </c>
      <c r="AK22" s="47" t="s">
        <v>28</v>
      </c>
      <c r="AL22" s="49" t="s">
        <v>28</v>
      </c>
      <c r="AM22" s="48" t="s">
        <v>28</v>
      </c>
      <c r="AN22" s="47" t="s">
        <v>28</v>
      </c>
      <c r="AO22" s="47" t="s">
        <v>28</v>
      </c>
      <c r="AP22" s="49" t="s">
        <v>28</v>
      </c>
      <c r="AQ22" s="47" t="s">
        <v>28</v>
      </c>
      <c r="AR22" s="47" t="s">
        <v>28</v>
      </c>
      <c r="AS22" s="47" t="s">
        <v>28</v>
      </c>
      <c r="AT22" s="47" t="s">
        <v>28</v>
      </c>
      <c r="AU22" s="44">
        <v>75.400000000000006</v>
      </c>
      <c r="AV22" s="45">
        <v>77.400000000000006</v>
      </c>
      <c r="AW22" s="45">
        <v>77.3</v>
      </c>
      <c r="AX22" s="45">
        <v>83.2</v>
      </c>
      <c r="AY22" s="44">
        <v>112.7</v>
      </c>
      <c r="AZ22" s="45">
        <v>126.7</v>
      </c>
      <c r="BA22" s="45">
        <v>126.8</v>
      </c>
      <c r="BB22" s="45">
        <v>110.6</v>
      </c>
      <c r="BC22" s="44">
        <v>111.7</v>
      </c>
      <c r="BD22" s="45">
        <v>123.39999999999999</v>
      </c>
      <c r="BE22" s="45">
        <v>125.1</v>
      </c>
      <c r="BF22" s="45">
        <v>157.69999999999999</v>
      </c>
      <c r="BG22" s="44">
        <v>157.60000000000002</v>
      </c>
      <c r="BH22" s="45">
        <v>179.9</v>
      </c>
      <c r="BI22" s="45">
        <v>179.3</v>
      </c>
      <c r="BJ22" s="45">
        <v>167.39999999999998</v>
      </c>
      <c r="BK22" s="44">
        <v>167.4</v>
      </c>
      <c r="BL22" s="45">
        <v>127.5</v>
      </c>
      <c r="BM22" s="45">
        <v>127.6</v>
      </c>
      <c r="BN22" s="45">
        <v>120.9</v>
      </c>
      <c r="BO22" s="44">
        <v>120.9</v>
      </c>
      <c r="BP22" s="45">
        <v>126.7</v>
      </c>
      <c r="BQ22" s="45">
        <v>126.7</v>
      </c>
      <c r="BR22" s="45">
        <v>235.89999999999998</v>
      </c>
      <c r="BS22" s="44">
        <v>235.89999999999998</v>
      </c>
      <c r="BT22" s="822"/>
    </row>
    <row r="23" spans="1:72">
      <c r="A23" s="203" t="s">
        <v>352</v>
      </c>
      <c r="B23" s="203" t="s">
        <v>353</v>
      </c>
      <c r="C23" s="180" t="s">
        <v>28</v>
      </c>
      <c r="D23" s="181" t="s">
        <v>28</v>
      </c>
      <c r="E23" s="181" t="s">
        <v>28</v>
      </c>
      <c r="F23" s="181" t="s">
        <v>28</v>
      </c>
      <c r="G23" s="180" t="s">
        <v>28</v>
      </c>
      <c r="H23" s="181" t="s">
        <v>28</v>
      </c>
      <c r="I23" s="181" t="s">
        <v>28</v>
      </c>
      <c r="J23" s="182" t="s">
        <v>28</v>
      </c>
      <c r="K23" s="180" t="s">
        <v>28</v>
      </c>
      <c r="L23" s="181" t="s">
        <v>28</v>
      </c>
      <c r="M23" s="181" t="s">
        <v>28</v>
      </c>
      <c r="N23" s="182" t="s">
        <v>28</v>
      </c>
      <c r="O23" s="180" t="s">
        <v>28</v>
      </c>
      <c r="P23" s="181" t="s">
        <v>28</v>
      </c>
      <c r="Q23" s="181" t="s">
        <v>28</v>
      </c>
      <c r="R23" s="182" t="s">
        <v>28</v>
      </c>
      <c r="S23" s="180" t="s">
        <v>28</v>
      </c>
      <c r="T23" s="181" t="s">
        <v>28</v>
      </c>
      <c r="U23" s="181" t="s">
        <v>28</v>
      </c>
      <c r="V23" s="182" t="s">
        <v>28</v>
      </c>
      <c r="W23" s="180" t="s">
        <v>28</v>
      </c>
      <c r="X23" s="181" t="s">
        <v>28</v>
      </c>
      <c r="Y23" s="181" t="s">
        <v>28</v>
      </c>
      <c r="Z23" s="182" t="s">
        <v>28</v>
      </c>
      <c r="AA23" s="180" t="s">
        <v>28</v>
      </c>
      <c r="AB23" s="181" t="s">
        <v>28</v>
      </c>
      <c r="AC23" s="181" t="s">
        <v>28</v>
      </c>
      <c r="AD23" s="182" t="s">
        <v>28</v>
      </c>
      <c r="AE23" s="180" t="s">
        <v>28</v>
      </c>
      <c r="AF23" s="181" t="s">
        <v>28</v>
      </c>
      <c r="AG23" s="181" t="s">
        <v>28</v>
      </c>
      <c r="AH23" s="182" t="s">
        <v>28</v>
      </c>
      <c r="AI23" s="180" t="s">
        <v>28</v>
      </c>
      <c r="AJ23" s="38" t="s">
        <v>28</v>
      </c>
      <c r="AK23" s="38" t="s">
        <v>28</v>
      </c>
      <c r="AL23" s="40" t="s">
        <v>28</v>
      </c>
      <c r="AM23" s="39" t="s">
        <v>28</v>
      </c>
      <c r="AN23" s="38" t="s">
        <v>28</v>
      </c>
      <c r="AO23" s="38" t="s">
        <v>28</v>
      </c>
      <c r="AP23" s="40" t="s">
        <v>28</v>
      </c>
      <c r="AQ23" s="38" t="s">
        <v>28</v>
      </c>
      <c r="AR23" s="38" t="s">
        <v>28</v>
      </c>
      <c r="AS23" s="38" t="s">
        <v>28</v>
      </c>
      <c r="AT23" s="38" t="s">
        <v>28</v>
      </c>
      <c r="AU23" s="35">
        <f t="shared" ref="AU23:BS23" si="4">SUM(AU24)</f>
        <v>12124.500000000002</v>
      </c>
      <c r="AV23" s="36">
        <f t="shared" si="4"/>
        <v>12144.300000000001</v>
      </c>
      <c r="AW23" s="36">
        <f t="shared" si="4"/>
        <v>12098.2</v>
      </c>
      <c r="AX23" s="36">
        <f t="shared" si="4"/>
        <v>11859.999999999998</v>
      </c>
      <c r="AY23" s="35">
        <f t="shared" si="4"/>
        <v>12195.3</v>
      </c>
      <c r="AZ23" s="36">
        <f t="shared" si="4"/>
        <v>12149.9</v>
      </c>
      <c r="BA23" s="36">
        <f t="shared" si="4"/>
        <v>12145.1</v>
      </c>
      <c r="BB23" s="36">
        <f t="shared" si="4"/>
        <v>12568.6</v>
      </c>
      <c r="BC23" s="35">
        <f t="shared" si="4"/>
        <v>17803.899999999998</v>
      </c>
      <c r="BD23" s="36">
        <f t="shared" si="4"/>
        <v>30165.100000000002</v>
      </c>
      <c r="BE23" s="36">
        <f t="shared" si="4"/>
        <v>32536.699999999997</v>
      </c>
      <c r="BF23" s="36">
        <f t="shared" si="4"/>
        <v>33540.1</v>
      </c>
      <c r="BG23" s="35">
        <f t="shared" si="4"/>
        <v>34753.800000000003</v>
      </c>
      <c r="BH23" s="36">
        <f t="shared" si="4"/>
        <v>34000.1</v>
      </c>
      <c r="BI23" s="36">
        <f t="shared" si="4"/>
        <v>31952.7</v>
      </c>
      <c r="BJ23" s="36">
        <f t="shared" si="4"/>
        <v>31205.5</v>
      </c>
      <c r="BK23" s="35">
        <f t="shared" si="4"/>
        <v>26262</v>
      </c>
      <c r="BL23" s="36">
        <f t="shared" si="4"/>
        <v>27132</v>
      </c>
      <c r="BM23" s="36">
        <f t="shared" si="4"/>
        <v>27406.600000000002</v>
      </c>
      <c r="BN23" s="36">
        <f t="shared" si="4"/>
        <v>32620.1</v>
      </c>
      <c r="BO23" s="35">
        <f t="shared" si="4"/>
        <v>25783.3</v>
      </c>
      <c r="BP23" s="36">
        <f t="shared" si="4"/>
        <v>25506.800000000003</v>
      </c>
      <c r="BQ23" s="36">
        <f t="shared" si="4"/>
        <v>30756.9</v>
      </c>
      <c r="BR23" s="36">
        <f t="shared" si="4"/>
        <v>32697.5</v>
      </c>
      <c r="BS23" s="35">
        <f t="shared" si="4"/>
        <v>35516.399999999994</v>
      </c>
      <c r="BT23" s="822"/>
    </row>
    <row r="24" spans="1:72">
      <c r="A24" s="159" t="s">
        <v>332</v>
      </c>
      <c r="B24" s="159" t="s">
        <v>333</v>
      </c>
      <c r="C24" s="183" t="s">
        <v>28</v>
      </c>
      <c r="D24" s="184" t="s">
        <v>28</v>
      </c>
      <c r="E24" s="184" t="s">
        <v>28</v>
      </c>
      <c r="F24" s="184" t="s">
        <v>28</v>
      </c>
      <c r="G24" s="183" t="s">
        <v>28</v>
      </c>
      <c r="H24" s="184" t="s">
        <v>28</v>
      </c>
      <c r="I24" s="184" t="s">
        <v>28</v>
      </c>
      <c r="J24" s="185" t="s">
        <v>28</v>
      </c>
      <c r="K24" s="183" t="s">
        <v>28</v>
      </c>
      <c r="L24" s="184" t="s">
        <v>28</v>
      </c>
      <c r="M24" s="184" t="s">
        <v>28</v>
      </c>
      <c r="N24" s="185" t="s">
        <v>28</v>
      </c>
      <c r="O24" s="183" t="s">
        <v>28</v>
      </c>
      <c r="P24" s="184" t="s">
        <v>28</v>
      </c>
      <c r="Q24" s="184" t="s">
        <v>28</v>
      </c>
      <c r="R24" s="185" t="s">
        <v>28</v>
      </c>
      <c r="S24" s="183" t="s">
        <v>28</v>
      </c>
      <c r="T24" s="184" t="s">
        <v>28</v>
      </c>
      <c r="U24" s="184" t="s">
        <v>28</v>
      </c>
      <c r="V24" s="185" t="s">
        <v>28</v>
      </c>
      <c r="W24" s="183" t="s">
        <v>28</v>
      </c>
      <c r="X24" s="184" t="s">
        <v>28</v>
      </c>
      <c r="Y24" s="184" t="s">
        <v>28</v>
      </c>
      <c r="Z24" s="185" t="s">
        <v>28</v>
      </c>
      <c r="AA24" s="183" t="s">
        <v>28</v>
      </c>
      <c r="AB24" s="184" t="s">
        <v>28</v>
      </c>
      <c r="AC24" s="184" t="s">
        <v>28</v>
      </c>
      <c r="AD24" s="185" t="s">
        <v>28</v>
      </c>
      <c r="AE24" s="183" t="s">
        <v>28</v>
      </c>
      <c r="AF24" s="184" t="s">
        <v>28</v>
      </c>
      <c r="AG24" s="184" t="s">
        <v>28</v>
      </c>
      <c r="AH24" s="185" t="s">
        <v>28</v>
      </c>
      <c r="AI24" s="183" t="s">
        <v>28</v>
      </c>
      <c r="AJ24" s="47" t="s">
        <v>28</v>
      </c>
      <c r="AK24" s="47" t="s">
        <v>28</v>
      </c>
      <c r="AL24" s="49" t="s">
        <v>28</v>
      </c>
      <c r="AM24" s="48" t="s">
        <v>28</v>
      </c>
      <c r="AN24" s="47" t="s">
        <v>28</v>
      </c>
      <c r="AO24" s="47" t="s">
        <v>28</v>
      </c>
      <c r="AP24" s="49" t="s">
        <v>28</v>
      </c>
      <c r="AQ24" s="47" t="s">
        <v>28</v>
      </c>
      <c r="AR24" s="47" t="s">
        <v>28</v>
      </c>
      <c r="AS24" s="47" t="s">
        <v>28</v>
      </c>
      <c r="AT24" s="47" t="s">
        <v>28</v>
      </c>
      <c r="AU24" s="44">
        <v>12124.500000000002</v>
      </c>
      <c r="AV24" s="45">
        <v>12144.300000000001</v>
      </c>
      <c r="AW24" s="45">
        <v>12098.2</v>
      </c>
      <c r="AX24" s="45">
        <v>11859.999999999998</v>
      </c>
      <c r="AY24" s="44">
        <v>12195.3</v>
      </c>
      <c r="AZ24" s="45">
        <v>12149.9</v>
      </c>
      <c r="BA24" s="45">
        <v>12145.1</v>
      </c>
      <c r="BB24" s="45">
        <v>12568.6</v>
      </c>
      <c r="BC24" s="44">
        <v>17803.899999999998</v>
      </c>
      <c r="BD24" s="45">
        <v>30165.100000000002</v>
      </c>
      <c r="BE24" s="45">
        <v>32536.699999999997</v>
      </c>
      <c r="BF24" s="45">
        <v>33540.1</v>
      </c>
      <c r="BG24" s="44">
        <v>34753.800000000003</v>
      </c>
      <c r="BH24" s="45">
        <v>34000.1</v>
      </c>
      <c r="BI24" s="45">
        <v>31952.7</v>
      </c>
      <c r="BJ24" s="45">
        <v>31205.5</v>
      </c>
      <c r="BK24" s="44">
        <v>26262</v>
      </c>
      <c r="BL24" s="45">
        <v>27132</v>
      </c>
      <c r="BM24" s="45">
        <v>27406.600000000002</v>
      </c>
      <c r="BN24" s="45">
        <v>32620.1</v>
      </c>
      <c r="BO24" s="44">
        <v>25783.3</v>
      </c>
      <c r="BP24" s="45">
        <v>25506.800000000003</v>
      </c>
      <c r="BQ24" s="45">
        <v>30756.9</v>
      </c>
      <c r="BR24" s="45">
        <v>32697.5</v>
      </c>
      <c r="BS24" s="44">
        <v>35516.399999999994</v>
      </c>
      <c r="BT24" s="822"/>
    </row>
    <row r="25" spans="1:72">
      <c r="A25" s="155" t="s">
        <v>354</v>
      </c>
      <c r="B25" s="155" t="s">
        <v>355</v>
      </c>
      <c r="C25" s="156">
        <f t="shared" ref="C25:AT25" si="5">C26+C27</f>
        <v>12001.7</v>
      </c>
      <c r="D25" s="157">
        <f t="shared" si="5"/>
        <v>9593.7999999999993</v>
      </c>
      <c r="E25" s="157">
        <f t="shared" si="5"/>
        <v>8529.2000000000007</v>
      </c>
      <c r="F25" s="157">
        <f t="shared" si="5"/>
        <v>8547.5</v>
      </c>
      <c r="G25" s="156">
        <f t="shared" si="5"/>
        <v>10159.700000000001</v>
      </c>
      <c r="H25" s="157">
        <f t="shared" si="5"/>
        <v>10816.199999999999</v>
      </c>
      <c r="I25" s="157">
        <f t="shared" si="5"/>
        <v>12385.2</v>
      </c>
      <c r="J25" s="158">
        <f t="shared" si="5"/>
        <v>10739.1</v>
      </c>
      <c r="K25" s="156">
        <f t="shared" si="5"/>
        <v>8517.5</v>
      </c>
      <c r="L25" s="157">
        <f t="shared" si="5"/>
        <v>8329.5</v>
      </c>
      <c r="M25" s="157">
        <f t="shared" si="5"/>
        <v>6990.8</v>
      </c>
      <c r="N25" s="158">
        <f t="shared" si="5"/>
        <v>6835.9</v>
      </c>
      <c r="O25" s="156">
        <f t="shared" si="5"/>
        <v>14852.8</v>
      </c>
      <c r="P25" s="157">
        <f t="shared" si="5"/>
        <v>14323.7</v>
      </c>
      <c r="Q25" s="157">
        <f t="shared" si="5"/>
        <v>12239.900000000001</v>
      </c>
      <c r="R25" s="158">
        <f t="shared" si="5"/>
        <v>16788.8</v>
      </c>
      <c r="S25" s="156">
        <f t="shared" si="5"/>
        <v>17266.8</v>
      </c>
      <c r="T25" s="157">
        <f t="shared" si="5"/>
        <v>18998.099999999999</v>
      </c>
      <c r="U25" s="157">
        <f t="shared" si="5"/>
        <v>17379.599999999999</v>
      </c>
      <c r="V25" s="158">
        <f t="shared" si="5"/>
        <v>15468.400000000001</v>
      </c>
      <c r="W25" s="156">
        <f t="shared" si="5"/>
        <v>11765.1</v>
      </c>
      <c r="X25" s="157">
        <f t="shared" si="5"/>
        <v>10298.999999999998</v>
      </c>
      <c r="Y25" s="157">
        <f t="shared" si="5"/>
        <v>13536.099999999999</v>
      </c>
      <c r="Z25" s="158">
        <f t="shared" si="5"/>
        <v>17881.100000000002</v>
      </c>
      <c r="AA25" s="156">
        <f t="shared" si="5"/>
        <v>18003.900000000001</v>
      </c>
      <c r="AB25" s="157">
        <f t="shared" si="5"/>
        <v>20256.699999999997</v>
      </c>
      <c r="AC25" s="157">
        <f t="shared" si="5"/>
        <v>19794</v>
      </c>
      <c r="AD25" s="158">
        <f t="shared" si="5"/>
        <v>19493.599999999999</v>
      </c>
      <c r="AE25" s="156">
        <f t="shared" si="5"/>
        <v>20994.899999999998</v>
      </c>
      <c r="AF25" s="157">
        <f t="shared" si="5"/>
        <v>22090.400000000001</v>
      </c>
      <c r="AG25" s="157">
        <f t="shared" si="5"/>
        <v>23190.600000000002</v>
      </c>
      <c r="AH25" s="158">
        <f t="shared" si="5"/>
        <v>22829.3</v>
      </c>
      <c r="AI25" s="156">
        <f t="shared" si="5"/>
        <v>22151.9</v>
      </c>
      <c r="AJ25" s="36">
        <f t="shared" si="5"/>
        <v>22540.7</v>
      </c>
      <c r="AK25" s="36">
        <f t="shared" si="5"/>
        <v>21977.1</v>
      </c>
      <c r="AL25" s="37">
        <f t="shared" si="5"/>
        <v>20678.100000000002</v>
      </c>
      <c r="AM25" s="35">
        <f t="shared" si="5"/>
        <v>21952.1</v>
      </c>
      <c r="AN25" s="36">
        <f t="shared" si="5"/>
        <v>23401.8</v>
      </c>
      <c r="AO25" s="36">
        <f t="shared" si="5"/>
        <v>22794.1</v>
      </c>
      <c r="AP25" s="37">
        <f t="shared" si="5"/>
        <v>20557.199999999997</v>
      </c>
      <c r="AQ25" s="36">
        <f t="shared" si="5"/>
        <v>20325</v>
      </c>
      <c r="AR25" s="36">
        <f t="shared" si="5"/>
        <v>17337.400000000001</v>
      </c>
      <c r="AS25" s="36">
        <f t="shared" si="5"/>
        <v>17348.900000000001</v>
      </c>
      <c r="AT25" s="36">
        <f t="shared" si="5"/>
        <v>17556.899999999998</v>
      </c>
      <c r="AU25" s="39" t="s">
        <v>28</v>
      </c>
      <c r="AV25" s="38" t="s">
        <v>28</v>
      </c>
      <c r="AW25" s="38" t="s">
        <v>28</v>
      </c>
      <c r="AX25" s="38" t="s">
        <v>28</v>
      </c>
      <c r="AY25" s="39" t="s">
        <v>28</v>
      </c>
      <c r="AZ25" s="38" t="s">
        <v>28</v>
      </c>
      <c r="BA25" s="38" t="s">
        <v>28</v>
      </c>
      <c r="BB25" s="38" t="s">
        <v>28</v>
      </c>
      <c r="BC25" s="39" t="s">
        <v>28</v>
      </c>
      <c r="BD25" s="38" t="s">
        <v>28</v>
      </c>
      <c r="BE25" s="38" t="s">
        <v>28</v>
      </c>
      <c r="BF25" s="38" t="s">
        <v>28</v>
      </c>
      <c r="BG25" s="39" t="s">
        <v>28</v>
      </c>
      <c r="BH25" s="38" t="s">
        <v>28</v>
      </c>
      <c r="BI25" s="38" t="s">
        <v>28</v>
      </c>
      <c r="BJ25" s="38" t="s">
        <v>28</v>
      </c>
      <c r="BK25" s="39" t="s">
        <v>28</v>
      </c>
      <c r="BL25" s="38" t="s">
        <v>28</v>
      </c>
      <c r="BM25" s="38" t="s">
        <v>28</v>
      </c>
      <c r="BN25" s="38" t="s">
        <v>28</v>
      </c>
      <c r="BO25" s="39" t="s">
        <v>28</v>
      </c>
      <c r="BP25" s="38" t="s">
        <v>28</v>
      </c>
      <c r="BQ25" s="38" t="s">
        <v>28</v>
      </c>
      <c r="BR25" s="38" t="s">
        <v>28</v>
      </c>
      <c r="BS25" s="39" t="s">
        <v>28</v>
      </c>
      <c r="BT25" s="822"/>
    </row>
    <row r="26" spans="1:72">
      <c r="A26" s="159" t="s">
        <v>332</v>
      </c>
      <c r="B26" s="159" t="s">
        <v>333</v>
      </c>
      <c r="C26" s="160">
        <v>11986.7</v>
      </c>
      <c r="D26" s="161">
        <v>9572.4</v>
      </c>
      <c r="E26" s="161">
        <v>8510.6</v>
      </c>
      <c r="F26" s="161">
        <v>8524.2000000000007</v>
      </c>
      <c r="G26" s="160">
        <v>10137.1</v>
      </c>
      <c r="H26" s="161">
        <v>10811.8</v>
      </c>
      <c r="I26" s="161">
        <v>12374.6</v>
      </c>
      <c r="J26" s="162">
        <v>10730.5</v>
      </c>
      <c r="K26" s="160">
        <v>8507.7000000000007</v>
      </c>
      <c r="L26" s="161">
        <v>8323</v>
      </c>
      <c r="M26" s="161">
        <v>6939.8</v>
      </c>
      <c r="N26" s="162">
        <v>6783</v>
      </c>
      <c r="O26" s="160">
        <v>14800.8</v>
      </c>
      <c r="P26" s="161">
        <v>14273.5</v>
      </c>
      <c r="Q26" s="161">
        <v>12185.7</v>
      </c>
      <c r="R26" s="162">
        <v>16740.5</v>
      </c>
      <c r="S26" s="160">
        <v>17218.7</v>
      </c>
      <c r="T26" s="161">
        <v>18950.3</v>
      </c>
      <c r="U26" s="161">
        <v>17350.3</v>
      </c>
      <c r="V26" s="162">
        <v>15437.7</v>
      </c>
      <c r="W26" s="160">
        <v>11736.1</v>
      </c>
      <c r="X26" s="161">
        <v>10278.199999999999</v>
      </c>
      <c r="Y26" s="161">
        <v>13516.3</v>
      </c>
      <c r="Z26" s="162">
        <v>17863.800000000003</v>
      </c>
      <c r="AA26" s="160">
        <v>17983.100000000002</v>
      </c>
      <c r="AB26" s="161">
        <v>20230.599999999999</v>
      </c>
      <c r="AC26" s="161">
        <v>19766.900000000001</v>
      </c>
      <c r="AD26" s="162">
        <v>19466.3</v>
      </c>
      <c r="AE26" s="160">
        <v>20970.899999999998</v>
      </c>
      <c r="AF26" s="161">
        <v>22064.100000000002</v>
      </c>
      <c r="AG26" s="161">
        <v>23166.300000000003</v>
      </c>
      <c r="AH26" s="162">
        <v>22815.3</v>
      </c>
      <c r="AI26" s="160">
        <v>22138.400000000001</v>
      </c>
      <c r="AJ26" s="45">
        <v>22527</v>
      </c>
      <c r="AK26" s="45">
        <v>21971.8</v>
      </c>
      <c r="AL26" s="46">
        <v>20494.900000000001</v>
      </c>
      <c r="AM26" s="44">
        <v>21768.6</v>
      </c>
      <c r="AN26" s="45">
        <v>23360.3</v>
      </c>
      <c r="AO26" s="45">
        <v>22749.5</v>
      </c>
      <c r="AP26" s="46">
        <v>20508.399999999998</v>
      </c>
      <c r="AQ26" s="45">
        <v>20273</v>
      </c>
      <c r="AR26" s="45">
        <v>17332</v>
      </c>
      <c r="AS26" s="45">
        <v>17343.600000000002</v>
      </c>
      <c r="AT26" s="45">
        <v>17551.599999999999</v>
      </c>
      <c r="AU26" s="39" t="s">
        <v>28</v>
      </c>
      <c r="AV26" s="47" t="s">
        <v>28</v>
      </c>
      <c r="AW26" s="47" t="s">
        <v>28</v>
      </c>
      <c r="AX26" s="47" t="s">
        <v>28</v>
      </c>
      <c r="AY26" s="39" t="s">
        <v>28</v>
      </c>
      <c r="AZ26" s="47" t="s">
        <v>28</v>
      </c>
      <c r="BA26" s="47" t="s">
        <v>28</v>
      </c>
      <c r="BB26" s="47" t="s">
        <v>28</v>
      </c>
      <c r="BC26" s="39" t="s">
        <v>28</v>
      </c>
      <c r="BD26" s="47" t="s">
        <v>28</v>
      </c>
      <c r="BE26" s="47" t="s">
        <v>28</v>
      </c>
      <c r="BF26" s="47" t="s">
        <v>28</v>
      </c>
      <c r="BG26" s="39" t="s">
        <v>28</v>
      </c>
      <c r="BH26" s="47" t="s">
        <v>28</v>
      </c>
      <c r="BI26" s="47" t="s">
        <v>28</v>
      </c>
      <c r="BJ26" s="47" t="s">
        <v>28</v>
      </c>
      <c r="BK26" s="39" t="s">
        <v>28</v>
      </c>
      <c r="BL26" s="47" t="s">
        <v>28</v>
      </c>
      <c r="BM26" s="47" t="s">
        <v>28</v>
      </c>
      <c r="BN26" s="47" t="s">
        <v>28</v>
      </c>
      <c r="BO26" s="39" t="s">
        <v>28</v>
      </c>
      <c r="BP26" s="38" t="s">
        <v>28</v>
      </c>
      <c r="BQ26" s="38" t="s">
        <v>28</v>
      </c>
      <c r="BR26" s="38" t="s">
        <v>28</v>
      </c>
      <c r="BS26" s="39" t="s">
        <v>28</v>
      </c>
      <c r="BT26" s="822"/>
    </row>
    <row r="27" spans="1:72">
      <c r="A27" s="165" t="s">
        <v>336</v>
      </c>
      <c r="B27" s="165" t="s">
        <v>337</v>
      </c>
      <c r="C27" s="160">
        <v>15</v>
      </c>
      <c r="D27" s="161">
        <v>21.4</v>
      </c>
      <c r="E27" s="161">
        <v>18.600000000000001</v>
      </c>
      <c r="F27" s="161">
        <v>23.3</v>
      </c>
      <c r="G27" s="160">
        <v>22.6</v>
      </c>
      <c r="H27" s="161">
        <v>4.4000000000000004</v>
      </c>
      <c r="I27" s="161">
        <v>10.6</v>
      </c>
      <c r="J27" s="162">
        <v>8.6</v>
      </c>
      <c r="K27" s="160">
        <v>9.8000000000000007</v>
      </c>
      <c r="L27" s="161">
        <v>6.5</v>
      </c>
      <c r="M27" s="161">
        <v>51</v>
      </c>
      <c r="N27" s="162">
        <v>52.9</v>
      </c>
      <c r="O27" s="160">
        <v>52</v>
      </c>
      <c r="P27" s="161">
        <v>50.2</v>
      </c>
      <c r="Q27" s="161">
        <v>54.2</v>
      </c>
      <c r="R27" s="162">
        <v>48.3</v>
      </c>
      <c r="S27" s="160">
        <v>48.1</v>
      </c>
      <c r="T27" s="161">
        <v>47.8</v>
      </c>
      <c r="U27" s="161">
        <v>29.3</v>
      </c>
      <c r="V27" s="162">
        <v>30.7</v>
      </c>
      <c r="W27" s="160">
        <v>29</v>
      </c>
      <c r="X27" s="161">
        <v>20.8</v>
      </c>
      <c r="Y27" s="161">
        <v>19.8</v>
      </c>
      <c r="Z27" s="162">
        <v>17.3</v>
      </c>
      <c r="AA27" s="160">
        <v>20.8</v>
      </c>
      <c r="AB27" s="161">
        <v>26.1</v>
      </c>
      <c r="AC27" s="161">
        <v>27.1</v>
      </c>
      <c r="AD27" s="162">
        <v>27.3</v>
      </c>
      <c r="AE27" s="160">
        <v>24</v>
      </c>
      <c r="AF27" s="161">
        <v>26.3</v>
      </c>
      <c r="AG27" s="161">
        <v>24.3</v>
      </c>
      <c r="AH27" s="162">
        <v>14</v>
      </c>
      <c r="AI27" s="160">
        <v>13.5</v>
      </c>
      <c r="AJ27" s="45">
        <v>13.7</v>
      </c>
      <c r="AK27" s="45">
        <v>5.3</v>
      </c>
      <c r="AL27" s="46">
        <v>183.2</v>
      </c>
      <c r="AM27" s="44">
        <v>183.5</v>
      </c>
      <c r="AN27" s="45">
        <v>41.5</v>
      </c>
      <c r="AO27" s="45">
        <v>44.6</v>
      </c>
      <c r="AP27" s="46">
        <v>48.8</v>
      </c>
      <c r="AQ27" s="45">
        <v>52</v>
      </c>
      <c r="AR27" s="45">
        <v>5.4</v>
      </c>
      <c r="AS27" s="45">
        <v>5.3</v>
      </c>
      <c r="AT27" s="45">
        <v>5.3</v>
      </c>
      <c r="AU27" s="39" t="s">
        <v>28</v>
      </c>
      <c r="AV27" s="47" t="s">
        <v>28</v>
      </c>
      <c r="AW27" s="47" t="s">
        <v>28</v>
      </c>
      <c r="AX27" s="47" t="s">
        <v>28</v>
      </c>
      <c r="AY27" s="39" t="s">
        <v>28</v>
      </c>
      <c r="AZ27" s="47" t="s">
        <v>28</v>
      </c>
      <c r="BA27" s="47" t="s">
        <v>28</v>
      </c>
      <c r="BB27" s="47" t="s">
        <v>28</v>
      </c>
      <c r="BC27" s="39" t="s">
        <v>28</v>
      </c>
      <c r="BD27" s="47" t="s">
        <v>28</v>
      </c>
      <c r="BE27" s="47" t="s">
        <v>28</v>
      </c>
      <c r="BF27" s="47" t="s">
        <v>28</v>
      </c>
      <c r="BG27" s="39" t="s">
        <v>28</v>
      </c>
      <c r="BH27" s="47" t="s">
        <v>28</v>
      </c>
      <c r="BI27" s="47" t="s">
        <v>28</v>
      </c>
      <c r="BJ27" s="47" t="s">
        <v>28</v>
      </c>
      <c r="BK27" s="39" t="s">
        <v>28</v>
      </c>
      <c r="BL27" s="47" t="s">
        <v>28</v>
      </c>
      <c r="BM27" s="47" t="s">
        <v>28</v>
      </c>
      <c r="BN27" s="47" t="s">
        <v>28</v>
      </c>
      <c r="BO27" s="39" t="s">
        <v>28</v>
      </c>
      <c r="BP27" s="38" t="s">
        <v>28</v>
      </c>
      <c r="BQ27" s="38" t="s">
        <v>28</v>
      </c>
      <c r="BR27" s="38" t="s">
        <v>28</v>
      </c>
      <c r="BS27" s="39" t="s">
        <v>28</v>
      </c>
      <c r="BT27" s="822"/>
    </row>
    <row r="28" spans="1:72">
      <c r="A28" s="203" t="s">
        <v>356</v>
      </c>
      <c r="B28" s="203" t="s">
        <v>357</v>
      </c>
      <c r="C28" s="156">
        <f>SUM(C29)</f>
        <v>0</v>
      </c>
      <c r="D28" s="157">
        <f t="shared" ref="D28:AT28" si="6">SUM(D29)</f>
        <v>0</v>
      </c>
      <c r="E28" s="157">
        <f t="shared" si="6"/>
        <v>620.70000000000005</v>
      </c>
      <c r="F28" s="157">
        <f t="shared" si="6"/>
        <v>840.8</v>
      </c>
      <c r="G28" s="156">
        <f t="shared" si="6"/>
        <v>3773.7</v>
      </c>
      <c r="H28" s="157">
        <f t="shared" si="6"/>
        <v>6185</v>
      </c>
      <c r="I28" s="157">
        <f t="shared" si="6"/>
        <v>7325.5</v>
      </c>
      <c r="J28" s="158">
        <f t="shared" si="6"/>
        <v>7311.8</v>
      </c>
      <c r="K28" s="156">
        <f t="shared" si="6"/>
        <v>7384.4</v>
      </c>
      <c r="L28" s="157">
        <f t="shared" si="6"/>
        <v>7238.7</v>
      </c>
      <c r="M28" s="157">
        <f t="shared" si="6"/>
        <v>7343.7</v>
      </c>
      <c r="N28" s="158">
        <f t="shared" si="6"/>
        <v>7330.4</v>
      </c>
      <c r="O28" s="156">
        <f t="shared" si="6"/>
        <v>6786.9</v>
      </c>
      <c r="P28" s="157">
        <f t="shared" si="6"/>
        <v>6685</v>
      </c>
      <c r="Q28" s="157">
        <f t="shared" si="6"/>
        <v>6496.5</v>
      </c>
      <c r="R28" s="158">
        <f t="shared" si="6"/>
        <v>6218</v>
      </c>
      <c r="S28" s="156">
        <f t="shared" si="6"/>
        <v>6307.3</v>
      </c>
      <c r="T28" s="157">
        <f t="shared" si="6"/>
        <v>4949.3999999999996</v>
      </c>
      <c r="U28" s="157">
        <f t="shared" si="6"/>
        <v>5016.7</v>
      </c>
      <c r="V28" s="158">
        <f t="shared" si="6"/>
        <v>4982.3</v>
      </c>
      <c r="W28" s="156">
        <f t="shared" si="6"/>
        <v>5054.7</v>
      </c>
      <c r="X28" s="157">
        <f t="shared" si="6"/>
        <v>3518.5</v>
      </c>
      <c r="Y28" s="157">
        <f t="shared" si="6"/>
        <v>0</v>
      </c>
      <c r="Z28" s="158">
        <f t="shared" si="6"/>
        <v>0</v>
      </c>
      <c r="AA28" s="156">
        <f t="shared" si="6"/>
        <v>0</v>
      </c>
      <c r="AB28" s="157">
        <f t="shared" si="6"/>
        <v>0</v>
      </c>
      <c r="AC28" s="157">
        <f t="shared" si="6"/>
        <v>0</v>
      </c>
      <c r="AD28" s="158">
        <f t="shared" si="6"/>
        <v>0</v>
      </c>
      <c r="AE28" s="156">
        <f t="shared" si="6"/>
        <v>0</v>
      </c>
      <c r="AF28" s="157">
        <f t="shared" si="6"/>
        <v>0</v>
      </c>
      <c r="AG28" s="157">
        <f t="shared" si="6"/>
        <v>0</v>
      </c>
      <c r="AH28" s="158">
        <f t="shared" si="6"/>
        <v>0</v>
      </c>
      <c r="AI28" s="156">
        <f t="shared" si="6"/>
        <v>1717.8</v>
      </c>
      <c r="AJ28" s="36">
        <f t="shared" si="6"/>
        <v>1726.9</v>
      </c>
      <c r="AK28" s="36">
        <f t="shared" si="6"/>
        <v>2333.1999999999998</v>
      </c>
      <c r="AL28" s="37">
        <f t="shared" si="6"/>
        <v>2800.7</v>
      </c>
      <c r="AM28" s="35">
        <f t="shared" si="6"/>
        <v>3119.9</v>
      </c>
      <c r="AN28" s="36">
        <f t="shared" si="6"/>
        <v>4359.2</v>
      </c>
      <c r="AO28" s="36">
        <f t="shared" si="6"/>
        <v>4549.8999999999996</v>
      </c>
      <c r="AP28" s="37">
        <f t="shared" si="6"/>
        <v>5164.1000000000004</v>
      </c>
      <c r="AQ28" s="36">
        <f t="shared" si="6"/>
        <v>6244.7</v>
      </c>
      <c r="AR28" s="36">
        <f t="shared" si="6"/>
        <v>7090.2000000000007</v>
      </c>
      <c r="AS28" s="36">
        <f t="shared" si="6"/>
        <v>7097.2000000000007</v>
      </c>
      <c r="AT28" s="36">
        <f t="shared" si="6"/>
        <v>11908.2</v>
      </c>
      <c r="AU28" s="39" t="s">
        <v>28</v>
      </c>
      <c r="AV28" s="38" t="s">
        <v>28</v>
      </c>
      <c r="AW28" s="38" t="s">
        <v>28</v>
      </c>
      <c r="AX28" s="38" t="s">
        <v>28</v>
      </c>
      <c r="AY28" s="39" t="s">
        <v>28</v>
      </c>
      <c r="AZ28" s="38" t="s">
        <v>28</v>
      </c>
      <c r="BA28" s="38" t="s">
        <v>28</v>
      </c>
      <c r="BB28" s="38" t="s">
        <v>28</v>
      </c>
      <c r="BC28" s="39" t="s">
        <v>28</v>
      </c>
      <c r="BD28" s="38" t="s">
        <v>28</v>
      </c>
      <c r="BE28" s="38" t="s">
        <v>28</v>
      </c>
      <c r="BF28" s="38" t="s">
        <v>28</v>
      </c>
      <c r="BG28" s="39" t="s">
        <v>28</v>
      </c>
      <c r="BH28" s="38" t="s">
        <v>28</v>
      </c>
      <c r="BI28" s="38" t="s">
        <v>28</v>
      </c>
      <c r="BJ28" s="38" t="s">
        <v>28</v>
      </c>
      <c r="BK28" s="39" t="s">
        <v>28</v>
      </c>
      <c r="BL28" s="38" t="s">
        <v>28</v>
      </c>
      <c r="BM28" s="38" t="s">
        <v>28</v>
      </c>
      <c r="BN28" s="38" t="s">
        <v>28</v>
      </c>
      <c r="BO28" s="39" t="s">
        <v>28</v>
      </c>
      <c r="BP28" s="38" t="s">
        <v>28</v>
      </c>
      <c r="BQ28" s="38" t="s">
        <v>28</v>
      </c>
      <c r="BR28" s="38" t="s">
        <v>28</v>
      </c>
      <c r="BS28" s="39" t="s">
        <v>28</v>
      </c>
      <c r="BT28" s="822"/>
    </row>
    <row r="29" spans="1:72">
      <c r="A29" s="165" t="s">
        <v>332</v>
      </c>
      <c r="B29" s="165" t="s">
        <v>333</v>
      </c>
      <c r="C29" s="160">
        <v>0</v>
      </c>
      <c r="D29" s="161">
        <v>0</v>
      </c>
      <c r="E29" s="161">
        <v>620.70000000000005</v>
      </c>
      <c r="F29" s="161">
        <v>840.8</v>
      </c>
      <c r="G29" s="160">
        <v>3773.7</v>
      </c>
      <c r="H29" s="161">
        <v>6185</v>
      </c>
      <c r="I29" s="161">
        <v>7325.5</v>
      </c>
      <c r="J29" s="162">
        <v>7311.8</v>
      </c>
      <c r="K29" s="160">
        <v>7384.4</v>
      </c>
      <c r="L29" s="161">
        <v>7238.7</v>
      </c>
      <c r="M29" s="161">
        <v>7343.7</v>
      </c>
      <c r="N29" s="162">
        <v>7330.4</v>
      </c>
      <c r="O29" s="160">
        <v>6786.9</v>
      </c>
      <c r="P29" s="161">
        <v>6685</v>
      </c>
      <c r="Q29" s="161">
        <v>6496.5</v>
      </c>
      <c r="R29" s="162">
        <v>6218</v>
      </c>
      <c r="S29" s="160">
        <v>6307.3</v>
      </c>
      <c r="T29" s="161">
        <v>4949.3999999999996</v>
      </c>
      <c r="U29" s="161">
        <v>5016.7</v>
      </c>
      <c r="V29" s="162">
        <v>4982.3</v>
      </c>
      <c r="W29" s="160">
        <v>5054.7</v>
      </c>
      <c r="X29" s="161">
        <v>3518.5</v>
      </c>
      <c r="Y29" s="161">
        <v>0</v>
      </c>
      <c r="Z29" s="162">
        <v>0</v>
      </c>
      <c r="AA29" s="160">
        <v>0</v>
      </c>
      <c r="AB29" s="161">
        <v>0</v>
      </c>
      <c r="AC29" s="161">
        <v>0</v>
      </c>
      <c r="AD29" s="162">
        <v>0</v>
      </c>
      <c r="AE29" s="160">
        <v>0</v>
      </c>
      <c r="AF29" s="161">
        <v>0</v>
      </c>
      <c r="AG29" s="161">
        <v>0</v>
      </c>
      <c r="AH29" s="162">
        <v>0</v>
      </c>
      <c r="AI29" s="160">
        <v>1717.8</v>
      </c>
      <c r="AJ29" s="45">
        <v>1726.9</v>
      </c>
      <c r="AK29" s="45">
        <v>2333.1999999999998</v>
      </c>
      <c r="AL29" s="46">
        <v>2800.7</v>
      </c>
      <c r="AM29" s="44">
        <v>3119.9</v>
      </c>
      <c r="AN29" s="45">
        <v>4359.2</v>
      </c>
      <c r="AO29" s="45">
        <v>4549.8999999999996</v>
      </c>
      <c r="AP29" s="46">
        <v>5164.1000000000004</v>
      </c>
      <c r="AQ29" s="45">
        <v>6244.7</v>
      </c>
      <c r="AR29" s="45">
        <v>7090.2000000000007</v>
      </c>
      <c r="AS29" s="45">
        <v>7097.2000000000007</v>
      </c>
      <c r="AT29" s="45">
        <v>11908.2</v>
      </c>
      <c r="AU29" s="48" t="s">
        <v>28</v>
      </c>
      <c r="AV29" s="47" t="s">
        <v>28</v>
      </c>
      <c r="AW29" s="47" t="s">
        <v>28</v>
      </c>
      <c r="AX29" s="47" t="s">
        <v>28</v>
      </c>
      <c r="AY29" s="48" t="s">
        <v>28</v>
      </c>
      <c r="AZ29" s="47" t="s">
        <v>28</v>
      </c>
      <c r="BA29" s="47" t="s">
        <v>28</v>
      </c>
      <c r="BB29" s="47" t="s">
        <v>28</v>
      </c>
      <c r="BC29" s="48" t="s">
        <v>28</v>
      </c>
      <c r="BD29" s="47" t="s">
        <v>28</v>
      </c>
      <c r="BE29" s="47" t="s">
        <v>28</v>
      </c>
      <c r="BF29" s="47" t="s">
        <v>28</v>
      </c>
      <c r="BG29" s="48" t="s">
        <v>28</v>
      </c>
      <c r="BH29" s="47" t="s">
        <v>28</v>
      </c>
      <c r="BI29" s="47" t="s">
        <v>28</v>
      </c>
      <c r="BJ29" s="47" t="s">
        <v>28</v>
      </c>
      <c r="BK29" s="48" t="s">
        <v>28</v>
      </c>
      <c r="BL29" s="47" t="s">
        <v>28</v>
      </c>
      <c r="BM29" s="47" t="s">
        <v>28</v>
      </c>
      <c r="BN29" s="47" t="s">
        <v>28</v>
      </c>
      <c r="BO29" s="48" t="s">
        <v>28</v>
      </c>
      <c r="BP29" s="47" t="s">
        <v>28</v>
      </c>
      <c r="BQ29" s="47" t="s">
        <v>28</v>
      </c>
      <c r="BR29" s="47" t="s">
        <v>28</v>
      </c>
      <c r="BS29" s="48" t="s">
        <v>28</v>
      </c>
      <c r="BT29" s="822"/>
    </row>
    <row r="30" spans="1:72">
      <c r="A30" s="143" t="s">
        <v>358</v>
      </c>
      <c r="B30" s="143" t="s">
        <v>359</v>
      </c>
      <c r="C30" s="172">
        <f t="shared" ref="C30:AT30" si="7">C25+C28</f>
        <v>12001.7</v>
      </c>
      <c r="D30" s="173">
        <f t="shared" si="7"/>
        <v>9593.7999999999993</v>
      </c>
      <c r="E30" s="173">
        <f t="shared" si="7"/>
        <v>9149.9000000000015</v>
      </c>
      <c r="F30" s="173">
        <f t="shared" si="7"/>
        <v>9388.2999999999993</v>
      </c>
      <c r="G30" s="172">
        <f t="shared" si="7"/>
        <v>13933.400000000001</v>
      </c>
      <c r="H30" s="173">
        <f t="shared" si="7"/>
        <v>17001.199999999997</v>
      </c>
      <c r="I30" s="173">
        <f t="shared" si="7"/>
        <v>19710.7</v>
      </c>
      <c r="J30" s="174">
        <f t="shared" si="7"/>
        <v>18050.900000000001</v>
      </c>
      <c r="K30" s="172">
        <f t="shared" si="7"/>
        <v>15901.9</v>
      </c>
      <c r="L30" s="173">
        <f t="shared" si="7"/>
        <v>15568.2</v>
      </c>
      <c r="M30" s="173">
        <f t="shared" si="7"/>
        <v>14334.5</v>
      </c>
      <c r="N30" s="174">
        <f t="shared" si="7"/>
        <v>14166.3</v>
      </c>
      <c r="O30" s="172">
        <f t="shared" si="7"/>
        <v>21639.699999999997</v>
      </c>
      <c r="P30" s="173">
        <f t="shared" si="7"/>
        <v>21008.7</v>
      </c>
      <c r="Q30" s="173">
        <f t="shared" si="7"/>
        <v>18736.400000000001</v>
      </c>
      <c r="R30" s="174">
        <f t="shared" si="7"/>
        <v>23006.799999999999</v>
      </c>
      <c r="S30" s="172">
        <f t="shared" si="7"/>
        <v>23574.1</v>
      </c>
      <c r="T30" s="173">
        <f t="shared" si="7"/>
        <v>23947.5</v>
      </c>
      <c r="U30" s="173">
        <f t="shared" si="7"/>
        <v>22396.3</v>
      </c>
      <c r="V30" s="174">
        <f t="shared" si="7"/>
        <v>20450.7</v>
      </c>
      <c r="W30" s="172">
        <f t="shared" si="7"/>
        <v>16819.8</v>
      </c>
      <c r="X30" s="173">
        <f t="shared" si="7"/>
        <v>13817.499999999998</v>
      </c>
      <c r="Y30" s="173">
        <f t="shared" si="7"/>
        <v>13536.099999999999</v>
      </c>
      <c r="Z30" s="174">
        <f t="shared" si="7"/>
        <v>17881.100000000002</v>
      </c>
      <c r="AA30" s="172">
        <f t="shared" si="7"/>
        <v>18003.900000000001</v>
      </c>
      <c r="AB30" s="173">
        <f t="shared" si="7"/>
        <v>20256.699999999997</v>
      </c>
      <c r="AC30" s="173">
        <f t="shared" si="7"/>
        <v>19794</v>
      </c>
      <c r="AD30" s="174">
        <f t="shared" si="7"/>
        <v>19493.599999999999</v>
      </c>
      <c r="AE30" s="172">
        <f t="shared" si="7"/>
        <v>20994.899999999998</v>
      </c>
      <c r="AF30" s="173">
        <f t="shared" si="7"/>
        <v>22090.400000000001</v>
      </c>
      <c r="AG30" s="173">
        <f t="shared" si="7"/>
        <v>23190.600000000002</v>
      </c>
      <c r="AH30" s="174">
        <f t="shared" si="7"/>
        <v>22829.3</v>
      </c>
      <c r="AI30" s="172">
        <f t="shared" si="7"/>
        <v>23869.7</v>
      </c>
      <c r="AJ30" s="173">
        <f t="shared" si="7"/>
        <v>24267.600000000002</v>
      </c>
      <c r="AK30" s="173">
        <f t="shared" si="7"/>
        <v>24310.3</v>
      </c>
      <c r="AL30" s="174">
        <f t="shared" si="7"/>
        <v>23478.800000000003</v>
      </c>
      <c r="AM30" s="172">
        <f t="shared" si="7"/>
        <v>25072</v>
      </c>
      <c r="AN30" s="173">
        <f t="shared" si="7"/>
        <v>27761</v>
      </c>
      <c r="AO30" s="173">
        <f t="shared" si="7"/>
        <v>27344</v>
      </c>
      <c r="AP30" s="174">
        <f t="shared" si="7"/>
        <v>25721.299999999996</v>
      </c>
      <c r="AQ30" s="173">
        <f t="shared" si="7"/>
        <v>26569.7</v>
      </c>
      <c r="AR30" s="173">
        <f t="shared" si="7"/>
        <v>24427.600000000002</v>
      </c>
      <c r="AS30" s="173">
        <f t="shared" si="7"/>
        <v>24446.100000000002</v>
      </c>
      <c r="AT30" s="173">
        <f t="shared" si="7"/>
        <v>29465.1</v>
      </c>
      <c r="AU30" s="172">
        <f t="shared" ref="AU30:BP30" si="8">AU20+AU23</f>
        <v>29135.700000000004</v>
      </c>
      <c r="AV30" s="173">
        <f t="shared" si="8"/>
        <v>28677</v>
      </c>
      <c r="AW30" s="173">
        <f t="shared" si="8"/>
        <v>28823.4</v>
      </c>
      <c r="AX30" s="173">
        <f t="shared" si="8"/>
        <v>31937.199999999997</v>
      </c>
      <c r="AY30" s="172">
        <f t="shared" si="8"/>
        <v>29977.200000000001</v>
      </c>
      <c r="AZ30" s="173">
        <f t="shared" si="8"/>
        <v>31315.200000000004</v>
      </c>
      <c r="BA30" s="173">
        <f t="shared" si="8"/>
        <v>32063.300000000003</v>
      </c>
      <c r="BB30" s="173">
        <f t="shared" si="8"/>
        <v>33794.199999999997</v>
      </c>
      <c r="BC30" s="173">
        <f t="shared" si="8"/>
        <v>38094.699999999997</v>
      </c>
      <c r="BD30" s="173">
        <f t="shared" si="8"/>
        <v>53077.600000000006</v>
      </c>
      <c r="BE30" s="173">
        <f t="shared" si="8"/>
        <v>56084.099999999991</v>
      </c>
      <c r="BF30" s="173">
        <f t="shared" si="8"/>
        <v>54170.6</v>
      </c>
      <c r="BG30" s="173">
        <f t="shared" si="8"/>
        <v>54707.199999999997</v>
      </c>
      <c r="BH30" s="173">
        <f t="shared" si="8"/>
        <v>55221.599999999999</v>
      </c>
      <c r="BI30" s="173">
        <f t="shared" si="8"/>
        <v>49443.6</v>
      </c>
      <c r="BJ30" s="173">
        <f t="shared" si="8"/>
        <v>45584.399999999994</v>
      </c>
      <c r="BK30" s="173">
        <f t="shared" si="8"/>
        <v>37312.300000000003</v>
      </c>
      <c r="BL30" s="173">
        <f t="shared" si="8"/>
        <v>39283</v>
      </c>
      <c r="BM30" s="173">
        <f t="shared" si="8"/>
        <v>42363.9</v>
      </c>
      <c r="BN30" s="173">
        <f t="shared" si="8"/>
        <v>48432.799999999996</v>
      </c>
      <c r="BO30" s="173">
        <f t="shared" si="8"/>
        <v>40976.699999999997</v>
      </c>
      <c r="BP30" s="173">
        <f t="shared" si="8"/>
        <v>41150.600000000006</v>
      </c>
      <c r="BQ30" s="173">
        <f>BQ20+BQ23</f>
        <v>54003.3</v>
      </c>
      <c r="BR30" s="173">
        <f>BR20+BR23</f>
        <v>56613.7</v>
      </c>
      <c r="BS30" s="172">
        <f>BS20+BS23</f>
        <v>64439.3</v>
      </c>
    </row>
    <row r="31" spans="1:72">
      <c r="A31" s="155"/>
      <c r="B31" s="155"/>
      <c r="C31" s="160"/>
      <c r="D31" s="161"/>
      <c r="E31" s="161"/>
      <c r="F31" s="161"/>
      <c r="G31" s="160"/>
      <c r="H31" s="161"/>
      <c r="I31" s="161"/>
      <c r="J31" s="162"/>
      <c r="K31" s="160"/>
      <c r="L31" s="161"/>
      <c r="M31" s="161"/>
      <c r="N31" s="162"/>
      <c r="O31" s="160"/>
      <c r="P31" s="161"/>
      <c r="Q31" s="161"/>
      <c r="R31" s="162"/>
      <c r="S31" s="160"/>
      <c r="T31" s="161"/>
      <c r="U31" s="161"/>
      <c r="V31" s="162"/>
      <c r="W31" s="160"/>
      <c r="X31" s="161"/>
      <c r="Y31" s="161"/>
      <c r="Z31" s="162"/>
      <c r="AA31" s="160"/>
      <c r="AB31" s="161"/>
      <c r="AC31" s="161"/>
      <c r="AD31" s="162"/>
      <c r="AE31" s="160"/>
      <c r="AF31" s="161"/>
      <c r="AG31" s="161"/>
      <c r="AH31" s="162"/>
      <c r="AI31" s="160"/>
      <c r="AJ31" s="161"/>
      <c r="AK31" s="161"/>
      <c r="AL31" s="162"/>
      <c r="AM31" s="160"/>
      <c r="AN31" s="161"/>
      <c r="AO31" s="161"/>
      <c r="AP31" s="162"/>
      <c r="AQ31" s="161"/>
      <c r="AR31" s="161"/>
      <c r="AS31" s="161"/>
      <c r="AT31" s="161"/>
      <c r="AU31" s="160"/>
      <c r="AV31" s="161"/>
      <c r="AW31" s="161"/>
      <c r="AX31" s="161"/>
      <c r="AY31" s="160"/>
      <c r="AZ31" s="161"/>
      <c r="BA31" s="161"/>
      <c r="BB31" s="161"/>
      <c r="BC31" s="160"/>
      <c r="BD31" s="161"/>
      <c r="BE31" s="161"/>
      <c r="BF31" s="161"/>
      <c r="BG31" s="160"/>
      <c r="BH31" s="161"/>
      <c r="BI31" s="161"/>
      <c r="BJ31" s="161"/>
      <c r="BK31" s="160"/>
      <c r="BL31" s="161"/>
      <c r="BM31" s="161"/>
      <c r="BN31" s="161"/>
      <c r="BO31" s="160"/>
      <c r="BP31" s="161"/>
      <c r="BQ31" s="161"/>
      <c r="BR31" s="161"/>
      <c r="BS31" s="160"/>
    </row>
    <row r="32" spans="1:72">
      <c r="A32" s="155" t="s">
        <v>360</v>
      </c>
      <c r="B32" s="155" t="s">
        <v>361</v>
      </c>
      <c r="C32" s="180" t="s">
        <v>28</v>
      </c>
      <c r="D32" s="181" t="s">
        <v>28</v>
      </c>
      <c r="E32" s="181" t="s">
        <v>28</v>
      </c>
      <c r="F32" s="181" t="s">
        <v>28</v>
      </c>
      <c r="G32" s="180" t="s">
        <v>28</v>
      </c>
      <c r="H32" s="181" t="s">
        <v>28</v>
      </c>
      <c r="I32" s="181" t="s">
        <v>28</v>
      </c>
      <c r="J32" s="181" t="s">
        <v>28</v>
      </c>
      <c r="K32" s="180" t="s">
        <v>28</v>
      </c>
      <c r="L32" s="181" t="s">
        <v>28</v>
      </c>
      <c r="M32" s="181" t="s">
        <v>28</v>
      </c>
      <c r="N32" s="181" t="s">
        <v>28</v>
      </c>
      <c r="O32" s="180" t="s">
        <v>28</v>
      </c>
      <c r="P32" s="181" t="s">
        <v>28</v>
      </c>
      <c r="Q32" s="181" t="s">
        <v>28</v>
      </c>
      <c r="R32" s="181" t="s">
        <v>28</v>
      </c>
      <c r="S32" s="180" t="s">
        <v>28</v>
      </c>
      <c r="T32" s="181" t="s">
        <v>28</v>
      </c>
      <c r="U32" s="181" t="s">
        <v>28</v>
      </c>
      <c r="V32" s="181" t="s">
        <v>28</v>
      </c>
      <c r="W32" s="180" t="s">
        <v>28</v>
      </c>
      <c r="X32" s="181" t="s">
        <v>28</v>
      </c>
      <c r="Y32" s="181" t="s">
        <v>28</v>
      </c>
      <c r="Z32" s="181" t="s">
        <v>28</v>
      </c>
      <c r="AA32" s="180" t="s">
        <v>28</v>
      </c>
      <c r="AB32" s="181" t="s">
        <v>28</v>
      </c>
      <c r="AC32" s="181" t="s">
        <v>28</v>
      </c>
      <c r="AD32" s="181" t="s">
        <v>28</v>
      </c>
      <c r="AE32" s="180" t="s">
        <v>28</v>
      </c>
      <c r="AF32" s="181" t="s">
        <v>28</v>
      </c>
      <c r="AG32" s="181" t="s">
        <v>28</v>
      </c>
      <c r="AH32" s="181" t="s">
        <v>28</v>
      </c>
      <c r="AI32" s="180" t="s">
        <v>28</v>
      </c>
      <c r="AJ32" s="181" t="s">
        <v>28</v>
      </c>
      <c r="AK32" s="181" t="s">
        <v>28</v>
      </c>
      <c r="AL32" s="181" t="s">
        <v>28</v>
      </c>
      <c r="AM32" s="180" t="s">
        <v>28</v>
      </c>
      <c r="AN32" s="181" t="s">
        <v>28</v>
      </c>
      <c r="AO32" s="38" t="s">
        <v>28</v>
      </c>
      <c r="AP32" s="38" t="s">
        <v>28</v>
      </c>
      <c r="AQ32" s="39" t="s">
        <v>28</v>
      </c>
      <c r="AR32" s="38" t="s">
        <v>28</v>
      </c>
      <c r="AS32" s="38" t="s">
        <v>28</v>
      </c>
      <c r="AT32" s="38" t="s">
        <v>28</v>
      </c>
      <c r="AU32" s="39" t="s">
        <v>28</v>
      </c>
      <c r="AV32" s="38" t="s">
        <v>28</v>
      </c>
      <c r="AW32" s="38" t="s">
        <v>28</v>
      </c>
      <c r="AX32" s="38" t="s">
        <v>28</v>
      </c>
      <c r="AY32" s="39" t="s">
        <v>28</v>
      </c>
      <c r="AZ32" s="38" t="s">
        <v>28</v>
      </c>
      <c r="BA32" s="38" t="s">
        <v>28</v>
      </c>
      <c r="BB32" s="36">
        <f t="shared" ref="BB32:BP32" si="9">+BB33+BB34+BB35</f>
        <v>111.49999999999999</v>
      </c>
      <c r="BC32" s="35">
        <f t="shared" si="9"/>
        <v>2111.1</v>
      </c>
      <c r="BD32" s="36">
        <f t="shared" si="9"/>
        <v>3.6</v>
      </c>
      <c r="BE32" s="36">
        <f t="shared" si="9"/>
        <v>0</v>
      </c>
      <c r="BF32" s="36">
        <f t="shared" si="9"/>
        <v>963</v>
      </c>
      <c r="BG32" s="35">
        <f t="shared" si="9"/>
        <v>3607.1</v>
      </c>
      <c r="BH32" s="36">
        <f t="shared" si="9"/>
        <v>1881.5</v>
      </c>
      <c r="BI32" s="36">
        <f t="shared" si="9"/>
        <v>3018.5999999999995</v>
      </c>
      <c r="BJ32" s="36">
        <f t="shared" si="9"/>
        <v>2280.9</v>
      </c>
      <c r="BK32" s="35">
        <f t="shared" si="9"/>
        <v>10935.800000000001</v>
      </c>
      <c r="BL32" s="36">
        <f t="shared" si="9"/>
        <v>6878.6</v>
      </c>
      <c r="BM32" s="36">
        <f t="shared" si="9"/>
        <v>3206.3999999999996</v>
      </c>
      <c r="BN32" s="36">
        <f t="shared" si="9"/>
        <v>163.80000000000001</v>
      </c>
      <c r="BO32" s="35">
        <f t="shared" si="9"/>
        <v>9416.5999999999985</v>
      </c>
      <c r="BP32" s="36">
        <f t="shared" si="9"/>
        <v>11307.9</v>
      </c>
      <c r="BQ32" s="36">
        <f>+BQ33+BQ34+BQ35</f>
        <v>464.6</v>
      </c>
      <c r="BR32" s="36">
        <f>+BR33+BR34+BR35</f>
        <v>165.2</v>
      </c>
      <c r="BS32" s="35">
        <f>+BS33+BS34+BS35</f>
        <v>0</v>
      </c>
    </row>
    <row r="33" spans="1:71">
      <c r="A33" s="159" t="s">
        <v>362</v>
      </c>
      <c r="B33" s="159" t="s">
        <v>363</v>
      </c>
      <c r="C33" s="180" t="s">
        <v>28</v>
      </c>
      <c r="D33" s="184" t="s">
        <v>28</v>
      </c>
      <c r="E33" s="184" t="s">
        <v>28</v>
      </c>
      <c r="F33" s="184" t="s">
        <v>28</v>
      </c>
      <c r="G33" s="180" t="s">
        <v>28</v>
      </c>
      <c r="H33" s="184" t="s">
        <v>28</v>
      </c>
      <c r="I33" s="184" t="s">
        <v>28</v>
      </c>
      <c r="J33" s="184" t="s">
        <v>28</v>
      </c>
      <c r="K33" s="180" t="s">
        <v>28</v>
      </c>
      <c r="L33" s="184" t="s">
        <v>28</v>
      </c>
      <c r="M33" s="184" t="s">
        <v>28</v>
      </c>
      <c r="N33" s="184" t="s">
        <v>28</v>
      </c>
      <c r="O33" s="180" t="s">
        <v>28</v>
      </c>
      <c r="P33" s="184" t="s">
        <v>28</v>
      </c>
      <c r="Q33" s="184" t="s">
        <v>28</v>
      </c>
      <c r="R33" s="184" t="s">
        <v>28</v>
      </c>
      <c r="S33" s="180" t="s">
        <v>28</v>
      </c>
      <c r="T33" s="184" t="s">
        <v>28</v>
      </c>
      <c r="U33" s="184" t="s">
        <v>28</v>
      </c>
      <c r="V33" s="184" t="s">
        <v>28</v>
      </c>
      <c r="W33" s="180" t="s">
        <v>28</v>
      </c>
      <c r="X33" s="184" t="s">
        <v>28</v>
      </c>
      <c r="Y33" s="184" t="s">
        <v>28</v>
      </c>
      <c r="Z33" s="184" t="s">
        <v>28</v>
      </c>
      <c r="AA33" s="180" t="s">
        <v>28</v>
      </c>
      <c r="AB33" s="184" t="s">
        <v>28</v>
      </c>
      <c r="AC33" s="184" t="s">
        <v>28</v>
      </c>
      <c r="AD33" s="184" t="s">
        <v>28</v>
      </c>
      <c r="AE33" s="180" t="s">
        <v>28</v>
      </c>
      <c r="AF33" s="184" t="s">
        <v>28</v>
      </c>
      <c r="AG33" s="184" t="s">
        <v>28</v>
      </c>
      <c r="AH33" s="184" t="s">
        <v>28</v>
      </c>
      <c r="AI33" s="180" t="s">
        <v>28</v>
      </c>
      <c r="AJ33" s="184" t="s">
        <v>28</v>
      </c>
      <c r="AK33" s="184" t="s">
        <v>28</v>
      </c>
      <c r="AL33" s="184" t="s">
        <v>28</v>
      </c>
      <c r="AM33" s="180" t="s">
        <v>28</v>
      </c>
      <c r="AN33" s="184" t="s">
        <v>28</v>
      </c>
      <c r="AO33" s="47" t="s">
        <v>28</v>
      </c>
      <c r="AP33" s="47" t="s">
        <v>28</v>
      </c>
      <c r="AQ33" s="39" t="s">
        <v>28</v>
      </c>
      <c r="AR33" s="47" t="s">
        <v>28</v>
      </c>
      <c r="AS33" s="47" t="s">
        <v>28</v>
      </c>
      <c r="AT33" s="47" t="s">
        <v>28</v>
      </c>
      <c r="AU33" s="39" t="s">
        <v>28</v>
      </c>
      <c r="AV33" s="47" t="s">
        <v>28</v>
      </c>
      <c r="AW33" s="47" t="s">
        <v>28</v>
      </c>
      <c r="AX33" s="47" t="s">
        <v>28</v>
      </c>
      <c r="AY33" s="39" t="s">
        <v>28</v>
      </c>
      <c r="AZ33" s="47" t="s">
        <v>28</v>
      </c>
      <c r="BA33" s="47" t="s">
        <v>28</v>
      </c>
      <c r="BB33" s="45">
        <v>81.3</v>
      </c>
      <c r="BC33" s="44">
        <v>9.6999999999999993</v>
      </c>
      <c r="BD33" s="45">
        <v>3.6</v>
      </c>
      <c r="BE33" s="45">
        <v>0</v>
      </c>
      <c r="BF33" s="45">
        <v>200.1</v>
      </c>
      <c r="BG33" s="44">
        <v>0</v>
      </c>
      <c r="BH33" s="45">
        <v>0</v>
      </c>
      <c r="BI33" s="45">
        <v>12.1</v>
      </c>
      <c r="BJ33" s="45">
        <v>243.2</v>
      </c>
      <c r="BK33" s="44">
        <v>72.3</v>
      </c>
      <c r="BL33" s="45">
        <v>56.4</v>
      </c>
      <c r="BM33" s="45">
        <v>0</v>
      </c>
      <c r="BN33" s="45">
        <v>163.80000000000001</v>
      </c>
      <c r="BO33" s="44">
        <v>0</v>
      </c>
      <c r="BP33" s="45">
        <v>0</v>
      </c>
      <c r="BQ33" s="45">
        <v>0</v>
      </c>
      <c r="BR33" s="45">
        <v>165.2</v>
      </c>
      <c r="BS33" s="44">
        <v>0</v>
      </c>
    </row>
    <row r="34" spans="1:71">
      <c r="A34" s="159" t="s">
        <v>364</v>
      </c>
      <c r="B34" s="159" t="s">
        <v>365</v>
      </c>
      <c r="C34" s="180" t="s">
        <v>28</v>
      </c>
      <c r="D34" s="184" t="s">
        <v>28</v>
      </c>
      <c r="E34" s="184" t="s">
        <v>28</v>
      </c>
      <c r="F34" s="184" t="s">
        <v>28</v>
      </c>
      <c r="G34" s="180" t="s">
        <v>28</v>
      </c>
      <c r="H34" s="184" t="s">
        <v>28</v>
      </c>
      <c r="I34" s="184" t="s">
        <v>28</v>
      </c>
      <c r="J34" s="184" t="s">
        <v>28</v>
      </c>
      <c r="K34" s="180" t="s">
        <v>28</v>
      </c>
      <c r="L34" s="184" t="s">
        <v>28</v>
      </c>
      <c r="M34" s="184" t="s">
        <v>28</v>
      </c>
      <c r="N34" s="184" t="s">
        <v>28</v>
      </c>
      <c r="O34" s="180" t="s">
        <v>28</v>
      </c>
      <c r="P34" s="184" t="s">
        <v>28</v>
      </c>
      <c r="Q34" s="184" t="s">
        <v>28</v>
      </c>
      <c r="R34" s="184" t="s">
        <v>28</v>
      </c>
      <c r="S34" s="180" t="s">
        <v>28</v>
      </c>
      <c r="T34" s="184" t="s">
        <v>28</v>
      </c>
      <c r="U34" s="184" t="s">
        <v>28</v>
      </c>
      <c r="V34" s="184" t="s">
        <v>28</v>
      </c>
      <c r="W34" s="180" t="s">
        <v>28</v>
      </c>
      <c r="X34" s="184" t="s">
        <v>28</v>
      </c>
      <c r="Y34" s="184" t="s">
        <v>28</v>
      </c>
      <c r="Z34" s="184" t="s">
        <v>28</v>
      </c>
      <c r="AA34" s="180" t="s">
        <v>28</v>
      </c>
      <c r="AB34" s="184" t="s">
        <v>28</v>
      </c>
      <c r="AC34" s="184" t="s">
        <v>28</v>
      </c>
      <c r="AD34" s="184" t="s">
        <v>28</v>
      </c>
      <c r="AE34" s="180" t="s">
        <v>28</v>
      </c>
      <c r="AF34" s="184" t="s">
        <v>28</v>
      </c>
      <c r="AG34" s="184" t="s">
        <v>28</v>
      </c>
      <c r="AH34" s="184" t="s">
        <v>28</v>
      </c>
      <c r="AI34" s="180" t="s">
        <v>28</v>
      </c>
      <c r="AJ34" s="184" t="s">
        <v>28</v>
      </c>
      <c r="AK34" s="184" t="s">
        <v>28</v>
      </c>
      <c r="AL34" s="184" t="s">
        <v>28</v>
      </c>
      <c r="AM34" s="180" t="s">
        <v>28</v>
      </c>
      <c r="AN34" s="184" t="s">
        <v>28</v>
      </c>
      <c r="AO34" s="47" t="s">
        <v>28</v>
      </c>
      <c r="AP34" s="47" t="s">
        <v>28</v>
      </c>
      <c r="AQ34" s="39" t="s">
        <v>28</v>
      </c>
      <c r="AR34" s="47" t="s">
        <v>28</v>
      </c>
      <c r="AS34" s="47" t="s">
        <v>28</v>
      </c>
      <c r="AT34" s="47" t="s">
        <v>28</v>
      </c>
      <c r="AU34" s="39" t="s">
        <v>28</v>
      </c>
      <c r="AV34" s="47" t="s">
        <v>28</v>
      </c>
      <c r="AW34" s="47" t="s">
        <v>28</v>
      </c>
      <c r="AX34" s="47" t="s">
        <v>28</v>
      </c>
      <c r="AY34" s="39" t="s">
        <v>28</v>
      </c>
      <c r="AZ34" s="47" t="s">
        <v>28</v>
      </c>
      <c r="BA34" s="47" t="s">
        <v>28</v>
      </c>
      <c r="BB34" s="45">
        <v>18.399999999999999</v>
      </c>
      <c r="BC34" s="44">
        <v>2101.4</v>
      </c>
      <c r="BD34" s="45">
        <v>0</v>
      </c>
      <c r="BE34" s="45">
        <v>0</v>
      </c>
      <c r="BF34" s="45">
        <v>762.9</v>
      </c>
      <c r="BG34" s="44">
        <v>3267.5</v>
      </c>
      <c r="BH34" s="45">
        <v>1782.3</v>
      </c>
      <c r="BI34" s="45">
        <v>2409.1999999999998</v>
      </c>
      <c r="BJ34" s="45">
        <v>1266.4000000000001</v>
      </c>
      <c r="BK34" s="44">
        <v>6123.6</v>
      </c>
      <c r="BL34" s="45">
        <v>4051.1</v>
      </c>
      <c r="BM34" s="45">
        <v>1002.3</v>
      </c>
      <c r="BN34" s="45">
        <v>0</v>
      </c>
      <c r="BO34" s="44">
        <v>5784.4</v>
      </c>
      <c r="BP34" s="45">
        <v>8059.5999999999995</v>
      </c>
      <c r="BQ34" s="45">
        <v>464.6</v>
      </c>
      <c r="BR34" s="45">
        <v>0</v>
      </c>
      <c r="BS34" s="44">
        <v>0</v>
      </c>
    </row>
    <row r="35" spans="1:71">
      <c r="A35" s="159" t="s">
        <v>366</v>
      </c>
      <c r="B35" s="159" t="s">
        <v>367</v>
      </c>
      <c r="C35" s="180" t="s">
        <v>28</v>
      </c>
      <c r="D35" s="184" t="s">
        <v>28</v>
      </c>
      <c r="E35" s="184" t="s">
        <v>28</v>
      </c>
      <c r="F35" s="184" t="s">
        <v>28</v>
      </c>
      <c r="G35" s="180" t="s">
        <v>28</v>
      </c>
      <c r="H35" s="184" t="s">
        <v>28</v>
      </c>
      <c r="I35" s="184" t="s">
        <v>28</v>
      </c>
      <c r="J35" s="184" t="s">
        <v>28</v>
      </c>
      <c r="K35" s="180" t="s">
        <v>28</v>
      </c>
      <c r="L35" s="184" t="s">
        <v>28</v>
      </c>
      <c r="M35" s="184" t="s">
        <v>28</v>
      </c>
      <c r="N35" s="184" t="s">
        <v>28</v>
      </c>
      <c r="O35" s="180" t="s">
        <v>28</v>
      </c>
      <c r="P35" s="184" t="s">
        <v>28</v>
      </c>
      <c r="Q35" s="184" t="s">
        <v>28</v>
      </c>
      <c r="R35" s="184" t="s">
        <v>28</v>
      </c>
      <c r="S35" s="180" t="s">
        <v>28</v>
      </c>
      <c r="T35" s="184" t="s">
        <v>28</v>
      </c>
      <c r="U35" s="184" t="s">
        <v>28</v>
      </c>
      <c r="V35" s="184" t="s">
        <v>28</v>
      </c>
      <c r="W35" s="180" t="s">
        <v>28</v>
      </c>
      <c r="X35" s="184" t="s">
        <v>28</v>
      </c>
      <c r="Y35" s="184" t="s">
        <v>28</v>
      </c>
      <c r="Z35" s="184" t="s">
        <v>28</v>
      </c>
      <c r="AA35" s="180" t="s">
        <v>28</v>
      </c>
      <c r="AB35" s="184" t="s">
        <v>28</v>
      </c>
      <c r="AC35" s="184" t="s">
        <v>28</v>
      </c>
      <c r="AD35" s="184" t="s">
        <v>28</v>
      </c>
      <c r="AE35" s="180" t="s">
        <v>28</v>
      </c>
      <c r="AF35" s="184" t="s">
        <v>28</v>
      </c>
      <c r="AG35" s="184" t="s">
        <v>28</v>
      </c>
      <c r="AH35" s="184" t="s">
        <v>28</v>
      </c>
      <c r="AI35" s="180" t="s">
        <v>28</v>
      </c>
      <c r="AJ35" s="184" t="s">
        <v>28</v>
      </c>
      <c r="AK35" s="184" t="s">
        <v>28</v>
      </c>
      <c r="AL35" s="184" t="s">
        <v>28</v>
      </c>
      <c r="AM35" s="180" t="s">
        <v>28</v>
      </c>
      <c r="AN35" s="184" t="s">
        <v>28</v>
      </c>
      <c r="AO35" s="47" t="s">
        <v>28</v>
      </c>
      <c r="AP35" s="47" t="s">
        <v>28</v>
      </c>
      <c r="AQ35" s="39" t="s">
        <v>28</v>
      </c>
      <c r="AR35" s="47" t="s">
        <v>28</v>
      </c>
      <c r="AS35" s="47" t="s">
        <v>28</v>
      </c>
      <c r="AT35" s="47" t="s">
        <v>28</v>
      </c>
      <c r="AU35" s="39" t="s">
        <v>28</v>
      </c>
      <c r="AV35" s="47" t="s">
        <v>28</v>
      </c>
      <c r="AW35" s="47" t="s">
        <v>28</v>
      </c>
      <c r="AX35" s="47" t="s">
        <v>28</v>
      </c>
      <c r="AY35" s="39" t="s">
        <v>28</v>
      </c>
      <c r="AZ35" s="47" t="s">
        <v>28</v>
      </c>
      <c r="BA35" s="47" t="s">
        <v>28</v>
      </c>
      <c r="BB35" s="45">
        <v>11.8</v>
      </c>
      <c r="BC35" s="44">
        <v>0</v>
      </c>
      <c r="BD35" s="45">
        <v>0</v>
      </c>
      <c r="BE35" s="45">
        <v>0</v>
      </c>
      <c r="BF35" s="45">
        <v>0</v>
      </c>
      <c r="BG35" s="44">
        <v>339.6</v>
      </c>
      <c r="BH35" s="45">
        <v>99.2</v>
      </c>
      <c r="BI35" s="45">
        <v>597.29999999999995</v>
      </c>
      <c r="BJ35" s="45">
        <v>771.3</v>
      </c>
      <c r="BK35" s="44">
        <v>4739.9000000000005</v>
      </c>
      <c r="BL35" s="45">
        <v>2771.1</v>
      </c>
      <c r="BM35" s="45">
        <v>2204.1</v>
      </c>
      <c r="BN35" s="45">
        <v>0</v>
      </c>
      <c r="BO35" s="44">
        <v>3632.2</v>
      </c>
      <c r="BP35" s="45">
        <v>3248.3</v>
      </c>
      <c r="BQ35" s="45">
        <v>0</v>
      </c>
      <c r="BR35" s="45">
        <v>0</v>
      </c>
      <c r="BS35" s="44">
        <v>0</v>
      </c>
    </row>
    <row r="36" spans="1:71">
      <c r="A36" s="143" t="s">
        <v>368</v>
      </c>
      <c r="B36" s="143" t="s">
        <v>369</v>
      </c>
      <c r="C36" s="193" t="s">
        <v>28</v>
      </c>
      <c r="D36" s="194" t="s">
        <v>28</v>
      </c>
      <c r="E36" s="194" t="s">
        <v>28</v>
      </c>
      <c r="F36" s="194" t="s">
        <v>28</v>
      </c>
      <c r="G36" s="193" t="s">
        <v>28</v>
      </c>
      <c r="H36" s="194" t="s">
        <v>28</v>
      </c>
      <c r="I36" s="194" t="s">
        <v>28</v>
      </c>
      <c r="J36" s="194" t="s">
        <v>28</v>
      </c>
      <c r="K36" s="193" t="s">
        <v>28</v>
      </c>
      <c r="L36" s="194" t="s">
        <v>28</v>
      </c>
      <c r="M36" s="194" t="s">
        <v>28</v>
      </c>
      <c r="N36" s="194" t="s">
        <v>28</v>
      </c>
      <c r="O36" s="193" t="s">
        <v>28</v>
      </c>
      <c r="P36" s="194" t="s">
        <v>28</v>
      </c>
      <c r="Q36" s="194" t="s">
        <v>28</v>
      </c>
      <c r="R36" s="194" t="s">
        <v>28</v>
      </c>
      <c r="S36" s="193" t="s">
        <v>28</v>
      </c>
      <c r="T36" s="194" t="s">
        <v>28</v>
      </c>
      <c r="U36" s="194" t="s">
        <v>28</v>
      </c>
      <c r="V36" s="194" t="s">
        <v>28</v>
      </c>
      <c r="W36" s="193" t="s">
        <v>28</v>
      </c>
      <c r="X36" s="194" t="s">
        <v>28</v>
      </c>
      <c r="Y36" s="194" t="s">
        <v>28</v>
      </c>
      <c r="Z36" s="194" t="s">
        <v>28</v>
      </c>
      <c r="AA36" s="193" t="s">
        <v>28</v>
      </c>
      <c r="AB36" s="194" t="s">
        <v>28</v>
      </c>
      <c r="AC36" s="194" t="s">
        <v>28</v>
      </c>
      <c r="AD36" s="194" t="s">
        <v>28</v>
      </c>
      <c r="AE36" s="193" t="s">
        <v>28</v>
      </c>
      <c r="AF36" s="194" t="s">
        <v>28</v>
      </c>
      <c r="AG36" s="194" t="s">
        <v>28</v>
      </c>
      <c r="AH36" s="194" t="s">
        <v>28</v>
      </c>
      <c r="AI36" s="193" t="s">
        <v>28</v>
      </c>
      <c r="AJ36" s="194" t="s">
        <v>28</v>
      </c>
      <c r="AK36" s="194" t="s">
        <v>28</v>
      </c>
      <c r="AL36" s="194" t="s">
        <v>28</v>
      </c>
      <c r="AM36" s="193" t="s">
        <v>28</v>
      </c>
      <c r="AN36" s="194" t="s">
        <v>28</v>
      </c>
      <c r="AO36" s="194" t="s">
        <v>28</v>
      </c>
      <c r="AP36" s="194" t="s">
        <v>28</v>
      </c>
      <c r="AQ36" s="193" t="s">
        <v>28</v>
      </c>
      <c r="AR36" s="194" t="s">
        <v>28</v>
      </c>
      <c r="AS36" s="194" t="s">
        <v>28</v>
      </c>
      <c r="AT36" s="194" t="s">
        <v>28</v>
      </c>
      <c r="AU36" s="193" t="s">
        <v>28</v>
      </c>
      <c r="AV36" s="194" t="s">
        <v>28</v>
      </c>
      <c r="AW36" s="194" t="s">
        <v>28</v>
      </c>
      <c r="AX36" s="194" t="s">
        <v>28</v>
      </c>
      <c r="AY36" s="193" t="s">
        <v>28</v>
      </c>
      <c r="AZ36" s="194" t="s">
        <v>28</v>
      </c>
      <c r="BA36" s="194" t="s">
        <v>28</v>
      </c>
      <c r="BB36" s="173">
        <f t="shared" ref="BB36:BP36" si="10">+BB32</f>
        <v>111.49999999999999</v>
      </c>
      <c r="BC36" s="173">
        <f t="shared" si="10"/>
        <v>2111.1</v>
      </c>
      <c r="BD36" s="173">
        <f t="shared" si="10"/>
        <v>3.6</v>
      </c>
      <c r="BE36" s="173">
        <f t="shared" si="10"/>
        <v>0</v>
      </c>
      <c r="BF36" s="173">
        <f t="shared" si="10"/>
        <v>963</v>
      </c>
      <c r="BG36" s="173">
        <f t="shared" si="10"/>
        <v>3607.1</v>
      </c>
      <c r="BH36" s="173">
        <f t="shared" si="10"/>
        <v>1881.5</v>
      </c>
      <c r="BI36" s="173">
        <f t="shared" si="10"/>
        <v>3018.5999999999995</v>
      </c>
      <c r="BJ36" s="173">
        <f t="shared" si="10"/>
        <v>2280.9</v>
      </c>
      <c r="BK36" s="173">
        <f t="shared" si="10"/>
        <v>10935.800000000001</v>
      </c>
      <c r="BL36" s="173">
        <f t="shared" si="10"/>
        <v>6878.6</v>
      </c>
      <c r="BM36" s="173">
        <f t="shared" si="10"/>
        <v>3206.3999999999996</v>
      </c>
      <c r="BN36" s="173">
        <f t="shared" si="10"/>
        <v>163.80000000000001</v>
      </c>
      <c r="BO36" s="173">
        <f t="shared" si="10"/>
        <v>9416.5999999999985</v>
      </c>
      <c r="BP36" s="173">
        <f t="shared" si="10"/>
        <v>11307.9</v>
      </c>
      <c r="BQ36" s="173">
        <f>+BQ32</f>
        <v>464.6</v>
      </c>
      <c r="BR36" s="173">
        <f>+BR32</f>
        <v>165.2</v>
      </c>
      <c r="BS36" s="173">
        <f>+BS32</f>
        <v>0</v>
      </c>
    </row>
    <row r="37" spans="1:71" ht="13.8">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0022ACD1-3205-434E-A607-231B8FC16025}"/>
    <hyperlink ref="A1" location="'Spis tresci_Table of content'!A1" display="Go back to Table of content" xr:uid="{3AE11609-1283-497E-9AAC-7C9D521382A1}"/>
    <hyperlink ref="B1" location="'Spis tresci_Table of content'!A1" display="Powrót do spisu treści" xr:uid="{21B70905-8E36-4490-8CAF-B8C8DA6AA2C6}"/>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E93A0-091F-4CEB-BE6E-D35F18CA38CE}">
  <dimension ref="A1:BV29"/>
  <sheetViews>
    <sheetView showGridLines="0" topLeftCell="A2" zoomScaleNormal="100" zoomScaleSheetLayoutView="100" zoomScalePageLayoutView="80" workbookViewId="0">
      <pane xSplit="2" ySplit="5" topLeftCell="BK7" activePane="bottomRight" state="frozen"/>
      <selection activeCell="B29" sqref="B29"/>
      <selection pane="topRight" activeCell="B29" sqref="B29"/>
      <selection pane="bottomLeft" activeCell="B29" sqref="B29"/>
      <selection pane="bottomRight" activeCell="BL2" sqref="BL2"/>
    </sheetView>
  </sheetViews>
  <sheetFormatPr defaultColWidth="0" defaultRowHeight="13.8" customHeight="1" zeroHeight="1" outlineLevelCol="1"/>
  <cols>
    <col min="1" max="1" width="48.44140625" style="3" customWidth="1" outlineLevel="1"/>
    <col min="2" max="2" width="42.6640625" style="3" customWidth="1"/>
    <col min="3" max="41" width="2.33203125" style="3" hidden="1" customWidth="1"/>
    <col min="42" max="74" width="9.109375" style="3" customWidth="1"/>
    <col min="75" max="16384" width="9.109375" style="3" hidden="1"/>
  </cols>
  <sheetData>
    <row r="1" spans="1:74" s="2" customFormat="1">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74">
      <c r="A2" s="1" t="s">
        <v>0</v>
      </c>
      <c r="B2" s="1" t="s">
        <v>1</v>
      </c>
      <c r="AY2" s="219"/>
    </row>
    <row r="3" spans="1:74">
      <c r="A3" s="152" t="s">
        <v>4</v>
      </c>
      <c r="B3" s="152" t="s">
        <v>5</v>
      </c>
      <c r="C3" s="152"/>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Y3" s="219" t="s">
        <v>295</v>
      </c>
      <c r="AZ3" s="150"/>
      <c r="BA3" s="150"/>
      <c r="BB3" s="150"/>
    </row>
    <row r="4" spans="1:74" ht="15.6">
      <c r="A4" s="598" t="s">
        <v>223</v>
      </c>
      <c r="B4" s="598" t="s">
        <v>224</v>
      </c>
      <c r="C4" s="220"/>
      <c r="D4" s="220"/>
      <c r="E4" s="220"/>
      <c r="F4" s="220"/>
      <c r="G4" s="220"/>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0"/>
      <c r="AG4" s="220"/>
      <c r="AH4" s="220"/>
      <c r="AI4" s="220"/>
      <c r="AJ4" s="220"/>
      <c r="AK4" s="220"/>
      <c r="AL4" s="220"/>
      <c r="AM4" s="220"/>
      <c r="AN4" s="220"/>
      <c r="AO4" s="220"/>
      <c r="AP4" s="221">
        <v>2016</v>
      </c>
      <c r="AQ4" s="599">
        <v>2017</v>
      </c>
      <c r="AR4" s="599"/>
      <c r="AS4" s="599"/>
      <c r="AT4" s="599"/>
      <c r="AU4" s="600">
        <v>2018</v>
      </c>
      <c r="AV4" s="601"/>
      <c r="AW4" s="601"/>
      <c r="AX4" s="571"/>
      <c r="AY4" s="601">
        <v>2019</v>
      </c>
      <c r="AZ4" s="601"/>
      <c r="BA4" s="601"/>
      <c r="BB4" s="572"/>
      <c r="BC4" s="596">
        <v>2020</v>
      </c>
      <c r="BD4" s="597"/>
      <c r="BE4" s="597"/>
      <c r="BF4" s="566"/>
      <c r="BG4" s="596">
        <v>2021</v>
      </c>
      <c r="BH4" s="597"/>
      <c r="BI4" s="597"/>
      <c r="BJ4" s="566"/>
      <c r="BK4" s="596">
        <v>2022</v>
      </c>
      <c r="BL4" s="597"/>
      <c r="BM4" s="597"/>
      <c r="BN4" s="566"/>
      <c r="BO4" s="596">
        <v>2023</v>
      </c>
      <c r="BP4" s="597"/>
      <c r="BQ4" s="597"/>
      <c r="BR4" s="566"/>
      <c r="BS4" s="596">
        <v>2024</v>
      </c>
      <c r="BT4" s="597"/>
      <c r="BU4" s="597"/>
      <c r="BV4" s="566"/>
    </row>
    <row r="5" spans="1:74" ht="15.6">
      <c r="A5" s="537"/>
      <c r="B5" s="537"/>
      <c r="C5" s="222"/>
      <c r="D5" s="222"/>
      <c r="E5" s="222"/>
      <c r="F5" s="222"/>
      <c r="G5" s="222"/>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2"/>
      <c r="AG5" s="222"/>
      <c r="AH5" s="222"/>
      <c r="AI5" s="222"/>
      <c r="AJ5" s="222"/>
      <c r="AK5" s="222"/>
      <c r="AL5" s="222"/>
      <c r="AM5" s="222"/>
      <c r="AN5" s="222"/>
      <c r="AO5" s="222"/>
      <c r="AP5" s="223" t="s">
        <v>11</v>
      </c>
      <c r="AQ5" s="224" t="s">
        <v>8</v>
      </c>
      <c r="AR5" s="224" t="s">
        <v>9</v>
      </c>
      <c r="AS5" s="224" t="s">
        <v>10</v>
      </c>
      <c r="AT5" s="224" t="s">
        <v>11</v>
      </c>
      <c r="AU5" s="225" t="s">
        <v>8</v>
      </c>
      <c r="AV5" s="224" t="s">
        <v>9</v>
      </c>
      <c r="AW5" s="224" t="s">
        <v>10</v>
      </c>
      <c r="AX5" s="226" t="s">
        <v>11</v>
      </c>
      <c r="AY5" s="227" t="s">
        <v>8</v>
      </c>
      <c r="AZ5" s="224" t="s">
        <v>9</v>
      </c>
      <c r="BA5" s="224" t="s">
        <v>10</v>
      </c>
      <c r="BB5" s="224" t="s">
        <v>11</v>
      </c>
      <c r="BC5" s="225" t="s">
        <v>8</v>
      </c>
      <c r="BD5" s="224" t="s">
        <v>9</v>
      </c>
      <c r="BE5" s="224" t="s">
        <v>10</v>
      </c>
      <c r="BF5" s="224" t="s">
        <v>11</v>
      </c>
      <c r="BG5" s="225" t="s">
        <v>8</v>
      </c>
      <c r="BH5" s="224" t="s">
        <v>9</v>
      </c>
      <c r="BI5" s="224" t="s">
        <v>10</v>
      </c>
      <c r="BJ5" s="224" t="s">
        <v>11</v>
      </c>
      <c r="BK5" s="225" t="s">
        <v>8</v>
      </c>
      <c r="BL5" s="224" t="s">
        <v>9</v>
      </c>
      <c r="BM5" s="224" t="s">
        <v>10</v>
      </c>
      <c r="BN5" s="224" t="s">
        <v>11</v>
      </c>
      <c r="BO5" s="225" t="s">
        <v>8</v>
      </c>
      <c r="BP5" s="224" t="s">
        <v>9</v>
      </c>
      <c r="BQ5" s="224" t="s">
        <v>10</v>
      </c>
      <c r="BR5" s="224" t="s">
        <v>11</v>
      </c>
      <c r="BS5" s="225" t="s">
        <v>8</v>
      </c>
      <c r="BT5" s="224" t="s">
        <v>9</v>
      </c>
      <c r="BU5" s="224" t="s">
        <v>10</v>
      </c>
      <c r="BV5" s="224" t="s">
        <v>11</v>
      </c>
    </row>
    <row r="6" spans="1:74" s="78" customFormat="1" ht="10.8">
      <c r="A6" s="228" t="s">
        <v>12</v>
      </c>
      <c r="B6" s="228" t="s">
        <v>13</v>
      </c>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228"/>
      <c r="AK6" s="228"/>
      <c r="AL6" s="228"/>
      <c r="AM6" s="228"/>
      <c r="AN6" s="228"/>
      <c r="AO6" s="228"/>
      <c r="AP6" s="229"/>
      <c r="AQ6" s="229"/>
      <c r="AR6" s="229"/>
      <c r="AS6" s="229"/>
      <c r="AT6" s="229"/>
      <c r="AU6" s="229"/>
      <c r="AV6" s="229"/>
      <c r="AW6" s="229"/>
      <c r="AX6" s="230"/>
      <c r="AY6" s="231"/>
      <c r="AZ6" s="229"/>
      <c r="BA6" s="229"/>
      <c r="BB6" s="229"/>
      <c r="BC6" s="229"/>
      <c r="BD6" s="229"/>
      <c r="BE6" s="229"/>
      <c r="BF6" s="229"/>
      <c r="BG6" s="229"/>
      <c r="BH6" s="229"/>
      <c r="BI6" s="229"/>
      <c r="BJ6" s="229"/>
      <c r="BK6" s="229"/>
      <c r="BL6" s="229"/>
      <c r="BM6" s="229"/>
      <c r="BN6" s="229"/>
      <c r="BO6" s="229"/>
      <c r="BP6" s="229"/>
      <c r="BQ6" s="229"/>
      <c r="BR6" s="229"/>
      <c r="BS6" s="232"/>
    </row>
    <row r="7" spans="1:74" s="78" customFormat="1" ht="10.8">
      <c r="A7" s="233" t="s">
        <v>296</v>
      </c>
      <c r="B7" s="233" t="s">
        <v>297</v>
      </c>
      <c r="C7" s="233"/>
      <c r="D7" s="233"/>
      <c r="E7" s="233"/>
      <c r="F7" s="233"/>
      <c r="G7" s="233"/>
      <c r="H7" s="233"/>
      <c r="I7" s="233"/>
      <c r="J7" s="233"/>
      <c r="K7" s="233"/>
      <c r="L7" s="233"/>
      <c r="M7" s="233"/>
      <c r="N7" s="233"/>
      <c r="O7" s="233"/>
      <c r="P7" s="233"/>
      <c r="Q7" s="233"/>
      <c r="R7" s="233"/>
      <c r="S7" s="233"/>
      <c r="T7" s="233"/>
      <c r="U7" s="233"/>
      <c r="V7" s="233"/>
      <c r="W7" s="233"/>
      <c r="X7" s="233"/>
      <c r="Y7" s="233"/>
      <c r="Z7" s="233"/>
      <c r="AA7" s="233"/>
      <c r="AB7" s="233"/>
      <c r="AC7" s="233"/>
      <c r="AD7" s="233"/>
      <c r="AE7" s="233"/>
      <c r="AF7" s="233"/>
      <c r="AG7" s="233"/>
      <c r="AH7" s="233"/>
      <c r="AI7" s="233"/>
      <c r="AJ7" s="233"/>
      <c r="AK7" s="233"/>
      <c r="AL7" s="233"/>
      <c r="AM7" s="233"/>
      <c r="AN7" s="233"/>
      <c r="AO7" s="233"/>
      <c r="AP7" s="234">
        <f t="shared" ref="AP7:BS7" si="0">SUM(AP9,AP23)</f>
        <v>95825.400000000009</v>
      </c>
      <c r="AQ7" s="235">
        <f t="shared" si="0"/>
        <v>96620.700000000012</v>
      </c>
      <c r="AR7" s="235">
        <f t="shared" si="0"/>
        <v>97708.800000000003</v>
      </c>
      <c r="AS7" s="235">
        <f t="shared" si="0"/>
        <v>98459.8</v>
      </c>
      <c r="AT7" s="235">
        <f t="shared" si="0"/>
        <v>104503.3</v>
      </c>
      <c r="AU7" s="236">
        <f t="shared" si="0"/>
        <v>104662.1</v>
      </c>
      <c r="AV7" s="235">
        <f t="shared" si="0"/>
        <v>109174.09999999999</v>
      </c>
      <c r="AW7" s="235">
        <f t="shared" si="0"/>
        <v>110205</v>
      </c>
      <c r="AX7" s="237">
        <f t="shared" si="0"/>
        <v>117682.5</v>
      </c>
      <c r="AY7" s="238">
        <f t="shared" si="0"/>
        <v>120413.99999999999</v>
      </c>
      <c r="AZ7" s="235">
        <f t="shared" si="0"/>
        <v>122992.00000000001</v>
      </c>
      <c r="BA7" s="235">
        <f t="shared" si="0"/>
        <v>125786.29999999999</v>
      </c>
      <c r="BB7" s="235">
        <f t="shared" si="0"/>
        <v>130473.49999999999</v>
      </c>
      <c r="BC7" s="236">
        <f t="shared" si="0"/>
        <v>139648.69999999998</v>
      </c>
      <c r="BD7" s="235">
        <f t="shared" si="0"/>
        <v>150979.29999999999</v>
      </c>
      <c r="BE7" s="235">
        <f t="shared" si="0"/>
        <v>154399.79999999999</v>
      </c>
      <c r="BF7" s="235">
        <f t="shared" si="0"/>
        <v>151028.5</v>
      </c>
      <c r="BG7" s="236">
        <f t="shared" si="0"/>
        <v>158931.1</v>
      </c>
      <c r="BH7" s="235">
        <f t="shared" si="0"/>
        <v>161998.30000000005</v>
      </c>
      <c r="BI7" s="235">
        <f t="shared" si="0"/>
        <v>164586.29999999999</v>
      </c>
      <c r="BJ7" s="235">
        <f t="shared" si="0"/>
        <v>170609.9</v>
      </c>
      <c r="BK7" s="236">
        <f t="shared" si="0"/>
        <v>174661.90000000002</v>
      </c>
      <c r="BL7" s="235">
        <f t="shared" si="0"/>
        <v>185095.1</v>
      </c>
      <c r="BM7" s="235">
        <f t="shared" si="0"/>
        <v>186580.5</v>
      </c>
      <c r="BN7" s="235">
        <f t="shared" si="0"/>
        <v>192731.30000000002</v>
      </c>
      <c r="BO7" s="236">
        <f t="shared" si="0"/>
        <v>201651.90000000002</v>
      </c>
      <c r="BP7" s="235">
        <f t="shared" si="0"/>
        <v>199740.19999999998</v>
      </c>
      <c r="BQ7" s="235">
        <f t="shared" si="0"/>
        <v>202417.4</v>
      </c>
      <c r="BR7" s="235">
        <f t="shared" si="0"/>
        <v>205289.9</v>
      </c>
      <c r="BS7" s="236">
        <f t="shared" si="0"/>
        <v>214125.8</v>
      </c>
    </row>
    <row r="8" spans="1:74" s="78" customFormat="1" ht="6" customHeight="1">
      <c r="A8" s="239"/>
      <c r="B8" s="239"/>
      <c r="C8" s="239"/>
      <c r="D8" s="239"/>
      <c r="E8" s="239"/>
      <c r="F8" s="239"/>
      <c r="G8" s="239"/>
      <c r="H8" s="23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40"/>
      <c r="AQ8" s="241"/>
      <c r="AR8" s="241"/>
      <c r="AS8" s="241"/>
      <c r="AT8" s="241"/>
      <c r="AU8" s="242"/>
      <c r="AV8" s="241"/>
      <c r="AW8" s="241"/>
      <c r="AX8" s="243"/>
      <c r="AY8" s="244"/>
      <c r="AZ8" s="241"/>
      <c r="BA8" s="241"/>
      <c r="BB8" s="241"/>
      <c r="BC8" s="242"/>
      <c r="BD8" s="241"/>
      <c r="BE8" s="241"/>
      <c r="BF8" s="241"/>
      <c r="BG8" s="242"/>
      <c r="BH8" s="241"/>
      <c r="BI8" s="241"/>
      <c r="BJ8" s="241"/>
      <c r="BK8" s="242"/>
      <c r="BL8" s="241"/>
      <c r="BM8" s="241"/>
      <c r="BN8" s="241"/>
      <c r="BO8" s="242"/>
      <c r="BP8" s="241"/>
      <c r="BQ8" s="241"/>
      <c r="BR8" s="241"/>
      <c r="BS8" s="242"/>
    </row>
    <row r="9" spans="1:74" s="78" customFormat="1" ht="10.8">
      <c r="A9" s="233" t="s">
        <v>298</v>
      </c>
      <c r="B9" s="233" t="s">
        <v>239</v>
      </c>
      <c r="C9" s="233"/>
      <c r="D9" s="233"/>
      <c r="E9" s="233"/>
      <c r="F9" s="233"/>
      <c r="G9" s="233"/>
      <c r="H9" s="233"/>
      <c r="I9" s="233"/>
      <c r="J9" s="233"/>
      <c r="K9" s="233"/>
      <c r="L9" s="233"/>
      <c r="M9" s="233"/>
      <c r="N9" s="233"/>
      <c r="O9" s="233"/>
      <c r="P9" s="233"/>
      <c r="Q9" s="233"/>
      <c r="R9" s="233"/>
      <c r="S9" s="233"/>
      <c r="T9" s="233"/>
      <c r="U9" s="233"/>
      <c r="V9" s="233"/>
      <c r="W9" s="233"/>
      <c r="X9" s="233"/>
      <c r="Y9" s="233"/>
      <c r="Z9" s="233"/>
      <c r="AA9" s="233"/>
      <c r="AB9" s="233"/>
      <c r="AC9" s="233"/>
      <c r="AD9" s="233"/>
      <c r="AE9" s="233"/>
      <c r="AF9" s="233"/>
      <c r="AG9" s="233"/>
      <c r="AH9" s="233"/>
      <c r="AI9" s="233"/>
      <c r="AJ9" s="233"/>
      <c r="AK9" s="233"/>
      <c r="AL9" s="233"/>
      <c r="AM9" s="233"/>
      <c r="AN9" s="233"/>
      <c r="AO9" s="233"/>
      <c r="AP9" s="234">
        <f t="shared" ref="AP9:AU9" si="1">SUM(AP10:AP12)</f>
        <v>94048.400000000009</v>
      </c>
      <c r="AQ9" s="235">
        <f t="shared" si="1"/>
        <v>95064.1</v>
      </c>
      <c r="AR9" s="235">
        <f t="shared" si="1"/>
        <v>95954.1</v>
      </c>
      <c r="AS9" s="235">
        <f t="shared" si="1"/>
        <v>96941</v>
      </c>
      <c r="AT9" s="235">
        <f t="shared" si="1"/>
        <v>102849.1</v>
      </c>
      <c r="AU9" s="236">
        <f t="shared" si="1"/>
        <v>102782.3</v>
      </c>
      <c r="AV9" s="235">
        <f t="shared" ref="AV9:BS9" si="2">SUM(AV10:AV12)</f>
        <v>107467.7</v>
      </c>
      <c r="AW9" s="235">
        <f t="shared" si="2"/>
        <v>108530.5</v>
      </c>
      <c r="AX9" s="237">
        <f t="shared" si="2"/>
        <v>115908</v>
      </c>
      <c r="AY9" s="238">
        <f t="shared" si="2"/>
        <v>118653.09999999999</v>
      </c>
      <c r="AZ9" s="235">
        <f t="shared" si="2"/>
        <v>121131.20000000001</v>
      </c>
      <c r="BA9" s="235">
        <f t="shared" si="2"/>
        <v>123715.9</v>
      </c>
      <c r="BB9" s="235">
        <f t="shared" si="2"/>
        <v>128800.09999999999</v>
      </c>
      <c r="BC9" s="236">
        <f t="shared" si="2"/>
        <v>137489.4</v>
      </c>
      <c r="BD9" s="235">
        <f t="shared" si="2"/>
        <v>149301</v>
      </c>
      <c r="BE9" s="235">
        <f t="shared" si="2"/>
        <v>152724.19999999998</v>
      </c>
      <c r="BF9" s="235">
        <f t="shared" si="2"/>
        <v>149269.9</v>
      </c>
      <c r="BG9" s="236">
        <f t="shared" si="2"/>
        <v>155165.1</v>
      </c>
      <c r="BH9" s="235">
        <f t="shared" si="2"/>
        <v>160220.60000000003</v>
      </c>
      <c r="BI9" s="235">
        <f t="shared" si="2"/>
        <v>162780</v>
      </c>
      <c r="BJ9" s="235">
        <f t="shared" si="2"/>
        <v>168849.3</v>
      </c>
      <c r="BK9" s="236">
        <f t="shared" si="2"/>
        <v>169602.2</v>
      </c>
      <c r="BL9" s="235">
        <f t="shared" si="2"/>
        <v>177452.2</v>
      </c>
      <c r="BM9" s="235">
        <f t="shared" si="2"/>
        <v>181752.2</v>
      </c>
      <c r="BN9" s="235">
        <f t="shared" si="2"/>
        <v>189538.30000000002</v>
      </c>
      <c r="BO9" s="236">
        <f t="shared" si="2"/>
        <v>190317.10000000003</v>
      </c>
      <c r="BP9" s="235">
        <f t="shared" si="2"/>
        <v>186849.3</v>
      </c>
      <c r="BQ9" s="235">
        <f t="shared" si="2"/>
        <v>199621.1</v>
      </c>
      <c r="BR9" s="235">
        <f t="shared" si="2"/>
        <v>202208.5</v>
      </c>
      <c r="BS9" s="236">
        <f t="shared" si="2"/>
        <v>211340</v>
      </c>
    </row>
    <row r="10" spans="1:74" s="78" customFormat="1" ht="10.8">
      <c r="A10" s="245" t="s">
        <v>299</v>
      </c>
      <c r="B10" s="849" t="s">
        <v>300</v>
      </c>
      <c r="C10" s="849"/>
      <c r="D10" s="849"/>
      <c r="E10" s="849"/>
      <c r="F10" s="849"/>
      <c r="G10" s="849"/>
      <c r="H10" s="849"/>
      <c r="I10" s="849"/>
      <c r="J10" s="849"/>
      <c r="K10" s="849"/>
      <c r="L10" s="849"/>
      <c r="M10" s="849"/>
      <c r="N10" s="849"/>
      <c r="O10" s="849"/>
      <c r="P10" s="849"/>
      <c r="Q10" s="849"/>
      <c r="R10" s="849"/>
      <c r="S10" s="849"/>
      <c r="T10" s="849"/>
      <c r="U10" s="849"/>
      <c r="V10" s="849"/>
      <c r="W10" s="849"/>
      <c r="X10" s="849"/>
      <c r="Y10" s="849"/>
      <c r="Z10" s="849"/>
      <c r="AA10" s="849"/>
      <c r="AB10" s="849"/>
      <c r="AC10" s="849"/>
      <c r="AD10" s="849"/>
      <c r="AE10" s="849"/>
      <c r="AF10" s="849"/>
      <c r="AG10" s="849"/>
      <c r="AH10" s="849"/>
      <c r="AI10" s="849"/>
      <c r="AJ10" s="849"/>
      <c r="AK10" s="849"/>
      <c r="AL10" s="849"/>
      <c r="AM10" s="849"/>
      <c r="AN10" s="849"/>
      <c r="AO10" s="849"/>
      <c r="AP10" s="844">
        <v>63548</v>
      </c>
      <c r="AQ10" s="845">
        <v>64744</v>
      </c>
      <c r="AR10" s="845">
        <v>65081.1</v>
      </c>
      <c r="AS10" s="845">
        <v>65488.6</v>
      </c>
      <c r="AT10" s="845">
        <v>67918.600000000006</v>
      </c>
      <c r="AU10" s="846">
        <v>71264.800000000003</v>
      </c>
      <c r="AV10" s="845">
        <v>72253.5</v>
      </c>
      <c r="AW10" s="845">
        <v>73998.899999999994</v>
      </c>
      <c r="AX10" s="847">
        <v>78255.5</v>
      </c>
      <c r="AY10" s="848">
        <v>80732.7</v>
      </c>
      <c r="AZ10" s="845">
        <v>81911.5</v>
      </c>
      <c r="BA10" s="845">
        <v>84106.9</v>
      </c>
      <c r="BB10" s="845">
        <v>87643.7</v>
      </c>
      <c r="BC10" s="846">
        <v>93434.1</v>
      </c>
      <c r="BD10" s="845">
        <v>99065.9</v>
      </c>
      <c r="BE10" s="845">
        <v>99145.9</v>
      </c>
      <c r="BF10" s="845">
        <v>102920</v>
      </c>
      <c r="BG10" s="846">
        <v>106820.6</v>
      </c>
      <c r="BH10" s="845">
        <v>108584.6</v>
      </c>
      <c r="BI10" s="845">
        <v>109614.79999999999</v>
      </c>
      <c r="BJ10" s="845">
        <v>113900.9</v>
      </c>
      <c r="BK10" s="846">
        <v>110668.5</v>
      </c>
      <c r="BL10" s="845">
        <v>109814.5</v>
      </c>
      <c r="BM10" s="845">
        <v>112910.7</v>
      </c>
      <c r="BN10" s="845">
        <v>118537</v>
      </c>
      <c r="BO10" s="846">
        <v>123475.1</v>
      </c>
      <c r="BP10" s="845">
        <v>119115.8</v>
      </c>
      <c r="BQ10" s="845">
        <v>126630.8</v>
      </c>
      <c r="BR10" s="845">
        <v>125608.5</v>
      </c>
      <c r="BS10" s="846">
        <v>134246.79999999999</v>
      </c>
      <c r="BT10" s="41"/>
    </row>
    <row r="11" spans="1:74" s="78" customFormat="1" ht="10.8">
      <c r="A11" s="245" t="s">
        <v>301</v>
      </c>
      <c r="B11" s="849" t="s">
        <v>302</v>
      </c>
      <c r="C11" s="849"/>
      <c r="D11" s="849"/>
      <c r="E11" s="849"/>
      <c r="F11" s="849"/>
      <c r="G11" s="849"/>
      <c r="H11" s="849"/>
      <c r="I11" s="849"/>
      <c r="J11" s="849"/>
      <c r="K11" s="849"/>
      <c r="L11" s="849"/>
      <c r="M11" s="849"/>
      <c r="N11" s="849"/>
      <c r="O11" s="849"/>
      <c r="P11" s="849"/>
      <c r="Q11" s="849"/>
      <c r="R11" s="849"/>
      <c r="S11" s="849"/>
      <c r="T11" s="849"/>
      <c r="U11" s="849"/>
      <c r="V11" s="849"/>
      <c r="W11" s="849"/>
      <c r="X11" s="849"/>
      <c r="Y11" s="849"/>
      <c r="Z11" s="849"/>
      <c r="AA11" s="849"/>
      <c r="AB11" s="849"/>
      <c r="AC11" s="849"/>
      <c r="AD11" s="849"/>
      <c r="AE11" s="849"/>
      <c r="AF11" s="849"/>
      <c r="AG11" s="849"/>
      <c r="AH11" s="849"/>
      <c r="AI11" s="849"/>
      <c r="AJ11" s="849"/>
      <c r="AK11" s="849"/>
      <c r="AL11" s="849"/>
      <c r="AM11" s="849"/>
      <c r="AN11" s="849"/>
      <c r="AO11" s="849"/>
      <c r="AP11" s="844">
        <v>28759.600000000002</v>
      </c>
      <c r="AQ11" s="845">
        <v>27747.599999999999</v>
      </c>
      <c r="AR11" s="845">
        <v>29117.4</v>
      </c>
      <c r="AS11" s="845">
        <v>29151.1</v>
      </c>
      <c r="AT11" s="845">
        <v>33156.6</v>
      </c>
      <c r="AU11" s="846">
        <v>29779</v>
      </c>
      <c r="AV11" s="845">
        <v>33446.9</v>
      </c>
      <c r="AW11" s="845">
        <v>32719.8</v>
      </c>
      <c r="AX11" s="847">
        <v>35735</v>
      </c>
      <c r="AY11" s="848">
        <v>35548.5</v>
      </c>
      <c r="AZ11" s="845">
        <v>35857.599999999999</v>
      </c>
      <c r="BA11" s="845">
        <v>36685.1</v>
      </c>
      <c r="BB11" s="845">
        <v>36191.199999999997</v>
      </c>
      <c r="BC11" s="846">
        <v>41880.5</v>
      </c>
      <c r="BD11" s="845">
        <v>48100.3</v>
      </c>
      <c r="BE11" s="845">
        <v>50502.2</v>
      </c>
      <c r="BF11" s="845">
        <v>43454.5</v>
      </c>
      <c r="BG11" s="846">
        <v>45623.1</v>
      </c>
      <c r="BH11" s="845">
        <v>47581.8</v>
      </c>
      <c r="BI11" s="845">
        <v>49424.6</v>
      </c>
      <c r="BJ11" s="845">
        <v>51475.799999999996</v>
      </c>
      <c r="BK11" s="846">
        <v>55673.5</v>
      </c>
      <c r="BL11" s="845">
        <v>60234.7</v>
      </c>
      <c r="BM11" s="845">
        <v>61541.799999999996</v>
      </c>
      <c r="BN11" s="845">
        <v>64316.100000000006</v>
      </c>
      <c r="BO11" s="846">
        <v>61806.8</v>
      </c>
      <c r="BP11" s="845">
        <v>60823</v>
      </c>
      <c r="BQ11" s="845">
        <v>66396.399999999994</v>
      </c>
      <c r="BR11" s="845">
        <v>73017.399999999994</v>
      </c>
      <c r="BS11" s="846">
        <v>69702.2</v>
      </c>
      <c r="BT11" s="41"/>
    </row>
    <row r="12" spans="1:74" s="78" customFormat="1" ht="10.8">
      <c r="A12" s="245" t="s">
        <v>303</v>
      </c>
      <c r="B12" s="849" t="s">
        <v>304</v>
      </c>
      <c r="C12" s="849"/>
      <c r="D12" s="849"/>
      <c r="E12" s="849"/>
      <c r="F12" s="849"/>
      <c r="G12" s="849"/>
      <c r="H12" s="849"/>
      <c r="I12" s="849"/>
      <c r="J12" s="849"/>
      <c r="K12" s="849"/>
      <c r="L12" s="849"/>
      <c r="M12" s="849"/>
      <c r="N12" s="849"/>
      <c r="O12" s="849"/>
      <c r="P12" s="849"/>
      <c r="Q12" s="849"/>
      <c r="R12" s="849"/>
      <c r="S12" s="849"/>
      <c r="T12" s="849"/>
      <c r="U12" s="849"/>
      <c r="V12" s="849"/>
      <c r="W12" s="849"/>
      <c r="X12" s="849"/>
      <c r="Y12" s="849"/>
      <c r="Z12" s="849"/>
      <c r="AA12" s="849"/>
      <c r="AB12" s="849"/>
      <c r="AC12" s="849"/>
      <c r="AD12" s="849"/>
      <c r="AE12" s="849"/>
      <c r="AF12" s="849"/>
      <c r="AG12" s="849"/>
      <c r="AH12" s="849"/>
      <c r="AI12" s="849"/>
      <c r="AJ12" s="849"/>
      <c r="AK12" s="849"/>
      <c r="AL12" s="849"/>
      <c r="AM12" s="849"/>
      <c r="AN12" s="849"/>
      <c r="AO12" s="849"/>
      <c r="AP12" s="844">
        <v>1740.8</v>
      </c>
      <c r="AQ12" s="845">
        <v>2572.5</v>
      </c>
      <c r="AR12" s="845">
        <v>1755.6</v>
      </c>
      <c r="AS12" s="845">
        <v>2301.3000000000002</v>
      </c>
      <c r="AT12" s="845">
        <v>1773.9</v>
      </c>
      <c r="AU12" s="846">
        <v>1738.5</v>
      </c>
      <c r="AV12" s="845">
        <v>1767.3</v>
      </c>
      <c r="AW12" s="845">
        <v>1811.8</v>
      </c>
      <c r="AX12" s="847">
        <v>1917.5</v>
      </c>
      <c r="AY12" s="848">
        <v>2371.9</v>
      </c>
      <c r="AZ12" s="845">
        <v>3362.1</v>
      </c>
      <c r="BA12" s="845">
        <v>2923.9</v>
      </c>
      <c r="BB12" s="845">
        <v>4965.2000000000007</v>
      </c>
      <c r="BC12" s="846">
        <v>2174.8000000000002</v>
      </c>
      <c r="BD12" s="845">
        <v>2134.8000000000002</v>
      </c>
      <c r="BE12" s="845">
        <v>3076.1</v>
      </c>
      <c r="BF12" s="845">
        <v>2895.4</v>
      </c>
      <c r="BG12" s="846">
        <v>2721.4</v>
      </c>
      <c r="BH12" s="845">
        <v>4054.2</v>
      </c>
      <c r="BI12" s="845">
        <v>3740.6</v>
      </c>
      <c r="BJ12" s="845">
        <v>3472.6</v>
      </c>
      <c r="BK12" s="846">
        <v>3260.2</v>
      </c>
      <c r="BL12" s="845">
        <v>7403</v>
      </c>
      <c r="BM12" s="845">
        <v>7299.7</v>
      </c>
      <c r="BN12" s="845">
        <v>6685.2</v>
      </c>
      <c r="BO12" s="846">
        <v>5035.2</v>
      </c>
      <c r="BP12" s="845">
        <v>6910.5</v>
      </c>
      <c r="BQ12" s="845">
        <v>6593.9</v>
      </c>
      <c r="BR12" s="845">
        <v>3582.6</v>
      </c>
      <c r="BS12" s="846">
        <v>7391</v>
      </c>
      <c r="BT12" s="41"/>
    </row>
    <row r="13" spans="1:74" s="78" customFormat="1" ht="10.8">
      <c r="A13" s="239" t="s">
        <v>305</v>
      </c>
      <c r="B13" s="470" t="s">
        <v>306</v>
      </c>
      <c r="C13" s="470"/>
      <c r="D13" s="470"/>
      <c r="E13" s="470"/>
      <c r="F13" s="470"/>
      <c r="G13" s="470"/>
      <c r="H13" s="470"/>
      <c r="I13" s="470"/>
      <c r="J13" s="470"/>
      <c r="K13" s="470"/>
      <c r="L13" s="470"/>
      <c r="M13" s="470"/>
      <c r="N13" s="470"/>
      <c r="O13" s="470"/>
      <c r="P13" s="470"/>
      <c r="Q13" s="470"/>
      <c r="R13" s="470"/>
      <c r="S13" s="470"/>
      <c r="T13" s="470"/>
      <c r="U13" s="470"/>
      <c r="V13" s="470"/>
      <c r="W13" s="470"/>
      <c r="X13" s="470"/>
      <c r="Y13" s="470"/>
      <c r="Z13" s="470"/>
      <c r="AA13" s="470"/>
      <c r="AB13" s="470"/>
      <c r="AC13" s="470"/>
      <c r="AD13" s="470"/>
      <c r="AE13" s="470"/>
      <c r="AF13" s="470"/>
      <c r="AG13" s="470"/>
      <c r="AH13" s="470"/>
      <c r="AI13" s="470"/>
      <c r="AJ13" s="470"/>
      <c r="AK13" s="470"/>
      <c r="AL13" s="470"/>
      <c r="AM13" s="470"/>
      <c r="AN13" s="470"/>
      <c r="AO13" s="470"/>
      <c r="AP13" s="850">
        <f t="shared" ref="AP13:BS13" si="3">SUM(AP14,AP18)</f>
        <v>94048.4</v>
      </c>
      <c r="AQ13" s="851">
        <f t="shared" si="3"/>
        <v>95064.1</v>
      </c>
      <c r="AR13" s="851">
        <f t="shared" si="3"/>
        <v>95954.1</v>
      </c>
      <c r="AS13" s="851">
        <f t="shared" si="3"/>
        <v>96941</v>
      </c>
      <c r="AT13" s="851">
        <f t="shared" si="3"/>
        <v>102849.1</v>
      </c>
      <c r="AU13" s="852">
        <f t="shared" si="3"/>
        <v>102782.3</v>
      </c>
      <c r="AV13" s="851">
        <f t="shared" si="3"/>
        <v>107467.70000000001</v>
      </c>
      <c r="AW13" s="851">
        <f t="shared" si="3"/>
        <v>108530.5</v>
      </c>
      <c r="AX13" s="853">
        <f t="shared" si="3"/>
        <v>115907.99999999999</v>
      </c>
      <c r="AY13" s="854">
        <f t="shared" si="3"/>
        <v>118653.1</v>
      </c>
      <c r="AZ13" s="851">
        <f t="shared" si="3"/>
        <v>121131.2</v>
      </c>
      <c r="BA13" s="851">
        <f t="shared" si="3"/>
        <v>123715.90000000001</v>
      </c>
      <c r="BB13" s="851">
        <f t="shared" si="3"/>
        <v>128800.1</v>
      </c>
      <c r="BC13" s="852">
        <f t="shared" si="3"/>
        <v>137489.40000000002</v>
      </c>
      <c r="BD13" s="851">
        <f t="shared" si="3"/>
        <v>149301</v>
      </c>
      <c r="BE13" s="851">
        <f t="shared" si="3"/>
        <v>152724.20000000001</v>
      </c>
      <c r="BF13" s="851">
        <f t="shared" si="3"/>
        <v>149269.9</v>
      </c>
      <c r="BG13" s="852">
        <f t="shared" si="3"/>
        <v>155165.1</v>
      </c>
      <c r="BH13" s="851">
        <f t="shared" si="3"/>
        <v>160220.6</v>
      </c>
      <c r="BI13" s="851">
        <f t="shared" si="3"/>
        <v>162780</v>
      </c>
      <c r="BJ13" s="851">
        <f t="shared" si="3"/>
        <v>168849.3</v>
      </c>
      <c r="BK13" s="852">
        <f t="shared" si="3"/>
        <v>169602.2</v>
      </c>
      <c r="BL13" s="851">
        <f t="shared" si="3"/>
        <v>177452.2</v>
      </c>
      <c r="BM13" s="851">
        <f t="shared" si="3"/>
        <v>181752.2</v>
      </c>
      <c r="BN13" s="851">
        <f t="shared" si="3"/>
        <v>189538.30000000002</v>
      </c>
      <c r="BO13" s="852">
        <f t="shared" si="3"/>
        <v>190317.1</v>
      </c>
      <c r="BP13" s="851">
        <f t="shared" si="3"/>
        <v>186849.3</v>
      </c>
      <c r="BQ13" s="851">
        <f t="shared" si="3"/>
        <v>199621.09999999998</v>
      </c>
      <c r="BR13" s="851">
        <f t="shared" si="3"/>
        <v>202208.5</v>
      </c>
      <c r="BS13" s="852">
        <f t="shared" si="3"/>
        <v>211340</v>
      </c>
      <c r="BT13" s="41"/>
    </row>
    <row r="14" spans="1:74" s="78" customFormat="1" ht="10.8">
      <c r="A14" s="246" t="s">
        <v>307</v>
      </c>
      <c r="B14" s="855" t="s">
        <v>308</v>
      </c>
      <c r="C14" s="855"/>
      <c r="D14" s="855"/>
      <c r="E14" s="855"/>
      <c r="F14" s="855"/>
      <c r="G14" s="855"/>
      <c r="H14" s="855"/>
      <c r="I14" s="855"/>
      <c r="J14" s="855"/>
      <c r="K14" s="855"/>
      <c r="L14" s="855"/>
      <c r="M14" s="855"/>
      <c r="N14" s="855"/>
      <c r="O14" s="855"/>
      <c r="P14" s="855"/>
      <c r="Q14" s="855"/>
      <c r="R14" s="855"/>
      <c r="S14" s="855"/>
      <c r="T14" s="855"/>
      <c r="U14" s="855"/>
      <c r="V14" s="855"/>
      <c r="W14" s="855"/>
      <c r="X14" s="855"/>
      <c r="Y14" s="855"/>
      <c r="Z14" s="855"/>
      <c r="AA14" s="855"/>
      <c r="AB14" s="855"/>
      <c r="AC14" s="855"/>
      <c r="AD14" s="855"/>
      <c r="AE14" s="855"/>
      <c r="AF14" s="855"/>
      <c r="AG14" s="855"/>
      <c r="AH14" s="855"/>
      <c r="AI14" s="855"/>
      <c r="AJ14" s="855"/>
      <c r="AK14" s="855"/>
      <c r="AL14" s="855"/>
      <c r="AM14" s="855"/>
      <c r="AN14" s="855"/>
      <c r="AO14" s="855"/>
      <c r="AP14" s="850">
        <f t="shared" ref="AP14:AU14" si="4">SUM(AP15:AP17)</f>
        <v>30438.899999999998</v>
      </c>
      <c r="AQ14" s="851">
        <f t="shared" si="4"/>
        <v>30301.300000000003</v>
      </c>
      <c r="AR14" s="851">
        <f t="shared" si="4"/>
        <v>30739.699999999997</v>
      </c>
      <c r="AS14" s="851">
        <f t="shared" si="4"/>
        <v>31287.9</v>
      </c>
      <c r="AT14" s="851">
        <f t="shared" si="4"/>
        <v>34799.5</v>
      </c>
      <c r="AU14" s="852">
        <f t="shared" si="4"/>
        <v>31670.600000000002</v>
      </c>
      <c r="AV14" s="851">
        <f t="shared" ref="AV14:BS14" si="5">SUM(AV15:AV17)</f>
        <v>35119.200000000004</v>
      </c>
      <c r="AW14" s="851">
        <f t="shared" si="5"/>
        <v>34161.1</v>
      </c>
      <c r="AX14" s="853">
        <f t="shared" si="5"/>
        <v>37589.899999999994</v>
      </c>
      <c r="AY14" s="854">
        <f t="shared" si="5"/>
        <v>44854.9</v>
      </c>
      <c r="AZ14" s="851">
        <f t="shared" si="5"/>
        <v>46486.100000000006</v>
      </c>
      <c r="BA14" s="851">
        <f t="shared" si="5"/>
        <v>47240.3</v>
      </c>
      <c r="BB14" s="851">
        <f t="shared" si="5"/>
        <v>49848.1</v>
      </c>
      <c r="BC14" s="852">
        <f t="shared" si="5"/>
        <v>52497.3</v>
      </c>
      <c r="BD14" s="851">
        <f t="shared" si="5"/>
        <v>61911.299999999996</v>
      </c>
      <c r="BE14" s="851">
        <f t="shared" si="5"/>
        <v>65293.3</v>
      </c>
      <c r="BF14" s="851">
        <f t="shared" si="5"/>
        <v>58755.400000000009</v>
      </c>
      <c r="BG14" s="852">
        <f t="shared" si="5"/>
        <v>60667.299999999996</v>
      </c>
      <c r="BH14" s="851">
        <f t="shared" si="5"/>
        <v>64133.8</v>
      </c>
      <c r="BI14" s="851">
        <f t="shared" si="5"/>
        <v>66104.099999999991</v>
      </c>
      <c r="BJ14" s="851">
        <f t="shared" si="5"/>
        <v>69113.299999999988</v>
      </c>
      <c r="BK14" s="852">
        <f t="shared" si="5"/>
        <v>71572.599999999991</v>
      </c>
      <c r="BL14" s="851">
        <f t="shared" si="5"/>
        <v>80532.400000000009</v>
      </c>
      <c r="BM14" s="851">
        <f t="shared" si="5"/>
        <v>81992.7</v>
      </c>
      <c r="BN14" s="851">
        <f t="shared" si="5"/>
        <v>84738.900000000009</v>
      </c>
      <c r="BO14" s="852">
        <f t="shared" si="5"/>
        <v>79836.400000000009</v>
      </c>
      <c r="BP14" s="851">
        <f t="shared" si="5"/>
        <v>80998.5</v>
      </c>
      <c r="BQ14" s="851">
        <f t="shared" si="5"/>
        <v>86574.799999999988</v>
      </c>
      <c r="BR14" s="851">
        <f t="shared" si="5"/>
        <v>90122.599999999991</v>
      </c>
      <c r="BS14" s="852">
        <f t="shared" si="5"/>
        <v>88864.9</v>
      </c>
      <c r="BT14" s="41"/>
    </row>
    <row r="15" spans="1:74" s="78" customFormat="1" ht="10.8">
      <c r="A15" s="247" t="s">
        <v>309</v>
      </c>
      <c r="B15" s="856" t="s">
        <v>310</v>
      </c>
      <c r="C15" s="856"/>
      <c r="D15" s="856"/>
      <c r="E15" s="856"/>
      <c r="F15" s="856"/>
      <c r="G15" s="856"/>
      <c r="H15" s="856"/>
      <c r="I15" s="856"/>
      <c r="J15" s="856"/>
      <c r="K15" s="856"/>
      <c r="L15" s="856"/>
      <c r="M15" s="856"/>
      <c r="N15" s="856"/>
      <c r="O15" s="856"/>
      <c r="P15" s="856"/>
      <c r="Q15" s="856"/>
      <c r="R15" s="856"/>
      <c r="S15" s="856"/>
      <c r="T15" s="856"/>
      <c r="U15" s="856"/>
      <c r="V15" s="856"/>
      <c r="W15" s="856"/>
      <c r="X15" s="856"/>
      <c r="Y15" s="856"/>
      <c r="Z15" s="856"/>
      <c r="AA15" s="856"/>
      <c r="AB15" s="856"/>
      <c r="AC15" s="856"/>
      <c r="AD15" s="856"/>
      <c r="AE15" s="856"/>
      <c r="AF15" s="856"/>
      <c r="AG15" s="856"/>
      <c r="AH15" s="856"/>
      <c r="AI15" s="856"/>
      <c r="AJ15" s="856"/>
      <c r="AK15" s="856"/>
      <c r="AL15" s="856"/>
      <c r="AM15" s="856"/>
      <c r="AN15" s="856"/>
      <c r="AO15" s="856"/>
      <c r="AP15" s="844">
        <v>20094.899999999998</v>
      </c>
      <c r="AQ15" s="845">
        <v>19688.2</v>
      </c>
      <c r="AR15" s="845">
        <v>21513.199999999997</v>
      </c>
      <c r="AS15" s="845">
        <v>20662.099999999999</v>
      </c>
      <c r="AT15" s="845">
        <v>23605</v>
      </c>
      <c r="AU15" s="846">
        <v>20619.800000000003</v>
      </c>
      <c r="AV15" s="845">
        <v>23521.5</v>
      </c>
      <c r="AW15" s="845">
        <v>21993.3</v>
      </c>
      <c r="AX15" s="847">
        <v>25478.6</v>
      </c>
      <c r="AY15" s="848">
        <v>28041.200000000001</v>
      </c>
      <c r="AZ15" s="845">
        <v>28566.7</v>
      </c>
      <c r="BA15" s="845">
        <v>29598.6</v>
      </c>
      <c r="BB15" s="845">
        <v>34707.199999999997</v>
      </c>
      <c r="BC15" s="846">
        <v>36864.699999999997</v>
      </c>
      <c r="BD15" s="845">
        <v>45550.1</v>
      </c>
      <c r="BE15" s="845">
        <v>48310</v>
      </c>
      <c r="BF15" s="845">
        <v>45250.600000000006</v>
      </c>
      <c r="BG15" s="846">
        <v>46942.1</v>
      </c>
      <c r="BH15" s="845">
        <v>50988.800000000003</v>
      </c>
      <c r="BI15" s="845">
        <v>53079.7</v>
      </c>
      <c r="BJ15" s="845">
        <v>55809.7</v>
      </c>
      <c r="BK15" s="846">
        <v>55061.799999999996</v>
      </c>
      <c r="BL15" s="845">
        <v>53822.3</v>
      </c>
      <c r="BM15" s="845">
        <v>53269.799999999996</v>
      </c>
      <c r="BN15" s="845">
        <v>53716.800000000003</v>
      </c>
      <c r="BO15" s="846">
        <v>50396.6</v>
      </c>
      <c r="BP15" s="845">
        <v>51064.9</v>
      </c>
      <c r="BQ15" s="845">
        <v>55755.199999999997</v>
      </c>
      <c r="BR15" s="845">
        <v>60649.399999999994</v>
      </c>
      <c r="BS15" s="846">
        <v>54563</v>
      </c>
      <c r="BT15" s="41"/>
    </row>
    <row r="16" spans="1:74" s="78" customFormat="1" ht="10.8">
      <c r="A16" s="247" t="s">
        <v>311</v>
      </c>
      <c r="B16" s="856" t="s">
        <v>312</v>
      </c>
      <c r="C16" s="856"/>
      <c r="D16" s="856"/>
      <c r="E16" s="856"/>
      <c r="F16" s="856"/>
      <c r="G16" s="856"/>
      <c r="H16" s="856"/>
      <c r="I16" s="856"/>
      <c r="J16" s="856"/>
      <c r="K16" s="856"/>
      <c r="L16" s="856"/>
      <c r="M16" s="856"/>
      <c r="N16" s="856"/>
      <c r="O16" s="856"/>
      <c r="P16" s="856"/>
      <c r="Q16" s="856"/>
      <c r="R16" s="856"/>
      <c r="S16" s="856"/>
      <c r="T16" s="856"/>
      <c r="U16" s="856"/>
      <c r="V16" s="856"/>
      <c r="W16" s="856"/>
      <c r="X16" s="856"/>
      <c r="Y16" s="856"/>
      <c r="Z16" s="856"/>
      <c r="AA16" s="856"/>
      <c r="AB16" s="856"/>
      <c r="AC16" s="856"/>
      <c r="AD16" s="856"/>
      <c r="AE16" s="856"/>
      <c r="AF16" s="856"/>
      <c r="AG16" s="856"/>
      <c r="AH16" s="856"/>
      <c r="AI16" s="856"/>
      <c r="AJ16" s="856"/>
      <c r="AK16" s="856"/>
      <c r="AL16" s="856"/>
      <c r="AM16" s="856"/>
      <c r="AN16" s="856"/>
      <c r="AO16" s="856"/>
      <c r="AP16" s="844">
        <v>8608.2999999999993</v>
      </c>
      <c r="AQ16" s="845">
        <v>7813.7000000000007</v>
      </c>
      <c r="AR16" s="845">
        <v>7599.0999999999995</v>
      </c>
      <c r="AS16" s="845">
        <v>8370.9</v>
      </c>
      <c r="AT16" s="845">
        <v>8553.8000000000011</v>
      </c>
      <c r="AU16" s="846">
        <v>8826.7000000000007</v>
      </c>
      <c r="AV16" s="845">
        <v>9157.1000000000022</v>
      </c>
      <c r="AW16" s="845">
        <v>9274.1</v>
      </c>
      <c r="AX16" s="847">
        <v>9969.2999999999993</v>
      </c>
      <c r="AY16" s="848">
        <v>12675.099999999999</v>
      </c>
      <c r="AZ16" s="845">
        <v>12478.6</v>
      </c>
      <c r="BA16" s="845">
        <v>13204.4</v>
      </c>
      <c r="BB16" s="845">
        <v>13513.1</v>
      </c>
      <c r="BC16" s="846">
        <v>14371.800000000001</v>
      </c>
      <c r="BD16" s="845">
        <v>15497.500000000002</v>
      </c>
      <c r="BE16" s="845">
        <v>16144.600000000002</v>
      </c>
      <c r="BF16" s="845">
        <v>12920.5</v>
      </c>
      <c r="BG16" s="846">
        <v>13033.600000000002</v>
      </c>
      <c r="BH16" s="845">
        <v>12638.000000000002</v>
      </c>
      <c r="BI16" s="845">
        <v>12351.2</v>
      </c>
      <c r="BJ16" s="845">
        <v>12462.399999999998</v>
      </c>
      <c r="BK16" s="846">
        <v>12298.6</v>
      </c>
      <c r="BL16" s="845">
        <v>13204.3</v>
      </c>
      <c r="BM16" s="845">
        <v>16488.900000000001</v>
      </c>
      <c r="BN16" s="845">
        <v>18053.5</v>
      </c>
      <c r="BO16" s="846">
        <v>18960</v>
      </c>
      <c r="BP16" s="845">
        <v>16656.5</v>
      </c>
      <c r="BQ16" s="845">
        <v>17550.599999999999</v>
      </c>
      <c r="BR16" s="845">
        <v>19440.800000000003</v>
      </c>
      <c r="BS16" s="846">
        <v>19953.900000000001</v>
      </c>
      <c r="BT16" s="41"/>
    </row>
    <row r="17" spans="1:72" s="78" customFormat="1" ht="10.8">
      <c r="A17" s="247" t="s">
        <v>313</v>
      </c>
      <c r="B17" s="856" t="s">
        <v>314</v>
      </c>
      <c r="C17" s="856"/>
      <c r="D17" s="856"/>
      <c r="E17" s="856"/>
      <c r="F17" s="856"/>
      <c r="G17" s="856"/>
      <c r="H17" s="856"/>
      <c r="I17" s="856"/>
      <c r="J17" s="856"/>
      <c r="K17" s="856"/>
      <c r="L17" s="856"/>
      <c r="M17" s="856"/>
      <c r="N17" s="856"/>
      <c r="O17" s="856"/>
      <c r="P17" s="856"/>
      <c r="Q17" s="856"/>
      <c r="R17" s="856"/>
      <c r="S17" s="856"/>
      <c r="T17" s="856"/>
      <c r="U17" s="856"/>
      <c r="V17" s="856"/>
      <c r="W17" s="856"/>
      <c r="X17" s="856"/>
      <c r="Y17" s="856"/>
      <c r="Z17" s="856"/>
      <c r="AA17" s="856"/>
      <c r="AB17" s="856"/>
      <c r="AC17" s="856"/>
      <c r="AD17" s="856"/>
      <c r="AE17" s="856"/>
      <c r="AF17" s="856"/>
      <c r="AG17" s="856"/>
      <c r="AH17" s="856"/>
      <c r="AI17" s="856"/>
      <c r="AJ17" s="856"/>
      <c r="AK17" s="856"/>
      <c r="AL17" s="856"/>
      <c r="AM17" s="856"/>
      <c r="AN17" s="856"/>
      <c r="AO17" s="856"/>
      <c r="AP17" s="844">
        <v>1735.7</v>
      </c>
      <c r="AQ17" s="845">
        <v>2799.4</v>
      </c>
      <c r="AR17" s="845">
        <v>1627.4</v>
      </c>
      <c r="AS17" s="845">
        <v>2254.8999999999996</v>
      </c>
      <c r="AT17" s="845">
        <v>2640.7</v>
      </c>
      <c r="AU17" s="846">
        <v>2224.1</v>
      </c>
      <c r="AV17" s="845">
        <v>2440.6</v>
      </c>
      <c r="AW17" s="845">
        <v>2893.7</v>
      </c>
      <c r="AX17" s="847">
        <v>2142</v>
      </c>
      <c r="AY17" s="848">
        <v>4138.6000000000004</v>
      </c>
      <c r="AZ17" s="845">
        <v>5440.8</v>
      </c>
      <c r="BA17" s="845">
        <v>4437.3</v>
      </c>
      <c r="BB17" s="845">
        <v>1627.8000000000002</v>
      </c>
      <c r="BC17" s="846">
        <v>1260.8</v>
      </c>
      <c r="BD17" s="845">
        <v>863.7</v>
      </c>
      <c r="BE17" s="845">
        <v>838.7</v>
      </c>
      <c r="BF17" s="845">
        <v>584.29999999999995</v>
      </c>
      <c r="BG17" s="846">
        <v>691.6</v>
      </c>
      <c r="BH17" s="845">
        <v>507</v>
      </c>
      <c r="BI17" s="845">
        <v>673.19999999999993</v>
      </c>
      <c r="BJ17" s="845">
        <v>841.19999999999993</v>
      </c>
      <c r="BK17" s="846">
        <v>4212.2</v>
      </c>
      <c r="BL17" s="845">
        <v>13505.8</v>
      </c>
      <c r="BM17" s="845">
        <v>12234</v>
      </c>
      <c r="BN17" s="845">
        <v>12968.6</v>
      </c>
      <c r="BO17" s="846">
        <v>10479.799999999999</v>
      </c>
      <c r="BP17" s="845">
        <v>13277.099999999999</v>
      </c>
      <c r="BQ17" s="845">
        <v>13269</v>
      </c>
      <c r="BR17" s="845">
        <v>10032.4</v>
      </c>
      <c r="BS17" s="846">
        <v>14348</v>
      </c>
      <c r="BT17" s="41"/>
    </row>
    <row r="18" spans="1:72" s="78" customFormat="1" ht="10.8">
      <c r="A18" s="246" t="s">
        <v>315</v>
      </c>
      <c r="B18" s="855" t="s">
        <v>316</v>
      </c>
      <c r="C18" s="855"/>
      <c r="D18" s="855"/>
      <c r="E18" s="855"/>
      <c r="F18" s="855"/>
      <c r="G18" s="855"/>
      <c r="H18" s="855"/>
      <c r="I18" s="855"/>
      <c r="J18" s="855"/>
      <c r="K18" s="855"/>
      <c r="L18" s="855"/>
      <c r="M18" s="855"/>
      <c r="N18" s="855"/>
      <c r="O18" s="855"/>
      <c r="P18" s="855"/>
      <c r="Q18" s="855"/>
      <c r="R18" s="855"/>
      <c r="S18" s="855"/>
      <c r="T18" s="855"/>
      <c r="U18" s="855"/>
      <c r="V18" s="855"/>
      <c r="W18" s="855"/>
      <c r="X18" s="855"/>
      <c r="Y18" s="855"/>
      <c r="Z18" s="855"/>
      <c r="AA18" s="855"/>
      <c r="AB18" s="855"/>
      <c r="AC18" s="855"/>
      <c r="AD18" s="855"/>
      <c r="AE18" s="855"/>
      <c r="AF18" s="855"/>
      <c r="AG18" s="855"/>
      <c r="AH18" s="855"/>
      <c r="AI18" s="855"/>
      <c r="AJ18" s="855"/>
      <c r="AK18" s="855"/>
      <c r="AL18" s="855"/>
      <c r="AM18" s="855"/>
      <c r="AN18" s="855"/>
      <c r="AO18" s="855"/>
      <c r="AP18" s="850">
        <f t="shared" ref="AP18:AU18" si="6">SUM(AP19:AP21)</f>
        <v>63609.5</v>
      </c>
      <c r="AQ18" s="851">
        <f t="shared" si="6"/>
        <v>64762.799999999996</v>
      </c>
      <c r="AR18" s="851">
        <f t="shared" si="6"/>
        <v>65214.400000000001</v>
      </c>
      <c r="AS18" s="851">
        <f t="shared" si="6"/>
        <v>65653.100000000006</v>
      </c>
      <c r="AT18" s="851">
        <f t="shared" si="6"/>
        <v>68049.600000000006</v>
      </c>
      <c r="AU18" s="852">
        <f t="shared" si="6"/>
        <v>71111.7</v>
      </c>
      <c r="AV18" s="851">
        <f t="shared" ref="AV18:BS18" si="7">SUM(AV19:AV21)</f>
        <v>72348.5</v>
      </c>
      <c r="AW18" s="851">
        <f t="shared" si="7"/>
        <v>74369.399999999994</v>
      </c>
      <c r="AX18" s="853">
        <f t="shared" si="7"/>
        <v>78318.099999999991</v>
      </c>
      <c r="AY18" s="854">
        <f t="shared" si="7"/>
        <v>73798.2</v>
      </c>
      <c r="AZ18" s="851">
        <f t="shared" si="7"/>
        <v>74645.099999999991</v>
      </c>
      <c r="BA18" s="851">
        <f t="shared" si="7"/>
        <v>76475.600000000006</v>
      </c>
      <c r="BB18" s="851">
        <f>SUM(BB19:BB21)</f>
        <v>78952</v>
      </c>
      <c r="BC18" s="852">
        <f t="shared" si="7"/>
        <v>84992.1</v>
      </c>
      <c r="BD18" s="851">
        <f t="shared" si="7"/>
        <v>87389.7</v>
      </c>
      <c r="BE18" s="851">
        <f t="shared" si="7"/>
        <v>87430.9</v>
      </c>
      <c r="BF18" s="851">
        <f t="shared" si="7"/>
        <v>90514.499999999985</v>
      </c>
      <c r="BG18" s="852">
        <f t="shared" si="7"/>
        <v>94497.800000000017</v>
      </c>
      <c r="BH18" s="851">
        <f t="shared" si="7"/>
        <v>96086.8</v>
      </c>
      <c r="BI18" s="851">
        <f t="shared" si="7"/>
        <v>96675.900000000009</v>
      </c>
      <c r="BJ18" s="851">
        <f t="shared" si="7"/>
        <v>99736</v>
      </c>
      <c r="BK18" s="852">
        <f t="shared" si="7"/>
        <v>98029.6</v>
      </c>
      <c r="BL18" s="851">
        <f t="shared" si="7"/>
        <v>96919.8</v>
      </c>
      <c r="BM18" s="851">
        <f t="shared" si="7"/>
        <v>99759.5</v>
      </c>
      <c r="BN18" s="851">
        <f t="shared" si="7"/>
        <v>104799.40000000001</v>
      </c>
      <c r="BO18" s="852">
        <f t="shared" si="7"/>
        <v>110480.7</v>
      </c>
      <c r="BP18" s="851">
        <f t="shared" si="7"/>
        <v>105850.8</v>
      </c>
      <c r="BQ18" s="851">
        <f t="shared" si="7"/>
        <v>113046.3</v>
      </c>
      <c r="BR18" s="851">
        <f t="shared" si="7"/>
        <v>112085.90000000001</v>
      </c>
      <c r="BS18" s="852">
        <f t="shared" si="7"/>
        <v>122475.1</v>
      </c>
      <c r="BT18" s="41"/>
    </row>
    <row r="19" spans="1:72" s="78" customFormat="1" ht="10.8">
      <c r="A19" s="247" t="s">
        <v>309</v>
      </c>
      <c r="B19" s="856" t="s">
        <v>310</v>
      </c>
      <c r="C19" s="856"/>
      <c r="D19" s="856"/>
      <c r="E19" s="856"/>
      <c r="F19" s="856"/>
      <c r="G19" s="856"/>
      <c r="H19" s="856"/>
      <c r="I19" s="856"/>
      <c r="J19" s="856"/>
      <c r="K19" s="856"/>
      <c r="L19" s="856"/>
      <c r="M19" s="856"/>
      <c r="N19" s="856"/>
      <c r="O19" s="856"/>
      <c r="P19" s="856"/>
      <c r="Q19" s="856"/>
      <c r="R19" s="856"/>
      <c r="S19" s="856"/>
      <c r="T19" s="856"/>
      <c r="U19" s="856"/>
      <c r="V19" s="856"/>
      <c r="W19" s="856"/>
      <c r="X19" s="856"/>
      <c r="Y19" s="856"/>
      <c r="Z19" s="856"/>
      <c r="AA19" s="856"/>
      <c r="AB19" s="856"/>
      <c r="AC19" s="856"/>
      <c r="AD19" s="856"/>
      <c r="AE19" s="856"/>
      <c r="AF19" s="856"/>
      <c r="AG19" s="856"/>
      <c r="AH19" s="856"/>
      <c r="AI19" s="856"/>
      <c r="AJ19" s="856"/>
      <c r="AK19" s="856"/>
      <c r="AL19" s="856"/>
      <c r="AM19" s="856"/>
      <c r="AN19" s="856"/>
      <c r="AO19" s="856"/>
      <c r="AP19" s="844">
        <v>11920.7</v>
      </c>
      <c r="AQ19" s="845">
        <v>12356.4</v>
      </c>
      <c r="AR19" s="845">
        <v>13169.9</v>
      </c>
      <c r="AS19" s="845">
        <v>13570.9</v>
      </c>
      <c r="AT19" s="845">
        <v>14792.000000000002</v>
      </c>
      <c r="AU19" s="846">
        <v>15061.2</v>
      </c>
      <c r="AV19" s="845">
        <v>16013.5</v>
      </c>
      <c r="AW19" s="845">
        <v>17080.099999999999</v>
      </c>
      <c r="AX19" s="847">
        <v>18051.199999999997</v>
      </c>
      <c r="AY19" s="848">
        <v>13740.4</v>
      </c>
      <c r="AZ19" s="845">
        <v>14488.699999999999</v>
      </c>
      <c r="BA19" s="845">
        <v>14954.7</v>
      </c>
      <c r="BB19" s="845">
        <v>15706.7</v>
      </c>
      <c r="BC19" s="846">
        <v>17720.599999999999</v>
      </c>
      <c r="BD19" s="845">
        <v>18942</v>
      </c>
      <c r="BE19" s="845">
        <v>20297.900000000001</v>
      </c>
      <c r="BF19" s="845">
        <v>22924.1</v>
      </c>
      <c r="BG19" s="846">
        <v>24726.9</v>
      </c>
      <c r="BH19" s="845">
        <v>26499.600000000002</v>
      </c>
      <c r="BI19" s="845">
        <v>27216.1</v>
      </c>
      <c r="BJ19" s="845">
        <v>28923.7</v>
      </c>
      <c r="BK19" s="846">
        <v>29649.200000000001</v>
      </c>
      <c r="BL19" s="845">
        <v>28841.3</v>
      </c>
      <c r="BM19" s="845">
        <v>28255.8</v>
      </c>
      <c r="BN19" s="845">
        <v>27530.3</v>
      </c>
      <c r="BO19" s="846">
        <v>27485.200000000001</v>
      </c>
      <c r="BP19" s="845">
        <v>28170.6</v>
      </c>
      <c r="BQ19" s="845">
        <v>28527.1</v>
      </c>
      <c r="BR19" s="845">
        <v>28816</v>
      </c>
      <c r="BS19" s="846">
        <v>29830.9</v>
      </c>
      <c r="BT19" s="41"/>
    </row>
    <row r="20" spans="1:72" s="78" customFormat="1" ht="10.8">
      <c r="A20" s="247" t="s">
        <v>311</v>
      </c>
      <c r="B20" s="856" t="s">
        <v>312</v>
      </c>
      <c r="C20" s="856"/>
      <c r="D20" s="856"/>
      <c r="E20" s="856"/>
      <c r="F20" s="856"/>
      <c r="G20" s="856"/>
      <c r="H20" s="856"/>
      <c r="I20" s="856"/>
      <c r="J20" s="856"/>
      <c r="K20" s="856"/>
      <c r="L20" s="856"/>
      <c r="M20" s="856"/>
      <c r="N20" s="856"/>
      <c r="O20" s="856"/>
      <c r="P20" s="856"/>
      <c r="Q20" s="856"/>
      <c r="R20" s="856"/>
      <c r="S20" s="856"/>
      <c r="T20" s="856"/>
      <c r="U20" s="856"/>
      <c r="V20" s="856"/>
      <c r="W20" s="856"/>
      <c r="X20" s="856"/>
      <c r="Y20" s="856"/>
      <c r="Z20" s="856"/>
      <c r="AA20" s="856"/>
      <c r="AB20" s="856"/>
      <c r="AC20" s="856"/>
      <c r="AD20" s="856"/>
      <c r="AE20" s="856"/>
      <c r="AF20" s="856"/>
      <c r="AG20" s="856"/>
      <c r="AH20" s="856"/>
      <c r="AI20" s="856"/>
      <c r="AJ20" s="856"/>
      <c r="AK20" s="856"/>
      <c r="AL20" s="856"/>
      <c r="AM20" s="856"/>
      <c r="AN20" s="856"/>
      <c r="AO20" s="856"/>
      <c r="AP20" s="844">
        <v>47872.3</v>
      </c>
      <c r="AQ20" s="845">
        <v>49023.899999999994</v>
      </c>
      <c r="AR20" s="845">
        <v>49179.5</v>
      </c>
      <c r="AS20" s="845">
        <v>49551.500000000007</v>
      </c>
      <c r="AT20" s="845">
        <v>49935.000000000007</v>
      </c>
      <c r="AU20" s="846">
        <v>53369.8</v>
      </c>
      <c r="AV20" s="845">
        <v>53784.800000000003</v>
      </c>
      <c r="AW20" s="845">
        <v>54848.9</v>
      </c>
      <c r="AX20" s="847">
        <v>57948.1</v>
      </c>
      <c r="AY20" s="848">
        <v>57778.5</v>
      </c>
      <c r="AZ20" s="845">
        <v>57652.399999999994</v>
      </c>
      <c r="BA20" s="845">
        <v>58951.3</v>
      </c>
      <c r="BB20" s="845">
        <v>60812</v>
      </c>
      <c r="BC20" s="846">
        <v>64941</v>
      </c>
      <c r="BD20" s="845">
        <v>66078.399999999994</v>
      </c>
      <c r="BE20" s="845">
        <v>65342.5</v>
      </c>
      <c r="BF20" s="845">
        <v>65896.2</v>
      </c>
      <c r="BG20" s="846">
        <v>68183.8</v>
      </c>
      <c r="BH20" s="845">
        <v>68094.5</v>
      </c>
      <c r="BI20" s="845">
        <v>68072.5</v>
      </c>
      <c r="BJ20" s="845">
        <v>69286.600000000006</v>
      </c>
      <c r="BK20" s="846">
        <v>66712.800000000003</v>
      </c>
      <c r="BL20" s="845">
        <v>65171.9</v>
      </c>
      <c r="BM20" s="845">
        <v>65311.9</v>
      </c>
      <c r="BN20" s="845">
        <v>69381.100000000006</v>
      </c>
      <c r="BO20" s="846">
        <v>72501.8</v>
      </c>
      <c r="BP20" s="845">
        <v>64598.9</v>
      </c>
      <c r="BQ20" s="845">
        <v>70050.5</v>
      </c>
      <c r="BR20" s="845">
        <v>67713.100000000006</v>
      </c>
      <c r="BS20" s="846">
        <v>76965.600000000006</v>
      </c>
      <c r="BT20" s="41"/>
    </row>
    <row r="21" spans="1:72" s="78" customFormat="1" ht="10.8">
      <c r="A21" s="247" t="s">
        <v>313</v>
      </c>
      <c r="B21" s="856" t="s">
        <v>314</v>
      </c>
      <c r="C21" s="856"/>
      <c r="D21" s="856"/>
      <c r="E21" s="856"/>
      <c r="F21" s="856"/>
      <c r="G21" s="856"/>
      <c r="H21" s="856"/>
      <c r="I21" s="856"/>
      <c r="J21" s="856"/>
      <c r="K21" s="856"/>
      <c r="L21" s="856"/>
      <c r="M21" s="856"/>
      <c r="N21" s="856"/>
      <c r="O21" s="856"/>
      <c r="P21" s="856"/>
      <c r="Q21" s="856"/>
      <c r="R21" s="856"/>
      <c r="S21" s="856"/>
      <c r="T21" s="856"/>
      <c r="U21" s="856"/>
      <c r="V21" s="856"/>
      <c r="W21" s="856"/>
      <c r="X21" s="856"/>
      <c r="Y21" s="856"/>
      <c r="Z21" s="856"/>
      <c r="AA21" s="856"/>
      <c r="AB21" s="856"/>
      <c r="AC21" s="856"/>
      <c r="AD21" s="856"/>
      <c r="AE21" s="856"/>
      <c r="AF21" s="856"/>
      <c r="AG21" s="856"/>
      <c r="AH21" s="856"/>
      <c r="AI21" s="856"/>
      <c r="AJ21" s="856"/>
      <c r="AK21" s="856"/>
      <c r="AL21" s="856"/>
      <c r="AM21" s="856"/>
      <c r="AN21" s="856"/>
      <c r="AO21" s="856"/>
      <c r="AP21" s="844">
        <v>3816.5</v>
      </c>
      <c r="AQ21" s="845">
        <v>3382.5</v>
      </c>
      <c r="AR21" s="845">
        <v>2864.9999999999995</v>
      </c>
      <c r="AS21" s="845">
        <v>2530.7000000000003</v>
      </c>
      <c r="AT21" s="845">
        <v>3322.6</v>
      </c>
      <c r="AU21" s="846">
        <v>2680.7</v>
      </c>
      <c r="AV21" s="845">
        <v>2550.2000000000003</v>
      </c>
      <c r="AW21" s="845">
        <v>2440.4</v>
      </c>
      <c r="AX21" s="847">
        <v>2318.7999999999997</v>
      </c>
      <c r="AY21" s="848">
        <v>2279.2999999999997</v>
      </c>
      <c r="AZ21" s="845">
        <v>2504</v>
      </c>
      <c r="BA21" s="845">
        <v>2569.6</v>
      </c>
      <c r="BB21" s="845">
        <v>2433.3000000000002</v>
      </c>
      <c r="BC21" s="846">
        <v>2330.5</v>
      </c>
      <c r="BD21" s="845">
        <v>2369.3000000000002</v>
      </c>
      <c r="BE21" s="845">
        <v>1790.5</v>
      </c>
      <c r="BF21" s="845">
        <v>1694.2</v>
      </c>
      <c r="BG21" s="846">
        <v>1587.1</v>
      </c>
      <c r="BH21" s="845">
        <v>1492.7</v>
      </c>
      <c r="BI21" s="845">
        <v>1387.3</v>
      </c>
      <c r="BJ21" s="845">
        <v>1525.7</v>
      </c>
      <c r="BK21" s="846">
        <v>1667.6000000000001</v>
      </c>
      <c r="BL21" s="845">
        <v>2906.6</v>
      </c>
      <c r="BM21" s="845">
        <v>6191.8</v>
      </c>
      <c r="BN21" s="845">
        <v>7888</v>
      </c>
      <c r="BO21" s="846">
        <v>10493.7</v>
      </c>
      <c r="BP21" s="845">
        <v>13081.3</v>
      </c>
      <c r="BQ21" s="845">
        <v>14468.7</v>
      </c>
      <c r="BR21" s="845">
        <v>15556.8</v>
      </c>
      <c r="BS21" s="846">
        <v>15678.6</v>
      </c>
      <c r="BT21" s="41"/>
    </row>
    <row r="22" spans="1:72" s="78" customFormat="1" ht="6" customHeight="1">
      <c r="A22" s="239"/>
      <c r="B22" s="239"/>
      <c r="C22" s="239"/>
      <c r="D22" s="239"/>
      <c r="E22" s="239"/>
      <c r="F22" s="239"/>
      <c r="G22" s="239"/>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39"/>
      <c r="AL22" s="239"/>
      <c r="AM22" s="239"/>
      <c r="AN22" s="239"/>
      <c r="AO22" s="239"/>
      <c r="AP22" s="240"/>
      <c r="AQ22" s="241"/>
      <c r="AR22" s="241"/>
      <c r="AS22" s="241"/>
      <c r="AT22" s="241"/>
      <c r="AU22" s="242"/>
      <c r="AV22" s="241"/>
      <c r="AW22" s="241"/>
      <c r="AX22" s="243"/>
      <c r="AY22" s="244"/>
      <c r="AZ22" s="241"/>
      <c r="BA22" s="241"/>
      <c r="BB22" s="241"/>
      <c r="BC22" s="242"/>
      <c r="BD22" s="241"/>
      <c r="BE22" s="241"/>
      <c r="BF22" s="241"/>
      <c r="BG22" s="242"/>
      <c r="BH22" s="241"/>
      <c r="BI22" s="241"/>
      <c r="BJ22" s="241"/>
      <c r="BK22" s="242"/>
      <c r="BL22" s="241"/>
      <c r="BM22" s="241"/>
      <c r="BN22" s="241"/>
      <c r="BO22" s="242"/>
      <c r="BP22" s="241"/>
      <c r="BQ22" s="241"/>
      <c r="BR22" s="241"/>
      <c r="BS22" s="242"/>
    </row>
    <row r="23" spans="1:72" s="78" customFormat="1" ht="10.8">
      <c r="A23" s="233" t="s">
        <v>317</v>
      </c>
      <c r="B23" s="233" t="s">
        <v>318</v>
      </c>
      <c r="C23" s="233"/>
      <c r="D23" s="233"/>
      <c r="E23" s="233"/>
      <c r="F23" s="233"/>
      <c r="G23" s="233"/>
      <c r="H23" s="233"/>
      <c r="I23" s="233"/>
      <c r="J23" s="233"/>
      <c r="K23" s="233"/>
      <c r="L23" s="233"/>
      <c r="M23" s="233"/>
      <c r="N23" s="233"/>
      <c r="O23" s="233"/>
      <c r="P23" s="233"/>
      <c r="Q23" s="233"/>
      <c r="R23" s="233"/>
      <c r="S23" s="233"/>
      <c r="T23" s="233"/>
      <c r="U23" s="233"/>
      <c r="V23" s="233"/>
      <c r="W23" s="233"/>
      <c r="X23" s="233"/>
      <c r="Y23" s="233"/>
      <c r="Z23" s="233"/>
      <c r="AA23" s="233"/>
      <c r="AB23" s="233"/>
      <c r="AC23" s="233"/>
      <c r="AD23" s="233"/>
      <c r="AE23" s="233"/>
      <c r="AF23" s="233"/>
      <c r="AG23" s="233"/>
      <c r="AH23" s="233"/>
      <c r="AI23" s="233"/>
      <c r="AJ23" s="233"/>
      <c r="AK23" s="233"/>
      <c r="AL23" s="233"/>
      <c r="AM23" s="233"/>
      <c r="AN23" s="233"/>
      <c r="AO23" s="233"/>
      <c r="AP23" s="234">
        <f t="shared" ref="AP23:AU23" si="8">SUM(AP24:AP27)</f>
        <v>1777</v>
      </c>
      <c r="AQ23" s="235">
        <f t="shared" si="8"/>
        <v>1556.6</v>
      </c>
      <c r="AR23" s="235">
        <f t="shared" si="8"/>
        <v>1754.7</v>
      </c>
      <c r="AS23" s="235">
        <f t="shared" si="8"/>
        <v>1518.8</v>
      </c>
      <c r="AT23" s="235">
        <f t="shared" si="8"/>
        <v>1654.1999999999998</v>
      </c>
      <c r="AU23" s="236">
        <f t="shared" si="8"/>
        <v>1879.8</v>
      </c>
      <c r="AV23" s="235">
        <f t="shared" ref="AV23:BS23" si="9">SUM(AV24:AV27)</f>
        <v>1706.4</v>
      </c>
      <c r="AW23" s="235">
        <f t="shared" si="9"/>
        <v>1674.5</v>
      </c>
      <c r="AX23" s="237">
        <f t="shared" si="9"/>
        <v>1774.5</v>
      </c>
      <c r="AY23" s="238">
        <f t="shared" si="9"/>
        <v>1760.8999999999999</v>
      </c>
      <c r="AZ23" s="235">
        <f t="shared" si="9"/>
        <v>1860.8</v>
      </c>
      <c r="BA23" s="235">
        <f t="shared" si="9"/>
        <v>2070.4</v>
      </c>
      <c r="BB23" s="235">
        <f t="shared" si="9"/>
        <v>1673.4</v>
      </c>
      <c r="BC23" s="236">
        <f t="shared" si="9"/>
        <v>2159.3000000000002</v>
      </c>
      <c r="BD23" s="235">
        <f t="shared" si="9"/>
        <v>1678.3000000000002</v>
      </c>
      <c r="BE23" s="235">
        <f t="shared" si="9"/>
        <v>1675.6</v>
      </c>
      <c r="BF23" s="235">
        <f t="shared" si="9"/>
        <v>1758.6</v>
      </c>
      <c r="BG23" s="236">
        <f t="shared" si="9"/>
        <v>3766</v>
      </c>
      <c r="BH23" s="235">
        <f t="shared" si="9"/>
        <v>1777.6999999999998</v>
      </c>
      <c r="BI23" s="235">
        <f t="shared" si="9"/>
        <v>1806.3000000000002</v>
      </c>
      <c r="BJ23" s="235">
        <f t="shared" si="9"/>
        <v>1760.6</v>
      </c>
      <c r="BK23" s="236">
        <f t="shared" si="9"/>
        <v>5059.7</v>
      </c>
      <c r="BL23" s="235">
        <f t="shared" si="9"/>
        <v>7642.9</v>
      </c>
      <c r="BM23" s="235">
        <f t="shared" si="9"/>
        <v>4828.3</v>
      </c>
      <c r="BN23" s="235">
        <f t="shared" si="9"/>
        <v>3193</v>
      </c>
      <c r="BO23" s="236">
        <f t="shared" si="9"/>
        <v>11334.800000000001</v>
      </c>
      <c r="BP23" s="235">
        <f t="shared" si="9"/>
        <v>12890.9</v>
      </c>
      <c r="BQ23" s="235">
        <f t="shared" si="9"/>
        <v>2796.3</v>
      </c>
      <c r="BR23" s="235">
        <f t="shared" si="9"/>
        <v>3081.4</v>
      </c>
      <c r="BS23" s="236">
        <f t="shared" si="9"/>
        <v>2785.8</v>
      </c>
    </row>
    <row r="24" spans="1:72" s="78" customFormat="1" ht="10.8">
      <c r="A24" s="245" t="s">
        <v>319</v>
      </c>
      <c r="B24" s="245" t="s">
        <v>320</v>
      </c>
      <c r="C24" s="245"/>
      <c r="D24" s="245"/>
      <c r="E24" s="245"/>
      <c r="F24" s="245"/>
      <c r="G24" s="245"/>
      <c r="H24" s="245"/>
      <c r="I24" s="245"/>
      <c r="J24" s="245"/>
      <c r="K24" s="245"/>
      <c r="L24" s="245"/>
      <c r="M24" s="245"/>
      <c r="N24" s="245"/>
      <c r="O24" s="245"/>
      <c r="P24" s="245"/>
      <c r="Q24" s="245"/>
      <c r="R24" s="245"/>
      <c r="S24" s="245"/>
      <c r="T24" s="245"/>
      <c r="U24" s="245"/>
      <c r="V24" s="245"/>
      <c r="W24" s="245"/>
      <c r="X24" s="245"/>
      <c r="Y24" s="245"/>
      <c r="Z24" s="245"/>
      <c r="AA24" s="245"/>
      <c r="AB24" s="245"/>
      <c r="AC24" s="245"/>
      <c r="AD24" s="245"/>
      <c r="AE24" s="245"/>
      <c r="AF24" s="245"/>
      <c r="AG24" s="245"/>
      <c r="AH24" s="245"/>
      <c r="AI24" s="245"/>
      <c r="AJ24" s="245"/>
      <c r="AK24" s="245"/>
      <c r="AL24" s="245"/>
      <c r="AM24" s="245"/>
      <c r="AN24" s="245"/>
      <c r="AO24" s="245"/>
      <c r="AP24" s="844">
        <v>311.2</v>
      </c>
      <c r="AQ24" s="845">
        <v>326</v>
      </c>
      <c r="AR24" s="845">
        <v>311.2</v>
      </c>
      <c r="AS24" s="845">
        <v>321</v>
      </c>
      <c r="AT24" s="845">
        <v>274</v>
      </c>
      <c r="AU24" s="846">
        <v>317.8</v>
      </c>
      <c r="AV24" s="845">
        <v>299</v>
      </c>
      <c r="AW24" s="845">
        <v>339.4</v>
      </c>
      <c r="AX24" s="847">
        <v>329.5</v>
      </c>
      <c r="AY24" s="848">
        <v>404</v>
      </c>
      <c r="AZ24" s="845">
        <v>399.9</v>
      </c>
      <c r="BA24" s="845">
        <v>423.5</v>
      </c>
      <c r="BB24" s="845">
        <v>400.1</v>
      </c>
      <c r="BC24" s="846">
        <v>411.3</v>
      </c>
      <c r="BD24" s="845">
        <v>460.20000000000005</v>
      </c>
      <c r="BE24" s="845">
        <v>501.3</v>
      </c>
      <c r="BF24" s="845">
        <v>547.1</v>
      </c>
      <c r="BG24" s="846">
        <v>574.1</v>
      </c>
      <c r="BH24" s="845">
        <v>509.5</v>
      </c>
      <c r="BI24" s="845">
        <v>475.9</v>
      </c>
      <c r="BJ24" s="845">
        <v>476.3</v>
      </c>
      <c r="BK24" s="846">
        <v>512.29999999999995</v>
      </c>
      <c r="BL24" s="845">
        <v>646.1</v>
      </c>
      <c r="BM24" s="845">
        <v>610.1</v>
      </c>
      <c r="BN24" s="845">
        <v>742.9</v>
      </c>
      <c r="BO24" s="846">
        <v>754.4</v>
      </c>
      <c r="BP24" s="845">
        <v>752.1</v>
      </c>
      <c r="BQ24" s="845">
        <v>773.5</v>
      </c>
      <c r="BR24" s="845">
        <v>823.2</v>
      </c>
      <c r="BS24" s="846">
        <v>784.5</v>
      </c>
      <c r="BT24" s="41"/>
    </row>
    <row r="25" spans="1:72" s="78" customFormat="1" ht="10.8">
      <c r="A25" s="248" t="s">
        <v>321</v>
      </c>
      <c r="B25" s="245" t="s">
        <v>322</v>
      </c>
      <c r="C25" s="245"/>
      <c r="D25" s="245"/>
      <c r="E25" s="245"/>
      <c r="F25" s="245"/>
      <c r="G25" s="245"/>
      <c r="H25" s="245"/>
      <c r="I25" s="245"/>
      <c r="J25" s="245"/>
      <c r="K25" s="245"/>
      <c r="L25" s="245"/>
      <c r="M25" s="245"/>
      <c r="N25" s="245"/>
      <c r="O25" s="245"/>
      <c r="P25" s="245"/>
      <c r="Q25" s="245"/>
      <c r="R25" s="245"/>
      <c r="S25" s="245"/>
      <c r="T25" s="245"/>
      <c r="U25" s="245"/>
      <c r="V25" s="245"/>
      <c r="W25" s="245"/>
      <c r="X25" s="245"/>
      <c r="Y25" s="245"/>
      <c r="Z25" s="245"/>
      <c r="AA25" s="245"/>
      <c r="AB25" s="245"/>
      <c r="AC25" s="245"/>
      <c r="AD25" s="245"/>
      <c r="AE25" s="245"/>
      <c r="AF25" s="245"/>
      <c r="AG25" s="245"/>
      <c r="AH25" s="245"/>
      <c r="AI25" s="245"/>
      <c r="AJ25" s="245"/>
      <c r="AK25" s="245"/>
      <c r="AL25" s="245"/>
      <c r="AM25" s="245"/>
      <c r="AN25" s="245"/>
      <c r="AO25" s="245"/>
      <c r="AP25" s="844">
        <v>64.8</v>
      </c>
      <c r="AQ25" s="845">
        <v>1.1000000000000001</v>
      </c>
      <c r="AR25" s="845">
        <v>27.1</v>
      </c>
      <c r="AS25" s="845">
        <v>24</v>
      </c>
      <c r="AT25" s="845">
        <v>1.4</v>
      </c>
      <c r="AU25" s="846">
        <v>8.1</v>
      </c>
      <c r="AV25" s="845">
        <v>67.400000000000006</v>
      </c>
      <c r="AW25" s="845">
        <v>67.300000000000011</v>
      </c>
      <c r="AX25" s="847">
        <v>8.6</v>
      </c>
      <c r="AY25" s="848">
        <v>8.1999999999999993</v>
      </c>
      <c r="AZ25" s="845">
        <v>8.3000000000000007</v>
      </c>
      <c r="BA25" s="845">
        <v>26.5</v>
      </c>
      <c r="BB25" s="845">
        <v>11.6</v>
      </c>
      <c r="BC25" s="846">
        <v>72.400000000000006</v>
      </c>
      <c r="BD25" s="845">
        <v>19.899999999999999</v>
      </c>
      <c r="BE25" s="845">
        <v>32.6</v>
      </c>
      <c r="BF25" s="845">
        <v>20.7</v>
      </c>
      <c r="BG25" s="846">
        <v>16.599999999999998</v>
      </c>
      <c r="BH25" s="845">
        <v>9.3000000000000007</v>
      </c>
      <c r="BI25" s="845">
        <v>11</v>
      </c>
      <c r="BJ25" s="845">
        <v>12.5</v>
      </c>
      <c r="BK25" s="846">
        <v>15.6</v>
      </c>
      <c r="BL25" s="845">
        <v>21.700000000000003</v>
      </c>
      <c r="BM25" s="845">
        <v>25</v>
      </c>
      <c r="BN25" s="845">
        <v>11.4</v>
      </c>
      <c r="BO25" s="846">
        <v>9.3000000000000007</v>
      </c>
      <c r="BP25" s="845">
        <v>9.8000000000000007</v>
      </c>
      <c r="BQ25" s="845">
        <v>26.5</v>
      </c>
      <c r="BR25" s="845">
        <v>10.8</v>
      </c>
      <c r="BS25" s="846">
        <v>14</v>
      </c>
      <c r="BT25" s="41"/>
    </row>
    <row r="26" spans="1:72" s="78" customFormat="1" ht="10.8">
      <c r="A26" s="248" t="s">
        <v>323</v>
      </c>
      <c r="B26" s="245" t="s">
        <v>324</v>
      </c>
      <c r="C26" s="245"/>
      <c r="D26" s="245"/>
      <c r="E26" s="245"/>
      <c r="F26" s="245"/>
      <c r="G26" s="245"/>
      <c r="H26" s="245"/>
      <c r="I26" s="245"/>
      <c r="J26" s="245"/>
      <c r="K26" s="245"/>
      <c r="L26" s="245"/>
      <c r="M26" s="245"/>
      <c r="N26" s="245"/>
      <c r="O26" s="245"/>
      <c r="P26" s="245"/>
      <c r="Q26" s="245"/>
      <c r="R26" s="245"/>
      <c r="S26" s="245"/>
      <c r="T26" s="245"/>
      <c r="U26" s="245"/>
      <c r="V26" s="245"/>
      <c r="W26" s="245"/>
      <c r="X26" s="245"/>
      <c r="Y26" s="245"/>
      <c r="Z26" s="245"/>
      <c r="AA26" s="245"/>
      <c r="AB26" s="245"/>
      <c r="AC26" s="245"/>
      <c r="AD26" s="245"/>
      <c r="AE26" s="245"/>
      <c r="AF26" s="245"/>
      <c r="AG26" s="245"/>
      <c r="AH26" s="245"/>
      <c r="AI26" s="245"/>
      <c r="AJ26" s="245"/>
      <c r="AK26" s="245"/>
      <c r="AL26" s="245"/>
      <c r="AM26" s="245"/>
      <c r="AN26" s="245"/>
      <c r="AO26" s="245"/>
      <c r="AP26" s="844">
        <v>0</v>
      </c>
      <c r="AQ26" s="845">
        <v>0</v>
      </c>
      <c r="AR26" s="845">
        <v>0</v>
      </c>
      <c r="AS26" s="845">
        <v>0</v>
      </c>
      <c r="AT26" s="845">
        <v>0</v>
      </c>
      <c r="AU26" s="846">
        <v>11.6</v>
      </c>
      <c r="AV26" s="845">
        <v>0.30000000000000004</v>
      </c>
      <c r="AW26" s="845">
        <v>0</v>
      </c>
      <c r="AX26" s="847">
        <v>0</v>
      </c>
      <c r="AY26" s="848">
        <v>9.1</v>
      </c>
      <c r="AZ26" s="845">
        <v>0</v>
      </c>
      <c r="BA26" s="845">
        <v>0</v>
      </c>
      <c r="BB26" s="845">
        <v>0</v>
      </c>
      <c r="BC26" s="846">
        <v>559.5</v>
      </c>
      <c r="BD26" s="845">
        <v>0</v>
      </c>
      <c r="BE26" s="845">
        <v>0</v>
      </c>
      <c r="BF26" s="845">
        <v>0</v>
      </c>
      <c r="BG26" s="846">
        <v>2034.7</v>
      </c>
      <c r="BH26" s="845">
        <v>0</v>
      </c>
      <c r="BI26" s="845">
        <v>0</v>
      </c>
      <c r="BJ26" s="845">
        <v>0</v>
      </c>
      <c r="BK26" s="846">
        <v>3090.2</v>
      </c>
      <c r="BL26" s="845">
        <v>5354</v>
      </c>
      <c r="BM26" s="845">
        <v>2415.5</v>
      </c>
      <c r="BN26" s="845">
        <v>0</v>
      </c>
      <c r="BO26" s="846">
        <v>9225.5</v>
      </c>
      <c r="BP26" s="845">
        <v>10894.2</v>
      </c>
      <c r="BQ26" s="845">
        <v>465.9</v>
      </c>
      <c r="BR26" s="845">
        <v>0</v>
      </c>
      <c r="BS26" s="846">
        <v>0</v>
      </c>
      <c r="BT26" s="41"/>
    </row>
    <row r="27" spans="1:72" s="78" customFormat="1" ht="10.8">
      <c r="A27" s="245" t="s">
        <v>227</v>
      </c>
      <c r="B27" s="245" t="s">
        <v>325</v>
      </c>
      <c r="C27" s="245"/>
      <c r="D27" s="245"/>
      <c r="E27" s="245"/>
      <c r="F27" s="245"/>
      <c r="G27" s="245"/>
      <c r="H27" s="245"/>
      <c r="I27" s="245"/>
      <c r="J27" s="245"/>
      <c r="K27" s="245"/>
      <c r="L27" s="245"/>
      <c r="M27" s="245"/>
      <c r="N27" s="245"/>
      <c r="O27" s="245"/>
      <c r="P27" s="245"/>
      <c r="Q27" s="245"/>
      <c r="R27" s="245"/>
      <c r="S27" s="245"/>
      <c r="T27" s="245"/>
      <c r="U27" s="245"/>
      <c r="V27" s="245"/>
      <c r="W27" s="245"/>
      <c r="X27" s="245"/>
      <c r="Y27" s="245"/>
      <c r="Z27" s="245"/>
      <c r="AA27" s="245"/>
      <c r="AB27" s="245"/>
      <c r="AC27" s="245"/>
      <c r="AD27" s="245"/>
      <c r="AE27" s="245"/>
      <c r="AF27" s="245"/>
      <c r="AG27" s="245"/>
      <c r="AH27" s="245"/>
      <c r="AI27" s="245"/>
      <c r="AJ27" s="245"/>
      <c r="AK27" s="245"/>
      <c r="AL27" s="245"/>
      <c r="AM27" s="245"/>
      <c r="AN27" s="245"/>
      <c r="AO27" s="245"/>
      <c r="AP27" s="844">
        <v>1401</v>
      </c>
      <c r="AQ27" s="845">
        <v>1229.5</v>
      </c>
      <c r="AR27" s="845">
        <v>1416.4</v>
      </c>
      <c r="AS27" s="845">
        <v>1173.8</v>
      </c>
      <c r="AT27" s="845">
        <v>1378.8</v>
      </c>
      <c r="AU27" s="846">
        <v>1542.3</v>
      </c>
      <c r="AV27" s="845">
        <v>1339.7</v>
      </c>
      <c r="AW27" s="845">
        <v>1267.8</v>
      </c>
      <c r="AX27" s="847">
        <v>1436.4</v>
      </c>
      <c r="AY27" s="848">
        <v>1339.6</v>
      </c>
      <c r="AZ27" s="845">
        <v>1452.6</v>
      </c>
      <c r="BA27" s="845">
        <v>1620.4</v>
      </c>
      <c r="BB27" s="845">
        <v>1261.7</v>
      </c>
      <c r="BC27" s="846">
        <v>1116.0999999999999</v>
      </c>
      <c r="BD27" s="845">
        <v>1198.2</v>
      </c>
      <c r="BE27" s="845">
        <v>1141.7</v>
      </c>
      <c r="BF27" s="845">
        <v>1190.8</v>
      </c>
      <c r="BG27" s="846">
        <v>1140.5999999999999</v>
      </c>
      <c r="BH27" s="845">
        <v>1258.8999999999999</v>
      </c>
      <c r="BI27" s="845">
        <v>1319.4</v>
      </c>
      <c r="BJ27" s="845">
        <v>1271.8</v>
      </c>
      <c r="BK27" s="846">
        <v>1441.6</v>
      </c>
      <c r="BL27" s="845">
        <v>1621.1</v>
      </c>
      <c r="BM27" s="845">
        <v>1777.7000000000003</v>
      </c>
      <c r="BN27" s="845">
        <v>2438.6999999999998</v>
      </c>
      <c r="BO27" s="846">
        <v>1345.6</v>
      </c>
      <c r="BP27" s="845">
        <v>1234.8</v>
      </c>
      <c r="BQ27" s="845">
        <v>1530.4</v>
      </c>
      <c r="BR27" s="845">
        <v>2247.4</v>
      </c>
      <c r="BS27" s="846">
        <v>1987.3000000000002</v>
      </c>
      <c r="BT27" s="41"/>
    </row>
    <row r="28" spans="1:72">
      <c r="AO28" s="3" t="b">
        <v>0</v>
      </c>
      <c r="BS28" s="218"/>
    </row>
    <row r="29" spans="1:72">
      <c r="AN29" s="3" t="b">
        <f t="shared" ref="AN29:BS29" si="10">+AN9+AN23=AN7</f>
        <v>1</v>
      </c>
      <c r="AO29" s="3" t="b">
        <f t="shared" si="10"/>
        <v>1</v>
      </c>
      <c r="BS29" s="218"/>
    </row>
  </sheetData>
  <mergeCells count="10">
    <mergeCell ref="BG4:BJ4"/>
    <mergeCell ref="BK4:BN4"/>
    <mergeCell ref="BO4:BR4"/>
    <mergeCell ref="BS4:BV4"/>
    <mergeCell ref="A4:A5"/>
    <mergeCell ref="B4:B5"/>
    <mergeCell ref="AQ4:AT4"/>
    <mergeCell ref="AU4:AX4"/>
    <mergeCell ref="AY4:BB4"/>
    <mergeCell ref="BC4:BF4"/>
  </mergeCells>
  <hyperlinks>
    <hyperlink ref="A1:B1" location="'Spis tresci_Table of content'!Print_Area" display="Go back to Table of content" xr:uid="{C71D82AC-B65E-4721-AB3E-A0B6FEC6178B}"/>
    <hyperlink ref="A2:B2" location="'Spis tresci_Table of content'!Print_Area" display="Go back to Table of content" xr:uid="{839AB8A7-B107-4461-A96C-2BA5226D0747}"/>
    <hyperlink ref="A2" location="'Spis tresci_Table of content'!A1" display="Go back to Table of content" xr:uid="{95B89DB4-BC56-4714-9EDF-036D4428DF32}"/>
    <hyperlink ref="B2" location="Depozyty_Deposits!A1" display="Powrót do spisu treści" xr:uid="{A6C1AB31-5ABB-48A8-A375-1830EB67D053}"/>
  </hyperlink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oddHeader xml:space="preserve">&amp;C&amp;"Times New Roman,Kursywa"&amp;12
</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F7CBE-A919-48F0-943A-62278D8F7293}">
  <sheetPr>
    <pageSetUpPr fitToPage="1"/>
  </sheetPr>
  <dimension ref="A1:BV65"/>
  <sheetViews>
    <sheetView showGridLines="0" zoomScaleNormal="100" zoomScaleSheetLayoutView="100" workbookViewId="0">
      <pane xSplit="2" ySplit="4" topLeftCell="BQ47" activePane="bottomRight" state="frozen"/>
      <selection activeCell="B29" sqref="B29"/>
      <selection pane="topRight" activeCell="B29" sqref="B29"/>
      <selection pane="bottomLeft" activeCell="B29" sqref="B29"/>
      <selection pane="bottomRight" activeCell="BQ1" sqref="BQ1"/>
    </sheetView>
  </sheetViews>
  <sheetFormatPr defaultColWidth="0" defaultRowHeight="13.8" customHeight="1" zeroHeight="1" outlineLevelCol="1"/>
  <cols>
    <col min="1" max="1" width="77.6640625" style="3" customWidth="1" outlineLevel="1"/>
    <col min="2" max="2" width="79.44140625" style="3" customWidth="1"/>
    <col min="3" max="30" width="8.6640625" style="3" hidden="1" customWidth="1"/>
    <col min="31" max="31" width="9" style="3" hidden="1" customWidth="1"/>
    <col min="32" max="41" width="9.109375" style="3" hidden="1" customWidth="1"/>
    <col min="42" max="70" width="9.109375" style="3" customWidth="1"/>
    <col min="71" max="71" width="9.109375" style="218" customWidth="1"/>
    <col min="72" max="74" width="9.109375" style="3" customWidth="1"/>
    <col min="75" max="16384" width="9.109375" style="3" hidden="1"/>
  </cols>
  <sheetData>
    <row r="1" spans="1:74" s="2" customFormat="1" ht="15.6">
      <c r="A1" s="211" t="s">
        <v>0</v>
      </c>
      <c r="B1" s="21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74" s="6" customFormat="1" ht="15.6">
      <c r="A2" s="7" t="s">
        <v>4</v>
      </c>
      <c r="B2" s="7" t="s">
        <v>5</v>
      </c>
      <c r="C2" s="2"/>
      <c r="D2" s="2"/>
      <c r="E2" s="2"/>
      <c r="F2" s="2"/>
      <c r="G2" s="2"/>
      <c r="H2" s="2"/>
      <c r="I2" s="2"/>
      <c r="J2" s="2"/>
      <c r="K2" s="2"/>
      <c r="L2" s="2"/>
      <c r="M2" s="2"/>
      <c r="N2" s="2"/>
      <c r="O2" s="2"/>
      <c r="P2" s="2"/>
      <c r="Q2" s="2"/>
      <c r="R2" s="2"/>
      <c r="S2" s="2"/>
      <c r="T2" s="2"/>
      <c r="U2" s="2"/>
      <c r="V2" s="2"/>
      <c r="W2" s="2"/>
      <c r="X2" s="2"/>
      <c r="Y2" s="2"/>
      <c r="Z2" s="2"/>
      <c r="AA2" s="2"/>
      <c r="AB2" s="2"/>
      <c r="AC2" s="2"/>
      <c r="AD2" s="2"/>
      <c r="AE2" s="2"/>
    </row>
    <row r="3" spans="1:74" s="6" customFormat="1" ht="11.25" customHeight="1">
      <c r="A3" s="536" t="s">
        <v>6</v>
      </c>
      <c r="B3" s="536" t="s">
        <v>7</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33">
        <v>2014</v>
      </c>
      <c r="AF3" s="534"/>
      <c r="AG3" s="534"/>
      <c r="AH3" s="535"/>
      <c r="AI3" s="540">
        <v>2015</v>
      </c>
      <c r="AJ3" s="534"/>
      <c r="AK3" s="534"/>
      <c r="AL3" s="535"/>
      <c r="AM3" s="540">
        <v>2016</v>
      </c>
      <c r="AN3" s="534"/>
      <c r="AO3" s="534"/>
      <c r="AP3" s="535"/>
      <c r="AQ3" s="594">
        <v>2017</v>
      </c>
      <c r="AR3" s="595"/>
      <c r="AS3" s="595"/>
      <c r="AT3" s="595"/>
      <c r="AU3" s="602">
        <v>2018</v>
      </c>
      <c r="AV3" s="603"/>
      <c r="AW3" s="603"/>
      <c r="AX3" s="539"/>
      <c r="AY3" s="602">
        <v>2019</v>
      </c>
      <c r="AZ3" s="603"/>
      <c r="BA3" s="603"/>
      <c r="BB3" s="539"/>
      <c r="BC3" s="602">
        <v>2020</v>
      </c>
      <c r="BD3" s="603"/>
      <c r="BE3" s="603"/>
      <c r="BF3" s="539"/>
      <c r="BG3" s="602">
        <v>2021</v>
      </c>
      <c r="BH3" s="603"/>
      <c r="BI3" s="603"/>
      <c r="BJ3" s="539"/>
      <c r="BK3" s="602">
        <v>2022</v>
      </c>
      <c r="BL3" s="603"/>
      <c r="BM3" s="603"/>
      <c r="BN3" s="539"/>
      <c r="BO3" s="602">
        <v>2023</v>
      </c>
      <c r="BP3" s="603"/>
      <c r="BQ3" s="603"/>
      <c r="BR3" s="539"/>
      <c r="BS3" s="602">
        <v>2024</v>
      </c>
      <c r="BT3" s="603"/>
      <c r="BU3" s="603"/>
      <c r="BV3" s="539"/>
    </row>
    <row r="4" spans="1:74" s="6" customFormat="1" ht="11.25" customHeight="1">
      <c r="A4" s="537"/>
      <c r="B4" s="537"/>
      <c r="C4" s="11" t="s">
        <v>8</v>
      </c>
      <c r="D4" s="12" t="s">
        <v>9</v>
      </c>
      <c r="E4" s="12" t="s">
        <v>10</v>
      </c>
      <c r="F4" s="12" t="s">
        <v>11</v>
      </c>
      <c r="G4" s="11" t="s">
        <v>8</v>
      </c>
      <c r="H4" s="12" t="s">
        <v>9</v>
      </c>
      <c r="I4" s="12" t="s">
        <v>10</v>
      </c>
      <c r="J4" s="13" t="s">
        <v>11</v>
      </c>
      <c r="K4" s="11" t="s">
        <v>8</v>
      </c>
      <c r="L4" s="12" t="s">
        <v>9</v>
      </c>
      <c r="M4" s="12" t="s">
        <v>10</v>
      </c>
      <c r="N4" s="13" t="s">
        <v>11</v>
      </c>
      <c r="O4" s="11" t="s">
        <v>8</v>
      </c>
      <c r="P4" s="12" t="s">
        <v>9</v>
      </c>
      <c r="Q4" s="12" t="s">
        <v>10</v>
      </c>
      <c r="R4" s="13" t="s">
        <v>11</v>
      </c>
      <c r="S4" s="11" t="s">
        <v>8</v>
      </c>
      <c r="T4" s="12" t="s">
        <v>9</v>
      </c>
      <c r="U4" s="12" t="s">
        <v>10</v>
      </c>
      <c r="V4" s="13" t="s">
        <v>11</v>
      </c>
      <c r="W4" s="11" t="s">
        <v>8</v>
      </c>
      <c r="X4" s="12" t="s">
        <v>9</v>
      </c>
      <c r="Y4" s="12" t="s">
        <v>10</v>
      </c>
      <c r="Z4" s="13" t="s">
        <v>11</v>
      </c>
      <c r="AA4" s="14" t="s">
        <v>8</v>
      </c>
      <c r="AB4" s="14" t="s">
        <v>9</v>
      </c>
      <c r="AC4" s="14" t="s">
        <v>10</v>
      </c>
      <c r="AD4" s="13" t="s">
        <v>11</v>
      </c>
      <c r="AE4" s="15" t="s">
        <v>8</v>
      </c>
      <c r="AF4" s="14" t="s">
        <v>9</v>
      </c>
      <c r="AG4" s="14" t="s">
        <v>10</v>
      </c>
      <c r="AH4" s="16" t="s">
        <v>11</v>
      </c>
      <c r="AI4" s="14" t="s">
        <v>8</v>
      </c>
      <c r="AJ4" s="14" t="s">
        <v>9</v>
      </c>
      <c r="AK4" s="14" t="s">
        <v>10</v>
      </c>
      <c r="AL4" s="16" t="s">
        <v>11</v>
      </c>
      <c r="AM4" s="14" t="s">
        <v>8</v>
      </c>
      <c r="AN4" s="14" t="s">
        <v>9</v>
      </c>
      <c r="AO4" s="14" t="s">
        <v>10</v>
      </c>
      <c r="AP4" s="16" t="s">
        <v>11</v>
      </c>
      <c r="AQ4" s="15" t="s">
        <v>8</v>
      </c>
      <c r="AR4" s="14" t="s">
        <v>9</v>
      </c>
      <c r="AS4" s="14" t="s">
        <v>10</v>
      </c>
      <c r="AT4" s="14" t="s">
        <v>11</v>
      </c>
      <c r="AU4" s="15" t="s">
        <v>8</v>
      </c>
      <c r="AV4" s="14" t="s">
        <v>9</v>
      </c>
      <c r="AW4" s="14" t="s">
        <v>10</v>
      </c>
      <c r="AX4" s="14" t="s">
        <v>11</v>
      </c>
      <c r="AY4" s="15" t="s">
        <v>8</v>
      </c>
      <c r="AZ4" s="14" t="s">
        <v>9</v>
      </c>
      <c r="BA4" s="14" t="s">
        <v>10</v>
      </c>
      <c r="BB4" s="14" t="s">
        <v>11</v>
      </c>
      <c r="BC4" s="15" t="s">
        <v>8</v>
      </c>
      <c r="BD4" s="14" t="s">
        <v>9</v>
      </c>
      <c r="BE4" s="14" t="s">
        <v>10</v>
      </c>
      <c r="BF4" s="14" t="s">
        <v>11</v>
      </c>
      <c r="BG4" s="15" t="s">
        <v>8</v>
      </c>
      <c r="BH4" s="14" t="s">
        <v>9</v>
      </c>
      <c r="BI4" s="14" t="s">
        <v>10</v>
      </c>
      <c r="BJ4" s="14" t="s">
        <v>11</v>
      </c>
      <c r="BK4" s="15" t="s">
        <v>8</v>
      </c>
      <c r="BL4" s="14" t="s">
        <v>9</v>
      </c>
      <c r="BM4" s="14" t="s">
        <v>10</v>
      </c>
      <c r="BN4" s="14" t="s">
        <v>11</v>
      </c>
      <c r="BO4" s="15" t="s">
        <v>8</v>
      </c>
      <c r="BP4" s="14" t="s">
        <v>9</v>
      </c>
      <c r="BQ4" s="14" t="s">
        <v>10</v>
      </c>
      <c r="BR4" s="14" t="s">
        <v>11</v>
      </c>
      <c r="BS4" s="15" t="s">
        <v>8</v>
      </c>
      <c r="BT4" s="14" t="s">
        <v>9</v>
      </c>
      <c r="BU4" s="14" t="s">
        <v>10</v>
      </c>
      <c r="BV4" s="14" t="s">
        <v>11</v>
      </c>
    </row>
    <row r="5" spans="1:74" s="6" customFormat="1" ht="12.75" customHeight="1">
      <c r="A5" s="17" t="s">
        <v>12</v>
      </c>
      <c r="B5" s="17" t="s">
        <v>13</v>
      </c>
      <c r="C5" s="18"/>
      <c r="D5" s="19"/>
      <c r="E5" s="20"/>
      <c r="F5" s="19"/>
      <c r="G5" s="18"/>
      <c r="H5" s="19"/>
      <c r="I5" s="20"/>
      <c r="J5" s="21"/>
      <c r="K5" s="18"/>
      <c r="L5" s="19"/>
      <c r="M5" s="20"/>
      <c r="N5" s="21"/>
      <c r="O5" s="18"/>
      <c r="P5" s="19"/>
      <c r="Q5" s="20"/>
      <c r="R5" s="21"/>
      <c r="S5" s="22"/>
      <c r="T5" s="23"/>
      <c r="U5" s="17"/>
      <c r="V5" s="24"/>
      <c r="W5" s="22"/>
      <c r="X5" s="17"/>
      <c r="Y5" s="17"/>
      <c r="Z5" s="25"/>
      <c r="AA5" s="17"/>
      <c r="AB5" s="17"/>
      <c r="AC5" s="17"/>
      <c r="AD5" s="25"/>
      <c r="AE5" s="22"/>
      <c r="AF5" s="17"/>
      <c r="AG5" s="17"/>
      <c r="AH5" s="25"/>
      <c r="AI5" s="17"/>
      <c r="AJ5" s="17"/>
      <c r="AK5" s="17"/>
      <c r="AL5" s="25"/>
      <c r="AM5" s="17"/>
      <c r="AN5" s="17"/>
      <c r="AO5" s="17"/>
      <c r="AP5" s="25"/>
      <c r="AQ5" s="22"/>
      <c r="AR5" s="17"/>
      <c r="AS5" s="17"/>
      <c r="AT5" s="17"/>
      <c r="AU5" s="22"/>
      <c r="AV5" s="17"/>
      <c r="AW5" s="17"/>
      <c r="AX5" s="17"/>
      <c r="AY5" s="22"/>
      <c r="AZ5" s="17"/>
      <c r="BA5" s="17"/>
      <c r="BB5" s="17"/>
      <c r="BC5" s="22"/>
      <c r="BD5" s="17"/>
      <c r="BE5" s="17"/>
      <c r="BF5" s="17"/>
      <c r="BG5" s="22"/>
      <c r="BH5" s="17"/>
      <c r="BI5" s="17"/>
      <c r="BJ5" s="17"/>
      <c r="BK5" s="22"/>
      <c r="BL5" s="17"/>
      <c r="BM5" s="17"/>
      <c r="BN5" s="17"/>
      <c r="BO5" s="22"/>
      <c r="BP5" s="17"/>
      <c r="BQ5" s="17"/>
      <c r="BR5" s="17"/>
      <c r="BS5" s="22"/>
    </row>
    <row r="6" spans="1:74" s="33" customFormat="1" ht="11.4" thickBot="1">
      <c r="A6" s="26" t="s">
        <v>14</v>
      </c>
      <c r="B6" s="26" t="s">
        <v>15</v>
      </c>
      <c r="C6" s="27"/>
      <c r="D6" s="28"/>
      <c r="E6" s="28"/>
      <c r="F6" s="29"/>
      <c r="G6" s="27"/>
      <c r="H6" s="28"/>
      <c r="I6" s="28"/>
      <c r="J6" s="29"/>
      <c r="K6" s="28"/>
      <c r="L6" s="28"/>
      <c r="M6" s="28"/>
      <c r="N6" s="28"/>
      <c r="O6" s="27"/>
      <c r="P6" s="28"/>
      <c r="Q6" s="28"/>
      <c r="R6" s="29"/>
      <c r="S6" s="30"/>
      <c r="T6" s="30"/>
      <c r="U6" s="30"/>
      <c r="V6" s="30"/>
      <c r="W6" s="31"/>
      <c r="X6" s="30"/>
      <c r="Y6" s="30"/>
      <c r="Z6" s="32"/>
      <c r="AA6" s="30"/>
      <c r="AB6" s="30"/>
      <c r="AC6" s="30"/>
      <c r="AD6" s="25"/>
      <c r="AE6" s="22"/>
      <c r="AF6" s="17"/>
      <c r="AG6" s="17"/>
      <c r="AH6" s="25"/>
      <c r="AI6" s="17"/>
      <c r="AJ6" s="17"/>
      <c r="AK6" s="17"/>
      <c r="AL6" s="25"/>
      <c r="AM6" s="17"/>
      <c r="AN6" s="17"/>
      <c r="AO6" s="17"/>
      <c r="AP6" s="25"/>
      <c r="AQ6" s="22"/>
      <c r="AR6" s="17"/>
      <c r="AS6" s="17"/>
      <c r="AT6" s="17"/>
      <c r="AU6" s="22"/>
      <c r="AV6" s="17"/>
      <c r="AW6" s="17"/>
      <c r="AX6" s="17"/>
      <c r="AY6" s="22"/>
      <c r="AZ6" s="17"/>
      <c r="BA6" s="17"/>
      <c r="BB6" s="17"/>
      <c r="BC6" s="22"/>
      <c r="BD6" s="17"/>
      <c r="BE6" s="17"/>
      <c r="BF6" s="17"/>
      <c r="BG6" s="22"/>
      <c r="BH6" s="17"/>
      <c r="BI6" s="17"/>
      <c r="BJ6" s="17"/>
      <c r="BK6" s="22"/>
      <c r="BL6" s="17"/>
      <c r="BM6" s="17"/>
      <c r="BN6" s="17"/>
      <c r="BO6" s="22"/>
      <c r="BP6" s="17"/>
      <c r="BQ6" s="17"/>
      <c r="BR6" s="17"/>
      <c r="BS6" s="22"/>
    </row>
    <row r="7" spans="1:74" s="78" customFormat="1" ht="22.2" thickBot="1">
      <c r="A7" s="73" t="s">
        <v>290</v>
      </c>
      <c r="B7" s="74" t="s">
        <v>49</v>
      </c>
      <c r="C7" s="75"/>
      <c r="D7" s="76"/>
      <c r="E7" s="76"/>
      <c r="F7" s="77"/>
      <c r="G7" s="75"/>
      <c r="H7" s="76"/>
      <c r="I7" s="76"/>
      <c r="J7" s="77"/>
      <c r="K7" s="76"/>
      <c r="L7" s="76"/>
      <c r="M7" s="76"/>
      <c r="N7" s="76"/>
      <c r="O7" s="75"/>
      <c r="P7" s="76"/>
      <c r="Q7" s="76"/>
      <c r="R7" s="77"/>
      <c r="S7" s="76"/>
      <c r="T7" s="76"/>
      <c r="U7" s="76"/>
      <c r="V7" s="76"/>
      <c r="W7" s="75"/>
      <c r="X7" s="76"/>
      <c r="Y7" s="76"/>
      <c r="Z7" s="77"/>
      <c r="AA7" s="76"/>
      <c r="AB7" s="76"/>
      <c r="AC7" s="76"/>
      <c r="AD7" s="77"/>
      <c r="AE7" s="75"/>
      <c r="AF7" s="76"/>
      <c r="AG7" s="76"/>
      <c r="AH7" s="77"/>
      <c r="AI7" s="76"/>
      <c r="AJ7" s="76"/>
      <c r="AK7" s="76"/>
      <c r="AL7" s="77"/>
      <c r="AM7" s="76"/>
      <c r="AN7" s="76"/>
      <c r="AO7" s="76"/>
      <c r="AP7" s="77">
        <f t="shared" ref="AP7:BJ7" si="0">SUM(AP8:AP10)</f>
        <v>9193.6000000000022</v>
      </c>
      <c r="AQ7" s="75">
        <f t="shared" si="0"/>
        <v>9227.4</v>
      </c>
      <c r="AR7" s="76">
        <f t="shared" si="0"/>
        <v>10184.4</v>
      </c>
      <c r="AS7" s="76">
        <f t="shared" si="0"/>
        <v>10217.6</v>
      </c>
      <c r="AT7" s="76">
        <f t="shared" si="0"/>
        <v>10911.199999999999</v>
      </c>
      <c r="AU7" s="75">
        <f t="shared" si="0"/>
        <v>10982.8</v>
      </c>
      <c r="AV7" s="76">
        <f t="shared" si="0"/>
        <v>11215.3</v>
      </c>
      <c r="AW7" s="76">
        <f t="shared" si="0"/>
        <v>11741.7</v>
      </c>
      <c r="AX7" s="76">
        <f t="shared" si="0"/>
        <v>11933.800000000003</v>
      </c>
      <c r="AY7" s="75">
        <f t="shared" si="0"/>
        <v>12732</v>
      </c>
      <c r="AZ7" s="76">
        <f t="shared" si="0"/>
        <v>12811.199999999999</v>
      </c>
      <c r="BA7" s="76">
        <f t="shared" si="0"/>
        <v>13316.2</v>
      </c>
      <c r="BB7" s="76">
        <f t="shared" si="0"/>
        <v>14591.699999999997</v>
      </c>
      <c r="BC7" s="75">
        <f t="shared" si="0"/>
        <v>14328.5</v>
      </c>
      <c r="BD7" s="76">
        <f t="shared" si="0"/>
        <v>16136.856604525643</v>
      </c>
      <c r="BE7" s="76">
        <f t="shared" si="0"/>
        <v>16216.395588469195</v>
      </c>
      <c r="BF7" s="76">
        <f t="shared" si="0"/>
        <v>17220.300000000003</v>
      </c>
      <c r="BG7" s="75">
        <f t="shared" si="0"/>
        <v>17268.400000000001</v>
      </c>
      <c r="BH7" s="76">
        <f t="shared" si="0"/>
        <v>17536.599999999999</v>
      </c>
      <c r="BI7" s="76">
        <f t="shared" si="0"/>
        <v>17590.099999999999</v>
      </c>
      <c r="BJ7" s="76">
        <f t="shared" si="0"/>
        <v>16846.599999999999</v>
      </c>
      <c r="BK7" s="75">
        <f t="shared" ref="BK7:BP7" si="1">SUM(BK8:BK10)</f>
        <v>16486.199999999997</v>
      </c>
      <c r="BL7" s="76">
        <f t="shared" si="1"/>
        <v>15878.400000000001</v>
      </c>
      <c r="BM7" s="76">
        <f t="shared" si="1"/>
        <v>16120</v>
      </c>
      <c r="BN7" s="76">
        <f t="shared" si="1"/>
        <v>17796.2</v>
      </c>
      <c r="BO7" s="75">
        <f t="shared" si="1"/>
        <v>17737.700000000004</v>
      </c>
      <c r="BP7" s="76">
        <f t="shared" si="1"/>
        <v>17839.400000000005</v>
      </c>
      <c r="BQ7" s="76">
        <f>SUM(BQ8:BQ10)</f>
        <v>17722.000000000004</v>
      </c>
      <c r="BR7" s="76">
        <f>SUM(BR8:BR10)</f>
        <v>19029.600000000006</v>
      </c>
      <c r="BS7" s="75">
        <f>SUM(BS8:BS10)</f>
        <v>19203.900000000001</v>
      </c>
    </row>
    <row r="8" spans="1:74" s="78" customFormat="1" ht="10.8">
      <c r="A8" s="84" t="s">
        <v>50</v>
      </c>
      <c r="B8" s="80" t="s">
        <v>51</v>
      </c>
      <c r="C8" s="48"/>
      <c r="D8" s="47"/>
      <c r="E8" s="47"/>
      <c r="F8" s="49"/>
      <c r="G8" s="48"/>
      <c r="H8" s="47"/>
      <c r="I8" s="47"/>
      <c r="J8" s="49"/>
      <c r="K8" s="47"/>
      <c r="L8" s="47"/>
      <c r="M8" s="47"/>
      <c r="N8" s="47"/>
      <c r="O8" s="48"/>
      <c r="P8" s="47"/>
      <c r="Q8" s="47"/>
      <c r="R8" s="49"/>
      <c r="S8" s="47"/>
      <c r="T8" s="47"/>
      <c r="U8" s="47"/>
      <c r="V8" s="47"/>
      <c r="W8" s="48"/>
      <c r="X8" s="47"/>
      <c r="Y8" s="47"/>
      <c r="Z8" s="49"/>
      <c r="AA8" s="47"/>
      <c r="AB8" s="47"/>
      <c r="AC8" s="47"/>
      <c r="AD8" s="49"/>
      <c r="AE8" s="48"/>
      <c r="AF8" s="47"/>
      <c r="AG8" s="47"/>
      <c r="AH8" s="49"/>
      <c r="AI8" s="47"/>
      <c r="AJ8" s="47"/>
      <c r="AK8" s="47"/>
      <c r="AL8" s="49"/>
      <c r="AM8" s="47"/>
      <c r="AN8" s="47"/>
      <c r="AO8" s="47"/>
      <c r="AP8" s="83">
        <v>8553.1000000000022</v>
      </c>
      <c r="AQ8" s="48">
        <v>8606.5</v>
      </c>
      <c r="AR8" s="47">
        <v>9565.1999999999989</v>
      </c>
      <c r="AS8" s="47">
        <v>9587.1</v>
      </c>
      <c r="AT8" s="47">
        <v>10299.099999999999</v>
      </c>
      <c r="AU8" s="48">
        <v>10351.5</v>
      </c>
      <c r="AV8" s="47">
        <v>10561.099999999999</v>
      </c>
      <c r="AW8" s="47">
        <v>11101</v>
      </c>
      <c r="AX8" s="47">
        <v>11288.800000000003</v>
      </c>
      <c r="AY8" s="48">
        <v>11657</v>
      </c>
      <c r="AZ8" s="47">
        <v>11748.199999999999</v>
      </c>
      <c r="BA8" s="47">
        <v>12222.800000000001</v>
      </c>
      <c r="BB8" s="47">
        <v>12462.399999999998</v>
      </c>
      <c r="BC8" s="48">
        <v>12052.3</v>
      </c>
      <c r="BD8" s="47">
        <v>13903.856604525643</v>
      </c>
      <c r="BE8" s="47">
        <v>13952.995588469195</v>
      </c>
      <c r="BF8" s="47">
        <v>14912.900000000003</v>
      </c>
      <c r="BG8" s="81">
        <v>14951.7</v>
      </c>
      <c r="BH8" s="47">
        <v>15322.399999999998</v>
      </c>
      <c r="BI8" s="47">
        <v>15356.599999999999</v>
      </c>
      <c r="BJ8" s="47">
        <v>15124.999999999998</v>
      </c>
      <c r="BK8" s="81">
        <v>14762.499999999996</v>
      </c>
      <c r="BL8" s="47">
        <v>14196.7</v>
      </c>
      <c r="BM8" s="47">
        <v>14414.7</v>
      </c>
      <c r="BN8" s="47">
        <v>16154.800000000001</v>
      </c>
      <c r="BO8" s="81">
        <v>16101.300000000005</v>
      </c>
      <c r="BP8" s="47">
        <v>16281.800000000005</v>
      </c>
      <c r="BQ8" s="47">
        <v>16099.500000000004</v>
      </c>
      <c r="BR8" s="47">
        <v>17506.100000000006</v>
      </c>
      <c r="BS8" s="48">
        <v>17734.600000000002</v>
      </c>
      <c r="BT8" s="41"/>
    </row>
    <row r="9" spans="1:74" s="858" customFormat="1" ht="10.8" hidden="1">
      <c r="A9" s="857" t="s">
        <v>291</v>
      </c>
      <c r="B9" s="859" t="s">
        <v>292</v>
      </c>
      <c r="C9" s="709"/>
      <c r="D9" s="715"/>
      <c r="E9" s="715"/>
      <c r="F9" s="717"/>
      <c r="G9" s="709"/>
      <c r="H9" s="715"/>
      <c r="I9" s="715"/>
      <c r="J9" s="717"/>
      <c r="K9" s="715"/>
      <c r="L9" s="715"/>
      <c r="M9" s="715"/>
      <c r="N9" s="715"/>
      <c r="O9" s="709"/>
      <c r="P9" s="715"/>
      <c r="Q9" s="715"/>
      <c r="R9" s="717"/>
      <c r="S9" s="715"/>
      <c r="T9" s="715"/>
      <c r="U9" s="715"/>
      <c r="V9" s="715"/>
      <c r="W9" s="709"/>
      <c r="X9" s="715"/>
      <c r="Y9" s="715"/>
      <c r="Z9" s="717"/>
      <c r="AA9" s="715"/>
      <c r="AB9" s="715"/>
      <c r="AC9" s="715"/>
      <c r="AD9" s="717"/>
      <c r="AE9" s="709"/>
      <c r="AF9" s="715"/>
      <c r="AG9" s="715"/>
      <c r="AH9" s="717"/>
      <c r="AI9" s="715"/>
      <c r="AJ9" s="715"/>
      <c r="AK9" s="715"/>
      <c r="AL9" s="717"/>
      <c r="AM9" s="715"/>
      <c r="AN9" s="715"/>
      <c r="AO9" s="715"/>
      <c r="AP9" s="860"/>
      <c r="AQ9" s="709"/>
      <c r="AR9" s="715"/>
      <c r="AS9" s="715"/>
      <c r="AT9" s="715"/>
      <c r="AU9" s="709"/>
      <c r="AV9" s="715"/>
      <c r="AW9" s="715"/>
      <c r="AX9" s="715"/>
      <c r="AY9" s="709"/>
      <c r="AZ9" s="715"/>
      <c r="BA9" s="715"/>
      <c r="BB9" s="715"/>
      <c r="BC9" s="709"/>
      <c r="BD9" s="715"/>
      <c r="BE9" s="715"/>
      <c r="BF9" s="715"/>
      <c r="BG9" s="861"/>
      <c r="BH9" s="715"/>
      <c r="BI9" s="715"/>
      <c r="BJ9" s="715"/>
      <c r="BK9" s="861"/>
      <c r="BL9" s="715"/>
      <c r="BM9" s="715"/>
      <c r="BN9" s="715"/>
      <c r="BO9" s="861"/>
      <c r="BP9" s="715"/>
      <c r="BQ9" s="715"/>
      <c r="BR9" s="715"/>
      <c r="BS9" s="709"/>
      <c r="BT9" s="862"/>
    </row>
    <row r="10" spans="1:74" s="78" customFormat="1" ht="10.8">
      <c r="A10" s="84" t="s">
        <v>52</v>
      </c>
      <c r="B10" s="80" t="s">
        <v>53</v>
      </c>
      <c r="C10" s="48"/>
      <c r="D10" s="47"/>
      <c r="E10" s="47"/>
      <c r="F10" s="49"/>
      <c r="G10" s="48"/>
      <c r="H10" s="47"/>
      <c r="I10" s="47"/>
      <c r="J10" s="49"/>
      <c r="K10" s="47"/>
      <c r="L10" s="47"/>
      <c r="M10" s="47"/>
      <c r="N10" s="47"/>
      <c r="O10" s="48"/>
      <c r="P10" s="47"/>
      <c r="Q10" s="47"/>
      <c r="R10" s="49"/>
      <c r="S10" s="47"/>
      <c r="T10" s="47"/>
      <c r="U10" s="47"/>
      <c r="V10" s="47"/>
      <c r="W10" s="48"/>
      <c r="X10" s="47"/>
      <c r="Y10" s="47"/>
      <c r="Z10" s="49"/>
      <c r="AA10" s="47"/>
      <c r="AB10" s="47"/>
      <c r="AC10" s="47"/>
      <c r="AD10" s="49"/>
      <c r="AE10" s="48"/>
      <c r="AF10" s="47"/>
      <c r="AG10" s="47"/>
      <c r="AH10" s="49"/>
      <c r="AI10" s="47"/>
      <c r="AJ10" s="47"/>
      <c r="AK10" s="47"/>
      <c r="AL10" s="49"/>
      <c r="AM10" s="47"/>
      <c r="AN10" s="47"/>
      <c r="AO10" s="47"/>
      <c r="AP10" s="83">
        <v>640.5</v>
      </c>
      <c r="AQ10" s="48">
        <v>620.9</v>
      </c>
      <c r="AR10" s="47">
        <v>619.20000000000005</v>
      </c>
      <c r="AS10" s="47">
        <v>630.5</v>
      </c>
      <c r="AT10" s="47">
        <v>612.1</v>
      </c>
      <c r="AU10" s="48">
        <v>631.29999999999995</v>
      </c>
      <c r="AV10" s="47">
        <v>654.20000000000005</v>
      </c>
      <c r="AW10" s="47">
        <v>640.70000000000005</v>
      </c>
      <c r="AX10" s="47">
        <v>645</v>
      </c>
      <c r="AY10" s="48">
        <v>1075</v>
      </c>
      <c r="AZ10" s="47">
        <v>1063</v>
      </c>
      <c r="BA10" s="47">
        <v>1093.4000000000001</v>
      </c>
      <c r="BB10" s="47">
        <v>2129.3000000000002</v>
      </c>
      <c r="BC10" s="48">
        <v>2276.1999999999998</v>
      </c>
      <c r="BD10" s="47">
        <v>2233</v>
      </c>
      <c r="BE10" s="47">
        <v>2263.4</v>
      </c>
      <c r="BF10" s="47">
        <v>2307.4</v>
      </c>
      <c r="BG10" s="81">
        <v>2316.6999999999998</v>
      </c>
      <c r="BH10" s="47">
        <v>2214.1999999999998</v>
      </c>
      <c r="BI10" s="47">
        <v>2233.5</v>
      </c>
      <c r="BJ10" s="47">
        <v>1721.6</v>
      </c>
      <c r="BK10" s="81">
        <v>1723.7</v>
      </c>
      <c r="BL10" s="47">
        <v>1681.7</v>
      </c>
      <c r="BM10" s="47">
        <v>1705.3000000000002</v>
      </c>
      <c r="BN10" s="47">
        <v>1641.4</v>
      </c>
      <c r="BO10" s="81">
        <v>1636.4</v>
      </c>
      <c r="BP10" s="47">
        <v>1557.6</v>
      </c>
      <c r="BQ10" s="47">
        <v>1622.5</v>
      </c>
      <c r="BR10" s="47">
        <v>1523.5</v>
      </c>
      <c r="BS10" s="48">
        <v>1469.3</v>
      </c>
      <c r="BT10" s="41"/>
    </row>
    <row r="11" spans="1:74" s="78" customFormat="1" ht="10.8">
      <c r="A11" s="84"/>
      <c r="B11" s="80"/>
      <c r="C11" s="48"/>
      <c r="D11" s="47"/>
      <c r="E11" s="47"/>
      <c r="F11" s="49"/>
      <c r="G11" s="48"/>
      <c r="H11" s="47"/>
      <c r="I11" s="47"/>
      <c r="J11" s="49"/>
      <c r="K11" s="47"/>
      <c r="L11" s="47"/>
      <c r="M11" s="47"/>
      <c r="N11" s="47"/>
      <c r="O11" s="48"/>
      <c r="P11" s="47"/>
      <c r="Q11" s="47"/>
      <c r="R11" s="49"/>
      <c r="S11" s="47"/>
      <c r="T11" s="47"/>
      <c r="U11" s="47"/>
      <c r="V11" s="47"/>
      <c r="W11" s="48"/>
      <c r="X11" s="47"/>
      <c r="Y11" s="47"/>
      <c r="Z11" s="49"/>
      <c r="AA11" s="47"/>
      <c r="AB11" s="47"/>
      <c r="AC11" s="47"/>
      <c r="AD11" s="49"/>
      <c r="AE11" s="48"/>
      <c r="AF11" s="47"/>
      <c r="AG11" s="47"/>
      <c r="AH11" s="49"/>
      <c r="AI11" s="47"/>
      <c r="AJ11" s="47"/>
      <c r="AK11" s="47"/>
      <c r="AL11" s="49"/>
      <c r="AM11" s="47"/>
      <c r="AN11" s="47"/>
      <c r="AO11" s="47"/>
      <c r="AP11" s="83"/>
      <c r="AQ11" s="48"/>
      <c r="AR11" s="47"/>
      <c r="AS11" s="47"/>
      <c r="AT11" s="47"/>
      <c r="AU11" s="48"/>
      <c r="AV11" s="47"/>
      <c r="AW11" s="47"/>
      <c r="AX11" s="47"/>
      <c r="AY11" s="48"/>
      <c r="AZ11" s="47"/>
      <c r="BA11" s="47"/>
      <c r="BB11" s="47"/>
      <c r="BC11" s="48"/>
      <c r="BD11" s="47"/>
      <c r="BE11" s="47"/>
      <c r="BF11" s="47"/>
      <c r="BG11" s="81"/>
      <c r="BH11" s="47"/>
      <c r="BI11" s="47"/>
      <c r="BJ11" s="47"/>
      <c r="BK11" s="81"/>
      <c r="BL11" s="47"/>
      <c r="BM11" s="47"/>
      <c r="BN11" s="47"/>
      <c r="BO11" s="81"/>
      <c r="BP11" s="47"/>
      <c r="BQ11" s="47"/>
      <c r="BR11" s="47"/>
      <c r="BS11" s="48"/>
      <c r="BT11" s="41"/>
    </row>
    <row r="12" spans="1:74" s="78" customFormat="1" ht="10.8">
      <c r="A12" s="84"/>
      <c r="B12" s="84"/>
      <c r="C12" s="85"/>
      <c r="D12" s="86"/>
      <c r="E12" s="86"/>
      <c r="F12" s="87"/>
      <c r="G12" s="85"/>
      <c r="H12" s="86"/>
      <c r="I12" s="86"/>
      <c r="J12" s="87"/>
      <c r="K12" s="86"/>
      <c r="L12" s="86"/>
      <c r="M12" s="86"/>
      <c r="N12" s="86"/>
      <c r="O12" s="85"/>
      <c r="P12" s="86"/>
      <c r="Q12" s="86"/>
      <c r="R12" s="87"/>
      <c r="S12" s="86"/>
      <c r="T12" s="86"/>
      <c r="U12" s="86"/>
      <c r="V12" s="86"/>
      <c r="W12" s="85"/>
      <c r="X12" s="86"/>
      <c r="Y12" s="86"/>
      <c r="Z12" s="87"/>
      <c r="AA12" s="86"/>
      <c r="AB12" s="86"/>
      <c r="AC12" s="86"/>
      <c r="AD12" s="87"/>
      <c r="AE12" s="85"/>
      <c r="AF12" s="86"/>
      <c r="AG12" s="86"/>
      <c r="AH12" s="87"/>
      <c r="AI12" s="86"/>
      <c r="AJ12" s="86"/>
      <c r="AK12" s="86"/>
      <c r="AL12" s="87"/>
      <c r="AM12" s="86"/>
      <c r="AN12" s="86"/>
      <c r="AO12" s="86"/>
      <c r="AP12" s="87"/>
      <c r="AQ12" s="85"/>
      <c r="AR12" s="86"/>
      <c r="AS12" s="86"/>
      <c r="AT12" s="86"/>
      <c r="AU12" s="85"/>
      <c r="AV12" s="86"/>
      <c r="AW12" s="86"/>
      <c r="AX12" s="86"/>
      <c r="AY12" s="85"/>
      <c r="AZ12" s="86"/>
      <c r="BA12" s="86"/>
      <c r="BB12" s="86"/>
      <c r="BC12" s="85"/>
      <c r="BD12" s="86"/>
      <c r="BE12" s="86"/>
      <c r="BF12" s="86"/>
      <c r="BG12" s="85"/>
      <c r="BH12" s="86"/>
      <c r="BI12" s="86"/>
      <c r="BJ12" s="86"/>
      <c r="BK12" s="85"/>
      <c r="BL12" s="86"/>
      <c r="BM12" s="86"/>
      <c r="BN12" s="86"/>
      <c r="BO12" s="85"/>
      <c r="BP12" s="86"/>
      <c r="BQ12" s="86"/>
      <c r="BR12" s="86"/>
      <c r="BS12" s="85"/>
    </row>
    <row r="13" spans="1:74" s="33" customFormat="1" ht="21" customHeight="1" thickBot="1">
      <c r="A13" s="26" t="s">
        <v>58</v>
      </c>
      <c r="B13" s="26" t="s">
        <v>59</v>
      </c>
      <c r="C13" s="100"/>
      <c r="D13" s="101"/>
      <c r="E13" s="101"/>
      <c r="F13" s="102"/>
      <c r="G13" s="100"/>
      <c r="H13" s="101"/>
      <c r="I13" s="101"/>
      <c r="J13" s="102"/>
      <c r="K13" s="101"/>
      <c r="L13" s="101"/>
      <c r="M13" s="101"/>
      <c r="N13" s="101"/>
      <c r="O13" s="100"/>
      <c r="P13" s="101"/>
      <c r="Q13" s="101"/>
      <c r="R13" s="102"/>
      <c r="S13" s="103"/>
      <c r="T13" s="103"/>
      <c r="U13" s="103"/>
      <c r="V13" s="103"/>
      <c r="W13" s="104"/>
      <c r="X13" s="103"/>
      <c r="Y13" s="103"/>
      <c r="Z13" s="105"/>
      <c r="AA13" s="103"/>
      <c r="AB13" s="103"/>
      <c r="AC13" s="103"/>
      <c r="AD13" s="105"/>
      <c r="AE13" s="104"/>
      <c r="AF13" s="103"/>
      <c r="AG13" s="103"/>
      <c r="AH13" s="105"/>
      <c r="AI13" s="103"/>
      <c r="AJ13" s="103"/>
      <c r="AK13" s="103"/>
      <c r="AL13" s="105"/>
      <c r="AM13" s="103"/>
      <c r="AN13" s="103"/>
      <c r="AO13" s="103"/>
      <c r="AP13" s="105"/>
      <c r="AQ13" s="104"/>
      <c r="AR13" s="103"/>
      <c r="AS13" s="103"/>
      <c r="AT13" s="103"/>
      <c r="AU13" s="104"/>
      <c r="AV13" s="103"/>
      <c r="AW13" s="103"/>
      <c r="AX13" s="103"/>
      <c r="AY13" s="104"/>
      <c r="AZ13" s="103"/>
      <c r="BA13" s="103"/>
      <c r="BB13" s="103"/>
      <c r="BC13" s="104"/>
      <c r="BD13" s="103"/>
      <c r="BE13" s="103"/>
      <c r="BF13" s="103"/>
      <c r="BG13" s="104"/>
      <c r="BH13" s="103"/>
      <c r="BI13" s="103"/>
      <c r="BJ13" s="103"/>
      <c r="BK13" s="104"/>
      <c r="BL13" s="103"/>
      <c r="BM13" s="103"/>
      <c r="BN13" s="103"/>
      <c r="BO13" s="104"/>
      <c r="BP13" s="103"/>
      <c r="BQ13" s="103"/>
      <c r="BR13" s="103"/>
      <c r="BS13" s="104"/>
    </row>
    <row r="14" spans="1:74" s="78" customFormat="1" ht="22.2" thickBot="1">
      <c r="A14" s="73" t="s">
        <v>78</v>
      </c>
      <c r="B14" s="73" t="s">
        <v>79</v>
      </c>
      <c r="C14" s="107"/>
      <c r="D14" s="108"/>
      <c r="E14" s="108"/>
      <c r="F14" s="109"/>
      <c r="G14" s="107"/>
      <c r="H14" s="108"/>
      <c r="I14" s="108"/>
      <c r="J14" s="109"/>
      <c r="K14" s="108"/>
      <c r="L14" s="108"/>
      <c r="M14" s="108"/>
      <c r="N14" s="108"/>
      <c r="O14" s="107"/>
      <c r="P14" s="108"/>
      <c r="Q14" s="108"/>
      <c r="R14" s="109"/>
      <c r="S14" s="108"/>
      <c r="T14" s="108"/>
      <c r="U14" s="108"/>
      <c r="V14" s="108"/>
      <c r="W14" s="107"/>
      <c r="X14" s="108"/>
      <c r="Y14" s="108"/>
      <c r="Z14" s="109"/>
      <c r="AA14" s="108"/>
      <c r="AB14" s="108"/>
      <c r="AC14" s="108"/>
      <c r="AD14" s="109"/>
      <c r="AE14" s="107"/>
      <c r="AF14" s="108"/>
      <c r="AG14" s="108"/>
      <c r="AH14" s="109"/>
      <c r="AI14" s="108"/>
      <c r="AJ14" s="108"/>
      <c r="AK14" s="108"/>
      <c r="AL14" s="109"/>
      <c r="AM14" s="108"/>
      <c r="AN14" s="108"/>
      <c r="AO14" s="108"/>
      <c r="AP14" s="109">
        <f t="shared" ref="AP14:BS14" si="2">SUM(AP15,AP16:AP19)</f>
        <v>4993.6000000000004</v>
      </c>
      <c r="AQ14" s="107">
        <f t="shared" si="2"/>
        <v>5165.4000000000005</v>
      </c>
      <c r="AR14" s="108">
        <f t="shared" si="2"/>
        <v>5330.8000000000011</v>
      </c>
      <c r="AS14" s="108">
        <f t="shared" si="2"/>
        <v>5432.5000000000009</v>
      </c>
      <c r="AT14" s="108">
        <f t="shared" si="2"/>
        <v>5223.0000000000009</v>
      </c>
      <c r="AU14" s="107">
        <f t="shared" si="2"/>
        <v>5475.5</v>
      </c>
      <c r="AV14" s="108">
        <f t="shared" si="2"/>
        <v>5888.7999999999993</v>
      </c>
      <c r="AW14" s="108">
        <f t="shared" si="2"/>
        <v>6164.5999999999995</v>
      </c>
      <c r="AX14" s="108">
        <f t="shared" si="2"/>
        <v>6128.4000000000005</v>
      </c>
      <c r="AY14" s="107">
        <f t="shared" si="2"/>
        <v>6437.5999999999995</v>
      </c>
      <c r="AZ14" s="108">
        <f t="shared" si="2"/>
        <v>6820.9000000000005</v>
      </c>
      <c r="BA14" s="108">
        <f t="shared" si="2"/>
        <v>6886.7</v>
      </c>
      <c r="BB14" s="108">
        <f t="shared" si="2"/>
        <v>6914.6</v>
      </c>
      <c r="BC14" s="107">
        <f t="shared" si="2"/>
        <v>7274.9</v>
      </c>
      <c r="BD14" s="108">
        <f t="shared" si="2"/>
        <v>7049.0999999999995</v>
      </c>
      <c r="BE14" s="108">
        <f t="shared" si="2"/>
        <v>6959.8</v>
      </c>
      <c r="BF14" s="108">
        <f t="shared" si="2"/>
        <v>7056.9</v>
      </c>
      <c r="BG14" s="107">
        <f t="shared" si="2"/>
        <v>7347</v>
      </c>
      <c r="BH14" s="108">
        <f t="shared" si="2"/>
        <v>7567.7</v>
      </c>
      <c r="BI14" s="108">
        <f t="shared" si="2"/>
        <v>7972.7</v>
      </c>
      <c r="BJ14" s="108">
        <f t="shared" si="2"/>
        <v>8396</v>
      </c>
      <c r="BK14" s="107">
        <f t="shared" si="2"/>
        <v>8552.1</v>
      </c>
      <c r="BL14" s="108">
        <f t="shared" si="2"/>
        <v>8632.4999999999982</v>
      </c>
      <c r="BM14" s="108">
        <f t="shared" si="2"/>
        <v>8937.2000000000007</v>
      </c>
      <c r="BN14" s="108">
        <f t="shared" si="2"/>
        <v>8779.0999999999985</v>
      </c>
      <c r="BO14" s="107">
        <f t="shared" si="2"/>
        <v>8669.5</v>
      </c>
      <c r="BP14" s="108">
        <f t="shared" si="2"/>
        <v>8420.7000000000007</v>
      </c>
      <c r="BQ14" s="108">
        <f t="shared" si="2"/>
        <v>8559.4</v>
      </c>
      <c r="BR14" s="108">
        <f t="shared" si="2"/>
        <v>8743.5</v>
      </c>
      <c r="BS14" s="107">
        <f t="shared" si="2"/>
        <v>9063.6</v>
      </c>
    </row>
    <row r="15" spans="1:74" s="78" customFormat="1" ht="10.8">
      <c r="A15" s="84" t="s">
        <v>60</v>
      </c>
      <c r="B15" s="80" t="s">
        <v>61</v>
      </c>
      <c r="C15" s="44"/>
      <c r="D15" s="45"/>
      <c r="E15" s="45"/>
      <c r="F15" s="46"/>
      <c r="G15" s="44"/>
      <c r="H15" s="45"/>
      <c r="I15" s="45"/>
      <c r="J15" s="46"/>
      <c r="K15" s="45"/>
      <c r="L15" s="45"/>
      <c r="M15" s="45"/>
      <c r="N15" s="45"/>
      <c r="O15" s="44"/>
      <c r="P15" s="45"/>
      <c r="Q15" s="45"/>
      <c r="R15" s="46"/>
      <c r="S15" s="47"/>
      <c r="T15" s="47"/>
      <c r="U15" s="47"/>
      <c r="V15" s="47"/>
      <c r="W15" s="48"/>
      <c r="X15" s="47"/>
      <c r="Y15" s="47"/>
      <c r="Z15" s="49"/>
      <c r="AA15" s="47"/>
      <c r="AB15" s="47"/>
      <c r="AC15" s="47"/>
      <c r="AD15" s="49"/>
      <c r="AE15" s="48"/>
      <c r="AF15" s="47"/>
      <c r="AG15" s="47"/>
      <c r="AH15" s="49"/>
      <c r="AI15" s="47"/>
      <c r="AJ15" s="47"/>
      <c r="AK15" s="47"/>
      <c r="AL15" s="49"/>
      <c r="AM15" s="47"/>
      <c r="AN15" s="47"/>
      <c r="AO15" s="47"/>
      <c r="AP15" s="49">
        <v>4121.5</v>
      </c>
      <c r="AQ15" s="48">
        <v>4261.1000000000004</v>
      </c>
      <c r="AR15" s="47">
        <v>4561</v>
      </c>
      <c r="AS15" s="47">
        <v>4775.8</v>
      </c>
      <c r="AT15" s="47">
        <v>4552.9000000000005</v>
      </c>
      <c r="AU15" s="48">
        <v>4738.6000000000004</v>
      </c>
      <c r="AV15" s="47">
        <v>5136</v>
      </c>
      <c r="AW15" s="47">
        <v>5434.3</v>
      </c>
      <c r="AX15" s="47">
        <v>5366.3</v>
      </c>
      <c r="AY15" s="48">
        <v>5590.3</v>
      </c>
      <c r="AZ15" s="47">
        <v>5957</v>
      </c>
      <c r="BA15" s="47">
        <v>6005.1</v>
      </c>
      <c r="BB15" s="47">
        <v>6054</v>
      </c>
      <c r="BC15" s="48">
        <v>6421.9</v>
      </c>
      <c r="BD15" s="47">
        <v>6221.2</v>
      </c>
      <c r="BE15" s="47">
        <v>6123.2</v>
      </c>
      <c r="BF15" s="47">
        <v>6170.5</v>
      </c>
      <c r="BG15" s="48">
        <v>6461</v>
      </c>
      <c r="BH15" s="47">
        <v>6650.3</v>
      </c>
      <c r="BI15" s="47">
        <v>7044.4</v>
      </c>
      <c r="BJ15" s="47">
        <v>7393.9</v>
      </c>
      <c r="BK15" s="48">
        <v>7577.6</v>
      </c>
      <c r="BL15" s="47">
        <v>7632.4</v>
      </c>
      <c r="BM15" s="47">
        <v>7910.4</v>
      </c>
      <c r="BN15" s="47">
        <v>7653.4</v>
      </c>
      <c r="BO15" s="48">
        <v>7565.4</v>
      </c>
      <c r="BP15" s="47">
        <v>7315.9</v>
      </c>
      <c r="BQ15" s="47">
        <v>7433.2</v>
      </c>
      <c r="BR15" s="47">
        <v>7388</v>
      </c>
      <c r="BS15" s="48">
        <v>7670.3</v>
      </c>
      <c r="BT15" s="41"/>
    </row>
    <row r="16" spans="1:74" s="78" customFormat="1" ht="10.8">
      <c r="A16" s="84" t="s">
        <v>66</v>
      </c>
      <c r="B16" s="80" t="s">
        <v>67</v>
      </c>
      <c r="C16" s="44"/>
      <c r="D16" s="45"/>
      <c r="E16" s="45"/>
      <c r="F16" s="46"/>
      <c r="G16" s="44"/>
      <c r="H16" s="45"/>
      <c r="I16" s="45"/>
      <c r="J16" s="46"/>
      <c r="K16" s="45"/>
      <c r="L16" s="45"/>
      <c r="M16" s="45"/>
      <c r="N16" s="45"/>
      <c r="O16" s="44"/>
      <c r="P16" s="45"/>
      <c r="Q16" s="45"/>
      <c r="R16" s="46"/>
      <c r="S16" s="47"/>
      <c r="T16" s="47"/>
      <c r="U16" s="47"/>
      <c r="V16" s="47"/>
      <c r="W16" s="48"/>
      <c r="X16" s="47"/>
      <c r="Y16" s="47"/>
      <c r="Z16" s="49"/>
      <c r="AA16" s="47"/>
      <c r="AB16" s="47"/>
      <c r="AC16" s="47"/>
      <c r="AD16" s="49"/>
      <c r="AE16" s="48"/>
      <c r="AF16" s="47"/>
      <c r="AG16" s="47"/>
      <c r="AH16" s="49"/>
      <c r="AI16" s="47"/>
      <c r="AJ16" s="47"/>
      <c r="AK16" s="47"/>
      <c r="AL16" s="49"/>
      <c r="AM16" s="47"/>
      <c r="AN16" s="47"/>
      <c r="AO16" s="47"/>
      <c r="AP16" s="49">
        <v>77.099999999999994</v>
      </c>
      <c r="AQ16" s="48">
        <v>82</v>
      </c>
      <c r="AR16" s="47">
        <v>73.599999999999994</v>
      </c>
      <c r="AS16" s="47">
        <v>89.6</v>
      </c>
      <c r="AT16" s="47">
        <v>103</v>
      </c>
      <c r="AU16" s="48">
        <v>110</v>
      </c>
      <c r="AV16" s="47">
        <v>125.9</v>
      </c>
      <c r="AW16" s="47">
        <v>103.4</v>
      </c>
      <c r="AX16" s="47">
        <v>130.6</v>
      </c>
      <c r="AY16" s="48">
        <v>141.4</v>
      </c>
      <c r="AZ16" s="47">
        <v>158.6</v>
      </c>
      <c r="BA16" s="47">
        <v>176.9</v>
      </c>
      <c r="BB16" s="47">
        <v>157.1</v>
      </c>
      <c r="BC16" s="48">
        <v>64</v>
      </c>
      <c r="BD16" s="47">
        <v>68</v>
      </c>
      <c r="BE16" s="47">
        <v>78.599999999999994</v>
      </c>
      <c r="BF16" s="47">
        <v>60.9</v>
      </c>
      <c r="BG16" s="48">
        <v>61.5</v>
      </c>
      <c r="BH16" s="47">
        <v>91.9</v>
      </c>
      <c r="BI16" s="47">
        <v>102.6</v>
      </c>
      <c r="BJ16" s="47">
        <v>100.3</v>
      </c>
      <c r="BK16" s="48">
        <v>71.099999999999994</v>
      </c>
      <c r="BL16" s="47">
        <v>95.7</v>
      </c>
      <c r="BM16" s="47">
        <v>117.6</v>
      </c>
      <c r="BN16" s="47">
        <v>113</v>
      </c>
      <c r="BO16" s="48">
        <v>89.1</v>
      </c>
      <c r="BP16" s="47">
        <v>86.8</v>
      </c>
      <c r="BQ16" s="47">
        <v>112.3</v>
      </c>
      <c r="BR16" s="47">
        <v>108.2</v>
      </c>
      <c r="BS16" s="48">
        <v>146.19999999999999</v>
      </c>
      <c r="BT16" s="41"/>
    </row>
    <row r="17" spans="1:72" s="78" customFormat="1" ht="10.8">
      <c r="A17" s="84" t="s">
        <v>68</v>
      </c>
      <c r="B17" s="80" t="s">
        <v>69</v>
      </c>
      <c r="C17" s="44"/>
      <c r="D17" s="45"/>
      <c r="E17" s="45"/>
      <c r="F17" s="46"/>
      <c r="G17" s="44"/>
      <c r="H17" s="45"/>
      <c r="I17" s="45"/>
      <c r="J17" s="46"/>
      <c r="K17" s="45"/>
      <c r="L17" s="45"/>
      <c r="M17" s="45"/>
      <c r="N17" s="45"/>
      <c r="O17" s="44"/>
      <c r="P17" s="45"/>
      <c r="Q17" s="45"/>
      <c r="R17" s="46"/>
      <c r="S17" s="47"/>
      <c r="T17" s="47"/>
      <c r="U17" s="47"/>
      <c r="V17" s="47"/>
      <c r="W17" s="48"/>
      <c r="X17" s="47"/>
      <c r="Y17" s="47"/>
      <c r="Z17" s="49"/>
      <c r="AA17" s="47"/>
      <c r="AB17" s="47"/>
      <c r="AC17" s="47"/>
      <c r="AD17" s="49"/>
      <c r="AE17" s="48"/>
      <c r="AF17" s="47"/>
      <c r="AG17" s="47"/>
      <c r="AH17" s="49"/>
      <c r="AI17" s="47"/>
      <c r="AJ17" s="47"/>
      <c r="AK17" s="47"/>
      <c r="AL17" s="49"/>
      <c r="AM17" s="47"/>
      <c r="AN17" s="47"/>
      <c r="AO17" s="47"/>
      <c r="AP17" s="49">
        <v>521.5</v>
      </c>
      <c r="AQ17" s="48">
        <v>567.1</v>
      </c>
      <c r="AR17" s="47">
        <v>567.1</v>
      </c>
      <c r="AS17" s="47">
        <v>567.1</v>
      </c>
      <c r="AT17" s="47">
        <v>567.1</v>
      </c>
      <c r="AU17" s="48">
        <v>626.9</v>
      </c>
      <c r="AV17" s="47">
        <v>626.9</v>
      </c>
      <c r="AW17" s="47">
        <v>626.9</v>
      </c>
      <c r="AX17" s="47">
        <v>626.9</v>
      </c>
      <c r="AY17" s="48">
        <v>701</v>
      </c>
      <c r="AZ17" s="47">
        <v>701</v>
      </c>
      <c r="BA17" s="47">
        <v>701</v>
      </c>
      <c r="BB17" s="47">
        <v>701</v>
      </c>
      <c r="BC17" s="48">
        <v>784.9</v>
      </c>
      <c r="BD17" s="47">
        <v>747.5</v>
      </c>
      <c r="BE17" s="47">
        <v>747.5</v>
      </c>
      <c r="BF17" s="47">
        <v>816.8</v>
      </c>
      <c r="BG17" s="48">
        <v>816.8</v>
      </c>
      <c r="BH17" s="47">
        <v>816.8</v>
      </c>
      <c r="BI17" s="47">
        <v>816.8</v>
      </c>
      <c r="BJ17" s="47">
        <v>893.1</v>
      </c>
      <c r="BK17" s="48">
        <v>893.1</v>
      </c>
      <c r="BL17" s="47">
        <v>893.1</v>
      </c>
      <c r="BM17" s="47">
        <v>893.1</v>
      </c>
      <c r="BN17" s="47">
        <v>1005.3</v>
      </c>
      <c r="BO17" s="48">
        <v>1005.3</v>
      </c>
      <c r="BP17" s="47">
        <v>1005.3</v>
      </c>
      <c r="BQ17" s="47">
        <v>1005.3</v>
      </c>
      <c r="BR17" s="47">
        <v>1238.0999999999999</v>
      </c>
      <c r="BS17" s="48">
        <v>1238.0999999999999</v>
      </c>
      <c r="BT17" s="41"/>
    </row>
    <row r="18" spans="1:72" s="78" customFormat="1" ht="10.8">
      <c r="A18" s="84" t="s">
        <v>74</v>
      </c>
      <c r="B18" s="80" t="s">
        <v>75</v>
      </c>
      <c r="C18" s="44"/>
      <c r="D18" s="45"/>
      <c r="E18" s="45"/>
      <c r="F18" s="46"/>
      <c r="G18" s="44"/>
      <c r="H18" s="45"/>
      <c r="I18" s="45"/>
      <c r="J18" s="46"/>
      <c r="K18" s="45"/>
      <c r="L18" s="45"/>
      <c r="M18" s="45"/>
      <c r="N18" s="45"/>
      <c r="O18" s="44"/>
      <c r="P18" s="45"/>
      <c r="Q18" s="45"/>
      <c r="R18" s="46"/>
      <c r="S18" s="47"/>
      <c r="T18" s="47"/>
      <c r="U18" s="47"/>
      <c r="V18" s="47"/>
      <c r="W18" s="48"/>
      <c r="X18" s="47"/>
      <c r="Y18" s="47"/>
      <c r="Z18" s="49"/>
      <c r="AA18" s="47"/>
      <c r="AB18" s="47"/>
      <c r="AC18" s="47"/>
      <c r="AD18" s="49"/>
      <c r="AE18" s="48"/>
      <c r="AF18" s="47"/>
      <c r="AG18" s="47"/>
      <c r="AH18" s="49"/>
      <c r="AI18" s="47"/>
      <c r="AJ18" s="47"/>
      <c r="AK18" s="47"/>
      <c r="AL18" s="49"/>
      <c r="AM18" s="47"/>
      <c r="AN18" s="47"/>
      <c r="AO18" s="47"/>
      <c r="AP18" s="49">
        <v>0</v>
      </c>
      <c r="AQ18" s="48">
        <v>0</v>
      </c>
      <c r="AR18" s="47">
        <v>0</v>
      </c>
      <c r="AS18" s="47">
        <v>0</v>
      </c>
      <c r="AT18" s="47">
        <v>0</v>
      </c>
      <c r="AU18" s="48">
        <v>0</v>
      </c>
      <c r="AV18" s="47">
        <v>0</v>
      </c>
      <c r="AW18" s="47">
        <v>0</v>
      </c>
      <c r="AX18" s="47">
        <v>4.5999999999999996</v>
      </c>
      <c r="AY18" s="48">
        <v>4.9000000000000004</v>
      </c>
      <c r="AZ18" s="47">
        <v>4.3</v>
      </c>
      <c r="BA18" s="47">
        <v>3.7</v>
      </c>
      <c r="BB18" s="47">
        <v>2.5</v>
      </c>
      <c r="BC18" s="48">
        <v>4.0999999999999996</v>
      </c>
      <c r="BD18" s="47">
        <v>12.4</v>
      </c>
      <c r="BE18" s="47">
        <v>10.5</v>
      </c>
      <c r="BF18" s="47">
        <v>8.6999999999999993</v>
      </c>
      <c r="BG18" s="48">
        <v>7.7</v>
      </c>
      <c r="BH18" s="47">
        <v>8.6999999999999993</v>
      </c>
      <c r="BI18" s="47">
        <v>8.9</v>
      </c>
      <c r="BJ18" s="47">
        <v>8.6999999999999993</v>
      </c>
      <c r="BK18" s="48">
        <v>10.3</v>
      </c>
      <c r="BL18" s="47">
        <v>11.3</v>
      </c>
      <c r="BM18" s="47">
        <v>16.100000000000001</v>
      </c>
      <c r="BN18" s="47">
        <v>7.4</v>
      </c>
      <c r="BO18" s="48">
        <v>9.6999999999999993</v>
      </c>
      <c r="BP18" s="47">
        <v>12.7</v>
      </c>
      <c r="BQ18" s="47">
        <v>8.6</v>
      </c>
      <c r="BR18" s="47">
        <v>9.1999999999999993</v>
      </c>
      <c r="BS18" s="48">
        <v>9</v>
      </c>
      <c r="BT18" s="41"/>
    </row>
    <row r="19" spans="1:72" s="78" customFormat="1" ht="10.8">
      <c r="A19" s="84" t="s">
        <v>76</v>
      </c>
      <c r="B19" s="80" t="s">
        <v>77</v>
      </c>
      <c r="C19" s="44"/>
      <c r="D19" s="45"/>
      <c r="E19" s="45"/>
      <c r="F19" s="46"/>
      <c r="G19" s="44"/>
      <c r="H19" s="45"/>
      <c r="I19" s="45"/>
      <c r="J19" s="46"/>
      <c r="K19" s="45"/>
      <c r="L19" s="45"/>
      <c r="M19" s="45"/>
      <c r="N19" s="45"/>
      <c r="O19" s="44"/>
      <c r="P19" s="45"/>
      <c r="Q19" s="45"/>
      <c r="R19" s="46"/>
      <c r="S19" s="47"/>
      <c r="T19" s="47"/>
      <c r="U19" s="47"/>
      <c r="V19" s="47"/>
      <c r="W19" s="48"/>
      <c r="X19" s="47"/>
      <c r="Y19" s="47"/>
      <c r="Z19" s="49"/>
      <c r="AA19" s="47"/>
      <c r="AB19" s="47"/>
      <c r="AC19" s="47"/>
      <c r="AD19" s="49"/>
      <c r="AE19" s="48"/>
      <c r="AF19" s="47"/>
      <c r="AG19" s="47"/>
      <c r="AH19" s="49"/>
      <c r="AI19" s="47"/>
      <c r="AJ19" s="47"/>
      <c r="AK19" s="47"/>
      <c r="AL19" s="49"/>
      <c r="AM19" s="47"/>
      <c r="AN19" s="47"/>
      <c r="AO19" s="47"/>
      <c r="AP19" s="49">
        <v>273.5</v>
      </c>
      <c r="AQ19" s="48">
        <v>255.2</v>
      </c>
      <c r="AR19" s="47">
        <v>129.1</v>
      </c>
      <c r="AS19" s="47">
        <v>0</v>
      </c>
      <c r="AT19" s="47">
        <v>0</v>
      </c>
      <c r="AU19" s="48">
        <v>0</v>
      </c>
      <c r="AV19" s="47">
        <v>0</v>
      </c>
      <c r="AW19" s="47">
        <v>0</v>
      </c>
      <c r="AX19" s="47">
        <v>0</v>
      </c>
      <c r="AY19" s="48">
        <v>0</v>
      </c>
      <c r="AZ19" s="47">
        <v>0</v>
      </c>
      <c r="BA19" s="47">
        <v>0</v>
      </c>
      <c r="BB19" s="47">
        <v>0</v>
      </c>
      <c r="BC19" s="48">
        <v>0</v>
      </c>
      <c r="BD19" s="47">
        <v>0</v>
      </c>
      <c r="BE19" s="47">
        <v>0</v>
      </c>
      <c r="BF19" s="47">
        <v>0</v>
      </c>
      <c r="BG19" s="48">
        <v>0</v>
      </c>
      <c r="BH19" s="47">
        <v>0</v>
      </c>
      <c r="BI19" s="47">
        <v>0</v>
      </c>
      <c r="BJ19" s="47">
        <v>0</v>
      </c>
      <c r="BK19" s="48">
        <v>0</v>
      </c>
      <c r="BL19" s="47">
        <v>0</v>
      </c>
      <c r="BM19" s="47">
        <v>0</v>
      </c>
      <c r="BN19" s="47">
        <v>0</v>
      </c>
      <c r="BO19" s="48">
        <v>0</v>
      </c>
      <c r="BP19" s="47">
        <v>0</v>
      </c>
      <c r="BQ19" s="47">
        <v>0</v>
      </c>
      <c r="BR19" s="47">
        <v>0</v>
      </c>
      <c r="BS19" s="48">
        <v>0</v>
      </c>
      <c r="BT19" s="41"/>
    </row>
    <row r="20" spans="1:72" s="78" customFormat="1" ht="10.8">
      <c r="A20" s="110"/>
      <c r="B20" s="110"/>
      <c r="C20" s="91"/>
      <c r="D20" s="92"/>
      <c r="E20" s="92"/>
      <c r="F20" s="93"/>
      <c r="G20" s="91"/>
      <c r="H20" s="92"/>
      <c r="I20" s="92"/>
      <c r="J20" s="93"/>
      <c r="K20" s="92"/>
      <c r="L20" s="92"/>
      <c r="M20" s="92"/>
      <c r="N20" s="92"/>
      <c r="O20" s="91"/>
      <c r="P20" s="92"/>
      <c r="Q20" s="92"/>
      <c r="R20" s="93"/>
      <c r="S20" s="86"/>
      <c r="T20" s="86"/>
      <c r="U20" s="86"/>
      <c r="V20" s="86"/>
      <c r="W20" s="85"/>
      <c r="X20" s="86"/>
      <c r="Y20" s="86"/>
      <c r="Z20" s="87"/>
      <c r="AA20" s="86"/>
      <c r="AB20" s="86"/>
      <c r="AC20" s="86"/>
      <c r="AD20" s="87"/>
      <c r="AE20" s="85"/>
      <c r="AF20" s="86"/>
      <c r="AG20" s="86"/>
      <c r="AH20" s="87"/>
      <c r="AI20" s="86"/>
      <c r="AJ20" s="86"/>
      <c r="AK20" s="86"/>
      <c r="AL20" s="87"/>
      <c r="AM20" s="86"/>
      <c r="AN20" s="86"/>
      <c r="AO20" s="86"/>
      <c r="AP20" s="87"/>
      <c r="AQ20" s="85"/>
      <c r="AR20" s="86"/>
      <c r="AS20" s="86"/>
      <c r="AT20" s="86"/>
      <c r="AU20" s="85"/>
      <c r="AV20" s="86"/>
      <c r="AW20" s="86"/>
      <c r="AX20" s="86"/>
      <c r="AY20" s="85"/>
      <c r="AZ20" s="86"/>
      <c r="BA20" s="86"/>
      <c r="BB20" s="86"/>
      <c r="BC20" s="85"/>
      <c r="BD20" s="86"/>
      <c r="BE20" s="86"/>
      <c r="BF20" s="86"/>
      <c r="BG20" s="85"/>
      <c r="BH20" s="86"/>
      <c r="BI20" s="86"/>
      <c r="BJ20" s="86"/>
      <c r="BK20" s="85"/>
      <c r="BL20" s="86"/>
      <c r="BM20" s="86"/>
      <c r="BN20" s="86"/>
      <c r="BO20" s="85"/>
      <c r="BP20" s="86"/>
      <c r="BQ20" s="86"/>
      <c r="BR20" s="86"/>
      <c r="BS20" s="85"/>
    </row>
    <row r="21" spans="1:72" s="78" customFormat="1" ht="10.8">
      <c r="A21" s="111" t="s">
        <v>82</v>
      </c>
      <c r="B21" s="111" t="s">
        <v>83</v>
      </c>
      <c r="C21" s="112"/>
      <c r="D21" s="113"/>
      <c r="E21" s="113"/>
      <c r="F21" s="114"/>
      <c r="G21" s="112"/>
      <c r="H21" s="113"/>
      <c r="I21" s="113"/>
      <c r="J21" s="114"/>
      <c r="K21" s="112"/>
      <c r="L21" s="113"/>
      <c r="M21" s="113"/>
      <c r="N21" s="114"/>
      <c r="O21" s="112"/>
      <c r="P21" s="113"/>
      <c r="Q21" s="113"/>
      <c r="R21" s="114"/>
      <c r="S21" s="112"/>
      <c r="T21" s="113"/>
      <c r="U21" s="113"/>
      <c r="V21" s="114"/>
      <c r="W21" s="112"/>
      <c r="X21" s="113"/>
      <c r="Y21" s="113"/>
      <c r="Z21" s="114"/>
      <c r="AA21" s="112"/>
      <c r="AB21" s="113"/>
      <c r="AC21" s="113"/>
      <c r="AD21" s="114"/>
      <c r="AE21" s="112"/>
      <c r="AF21" s="113"/>
      <c r="AG21" s="113"/>
      <c r="AH21" s="114"/>
      <c r="AI21" s="113"/>
      <c r="AJ21" s="113"/>
      <c r="AK21" s="113"/>
      <c r="AL21" s="114"/>
      <c r="AM21" s="113"/>
      <c r="AN21" s="113"/>
      <c r="AO21" s="113"/>
      <c r="AP21" s="114">
        <f t="shared" ref="AP21:BS21" si="3">AP22</f>
        <v>0.14729999999999999</v>
      </c>
      <c r="AQ21" s="112">
        <f t="shared" si="3"/>
        <v>0.1429</v>
      </c>
      <c r="AR21" s="113">
        <f t="shared" si="3"/>
        <v>0.15279999999999999</v>
      </c>
      <c r="AS21" s="113">
        <f t="shared" si="3"/>
        <v>0.15049999999999999</v>
      </c>
      <c r="AT21" s="113">
        <f t="shared" si="3"/>
        <v>0.1671</v>
      </c>
      <c r="AU21" s="112">
        <f t="shared" si="3"/>
        <v>0.1605</v>
      </c>
      <c r="AV21" s="113">
        <f t="shared" si="3"/>
        <v>0.15240000000000001</v>
      </c>
      <c r="AW21" s="113">
        <f t="shared" si="3"/>
        <v>0.15240000000000001</v>
      </c>
      <c r="AX21" s="113">
        <f t="shared" si="3"/>
        <v>0.15579999999999999</v>
      </c>
      <c r="AY21" s="112">
        <f t="shared" si="3"/>
        <v>0.15820000000000001</v>
      </c>
      <c r="AZ21" s="113">
        <f t="shared" si="3"/>
        <v>0.15029999999999999</v>
      </c>
      <c r="BA21" s="113">
        <f t="shared" si="3"/>
        <v>0.1547</v>
      </c>
      <c r="BB21" s="113">
        <f t="shared" si="3"/>
        <v>0.16880000000000001</v>
      </c>
      <c r="BC21" s="112">
        <f t="shared" si="3"/>
        <v>0.15759999999999999</v>
      </c>
      <c r="BD21" s="113">
        <f t="shared" si="3"/>
        <v>0.18310000000000001</v>
      </c>
      <c r="BE21" s="113">
        <f t="shared" si="3"/>
        <v>0.18640000000000001</v>
      </c>
      <c r="BF21" s="113">
        <f t="shared" si="3"/>
        <v>0.19520000000000001</v>
      </c>
      <c r="BG21" s="112">
        <f t="shared" si="3"/>
        <v>0.188</v>
      </c>
      <c r="BH21" s="113">
        <f t="shared" si="3"/>
        <v>0.18540000000000001</v>
      </c>
      <c r="BI21" s="113">
        <f t="shared" si="3"/>
        <v>0.17649999999999999</v>
      </c>
      <c r="BJ21" s="113">
        <f t="shared" si="3"/>
        <v>0.1605</v>
      </c>
      <c r="BK21" s="112">
        <f t="shared" si="3"/>
        <v>0.1542</v>
      </c>
      <c r="BL21" s="113">
        <f t="shared" si="3"/>
        <v>0.14710000000000001</v>
      </c>
      <c r="BM21" s="113">
        <f t="shared" si="3"/>
        <v>0.14430000000000001</v>
      </c>
      <c r="BN21" s="113">
        <f t="shared" si="3"/>
        <v>0.16220000000000001</v>
      </c>
      <c r="BO21" s="112">
        <f t="shared" si="3"/>
        <v>0.16370000000000001</v>
      </c>
      <c r="BP21" s="113">
        <f t="shared" si="3"/>
        <v>0.16950000000000001</v>
      </c>
      <c r="BQ21" s="113">
        <f t="shared" si="3"/>
        <v>0.1656</v>
      </c>
      <c r="BR21" s="113">
        <f t="shared" si="3"/>
        <v>0.1741</v>
      </c>
      <c r="BS21" s="112">
        <f t="shared" si="3"/>
        <v>0.16950000000000001</v>
      </c>
    </row>
    <row r="22" spans="1:72" s="120" customFormat="1" ht="10.8">
      <c r="A22" s="115" t="s">
        <v>84</v>
      </c>
      <c r="B22" s="116" t="s">
        <v>85</v>
      </c>
      <c r="C22" s="117"/>
      <c r="D22" s="118"/>
      <c r="E22" s="118"/>
      <c r="F22" s="119"/>
      <c r="G22" s="117"/>
      <c r="H22" s="118"/>
      <c r="I22" s="118"/>
      <c r="J22" s="119"/>
      <c r="K22" s="117"/>
      <c r="L22" s="118"/>
      <c r="M22" s="118"/>
      <c r="N22" s="119"/>
      <c r="O22" s="117"/>
      <c r="P22" s="118"/>
      <c r="Q22" s="118"/>
      <c r="R22" s="119"/>
      <c r="S22" s="117"/>
      <c r="T22" s="118"/>
      <c r="U22" s="118"/>
      <c r="V22" s="119"/>
      <c r="W22" s="117"/>
      <c r="X22" s="118"/>
      <c r="Y22" s="118"/>
      <c r="Z22" s="119"/>
      <c r="AA22" s="117"/>
      <c r="AB22" s="118"/>
      <c r="AC22" s="118"/>
      <c r="AD22" s="119"/>
      <c r="AE22" s="117"/>
      <c r="AF22" s="118"/>
      <c r="AG22" s="118"/>
      <c r="AH22" s="119"/>
      <c r="AI22" s="118"/>
      <c r="AJ22" s="118"/>
      <c r="AK22" s="118"/>
      <c r="AL22" s="119"/>
      <c r="AM22" s="118"/>
      <c r="AN22" s="118"/>
      <c r="AO22" s="118"/>
      <c r="AP22" s="119">
        <f t="shared" ref="AP22:BS22" si="4">ROUND(AP7/(AP14*12.5),4)</f>
        <v>0.14729999999999999</v>
      </c>
      <c r="AQ22" s="117">
        <f t="shared" si="4"/>
        <v>0.1429</v>
      </c>
      <c r="AR22" s="118">
        <f t="shared" si="4"/>
        <v>0.15279999999999999</v>
      </c>
      <c r="AS22" s="118">
        <f t="shared" si="4"/>
        <v>0.15049999999999999</v>
      </c>
      <c r="AT22" s="118">
        <f t="shared" si="4"/>
        <v>0.1671</v>
      </c>
      <c r="AU22" s="117">
        <f t="shared" si="4"/>
        <v>0.1605</v>
      </c>
      <c r="AV22" s="118">
        <f t="shared" si="4"/>
        <v>0.15240000000000001</v>
      </c>
      <c r="AW22" s="118">
        <f t="shared" si="4"/>
        <v>0.15240000000000001</v>
      </c>
      <c r="AX22" s="118">
        <f t="shared" si="4"/>
        <v>0.15579999999999999</v>
      </c>
      <c r="AY22" s="117">
        <f t="shared" si="4"/>
        <v>0.15820000000000001</v>
      </c>
      <c r="AZ22" s="118">
        <f t="shared" si="4"/>
        <v>0.15029999999999999</v>
      </c>
      <c r="BA22" s="118">
        <f t="shared" si="4"/>
        <v>0.1547</v>
      </c>
      <c r="BB22" s="118">
        <f t="shared" si="4"/>
        <v>0.16880000000000001</v>
      </c>
      <c r="BC22" s="117">
        <f t="shared" si="4"/>
        <v>0.15759999999999999</v>
      </c>
      <c r="BD22" s="118">
        <f t="shared" si="4"/>
        <v>0.18310000000000001</v>
      </c>
      <c r="BE22" s="118">
        <f t="shared" si="4"/>
        <v>0.18640000000000001</v>
      </c>
      <c r="BF22" s="118">
        <f t="shared" si="4"/>
        <v>0.19520000000000001</v>
      </c>
      <c r="BG22" s="117">
        <f t="shared" si="4"/>
        <v>0.188</v>
      </c>
      <c r="BH22" s="118">
        <f t="shared" si="4"/>
        <v>0.18540000000000001</v>
      </c>
      <c r="BI22" s="118">
        <f t="shared" si="4"/>
        <v>0.17649999999999999</v>
      </c>
      <c r="BJ22" s="118">
        <f t="shared" si="4"/>
        <v>0.1605</v>
      </c>
      <c r="BK22" s="117">
        <f t="shared" si="4"/>
        <v>0.1542</v>
      </c>
      <c r="BL22" s="118">
        <f t="shared" si="4"/>
        <v>0.14710000000000001</v>
      </c>
      <c r="BM22" s="118">
        <f t="shared" si="4"/>
        <v>0.14430000000000001</v>
      </c>
      <c r="BN22" s="118">
        <f t="shared" si="4"/>
        <v>0.16220000000000001</v>
      </c>
      <c r="BO22" s="117">
        <f t="shared" si="4"/>
        <v>0.16370000000000001</v>
      </c>
      <c r="BP22" s="118">
        <f t="shared" si="4"/>
        <v>0.16950000000000001</v>
      </c>
      <c r="BQ22" s="118">
        <f t="shared" si="4"/>
        <v>0.1656</v>
      </c>
      <c r="BR22" s="118">
        <f t="shared" si="4"/>
        <v>0.1741</v>
      </c>
      <c r="BS22" s="117">
        <f t="shared" si="4"/>
        <v>0.16950000000000001</v>
      </c>
    </row>
    <row r="23" spans="1:72" s="120" customFormat="1" ht="10.8">
      <c r="A23" s="115" t="s">
        <v>86</v>
      </c>
      <c r="B23" s="116" t="s">
        <v>87</v>
      </c>
      <c r="C23" s="117"/>
      <c r="D23" s="118"/>
      <c r="E23" s="118"/>
      <c r="F23" s="119"/>
      <c r="G23" s="117"/>
      <c r="H23" s="118"/>
      <c r="I23" s="118"/>
      <c r="J23" s="119"/>
      <c r="K23" s="117"/>
      <c r="L23" s="118"/>
      <c r="M23" s="118"/>
      <c r="N23" s="119"/>
      <c r="O23" s="117"/>
      <c r="P23" s="118"/>
      <c r="Q23" s="118"/>
      <c r="R23" s="119"/>
      <c r="S23" s="117"/>
      <c r="T23" s="118"/>
      <c r="U23" s="118"/>
      <c r="V23" s="119"/>
      <c r="W23" s="117"/>
      <c r="X23" s="118"/>
      <c r="Y23" s="118"/>
      <c r="Z23" s="119"/>
      <c r="AA23" s="117"/>
      <c r="AB23" s="118"/>
      <c r="AC23" s="118"/>
      <c r="AD23" s="119"/>
      <c r="AE23" s="117"/>
      <c r="AF23" s="118"/>
      <c r="AG23" s="118"/>
      <c r="AH23" s="119"/>
      <c r="AI23" s="118"/>
      <c r="AJ23" s="118"/>
      <c r="AK23" s="118"/>
      <c r="AL23" s="119"/>
      <c r="AM23" s="118"/>
      <c r="AN23" s="118"/>
      <c r="AO23" s="118"/>
      <c r="AP23" s="119" t="s">
        <v>28</v>
      </c>
      <c r="AQ23" s="117" t="s">
        <v>28</v>
      </c>
      <c r="AR23" s="118" t="s">
        <v>28</v>
      </c>
      <c r="AS23" s="118" t="s">
        <v>28</v>
      </c>
      <c r="AT23" s="118" t="s">
        <v>28</v>
      </c>
      <c r="AU23" s="117">
        <v>0.16046899826499861</v>
      </c>
      <c r="AV23" s="118">
        <v>0.15238554544219537</v>
      </c>
      <c r="AW23" s="118">
        <v>0.1523823119099374</v>
      </c>
      <c r="AX23" s="118">
        <v>0.1532</v>
      </c>
      <c r="AY23" s="117">
        <v>0.15579999999999999</v>
      </c>
      <c r="AZ23" s="118">
        <v>0.14729999999999999</v>
      </c>
      <c r="BA23" s="118">
        <v>0.15179999999999999</v>
      </c>
      <c r="BB23" s="118">
        <v>0.16639999999999999</v>
      </c>
      <c r="BC23" s="117">
        <v>0.15570000000000001</v>
      </c>
      <c r="BD23" s="118">
        <v>0.1807</v>
      </c>
      <c r="BE23" s="118">
        <v>0.18379999999999999</v>
      </c>
      <c r="BF23" s="118">
        <v>0.1928</v>
      </c>
      <c r="BG23" s="117">
        <v>0.18629999999999999</v>
      </c>
      <c r="BH23" s="118">
        <v>0.184</v>
      </c>
      <c r="BI23" s="118">
        <v>0.17519999999999999</v>
      </c>
      <c r="BJ23" s="118">
        <v>0.15820000000000001</v>
      </c>
      <c r="BK23" s="117">
        <v>0.15174104783708584</v>
      </c>
      <c r="BL23" s="118">
        <v>0.14386726288519125</v>
      </c>
      <c r="BM23" s="118">
        <v>0.14070401924418033</v>
      </c>
      <c r="BN23" s="118">
        <v>0.15807499026006566</v>
      </c>
      <c r="BO23" s="117">
        <v>0.16281867128140887</v>
      </c>
      <c r="BP23" s="118">
        <v>0.1679209071027031</v>
      </c>
      <c r="BQ23" s="118">
        <v>0.16422867168541591</v>
      </c>
      <c r="BR23" s="118">
        <v>0.17349944667306919</v>
      </c>
      <c r="BS23" s="117">
        <v>0.16920716025412219</v>
      </c>
    </row>
    <row r="24" spans="1:72" s="78" customFormat="1" ht="10.8">
      <c r="A24" s="121"/>
      <c r="B24" s="121"/>
      <c r="C24" s="122"/>
      <c r="D24" s="123"/>
      <c r="E24" s="123"/>
      <c r="F24" s="124"/>
      <c r="G24" s="122"/>
      <c r="H24" s="123"/>
      <c r="I24" s="123"/>
      <c r="J24" s="124"/>
      <c r="K24" s="122"/>
      <c r="L24" s="123"/>
      <c r="M24" s="123"/>
      <c r="N24" s="124"/>
      <c r="O24" s="122"/>
      <c r="P24" s="123"/>
      <c r="Q24" s="123"/>
      <c r="R24" s="124"/>
      <c r="S24" s="122"/>
      <c r="T24" s="123"/>
      <c r="U24" s="123"/>
      <c r="V24" s="124"/>
      <c r="W24" s="122"/>
      <c r="X24" s="123"/>
      <c r="Y24" s="123"/>
      <c r="Z24" s="124"/>
      <c r="AA24" s="122"/>
      <c r="AB24" s="123"/>
      <c r="AC24" s="123"/>
      <c r="AD24" s="124"/>
      <c r="AE24" s="122"/>
      <c r="AF24" s="123"/>
      <c r="AG24" s="123"/>
      <c r="AH24" s="124"/>
      <c r="AI24" s="123"/>
      <c r="AJ24" s="123"/>
      <c r="AK24" s="123"/>
      <c r="AL24" s="124"/>
      <c r="AM24" s="123"/>
      <c r="AN24" s="123"/>
      <c r="AO24" s="123"/>
      <c r="AP24" s="124"/>
      <c r="AQ24" s="122"/>
      <c r="AR24" s="123"/>
      <c r="AS24" s="123"/>
      <c r="AT24" s="123"/>
      <c r="AU24" s="122"/>
      <c r="AV24" s="123"/>
      <c r="AW24" s="123"/>
      <c r="AX24" s="123"/>
      <c r="AY24" s="122"/>
      <c r="AZ24" s="123"/>
      <c r="BA24" s="123"/>
      <c r="BB24" s="123"/>
      <c r="BC24" s="122"/>
      <c r="BD24" s="123"/>
      <c r="BE24" s="123"/>
      <c r="BF24" s="123"/>
      <c r="BG24" s="122"/>
      <c r="BH24" s="123"/>
      <c r="BI24" s="123"/>
      <c r="BJ24" s="123"/>
      <c r="BK24" s="122"/>
      <c r="BL24" s="123"/>
      <c r="BM24" s="123"/>
      <c r="BN24" s="123"/>
      <c r="BO24" s="122"/>
      <c r="BP24" s="123"/>
      <c r="BQ24" s="123"/>
      <c r="BR24" s="123"/>
      <c r="BS24" s="122"/>
    </row>
    <row r="25" spans="1:72" s="129" customFormat="1" ht="10.8">
      <c r="A25" s="125" t="s">
        <v>90</v>
      </c>
      <c r="B25" s="125" t="s">
        <v>91</v>
      </c>
      <c r="C25" s="126"/>
      <c r="D25" s="127"/>
      <c r="E25" s="127"/>
      <c r="F25" s="128"/>
      <c r="G25" s="126"/>
      <c r="H25" s="127"/>
      <c r="I25" s="127"/>
      <c r="J25" s="128"/>
      <c r="K25" s="126"/>
      <c r="L25" s="127"/>
      <c r="M25" s="127"/>
      <c r="N25" s="128"/>
      <c r="O25" s="126"/>
      <c r="P25" s="127"/>
      <c r="Q25" s="127"/>
      <c r="R25" s="128"/>
      <c r="S25" s="126"/>
      <c r="T25" s="127"/>
      <c r="U25" s="127"/>
      <c r="V25" s="128"/>
      <c r="W25" s="126"/>
      <c r="X25" s="127"/>
      <c r="Y25" s="127"/>
      <c r="Z25" s="128"/>
      <c r="AA25" s="126"/>
      <c r="AB25" s="127"/>
      <c r="AC25" s="127"/>
      <c r="AD25" s="128"/>
      <c r="AE25" s="126"/>
      <c r="AF25" s="127"/>
      <c r="AG25" s="127"/>
      <c r="AH25" s="128"/>
      <c r="AI25" s="127"/>
      <c r="AJ25" s="127"/>
      <c r="AK25" s="127"/>
      <c r="AL25" s="128"/>
      <c r="AM25" s="127"/>
      <c r="AN25" s="127"/>
      <c r="AO25" s="127"/>
      <c r="AP25" s="128">
        <f t="shared" ref="AP25:BS25" si="5">AP26</f>
        <v>0.13700000000000001</v>
      </c>
      <c r="AQ25" s="126">
        <f t="shared" si="5"/>
        <v>0.1333</v>
      </c>
      <c r="AR25" s="127">
        <f t="shared" si="5"/>
        <v>0.14349999999999999</v>
      </c>
      <c r="AS25" s="127">
        <f t="shared" si="5"/>
        <v>0.14119999999999999</v>
      </c>
      <c r="AT25" s="127">
        <f t="shared" si="5"/>
        <v>0.15770000000000001</v>
      </c>
      <c r="AU25" s="126">
        <f t="shared" si="5"/>
        <v>0.1512</v>
      </c>
      <c r="AV25" s="127">
        <f t="shared" si="5"/>
        <v>0.14349999999999999</v>
      </c>
      <c r="AW25" s="127">
        <f t="shared" si="5"/>
        <v>0.14410000000000001</v>
      </c>
      <c r="AX25" s="127">
        <f t="shared" si="5"/>
        <v>0.1474</v>
      </c>
      <c r="AY25" s="126">
        <f t="shared" si="5"/>
        <v>0.1449</v>
      </c>
      <c r="AZ25" s="127">
        <f t="shared" si="5"/>
        <v>0.13780000000000001</v>
      </c>
      <c r="BA25" s="127">
        <f t="shared" si="5"/>
        <v>0.14199999999999999</v>
      </c>
      <c r="BB25" s="127">
        <f t="shared" si="5"/>
        <v>0.14419999999999999</v>
      </c>
      <c r="BC25" s="126">
        <f t="shared" si="5"/>
        <v>0.13250000000000001</v>
      </c>
      <c r="BD25" s="127">
        <f t="shared" si="5"/>
        <v>0.1578</v>
      </c>
      <c r="BE25" s="127">
        <f t="shared" si="5"/>
        <v>0.16039999999999999</v>
      </c>
      <c r="BF25" s="127">
        <f t="shared" si="5"/>
        <v>0.1691</v>
      </c>
      <c r="BG25" s="126">
        <f t="shared" si="5"/>
        <v>0.1628</v>
      </c>
      <c r="BH25" s="127">
        <f t="shared" si="5"/>
        <v>0.16200000000000001</v>
      </c>
      <c r="BI25" s="127">
        <f t="shared" si="5"/>
        <v>0.15409999999999999</v>
      </c>
      <c r="BJ25" s="127">
        <f t="shared" si="5"/>
        <v>0.14410000000000001</v>
      </c>
      <c r="BK25" s="126">
        <f t="shared" si="5"/>
        <v>0.1381</v>
      </c>
      <c r="BL25" s="127">
        <f t="shared" si="5"/>
        <v>0.13159999999999999</v>
      </c>
      <c r="BM25" s="127">
        <f t="shared" si="5"/>
        <v>0.129</v>
      </c>
      <c r="BN25" s="127">
        <f t="shared" si="5"/>
        <v>0.1472</v>
      </c>
      <c r="BO25" s="126">
        <f t="shared" si="5"/>
        <v>0.14860000000000001</v>
      </c>
      <c r="BP25" s="127">
        <f t="shared" si="5"/>
        <v>0.1547</v>
      </c>
      <c r="BQ25" s="127">
        <f t="shared" si="5"/>
        <v>0.15049999999999999</v>
      </c>
      <c r="BR25" s="127">
        <f t="shared" si="5"/>
        <v>0.16020000000000001</v>
      </c>
      <c r="BS25" s="126">
        <f t="shared" si="5"/>
        <v>0.1565</v>
      </c>
    </row>
    <row r="26" spans="1:72" s="120" customFormat="1" ht="10.8">
      <c r="A26" s="115" t="s">
        <v>92</v>
      </c>
      <c r="B26" s="116" t="s">
        <v>93</v>
      </c>
      <c r="C26" s="117"/>
      <c r="D26" s="118"/>
      <c r="E26" s="118"/>
      <c r="F26" s="119"/>
      <c r="G26" s="117"/>
      <c r="H26" s="118"/>
      <c r="I26" s="118"/>
      <c r="J26" s="119"/>
      <c r="K26" s="117"/>
      <c r="L26" s="118"/>
      <c r="M26" s="118"/>
      <c r="N26" s="119"/>
      <c r="O26" s="117"/>
      <c r="P26" s="118"/>
      <c r="Q26" s="118"/>
      <c r="R26" s="119"/>
      <c r="S26" s="117"/>
      <c r="T26" s="118"/>
      <c r="U26" s="118"/>
      <c r="V26" s="119"/>
      <c r="W26" s="117"/>
      <c r="X26" s="118"/>
      <c r="Y26" s="118"/>
      <c r="Z26" s="119"/>
      <c r="AA26" s="117"/>
      <c r="AB26" s="118"/>
      <c r="AC26" s="118"/>
      <c r="AD26" s="119"/>
      <c r="AE26" s="117"/>
      <c r="AF26" s="118"/>
      <c r="AG26" s="118"/>
      <c r="AH26" s="119"/>
      <c r="AI26" s="118"/>
      <c r="AJ26" s="118"/>
      <c r="AK26" s="118"/>
      <c r="AL26" s="119"/>
      <c r="AM26" s="118"/>
      <c r="AN26" s="118"/>
      <c r="AO26" s="118"/>
      <c r="AP26" s="119">
        <f t="shared" ref="AP26:BS26" si="6">ROUND(AP8/(AP14*12.5),4)</f>
        <v>0.13700000000000001</v>
      </c>
      <c r="AQ26" s="117">
        <f t="shared" si="6"/>
        <v>0.1333</v>
      </c>
      <c r="AR26" s="118">
        <f t="shared" si="6"/>
        <v>0.14349999999999999</v>
      </c>
      <c r="AS26" s="118">
        <f t="shared" si="6"/>
        <v>0.14119999999999999</v>
      </c>
      <c r="AT26" s="118">
        <f t="shared" si="6"/>
        <v>0.15770000000000001</v>
      </c>
      <c r="AU26" s="117">
        <f t="shared" si="6"/>
        <v>0.1512</v>
      </c>
      <c r="AV26" s="118">
        <f t="shared" si="6"/>
        <v>0.14349999999999999</v>
      </c>
      <c r="AW26" s="118">
        <f t="shared" si="6"/>
        <v>0.14410000000000001</v>
      </c>
      <c r="AX26" s="118">
        <f t="shared" si="6"/>
        <v>0.1474</v>
      </c>
      <c r="AY26" s="117">
        <f t="shared" si="6"/>
        <v>0.1449</v>
      </c>
      <c r="AZ26" s="118">
        <f t="shared" si="6"/>
        <v>0.13780000000000001</v>
      </c>
      <c r="BA26" s="118">
        <f t="shared" si="6"/>
        <v>0.14199999999999999</v>
      </c>
      <c r="BB26" s="118">
        <f t="shared" si="6"/>
        <v>0.14419999999999999</v>
      </c>
      <c r="BC26" s="117">
        <f t="shared" si="6"/>
        <v>0.13250000000000001</v>
      </c>
      <c r="BD26" s="118">
        <f t="shared" si="6"/>
        <v>0.1578</v>
      </c>
      <c r="BE26" s="118">
        <f t="shared" si="6"/>
        <v>0.16039999999999999</v>
      </c>
      <c r="BF26" s="118">
        <f t="shared" si="6"/>
        <v>0.1691</v>
      </c>
      <c r="BG26" s="117">
        <f t="shared" si="6"/>
        <v>0.1628</v>
      </c>
      <c r="BH26" s="118">
        <f t="shared" si="6"/>
        <v>0.16200000000000001</v>
      </c>
      <c r="BI26" s="118">
        <f t="shared" si="6"/>
        <v>0.15409999999999999</v>
      </c>
      <c r="BJ26" s="118">
        <f t="shared" si="6"/>
        <v>0.14410000000000001</v>
      </c>
      <c r="BK26" s="117">
        <f t="shared" si="6"/>
        <v>0.1381</v>
      </c>
      <c r="BL26" s="118">
        <f t="shared" si="6"/>
        <v>0.13159999999999999</v>
      </c>
      <c r="BM26" s="118">
        <f t="shared" si="6"/>
        <v>0.129</v>
      </c>
      <c r="BN26" s="118">
        <f t="shared" si="6"/>
        <v>0.1472</v>
      </c>
      <c r="BO26" s="117">
        <f t="shared" si="6"/>
        <v>0.14860000000000001</v>
      </c>
      <c r="BP26" s="118">
        <f t="shared" si="6"/>
        <v>0.1547</v>
      </c>
      <c r="BQ26" s="118">
        <f t="shared" si="6"/>
        <v>0.15049999999999999</v>
      </c>
      <c r="BR26" s="118">
        <f t="shared" si="6"/>
        <v>0.16020000000000001</v>
      </c>
      <c r="BS26" s="117">
        <f t="shared" si="6"/>
        <v>0.1565</v>
      </c>
    </row>
    <row r="27" spans="1:72" s="120" customFormat="1" ht="10.8">
      <c r="A27" s="115" t="s">
        <v>94</v>
      </c>
      <c r="B27" s="116" t="s">
        <v>95</v>
      </c>
      <c r="C27" s="117"/>
      <c r="D27" s="118"/>
      <c r="E27" s="118"/>
      <c r="F27" s="119"/>
      <c r="G27" s="117"/>
      <c r="H27" s="118"/>
      <c r="I27" s="118"/>
      <c r="J27" s="119"/>
      <c r="K27" s="117"/>
      <c r="L27" s="118"/>
      <c r="M27" s="118"/>
      <c r="N27" s="119"/>
      <c r="O27" s="117"/>
      <c r="P27" s="118"/>
      <c r="Q27" s="118"/>
      <c r="R27" s="119"/>
      <c r="S27" s="117"/>
      <c r="T27" s="118"/>
      <c r="U27" s="118"/>
      <c r="V27" s="119"/>
      <c r="W27" s="117"/>
      <c r="X27" s="118"/>
      <c r="Y27" s="118"/>
      <c r="Z27" s="119"/>
      <c r="AA27" s="117"/>
      <c r="AB27" s="118"/>
      <c r="AC27" s="118"/>
      <c r="AD27" s="119"/>
      <c r="AE27" s="117"/>
      <c r="AF27" s="118"/>
      <c r="AG27" s="118"/>
      <c r="AH27" s="119"/>
      <c r="AI27" s="118"/>
      <c r="AJ27" s="118"/>
      <c r="AK27" s="118"/>
      <c r="AL27" s="119"/>
      <c r="AM27" s="118"/>
      <c r="AN27" s="118"/>
      <c r="AO27" s="118"/>
      <c r="AP27" s="119" t="s">
        <v>28</v>
      </c>
      <c r="AQ27" s="117" t="s">
        <v>28</v>
      </c>
      <c r="AR27" s="118" t="s">
        <v>28</v>
      </c>
      <c r="AS27" s="118" t="s">
        <v>28</v>
      </c>
      <c r="AT27" s="118" t="s">
        <v>28</v>
      </c>
      <c r="AU27" s="117">
        <v>0.15124536572002556</v>
      </c>
      <c r="AV27" s="118">
        <v>0.14349816601005297</v>
      </c>
      <c r="AW27" s="118">
        <v>0.14406774162151639</v>
      </c>
      <c r="AX27" s="118">
        <v>0.14480000000000001</v>
      </c>
      <c r="AY27" s="117">
        <v>0.1424</v>
      </c>
      <c r="AZ27" s="118">
        <v>0.1348</v>
      </c>
      <c r="BA27" s="118">
        <v>0.1391</v>
      </c>
      <c r="BB27" s="118">
        <v>0.14180000000000001</v>
      </c>
      <c r="BC27" s="117">
        <v>0.13070000000000001</v>
      </c>
      <c r="BD27" s="118">
        <v>0.1537</v>
      </c>
      <c r="BE27" s="118">
        <v>0.15620000000000001</v>
      </c>
      <c r="BF27" s="118">
        <v>0.1656</v>
      </c>
      <c r="BG27" s="117">
        <v>0.16009999999999999</v>
      </c>
      <c r="BH27" s="118">
        <v>0.15989999999999999</v>
      </c>
      <c r="BI27" s="118">
        <v>0.15229999999999999</v>
      </c>
      <c r="BJ27" s="118">
        <v>0.1416</v>
      </c>
      <c r="BK27" s="117">
        <v>0.13559234560829006</v>
      </c>
      <c r="BL27" s="118">
        <v>0.12824180386660824</v>
      </c>
      <c r="BM27" s="118">
        <v>0.12446843207061188</v>
      </c>
      <c r="BN27" s="118">
        <v>0.14211482216392335</v>
      </c>
      <c r="BO27" s="117">
        <v>0.14696433752141233</v>
      </c>
      <c r="BP27" s="118">
        <v>0.15311510344990867</v>
      </c>
      <c r="BQ27" s="118">
        <v>0.14905638339504707</v>
      </c>
      <c r="BR27" s="118">
        <v>0.15955705646567192</v>
      </c>
      <c r="BS27" s="117">
        <v>0.15623715766669244</v>
      </c>
    </row>
    <row r="28" spans="1:72">
      <c r="B28" s="139"/>
      <c r="C28" s="139"/>
      <c r="D28" s="139"/>
      <c r="E28" s="139"/>
      <c r="F28" s="139"/>
      <c r="G28" s="139"/>
      <c r="H28" s="139"/>
      <c r="I28" s="139"/>
      <c r="J28" s="139"/>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47"/>
      <c r="AN28" s="47"/>
      <c r="AO28" s="47"/>
      <c r="AP28" s="49"/>
      <c r="AQ28" s="139"/>
      <c r="AR28" s="139"/>
      <c r="AS28" s="139"/>
      <c r="AT28" s="139"/>
      <c r="AU28" s="137"/>
      <c r="AV28" s="138"/>
      <c r="AW28" s="138"/>
      <c r="AX28" s="138"/>
      <c r="AY28" s="137"/>
      <c r="AZ28" s="138"/>
      <c r="BA28" s="138"/>
      <c r="BB28" s="138"/>
      <c r="BC28" s="137"/>
      <c r="BD28" s="138"/>
      <c r="BE28" s="138"/>
      <c r="BF28" s="138"/>
      <c r="BG28" s="137"/>
      <c r="BH28" s="138"/>
      <c r="BI28" s="138"/>
      <c r="BJ28" s="138"/>
      <c r="BK28" s="137"/>
      <c r="BL28" s="138"/>
      <c r="BM28" s="138"/>
      <c r="BN28" s="138"/>
      <c r="BO28" s="137"/>
      <c r="BP28" s="863"/>
      <c r="BQ28" s="863"/>
      <c r="BR28" s="863"/>
      <c r="BS28" s="864"/>
      <c r="BT28" s="139"/>
    </row>
    <row r="29" spans="1:72">
      <c r="A29" s="84" t="s">
        <v>98</v>
      </c>
      <c r="B29" s="80" t="s">
        <v>98</v>
      </c>
      <c r="C29" s="48"/>
      <c r="D29" s="47"/>
      <c r="E29" s="47"/>
      <c r="F29" s="47"/>
      <c r="G29" s="48"/>
      <c r="H29" s="47"/>
      <c r="I29" s="47"/>
      <c r="J29" s="47"/>
      <c r="K29" s="48"/>
      <c r="L29" s="47"/>
      <c r="M29" s="47"/>
      <c r="N29" s="47"/>
      <c r="O29" s="48"/>
      <c r="P29" s="47"/>
      <c r="Q29" s="47"/>
      <c r="R29" s="47"/>
      <c r="S29" s="48"/>
      <c r="T29" s="47"/>
      <c r="U29" s="47"/>
      <c r="V29" s="47"/>
      <c r="W29" s="48"/>
      <c r="X29" s="47"/>
      <c r="Y29" s="47"/>
      <c r="Z29" s="47"/>
      <c r="AA29" s="48"/>
      <c r="AB29" s="47"/>
      <c r="AC29" s="47"/>
      <c r="AD29" s="47"/>
      <c r="AE29" s="48"/>
      <c r="AF29" s="47"/>
      <c r="AG29" s="47"/>
      <c r="AH29" s="47"/>
      <c r="AI29" s="48"/>
      <c r="AJ29" s="47"/>
      <c r="AK29" s="47"/>
      <c r="AL29" s="47"/>
      <c r="AM29" s="47"/>
      <c r="AN29" s="47"/>
      <c r="AO29" s="47"/>
      <c r="AP29" s="49"/>
      <c r="AQ29" s="48"/>
      <c r="AR29" s="47"/>
      <c r="AS29" s="47"/>
      <c r="AT29" s="47"/>
      <c r="AU29" s="137">
        <v>0.06</v>
      </c>
      <c r="AV29" s="138">
        <v>0.06</v>
      </c>
      <c r="AW29" s="138">
        <v>0.06</v>
      </c>
      <c r="AX29" s="138">
        <v>0.06</v>
      </c>
      <c r="AY29" s="137">
        <v>0.06</v>
      </c>
      <c r="AZ29" s="138">
        <v>0.06</v>
      </c>
      <c r="BA29" s="138">
        <v>0.06</v>
      </c>
      <c r="BB29" s="138">
        <v>0.06</v>
      </c>
      <c r="BC29" s="137">
        <v>0.06</v>
      </c>
      <c r="BD29" s="138">
        <v>0.06</v>
      </c>
      <c r="BE29" s="138">
        <v>0.06</v>
      </c>
      <c r="BF29" s="138">
        <v>0.06</v>
      </c>
      <c r="BG29" s="137">
        <v>0.06</v>
      </c>
      <c r="BH29" s="138">
        <v>0.06</v>
      </c>
      <c r="BI29" s="138">
        <v>0.06</v>
      </c>
      <c r="BJ29" s="138">
        <v>0.06</v>
      </c>
      <c r="BK29" s="137">
        <v>0.06</v>
      </c>
      <c r="BL29" s="138">
        <v>0.06</v>
      </c>
      <c r="BM29" s="138">
        <v>0.06</v>
      </c>
      <c r="BN29" s="138">
        <v>0.06</v>
      </c>
      <c r="BO29" s="137">
        <v>0.06</v>
      </c>
      <c r="BP29" s="138">
        <v>0.06</v>
      </c>
      <c r="BQ29" s="138">
        <v>0.06</v>
      </c>
      <c r="BR29" s="138">
        <v>0.06</v>
      </c>
      <c r="BS29" s="137">
        <v>0.06</v>
      </c>
      <c r="BT29" s="139"/>
    </row>
    <row r="30" spans="1:72">
      <c r="A30" s="84" t="s">
        <v>99</v>
      </c>
      <c r="B30" s="80" t="s">
        <v>100</v>
      </c>
      <c r="C30" s="48"/>
      <c r="D30" s="47"/>
      <c r="E30" s="47"/>
      <c r="F30" s="47"/>
      <c r="G30" s="48"/>
      <c r="H30" s="47"/>
      <c r="I30" s="47"/>
      <c r="J30" s="47"/>
      <c r="K30" s="48"/>
      <c r="L30" s="47"/>
      <c r="M30" s="47"/>
      <c r="N30" s="47"/>
      <c r="O30" s="48"/>
      <c r="P30" s="47"/>
      <c r="Q30" s="47"/>
      <c r="R30" s="47"/>
      <c r="S30" s="48"/>
      <c r="T30" s="47"/>
      <c r="U30" s="47"/>
      <c r="V30" s="47"/>
      <c r="W30" s="48"/>
      <c r="X30" s="47"/>
      <c r="Y30" s="47"/>
      <c r="Z30" s="47"/>
      <c r="AA30" s="48"/>
      <c r="AB30" s="47"/>
      <c r="AC30" s="47"/>
      <c r="AD30" s="47"/>
      <c r="AE30" s="48"/>
      <c r="AF30" s="47"/>
      <c r="AG30" s="47"/>
      <c r="AH30" s="47"/>
      <c r="AI30" s="48"/>
      <c r="AJ30" s="47"/>
      <c r="AK30" s="47"/>
      <c r="AL30" s="47"/>
      <c r="AM30" s="47"/>
      <c r="AN30" s="47"/>
      <c r="AO30" s="47"/>
      <c r="AP30" s="49"/>
      <c r="AQ30" s="48"/>
      <c r="AR30" s="47"/>
      <c r="AS30" s="47"/>
      <c r="AT30" s="47"/>
      <c r="AU30" s="137">
        <v>0.08</v>
      </c>
      <c r="AV30" s="138">
        <v>0.08</v>
      </c>
      <c r="AW30" s="138">
        <v>0.08</v>
      </c>
      <c r="AX30" s="138">
        <v>0.08</v>
      </c>
      <c r="AY30" s="137">
        <v>0.08</v>
      </c>
      <c r="AZ30" s="138">
        <v>0.08</v>
      </c>
      <c r="BA30" s="138">
        <v>0.08</v>
      </c>
      <c r="BB30" s="138">
        <v>0.08</v>
      </c>
      <c r="BC30" s="137">
        <v>0.08</v>
      </c>
      <c r="BD30" s="138">
        <v>0.08</v>
      </c>
      <c r="BE30" s="138">
        <v>0.08</v>
      </c>
      <c r="BF30" s="138">
        <v>0.08</v>
      </c>
      <c r="BG30" s="137">
        <v>0.08</v>
      </c>
      <c r="BH30" s="138">
        <v>0.08</v>
      </c>
      <c r="BI30" s="138">
        <v>0.08</v>
      </c>
      <c r="BJ30" s="138">
        <v>0.08</v>
      </c>
      <c r="BK30" s="137">
        <v>0.08</v>
      </c>
      <c r="BL30" s="138">
        <v>0.08</v>
      </c>
      <c r="BM30" s="138">
        <v>0.08</v>
      </c>
      <c r="BN30" s="138">
        <v>0.08</v>
      </c>
      <c r="BO30" s="137">
        <v>0.08</v>
      </c>
      <c r="BP30" s="138">
        <v>0.08</v>
      </c>
      <c r="BQ30" s="138">
        <v>0.08</v>
      </c>
      <c r="BR30" s="138">
        <v>0.08</v>
      </c>
      <c r="BS30" s="137">
        <v>0.08</v>
      </c>
      <c r="BT30" s="139"/>
    </row>
    <row r="31" spans="1:72">
      <c r="A31" s="84" t="s">
        <v>101</v>
      </c>
      <c r="B31" s="80" t="s">
        <v>102</v>
      </c>
      <c r="C31" s="48"/>
      <c r="D31" s="47"/>
      <c r="E31" s="47"/>
      <c r="F31" s="47"/>
      <c r="G31" s="48"/>
      <c r="H31" s="47"/>
      <c r="I31" s="47"/>
      <c r="J31" s="47"/>
      <c r="K31" s="48"/>
      <c r="L31" s="47"/>
      <c r="M31" s="47"/>
      <c r="N31" s="47"/>
      <c r="O31" s="48"/>
      <c r="P31" s="47"/>
      <c r="Q31" s="47"/>
      <c r="R31" s="47"/>
      <c r="S31" s="48"/>
      <c r="T31" s="47"/>
      <c r="U31" s="47"/>
      <c r="V31" s="47"/>
      <c r="W31" s="48"/>
      <c r="X31" s="47"/>
      <c r="Y31" s="47"/>
      <c r="Z31" s="47"/>
      <c r="AA31" s="48"/>
      <c r="AB31" s="47"/>
      <c r="AC31" s="47"/>
      <c r="AD31" s="47"/>
      <c r="AE31" s="48"/>
      <c r="AF31" s="47"/>
      <c r="AG31" s="47"/>
      <c r="AH31" s="47"/>
      <c r="AI31" s="48"/>
      <c r="AJ31" s="47"/>
      <c r="AK31" s="47"/>
      <c r="AL31" s="47"/>
      <c r="AM31" s="47"/>
      <c r="AN31" s="47"/>
      <c r="AO31" s="47"/>
      <c r="AP31" s="49"/>
      <c r="AQ31" s="48"/>
      <c r="AR31" s="47"/>
      <c r="AS31" s="47"/>
      <c r="AT31" s="47"/>
      <c r="AU31" s="137">
        <v>1.9E-2</v>
      </c>
      <c r="AV31" s="138">
        <v>1.9E-2</v>
      </c>
      <c r="AW31" s="138">
        <v>1.9E-2</v>
      </c>
      <c r="AX31" s="138">
        <v>1.9E-2</v>
      </c>
      <c r="AY31" s="137">
        <v>2.5000000000000001E-2</v>
      </c>
      <c r="AZ31" s="138">
        <v>2.5000000000000001E-2</v>
      </c>
      <c r="BA31" s="138">
        <v>2.5000000000000001E-2</v>
      </c>
      <c r="BB31" s="138">
        <v>2.5000000000000001E-2</v>
      </c>
      <c r="BC31" s="137">
        <v>2.5000000000000001E-2</v>
      </c>
      <c r="BD31" s="138">
        <v>2.5000000000000001E-2</v>
      </c>
      <c r="BE31" s="138">
        <v>2.5000000000000001E-2</v>
      </c>
      <c r="BF31" s="138">
        <v>2.5000000000000001E-2</v>
      </c>
      <c r="BG31" s="137">
        <v>2.5000000000000001E-2</v>
      </c>
      <c r="BH31" s="138">
        <v>2.5000000000000001E-2</v>
      </c>
      <c r="BI31" s="138">
        <v>2.5000000000000001E-2</v>
      </c>
      <c r="BJ31" s="138">
        <v>2.5000000000000001E-2</v>
      </c>
      <c r="BK31" s="137">
        <v>2.5000000000000001E-2</v>
      </c>
      <c r="BL31" s="138">
        <v>2.5000000000000001E-2</v>
      </c>
      <c r="BM31" s="138">
        <v>2.5000000000000001E-2</v>
      </c>
      <c r="BN31" s="138">
        <v>2.5000000000000001E-2</v>
      </c>
      <c r="BO31" s="137">
        <v>2.5000000000000001E-2</v>
      </c>
      <c r="BP31" s="138">
        <v>2.5000000000000001E-2</v>
      </c>
      <c r="BQ31" s="138">
        <v>2.5000000000000001E-2</v>
      </c>
      <c r="BR31" s="138">
        <v>2.5000000000000001E-2</v>
      </c>
      <c r="BS31" s="137">
        <v>2.5000000000000001E-2</v>
      </c>
      <c r="BT31" s="139"/>
    </row>
    <row r="32" spans="1:72">
      <c r="A32" s="84" t="s">
        <v>103</v>
      </c>
      <c r="B32" s="80" t="s">
        <v>104</v>
      </c>
      <c r="C32" s="48"/>
      <c r="D32" s="47"/>
      <c r="E32" s="47"/>
      <c r="F32" s="47"/>
      <c r="G32" s="48"/>
      <c r="H32" s="47"/>
      <c r="I32" s="47"/>
      <c r="J32" s="47"/>
      <c r="K32" s="48"/>
      <c r="L32" s="47"/>
      <c r="M32" s="47"/>
      <c r="N32" s="47"/>
      <c r="O32" s="48"/>
      <c r="P32" s="47"/>
      <c r="Q32" s="47"/>
      <c r="R32" s="47"/>
      <c r="S32" s="48"/>
      <c r="T32" s="47"/>
      <c r="U32" s="47"/>
      <c r="V32" s="47"/>
      <c r="W32" s="48"/>
      <c r="X32" s="47"/>
      <c r="Y32" s="47"/>
      <c r="Z32" s="47"/>
      <c r="AA32" s="48"/>
      <c r="AB32" s="47"/>
      <c r="AC32" s="47"/>
      <c r="AD32" s="47"/>
      <c r="AE32" s="48"/>
      <c r="AF32" s="47"/>
      <c r="AG32" s="47"/>
      <c r="AH32" s="47"/>
      <c r="AI32" s="48"/>
      <c r="AJ32" s="47"/>
      <c r="AK32" s="47"/>
      <c r="AL32" s="47"/>
      <c r="AM32" s="47"/>
      <c r="AN32" s="47"/>
      <c r="AO32" s="47"/>
      <c r="AP32" s="49"/>
      <c r="AQ32" s="48"/>
      <c r="AR32" s="47"/>
      <c r="AS32" s="47"/>
      <c r="AT32" s="47"/>
      <c r="AU32" s="137">
        <v>5.0000000000000001E-3</v>
      </c>
      <c r="AV32" s="138">
        <v>5.0000000000000001E-3</v>
      </c>
      <c r="AW32" s="138">
        <v>5.0000000000000001E-3</v>
      </c>
      <c r="AX32" s="138">
        <v>5.0000000000000001E-3</v>
      </c>
      <c r="AY32" s="137">
        <v>5.0000000000000001E-3</v>
      </c>
      <c r="AZ32" s="138">
        <v>5.0000000000000001E-3</v>
      </c>
      <c r="BA32" s="138">
        <v>5.0000000000000001E-3</v>
      </c>
      <c r="BB32" s="138">
        <v>5.0000000000000001E-3</v>
      </c>
      <c r="BC32" s="137">
        <v>5.0000000000000001E-3</v>
      </c>
      <c r="BD32" s="138">
        <v>5.0000000000000001E-3</v>
      </c>
      <c r="BE32" s="138">
        <v>5.0000000000000001E-3</v>
      </c>
      <c r="BF32" s="138">
        <v>5.0000000000000001E-3</v>
      </c>
      <c r="BG32" s="137">
        <v>5.0000000000000001E-3</v>
      </c>
      <c r="BH32" s="138">
        <v>5.0000000000000001E-3</v>
      </c>
      <c r="BI32" s="138">
        <v>5.0000000000000001E-3</v>
      </c>
      <c r="BJ32" s="138">
        <v>7.4999999999999997E-3</v>
      </c>
      <c r="BK32" s="137">
        <v>7.4999999999999997E-3</v>
      </c>
      <c r="BL32" s="138">
        <v>7.4999999999999997E-3</v>
      </c>
      <c r="BM32" s="138">
        <v>7.4999999999999997E-3</v>
      </c>
      <c r="BN32" s="138">
        <v>5.0000000000000001E-3</v>
      </c>
      <c r="BO32" s="137">
        <v>5.0000000000000001E-3</v>
      </c>
      <c r="BP32" s="138">
        <v>5.0000000000000001E-3</v>
      </c>
      <c r="BQ32" s="138">
        <v>5.0000000000000001E-3</v>
      </c>
      <c r="BR32" s="138">
        <v>5.0000000000000001E-3</v>
      </c>
      <c r="BS32" s="137">
        <v>5.0000000000000001E-3</v>
      </c>
      <c r="BT32" s="139"/>
    </row>
    <row r="33" spans="1:74">
      <c r="A33" s="84" t="s">
        <v>105</v>
      </c>
      <c r="B33" s="80" t="s">
        <v>106</v>
      </c>
      <c r="C33" s="48"/>
      <c r="D33" s="47"/>
      <c r="E33" s="47"/>
      <c r="F33" s="47"/>
      <c r="G33" s="48"/>
      <c r="H33" s="47"/>
      <c r="I33" s="47"/>
      <c r="J33" s="47"/>
      <c r="K33" s="48"/>
      <c r="L33" s="47"/>
      <c r="M33" s="47"/>
      <c r="N33" s="47"/>
      <c r="O33" s="48"/>
      <c r="P33" s="47"/>
      <c r="Q33" s="47"/>
      <c r="R33" s="47"/>
      <c r="S33" s="48"/>
      <c r="T33" s="47"/>
      <c r="U33" s="47"/>
      <c r="V33" s="47"/>
      <c r="W33" s="48"/>
      <c r="X33" s="47"/>
      <c r="Y33" s="47"/>
      <c r="Z33" s="47"/>
      <c r="AA33" s="48"/>
      <c r="AB33" s="47"/>
      <c r="AC33" s="47"/>
      <c r="AD33" s="47"/>
      <c r="AE33" s="48"/>
      <c r="AF33" s="47"/>
      <c r="AG33" s="47"/>
      <c r="AH33" s="47"/>
      <c r="AI33" s="48"/>
      <c r="AJ33" s="47"/>
      <c r="AK33" s="47"/>
      <c r="AL33" s="47"/>
      <c r="AM33" s="47"/>
      <c r="AN33" s="47"/>
      <c r="AO33" s="47"/>
      <c r="AP33" s="49"/>
      <c r="AQ33" s="48"/>
      <c r="AR33" s="47"/>
      <c r="AS33" s="47"/>
      <c r="AT33" s="47"/>
      <c r="AU33" s="137">
        <v>0</v>
      </c>
      <c r="AV33" s="138">
        <v>0</v>
      </c>
      <c r="AW33" s="138">
        <v>0</v>
      </c>
      <c r="AX33" s="138">
        <v>0</v>
      </c>
      <c r="AY33" s="137">
        <v>0</v>
      </c>
      <c r="AZ33" s="138">
        <v>0</v>
      </c>
      <c r="BA33" s="138">
        <v>0</v>
      </c>
      <c r="BB33" s="138">
        <v>0</v>
      </c>
      <c r="BC33" s="137">
        <v>0</v>
      </c>
      <c r="BD33" s="138">
        <v>0</v>
      </c>
      <c r="BE33" s="138">
        <v>0</v>
      </c>
      <c r="BF33" s="138">
        <v>0</v>
      </c>
      <c r="BG33" s="137">
        <v>0</v>
      </c>
      <c r="BH33" s="138">
        <v>0</v>
      </c>
      <c r="BI33" s="138">
        <v>0</v>
      </c>
      <c r="BJ33" s="138">
        <v>0</v>
      </c>
      <c r="BK33" s="137">
        <v>0</v>
      </c>
      <c r="BL33" s="138">
        <v>0</v>
      </c>
      <c r="BM33" s="138">
        <v>0</v>
      </c>
      <c r="BN33" s="138">
        <v>0</v>
      </c>
      <c r="BO33" s="137">
        <v>0</v>
      </c>
      <c r="BP33" s="138">
        <v>0</v>
      </c>
      <c r="BQ33" s="138">
        <v>0</v>
      </c>
      <c r="BR33" s="138">
        <v>0</v>
      </c>
      <c r="BS33" s="137">
        <v>0</v>
      </c>
      <c r="BT33" s="139"/>
    </row>
    <row r="34" spans="1:74">
      <c r="A34" s="84" t="s">
        <v>107</v>
      </c>
      <c r="B34" s="80" t="s">
        <v>108</v>
      </c>
      <c r="C34" s="48"/>
      <c r="D34" s="47"/>
      <c r="E34" s="47"/>
      <c r="F34" s="47"/>
      <c r="G34" s="48"/>
      <c r="H34" s="47"/>
      <c r="I34" s="47"/>
      <c r="J34" s="47"/>
      <c r="K34" s="48"/>
      <c r="L34" s="47"/>
      <c r="M34" s="47"/>
      <c r="N34" s="47"/>
      <c r="O34" s="48"/>
      <c r="P34" s="47"/>
      <c r="Q34" s="47"/>
      <c r="R34" s="47"/>
      <c r="S34" s="48"/>
      <c r="T34" s="47"/>
      <c r="U34" s="47"/>
      <c r="V34" s="47"/>
      <c r="W34" s="48"/>
      <c r="X34" s="47"/>
      <c r="Y34" s="47"/>
      <c r="Z34" s="47"/>
      <c r="AA34" s="48"/>
      <c r="AB34" s="47"/>
      <c r="AC34" s="47"/>
      <c r="AD34" s="47"/>
      <c r="AE34" s="48"/>
      <c r="AF34" s="47"/>
      <c r="AG34" s="47"/>
      <c r="AH34" s="47"/>
      <c r="AI34" s="48"/>
      <c r="AJ34" s="47"/>
      <c r="AK34" s="47"/>
      <c r="AL34" s="47"/>
      <c r="AM34" s="47"/>
      <c r="AN34" s="47"/>
      <c r="AO34" s="47"/>
      <c r="AP34" s="49"/>
      <c r="AQ34" s="48"/>
      <c r="AR34" s="47"/>
      <c r="AS34" s="47"/>
      <c r="AT34" s="47"/>
      <c r="AU34" s="141">
        <v>2.9600000000000001E-2</v>
      </c>
      <c r="AV34" s="142">
        <v>2.9489999999999999E-2</v>
      </c>
      <c r="AW34" s="142">
        <v>2.9600000000000001E-2</v>
      </c>
      <c r="AX34" s="142">
        <v>2.9610000000000001E-2</v>
      </c>
      <c r="AY34" s="141">
        <v>2.9579999999999999E-2</v>
      </c>
      <c r="AZ34" s="142">
        <v>2.9610000000000001E-2</v>
      </c>
      <c r="BA34" s="142">
        <v>2.964E-2</v>
      </c>
      <c r="BB34" s="142">
        <v>2.9530000000000001E-2</v>
      </c>
      <c r="BC34" s="141">
        <v>0</v>
      </c>
      <c r="BD34" s="142">
        <v>0</v>
      </c>
      <c r="BE34" s="142">
        <v>0</v>
      </c>
      <c r="BF34" s="142">
        <v>0</v>
      </c>
      <c r="BG34" s="141">
        <v>0</v>
      </c>
      <c r="BH34" s="142">
        <v>0</v>
      </c>
      <c r="BI34" s="142">
        <v>0</v>
      </c>
      <c r="BJ34" s="142">
        <v>0</v>
      </c>
      <c r="BK34" s="141">
        <v>0</v>
      </c>
      <c r="BL34" s="142">
        <v>0</v>
      </c>
      <c r="BM34" s="142">
        <v>0</v>
      </c>
      <c r="BN34" s="142">
        <v>0</v>
      </c>
      <c r="BO34" s="141">
        <v>0</v>
      </c>
      <c r="BP34" s="142">
        <v>0</v>
      </c>
      <c r="BQ34" s="142">
        <v>0</v>
      </c>
      <c r="BR34" s="865">
        <v>0</v>
      </c>
      <c r="BS34" s="866">
        <v>0</v>
      </c>
      <c r="BT34" s="139"/>
    </row>
    <row r="35" spans="1:74">
      <c r="A35" s="84" t="s">
        <v>109</v>
      </c>
      <c r="B35" s="80" t="s">
        <v>110</v>
      </c>
      <c r="C35" s="48"/>
      <c r="D35" s="47"/>
      <c r="E35" s="47"/>
      <c r="F35" s="47"/>
      <c r="G35" s="48"/>
      <c r="H35" s="47"/>
      <c r="I35" s="47"/>
      <c r="J35" s="47"/>
      <c r="K35" s="48"/>
      <c r="L35" s="47"/>
      <c r="M35" s="47"/>
      <c r="N35" s="47"/>
      <c r="O35" s="48"/>
      <c r="P35" s="47"/>
      <c r="Q35" s="47"/>
      <c r="R35" s="47"/>
      <c r="S35" s="48"/>
      <c r="T35" s="47"/>
      <c r="U35" s="47"/>
      <c r="V35" s="47"/>
      <c r="W35" s="48"/>
      <c r="X35" s="47"/>
      <c r="Y35" s="47"/>
      <c r="Z35" s="47"/>
      <c r="AA35" s="48"/>
      <c r="AB35" s="47"/>
      <c r="AC35" s="47"/>
      <c r="AD35" s="47"/>
      <c r="AE35" s="48"/>
      <c r="AF35" s="47"/>
      <c r="AG35" s="47"/>
      <c r="AH35" s="47"/>
      <c r="AI35" s="48"/>
      <c r="AJ35" s="47"/>
      <c r="AK35" s="47"/>
      <c r="AL35" s="47"/>
      <c r="AM35" s="47"/>
      <c r="AN35" s="47"/>
      <c r="AO35" s="47"/>
      <c r="AP35" s="49"/>
      <c r="AQ35" s="48"/>
      <c r="AR35" s="47"/>
      <c r="AS35" s="47"/>
      <c r="AT35" s="47"/>
      <c r="AU35" s="141">
        <v>0</v>
      </c>
      <c r="AV35" s="142">
        <v>3.0000000000000001E-5</v>
      </c>
      <c r="AW35" s="142">
        <v>4.0000000000000003E-5</v>
      </c>
      <c r="AX35" s="142">
        <v>6.0000000000000002E-5</v>
      </c>
      <c r="AY35" s="141">
        <v>5.0000000000000002E-5</v>
      </c>
      <c r="AZ35" s="142">
        <v>3.0000000000000001E-5</v>
      </c>
      <c r="BA35" s="142">
        <v>2.0000000000000002E-5</v>
      </c>
      <c r="BB35" s="142">
        <v>2.0000000000000002E-5</v>
      </c>
      <c r="BC35" s="141">
        <v>2.0000000000000002E-5</v>
      </c>
      <c r="BD35" s="142">
        <v>2.0000000000000002E-5</v>
      </c>
      <c r="BE35" s="142">
        <v>1.0000000000000001E-5</v>
      </c>
      <c r="BF35" s="142">
        <v>2.0000000000000002E-5</v>
      </c>
      <c r="BG35" s="141">
        <v>2.0000000000000002E-5</v>
      </c>
      <c r="BH35" s="142">
        <v>3.0000000000000001E-5</v>
      </c>
      <c r="BI35" s="142">
        <v>3.0000000000000001E-5</v>
      </c>
      <c r="BJ35" s="142">
        <v>1.0000000000000001E-5</v>
      </c>
      <c r="BK35" s="141">
        <v>1.0000000000000001E-5</v>
      </c>
      <c r="BL35" s="142">
        <v>1.0000000000000001E-5</v>
      </c>
      <c r="BM35" s="142">
        <v>2.0000000000000002E-5</v>
      </c>
      <c r="BN35" s="142">
        <v>5.0000000000000002E-5</v>
      </c>
      <c r="BO35" s="141">
        <v>9.0000000000000006E-5</v>
      </c>
      <c r="BP35" s="142">
        <v>1E-4</v>
      </c>
      <c r="BQ35" s="142">
        <v>1E-4</v>
      </c>
      <c r="BR35" s="142">
        <v>1.2E-4</v>
      </c>
      <c r="BS35" s="141">
        <v>1.1E-4</v>
      </c>
      <c r="BT35" s="139"/>
    </row>
    <row r="36" spans="1:74">
      <c r="A36" s="84" t="s">
        <v>111</v>
      </c>
      <c r="B36" s="80" t="s">
        <v>112</v>
      </c>
      <c r="C36" s="139"/>
      <c r="D36" s="41"/>
      <c r="E36" s="41"/>
      <c r="F36" s="41"/>
      <c r="G36" s="139"/>
      <c r="H36" s="41"/>
      <c r="I36" s="41"/>
      <c r="J36" s="41"/>
      <c r="K36" s="139"/>
      <c r="L36" s="41"/>
      <c r="M36" s="41"/>
      <c r="N36" s="41"/>
      <c r="O36" s="139"/>
      <c r="P36" s="41"/>
      <c r="Q36" s="41"/>
      <c r="R36" s="41"/>
      <c r="S36" s="139"/>
      <c r="T36" s="41"/>
      <c r="U36" s="41"/>
      <c r="V36" s="41"/>
      <c r="W36" s="139"/>
      <c r="X36" s="41"/>
      <c r="Y36" s="41"/>
      <c r="Z36" s="41"/>
      <c r="AA36" s="139"/>
      <c r="AB36" s="41"/>
      <c r="AC36" s="41"/>
      <c r="AD36" s="41"/>
      <c r="AE36" s="139"/>
      <c r="AF36" s="41"/>
      <c r="AG36" s="41"/>
      <c r="AH36" s="41"/>
      <c r="AI36" s="139"/>
      <c r="AJ36" s="41"/>
      <c r="AK36" s="41"/>
      <c r="AL36" s="41"/>
      <c r="AM36" s="41"/>
      <c r="AN36" s="41"/>
      <c r="AO36" s="41"/>
      <c r="AP36" s="49"/>
      <c r="AQ36" s="139"/>
      <c r="AR36" s="41"/>
      <c r="AS36" s="41"/>
      <c r="AT36" s="41"/>
      <c r="AU36" s="141"/>
      <c r="AV36" s="142"/>
      <c r="AW36" s="142"/>
      <c r="AX36" s="142"/>
      <c r="AY36" s="141"/>
      <c r="AZ36" s="142"/>
      <c r="BA36" s="142"/>
      <c r="BB36" s="142"/>
      <c r="BC36" s="141"/>
      <c r="BD36" s="142"/>
      <c r="BE36" s="142"/>
      <c r="BF36" s="142"/>
      <c r="BG36" s="141"/>
      <c r="BH36" s="142"/>
      <c r="BI36" s="142"/>
      <c r="BJ36" s="142"/>
      <c r="BK36" s="137">
        <v>1.2999999999999999E-3</v>
      </c>
      <c r="BL36" s="138">
        <v>1.2999999999999999E-3</v>
      </c>
      <c r="BM36" s="138">
        <v>1.2999999999999999E-3</v>
      </c>
      <c r="BN36" s="138">
        <v>5.0000000000000001E-3</v>
      </c>
      <c r="BO36" s="137">
        <v>5.0000000000000001E-3</v>
      </c>
      <c r="BP36" s="138">
        <v>5.0000000000000001E-3</v>
      </c>
      <c r="BQ36" s="138">
        <v>5.0000000000000001E-3</v>
      </c>
      <c r="BR36" s="138">
        <v>3.0999999999999999E-3</v>
      </c>
      <c r="BS36" s="137">
        <v>3.0999999999999999E-3</v>
      </c>
      <c r="BT36" s="139"/>
    </row>
    <row r="37" spans="1:74" s="149" customFormat="1" ht="10.8">
      <c r="A37" s="143" t="s">
        <v>113</v>
      </c>
      <c r="B37" s="143" t="s">
        <v>114</v>
      </c>
      <c r="C37" s="144"/>
      <c r="D37" s="145"/>
      <c r="E37" s="145"/>
      <c r="F37" s="146"/>
      <c r="G37" s="144"/>
      <c r="H37" s="145"/>
      <c r="I37" s="145"/>
      <c r="J37" s="146"/>
      <c r="K37" s="144"/>
      <c r="L37" s="145"/>
      <c r="M37" s="145"/>
      <c r="N37" s="146"/>
      <c r="O37" s="144"/>
      <c r="P37" s="145"/>
      <c r="Q37" s="145"/>
      <c r="R37" s="146"/>
      <c r="S37" s="144"/>
      <c r="T37" s="145"/>
      <c r="U37" s="145"/>
      <c r="V37" s="146"/>
      <c r="W37" s="144"/>
      <c r="X37" s="145"/>
      <c r="Y37" s="145"/>
      <c r="Z37" s="146"/>
      <c r="AA37" s="144"/>
      <c r="AB37" s="145"/>
      <c r="AC37" s="145"/>
      <c r="AD37" s="146"/>
      <c r="AE37" s="144"/>
      <c r="AF37" s="145"/>
      <c r="AG37" s="145"/>
      <c r="AH37" s="146"/>
      <c r="AI37" s="145"/>
      <c r="AJ37" s="145"/>
      <c r="AK37" s="145"/>
      <c r="AL37" s="146"/>
      <c r="AM37" s="145"/>
      <c r="AN37" s="145"/>
      <c r="AO37" s="145"/>
      <c r="AP37" s="146"/>
      <c r="AQ37" s="144"/>
      <c r="AR37" s="145"/>
      <c r="AS37" s="145"/>
      <c r="AT37" s="145"/>
      <c r="AU37" s="147">
        <f t="shared" ref="AU37:BJ37" si="7">SUM(AU29,AU31,AU32,AU33*0.75,AU34,AU35)</f>
        <v>0.11360000000000001</v>
      </c>
      <c r="AV37" s="148">
        <f t="shared" si="7"/>
        <v>0.11352000000000001</v>
      </c>
      <c r="AW37" s="148">
        <f t="shared" si="7"/>
        <v>0.11364</v>
      </c>
      <c r="AX37" s="148">
        <f t="shared" si="7"/>
        <v>0.11367000000000001</v>
      </c>
      <c r="AY37" s="147">
        <f t="shared" si="7"/>
        <v>0.11962999999999999</v>
      </c>
      <c r="AZ37" s="148">
        <f t="shared" si="7"/>
        <v>0.11964</v>
      </c>
      <c r="BA37" s="148">
        <f t="shared" si="7"/>
        <v>0.11966</v>
      </c>
      <c r="BB37" s="148">
        <f t="shared" si="7"/>
        <v>0.11955</v>
      </c>
      <c r="BC37" s="147">
        <f t="shared" si="7"/>
        <v>9.0020000000000003E-2</v>
      </c>
      <c r="BD37" s="148">
        <f t="shared" si="7"/>
        <v>9.0020000000000003E-2</v>
      </c>
      <c r="BE37" s="148">
        <f t="shared" si="7"/>
        <v>9.0009999999999993E-2</v>
      </c>
      <c r="BF37" s="148">
        <f t="shared" si="7"/>
        <v>9.0020000000000003E-2</v>
      </c>
      <c r="BG37" s="147">
        <f t="shared" si="7"/>
        <v>9.0020000000000003E-2</v>
      </c>
      <c r="BH37" s="148">
        <f t="shared" si="7"/>
        <v>9.0029999999999999E-2</v>
      </c>
      <c r="BI37" s="148">
        <f t="shared" si="7"/>
        <v>9.0029999999999999E-2</v>
      </c>
      <c r="BJ37" s="148">
        <f t="shared" si="7"/>
        <v>9.2509999999999995E-2</v>
      </c>
      <c r="BK37" s="147">
        <f t="shared" ref="BK37:BP37" si="8">SUM(BK29,BK31,BK32,BK33*0.75,BK34,BK35,BK36)</f>
        <v>9.3809999999999991E-2</v>
      </c>
      <c r="BL37" s="148">
        <f t="shared" si="8"/>
        <v>9.3809999999999991E-2</v>
      </c>
      <c r="BM37" s="148">
        <f t="shared" si="8"/>
        <v>9.3820000000000001E-2</v>
      </c>
      <c r="BN37" s="148">
        <f t="shared" si="8"/>
        <v>9.5049999999999996E-2</v>
      </c>
      <c r="BO37" s="147">
        <f t="shared" si="8"/>
        <v>9.5090000000000008E-2</v>
      </c>
      <c r="BP37" s="148">
        <f t="shared" si="8"/>
        <v>9.5100000000000004E-2</v>
      </c>
      <c r="BQ37" s="148">
        <f>SUM(BQ29,BQ31,BQ32,BQ33*0.75,BQ34,BQ35,BQ36)</f>
        <v>9.5100000000000004E-2</v>
      </c>
      <c r="BR37" s="148">
        <f>SUM(BR29,BR31,BR32,BR33*0.75,BR34,BR35,BR36)</f>
        <v>9.3219999999999997E-2</v>
      </c>
      <c r="BS37" s="147">
        <f>SUM(BS29,BS31,BS32,BS33*0.75,BS34,BS35,BS36)</f>
        <v>9.3210000000000001E-2</v>
      </c>
    </row>
    <row r="38" spans="1:74" s="149" customFormat="1" ht="10.8">
      <c r="A38" s="143" t="s">
        <v>115</v>
      </c>
      <c r="B38" s="143" t="s">
        <v>116</v>
      </c>
      <c r="C38" s="144"/>
      <c r="D38" s="145"/>
      <c r="E38" s="145"/>
      <c r="F38" s="146"/>
      <c r="G38" s="144"/>
      <c r="H38" s="145"/>
      <c r="I38" s="145"/>
      <c r="J38" s="146"/>
      <c r="K38" s="144"/>
      <c r="L38" s="145"/>
      <c r="M38" s="145"/>
      <c r="N38" s="146"/>
      <c r="O38" s="144"/>
      <c r="P38" s="145"/>
      <c r="Q38" s="145"/>
      <c r="R38" s="146"/>
      <c r="S38" s="144"/>
      <c r="T38" s="145"/>
      <c r="U38" s="145"/>
      <c r="V38" s="146"/>
      <c r="W38" s="144"/>
      <c r="X38" s="145"/>
      <c r="Y38" s="145"/>
      <c r="Z38" s="146"/>
      <c r="AA38" s="144"/>
      <c r="AB38" s="145"/>
      <c r="AC38" s="145"/>
      <c r="AD38" s="146"/>
      <c r="AE38" s="144"/>
      <c r="AF38" s="145"/>
      <c r="AG38" s="145"/>
      <c r="AH38" s="146"/>
      <c r="AI38" s="145"/>
      <c r="AJ38" s="145"/>
      <c r="AK38" s="145"/>
      <c r="AL38" s="146"/>
      <c r="AM38" s="145"/>
      <c r="AN38" s="145"/>
      <c r="AO38" s="145"/>
      <c r="AP38" s="146"/>
      <c r="AQ38" s="144"/>
      <c r="AR38" s="145"/>
      <c r="AS38" s="145"/>
      <c r="AT38" s="145"/>
      <c r="AU38" s="147">
        <f t="shared" ref="AU38:BJ38" si="9">SUM(AU30,AU31,AU32,AU33,AU34,AU35)</f>
        <v>0.1336</v>
      </c>
      <c r="AV38" s="148">
        <f t="shared" si="9"/>
        <v>0.13352</v>
      </c>
      <c r="AW38" s="148">
        <f t="shared" si="9"/>
        <v>0.13364000000000001</v>
      </c>
      <c r="AX38" s="148">
        <f t="shared" si="9"/>
        <v>0.13367000000000001</v>
      </c>
      <c r="AY38" s="147">
        <f t="shared" si="9"/>
        <v>0.13963</v>
      </c>
      <c r="AZ38" s="148">
        <f t="shared" si="9"/>
        <v>0.13964000000000001</v>
      </c>
      <c r="BA38" s="148">
        <f t="shared" si="9"/>
        <v>0.13966000000000001</v>
      </c>
      <c r="BB38" s="148">
        <f t="shared" si="9"/>
        <v>0.13955000000000001</v>
      </c>
      <c r="BC38" s="147">
        <f t="shared" si="9"/>
        <v>0.11002000000000002</v>
      </c>
      <c r="BD38" s="148">
        <f t="shared" si="9"/>
        <v>0.11002000000000002</v>
      </c>
      <c r="BE38" s="148">
        <f t="shared" si="9"/>
        <v>0.11001000000000001</v>
      </c>
      <c r="BF38" s="148">
        <f t="shared" si="9"/>
        <v>0.11002000000000002</v>
      </c>
      <c r="BG38" s="147">
        <f t="shared" si="9"/>
        <v>0.11002000000000002</v>
      </c>
      <c r="BH38" s="148">
        <f t="shared" si="9"/>
        <v>0.11003000000000002</v>
      </c>
      <c r="BI38" s="148">
        <f t="shared" si="9"/>
        <v>0.11003000000000002</v>
      </c>
      <c r="BJ38" s="148">
        <f t="shared" si="9"/>
        <v>0.11251000000000001</v>
      </c>
      <c r="BK38" s="147">
        <f t="shared" ref="BK38:BP38" si="10">SUM(BK30,BK31,BK32,BK33,BK34,BK35,BK36)</f>
        <v>0.11381000000000001</v>
      </c>
      <c r="BL38" s="148">
        <f t="shared" si="10"/>
        <v>0.11381000000000001</v>
      </c>
      <c r="BM38" s="148">
        <f t="shared" si="10"/>
        <v>0.11382000000000002</v>
      </c>
      <c r="BN38" s="148">
        <f t="shared" si="10"/>
        <v>0.11505000000000001</v>
      </c>
      <c r="BO38" s="147">
        <f t="shared" si="10"/>
        <v>0.11509000000000003</v>
      </c>
      <c r="BP38" s="148">
        <f t="shared" si="10"/>
        <v>0.11510000000000002</v>
      </c>
      <c r="BQ38" s="148">
        <f>SUM(BQ30,BQ31,BQ32,BQ33,BQ34,BQ35,BQ36)</f>
        <v>0.11510000000000002</v>
      </c>
      <c r="BR38" s="148">
        <f>SUM(BR30,BR31,BR32,BR33,BR34,BR35,BR36)</f>
        <v>0.11322000000000002</v>
      </c>
      <c r="BS38" s="147">
        <f>SUM(BS30,BS31,BS32,BS33,BS34,BS35,BS36)</f>
        <v>0.11321000000000002</v>
      </c>
    </row>
    <row r="39" spans="1:74"/>
    <row r="40" spans="1:74" s="6" customFormat="1" ht="11.25" customHeight="1">
      <c r="A40" s="536" t="s">
        <v>293</v>
      </c>
      <c r="B40" s="536" t="s">
        <v>294</v>
      </c>
      <c r="C40" s="533">
        <v>2007</v>
      </c>
      <c r="D40" s="534"/>
      <c r="E40" s="534"/>
      <c r="F40" s="534"/>
      <c r="G40" s="533">
        <v>2008</v>
      </c>
      <c r="H40" s="534"/>
      <c r="I40" s="534"/>
      <c r="J40" s="534"/>
      <c r="K40" s="533">
        <v>2009</v>
      </c>
      <c r="L40" s="534"/>
      <c r="M40" s="534"/>
      <c r="N40" s="534"/>
      <c r="O40" s="533">
        <v>2010</v>
      </c>
      <c r="P40" s="534"/>
      <c r="Q40" s="534"/>
      <c r="R40" s="534"/>
      <c r="S40" s="533">
        <v>2011</v>
      </c>
      <c r="T40" s="534"/>
      <c r="U40" s="534"/>
      <c r="V40" s="534"/>
      <c r="W40" s="533">
        <v>2012</v>
      </c>
      <c r="X40" s="534"/>
      <c r="Y40" s="534"/>
      <c r="Z40" s="535"/>
      <c r="AA40" s="533">
        <v>2013</v>
      </c>
      <c r="AB40" s="534"/>
      <c r="AC40" s="534"/>
      <c r="AD40" s="535"/>
      <c r="AE40" s="533">
        <v>2014</v>
      </c>
      <c r="AF40" s="534"/>
      <c r="AG40" s="534"/>
      <c r="AH40" s="535"/>
      <c r="AI40" s="540">
        <v>2015</v>
      </c>
      <c r="AJ40" s="534"/>
      <c r="AK40" s="534"/>
      <c r="AL40" s="535"/>
      <c r="AM40" s="540">
        <v>2016</v>
      </c>
      <c r="AN40" s="534"/>
      <c r="AO40" s="534"/>
      <c r="AP40" s="535"/>
      <c r="AQ40" s="594">
        <v>2017</v>
      </c>
      <c r="AR40" s="595"/>
      <c r="AS40" s="595"/>
      <c r="AT40" s="595"/>
      <c r="AU40" s="602">
        <v>2018</v>
      </c>
      <c r="AV40" s="603"/>
      <c r="AW40" s="603"/>
      <c r="AX40" s="539"/>
      <c r="AY40" s="602">
        <v>2019</v>
      </c>
      <c r="AZ40" s="603"/>
      <c r="BA40" s="603"/>
      <c r="BB40" s="539"/>
      <c r="BC40" s="602">
        <v>2020</v>
      </c>
      <c r="BD40" s="603"/>
      <c r="BE40" s="603"/>
      <c r="BF40" s="539"/>
      <c r="BG40" s="602">
        <v>2021</v>
      </c>
      <c r="BH40" s="603"/>
      <c r="BI40" s="603"/>
      <c r="BJ40" s="539"/>
      <c r="BK40" s="602">
        <v>2022</v>
      </c>
      <c r="BL40" s="603"/>
      <c r="BM40" s="603"/>
      <c r="BN40" s="539"/>
      <c r="BO40" s="602">
        <v>2023</v>
      </c>
      <c r="BP40" s="603"/>
      <c r="BQ40" s="603"/>
      <c r="BR40" s="539"/>
      <c r="BS40" s="602">
        <v>2024</v>
      </c>
      <c r="BT40" s="603"/>
      <c r="BU40" s="603"/>
      <c r="BV40" s="539"/>
    </row>
    <row r="41" spans="1:74" s="6" customFormat="1" ht="11.25" customHeight="1">
      <c r="A41" s="537"/>
      <c r="B41" s="537"/>
      <c r="C41" s="11" t="s">
        <v>8</v>
      </c>
      <c r="D41" s="12" t="s">
        <v>9</v>
      </c>
      <c r="E41" s="12" t="s">
        <v>10</v>
      </c>
      <c r="F41" s="12" t="s">
        <v>11</v>
      </c>
      <c r="G41" s="11" t="s">
        <v>8</v>
      </c>
      <c r="H41" s="12" t="s">
        <v>9</v>
      </c>
      <c r="I41" s="12" t="s">
        <v>10</v>
      </c>
      <c r="J41" s="13" t="s">
        <v>11</v>
      </c>
      <c r="K41" s="11" t="s">
        <v>8</v>
      </c>
      <c r="L41" s="12" t="s">
        <v>9</v>
      </c>
      <c r="M41" s="12" t="s">
        <v>10</v>
      </c>
      <c r="N41" s="13" t="s">
        <v>11</v>
      </c>
      <c r="O41" s="11" t="s">
        <v>8</v>
      </c>
      <c r="P41" s="12" t="s">
        <v>9</v>
      </c>
      <c r="Q41" s="12" t="s">
        <v>10</v>
      </c>
      <c r="R41" s="13" t="s">
        <v>11</v>
      </c>
      <c r="S41" s="11" t="s">
        <v>8</v>
      </c>
      <c r="T41" s="12" t="s">
        <v>9</v>
      </c>
      <c r="U41" s="12" t="s">
        <v>10</v>
      </c>
      <c r="V41" s="13" t="s">
        <v>11</v>
      </c>
      <c r="W41" s="11" t="s">
        <v>8</v>
      </c>
      <c r="X41" s="12" t="s">
        <v>9</v>
      </c>
      <c r="Y41" s="12" t="s">
        <v>10</v>
      </c>
      <c r="Z41" s="13" t="s">
        <v>11</v>
      </c>
      <c r="AA41" s="14" t="s">
        <v>8</v>
      </c>
      <c r="AB41" s="14" t="s">
        <v>9</v>
      </c>
      <c r="AC41" s="14" t="s">
        <v>10</v>
      </c>
      <c r="AD41" s="13" t="s">
        <v>11</v>
      </c>
      <c r="AE41" s="15" t="s">
        <v>8</v>
      </c>
      <c r="AF41" s="14" t="s">
        <v>9</v>
      </c>
      <c r="AG41" s="14" t="s">
        <v>10</v>
      </c>
      <c r="AH41" s="16" t="s">
        <v>11</v>
      </c>
      <c r="AI41" s="14" t="s">
        <v>8</v>
      </c>
      <c r="AJ41" s="14" t="s">
        <v>9</v>
      </c>
      <c r="AK41" s="14" t="s">
        <v>10</v>
      </c>
      <c r="AL41" s="16" t="s">
        <v>11</v>
      </c>
      <c r="AM41" s="14" t="s">
        <v>8</v>
      </c>
      <c r="AN41" s="14" t="s">
        <v>9</v>
      </c>
      <c r="AO41" s="14" t="s">
        <v>10</v>
      </c>
      <c r="AP41" s="16" t="s">
        <v>11</v>
      </c>
      <c r="AQ41" s="15" t="s">
        <v>8</v>
      </c>
      <c r="AR41" s="14" t="s">
        <v>9</v>
      </c>
      <c r="AS41" s="14" t="s">
        <v>10</v>
      </c>
      <c r="AT41" s="14" t="s">
        <v>11</v>
      </c>
      <c r="AU41" s="15" t="s">
        <v>8</v>
      </c>
      <c r="AV41" s="14" t="s">
        <v>9</v>
      </c>
      <c r="AW41" s="14" t="s">
        <v>10</v>
      </c>
      <c r="AX41" s="14" t="s">
        <v>11</v>
      </c>
      <c r="AY41" s="15" t="s">
        <v>8</v>
      </c>
      <c r="AZ41" s="14" t="s">
        <v>9</v>
      </c>
      <c r="BA41" s="14" t="s">
        <v>10</v>
      </c>
      <c r="BB41" s="14" t="s">
        <v>11</v>
      </c>
      <c r="BC41" s="15" t="s">
        <v>8</v>
      </c>
      <c r="BD41" s="14" t="s">
        <v>9</v>
      </c>
      <c r="BE41" s="14" t="s">
        <v>10</v>
      </c>
      <c r="BF41" s="14" t="s">
        <v>11</v>
      </c>
      <c r="BG41" s="15" t="s">
        <v>8</v>
      </c>
      <c r="BH41" s="14" t="s">
        <v>9</v>
      </c>
      <c r="BI41" s="14" t="s">
        <v>10</v>
      </c>
      <c r="BJ41" s="14" t="s">
        <v>11</v>
      </c>
      <c r="BK41" s="15" t="s">
        <v>8</v>
      </c>
      <c r="BL41" s="14" t="s">
        <v>9</v>
      </c>
      <c r="BM41" s="14" t="s">
        <v>10</v>
      </c>
      <c r="BN41" s="14" t="s">
        <v>11</v>
      </c>
      <c r="BO41" s="15" t="s">
        <v>8</v>
      </c>
      <c r="BP41" s="14" t="s">
        <v>9</v>
      </c>
      <c r="BQ41" s="14" t="s">
        <v>10</v>
      </c>
      <c r="BR41" s="14" t="s">
        <v>11</v>
      </c>
      <c r="BS41" s="15" t="s">
        <v>8</v>
      </c>
      <c r="BT41" s="14" t="s">
        <v>9</v>
      </c>
      <c r="BU41" s="14" t="s">
        <v>10</v>
      </c>
      <c r="BV41" s="14" t="s">
        <v>11</v>
      </c>
    </row>
    <row r="42" spans="1:74"/>
    <row r="43" spans="1:74" s="33" customFormat="1" ht="11.4" thickBot="1">
      <c r="A43" s="26" t="s">
        <v>14</v>
      </c>
      <c r="B43" s="26" t="s">
        <v>15</v>
      </c>
      <c r="C43" s="27"/>
      <c r="D43" s="28"/>
      <c r="E43" s="28"/>
      <c r="F43" s="29"/>
      <c r="G43" s="27"/>
      <c r="H43" s="28"/>
      <c r="I43" s="28"/>
      <c r="J43" s="29"/>
      <c r="K43" s="28"/>
      <c r="L43" s="28"/>
      <c r="M43" s="28"/>
      <c r="N43" s="28"/>
      <c r="O43" s="27"/>
      <c r="P43" s="28"/>
      <c r="Q43" s="28"/>
      <c r="R43" s="29"/>
      <c r="S43" s="30"/>
      <c r="T43" s="30"/>
      <c r="U43" s="30"/>
      <c r="V43" s="30"/>
      <c r="W43" s="31"/>
      <c r="X43" s="30"/>
      <c r="Y43" s="30"/>
      <c r="Z43" s="32"/>
      <c r="AA43" s="30"/>
      <c r="AB43" s="30"/>
      <c r="AC43" s="30"/>
      <c r="AD43" s="25"/>
      <c r="AE43" s="22"/>
      <c r="AF43" s="17"/>
      <c r="AG43" s="17"/>
      <c r="AH43" s="25"/>
      <c r="AI43" s="17"/>
      <c r="AJ43" s="17"/>
      <c r="AK43" s="17"/>
      <c r="AL43" s="25"/>
      <c r="AM43" s="17"/>
      <c r="AN43" s="17"/>
      <c r="AO43" s="17"/>
      <c r="AP43" s="25"/>
      <c r="AQ43" s="22"/>
      <c r="AR43" s="17"/>
      <c r="AS43" s="17"/>
      <c r="AT43" s="17"/>
      <c r="AU43" s="22"/>
      <c r="AV43" s="17"/>
      <c r="AW43" s="17"/>
      <c r="AX43" s="17"/>
      <c r="AY43" s="22"/>
      <c r="AZ43" s="17"/>
      <c r="BA43" s="17"/>
      <c r="BB43" s="17"/>
      <c r="BC43" s="22"/>
      <c r="BD43" s="17"/>
      <c r="BE43" s="17"/>
      <c r="BF43" s="17"/>
      <c r="BG43" s="22"/>
      <c r="BH43" s="17"/>
      <c r="BI43" s="17"/>
      <c r="BJ43" s="17"/>
      <c r="BK43" s="22"/>
      <c r="BL43" s="17"/>
      <c r="BM43" s="17"/>
      <c r="BN43" s="17"/>
      <c r="BO43" s="22"/>
      <c r="BP43" s="17"/>
      <c r="BQ43" s="17"/>
      <c r="BR43" s="17"/>
      <c r="BS43" s="22"/>
    </row>
    <row r="44" spans="1:74" s="78" customFormat="1" ht="22.2" thickBot="1">
      <c r="A44" s="73" t="s">
        <v>290</v>
      </c>
      <c r="B44" s="74" t="s">
        <v>49</v>
      </c>
      <c r="C44" s="75"/>
      <c r="D44" s="76"/>
      <c r="E44" s="76"/>
      <c r="F44" s="77"/>
      <c r="G44" s="75"/>
      <c r="H44" s="76"/>
      <c r="I44" s="76"/>
      <c r="J44" s="77"/>
      <c r="K44" s="76"/>
      <c r="L44" s="76"/>
      <c r="M44" s="76"/>
      <c r="N44" s="76"/>
      <c r="O44" s="75"/>
      <c r="P44" s="76"/>
      <c r="Q44" s="76"/>
      <c r="R44" s="77"/>
      <c r="S44" s="76"/>
      <c r="T44" s="76"/>
      <c r="U44" s="76"/>
      <c r="V44" s="76"/>
      <c r="W44" s="75"/>
      <c r="X44" s="76"/>
      <c r="Y44" s="76"/>
      <c r="Z44" s="77"/>
      <c r="AA44" s="76"/>
      <c r="AB44" s="76"/>
      <c r="AC44" s="76"/>
      <c r="AD44" s="77"/>
      <c r="AE44" s="75"/>
      <c r="AF44" s="76"/>
      <c r="AG44" s="76"/>
      <c r="AH44" s="77"/>
      <c r="AI44" s="76"/>
      <c r="AJ44" s="76"/>
      <c r="AK44" s="76"/>
      <c r="AL44" s="77"/>
      <c r="AM44" s="76"/>
      <c r="AN44" s="76"/>
      <c r="AO44" s="76"/>
      <c r="AP44" s="77">
        <f t="shared" ref="AP44:BP44" si="11">SUM(AP45:AP47)</f>
        <v>9068.1</v>
      </c>
      <c r="AQ44" s="75">
        <f t="shared" si="11"/>
        <v>9118.1999999999989</v>
      </c>
      <c r="AR44" s="76">
        <f t="shared" si="11"/>
        <v>10016.300000000001</v>
      </c>
      <c r="AS44" s="76">
        <f t="shared" si="11"/>
        <v>10050.5</v>
      </c>
      <c r="AT44" s="76">
        <f t="shared" si="11"/>
        <v>10743.3</v>
      </c>
      <c r="AU44" s="75">
        <f t="shared" si="11"/>
        <v>11003.9</v>
      </c>
      <c r="AV44" s="76">
        <f t="shared" si="11"/>
        <v>11221.399999999998</v>
      </c>
      <c r="AW44" s="76">
        <f t="shared" si="11"/>
        <v>11756.400000000001</v>
      </c>
      <c r="AX44" s="76">
        <f t="shared" si="11"/>
        <v>11949.600000000002</v>
      </c>
      <c r="AY44" s="75">
        <f t="shared" si="11"/>
        <v>12708.900000000001</v>
      </c>
      <c r="AZ44" s="76">
        <f t="shared" si="11"/>
        <v>12796.199999999999</v>
      </c>
      <c r="BA44" s="76">
        <f t="shared" si="11"/>
        <v>13386.800000000001</v>
      </c>
      <c r="BB44" s="76">
        <f t="shared" si="11"/>
        <v>14603</v>
      </c>
      <c r="BC44" s="75">
        <f t="shared" si="11"/>
        <v>14340.3</v>
      </c>
      <c r="BD44" s="76">
        <f t="shared" si="11"/>
        <v>16042.795588469195</v>
      </c>
      <c r="BE44" s="76">
        <f t="shared" si="11"/>
        <v>15986.6</v>
      </c>
      <c r="BF44" s="76">
        <f t="shared" si="11"/>
        <v>17114.2</v>
      </c>
      <c r="BG44" s="75">
        <f t="shared" si="11"/>
        <v>17198.2</v>
      </c>
      <c r="BH44" s="76">
        <f t="shared" si="11"/>
        <v>17417.5</v>
      </c>
      <c r="BI44" s="76">
        <f t="shared" si="11"/>
        <v>17531.3</v>
      </c>
      <c r="BJ44" s="76">
        <f t="shared" si="11"/>
        <v>16660.599999999999</v>
      </c>
      <c r="BK44" s="75">
        <f t="shared" si="11"/>
        <v>16375.099999999999</v>
      </c>
      <c r="BL44" s="76">
        <f t="shared" si="11"/>
        <v>15741.3</v>
      </c>
      <c r="BM44" s="76">
        <f t="shared" si="11"/>
        <v>16171.600000000002</v>
      </c>
      <c r="BN44" s="76">
        <f t="shared" si="11"/>
        <v>17823.100000000002</v>
      </c>
      <c r="BO44" s="75">
        <f t="shared" si="11"/>
        <v>17786.900000000001</v>
      </c>
      <c r="BP44" s="76">
        <f t="shared" si="11"/>
        <v>17875.800000000003</v>
      </c>
      <c r="BQ44" s="76">
        <f>SUM(BQ45:BQ47)</f>
        <v>17785.600000000002</v>
      </c>
      <c r="BR44" s="76">
        <f>SUM(BR45:BR47)</f>
        <v>19051.600000000002</v>
      </c>
      <c r="BS44" s="75">
        <f>SUM(BS45:BS47)</f>
        <v>19242.7</v>
      </c>
    </row>
    <row r="45" spans="1:74" s="78" customFormat="1" ht="10.8">
      <c r="A45" s="89" t="s">
        <v>50</v>
      </c>
      <c r="B45" s="80" t="s">
        <v>51</v>
      </c>
      <c r="C45" s="81"/>
      <c r="D45" s="82"/>
      <c r="E45" s="82"/>
      <c r="F45" s="83"/>
      <c r="G45" s="81"/>
      <c r="H45" s="82"/>
      <c r="I45" s="82"/>
      <c r="J45" s="83"/>
      <c r="K45" s="82"/>
      <c r="L45" s="82"/>
      <c r="M45" s="82"/>
      <c r="N45" s="82"/>
      <c r="O45" s="81"/>
      <c r="P45" s="82"/>
      <c r="Q45" s="82"/>
      <c r="R45" s="83"/>
      <c r="S45" s="82"/>
      <c r="T45" s="82"/>
      <c r="U45" s="82"/>
      <c r="V45" s="82"/>
      <c r="W45" s="81"/>
      <c r="X45" s="82"/>
      <c r="Y45" s="82"/>
      <c r="Z45" s="83"/>
      <c r="AA45" s="82"/>
      <c r="AB45" s="82"/>
      <c r="AC45" s="82"/>
      <c r="AD45" s="83"/>
      <c r="AE45" s="81"/>
      <c r="AF45" s="82"/>
      <c r="AG45" s="82"/>
      <c r="AH45" s="83"/>
      <c r="AI45" s="82"/>
      <c r="AJ45" s="82"/>
      <c r="AK45" s="82"/>
      <c r="AL45" s="83"/>
      <c r="AM45" s="82"/>
      <c r="AN45" s="82"/>
      <c r="AO45" s="82"/>
      <c r="AP45" s="83">
        <v>8425.8000000000011</v>
      </c>
      <c r="AQ45" s="81">
        <v>8496.4</v>
      </c>
      <c r="AR45" s="82">
        <v>9395.9000000000015</v>
      </c>
      <c r="AS45" s="82">
        <v>9418.7000000000007</v>
      </c>
      <c r="AT45" s="82">
        <v>10130</v>
      </c>
      <c r="AU45" s="81">
        <v>10372.6</v>
      </c>
      <c r="AV45" s="82">
        <v>10567.199999999997</v>
      </c>
      <c r="AW45" s="82">
        <v>11115.7</v>
      </c>
      <c r="AX45" s="82">
        <v>11304.600000000002</v>
      </c>
      <c r="AY45" s="81">
        <v>11633.600000000002</v>
      </c>
      <c r="AZ45" s="82">
        <v>11733.199999999999</v>
      </c>
      <c r="BA45" s="82">
        <v>12293.400000000001</v>
      </c>
      <c r="BB45" s="82">
        <v>12473.7</v>
      </c>
      <c r="BC45" s="81">
        <v>12064.099999999999</v>
      </c>
      <c r="BD45" s="82">
        <v>13809.795588469195</v>
      </c>
      <c r="BE45" s="82">
        <v>13723.2</v>
      </c>
      <c r="BF45" s="82">
        <v>14806.800000000001</v>
      </c>
      <c r="BG45" s="81">
        <v>14881.5</v>
      </c>
      <c r="BH45" s="82">
        <v>15203.9</v>
      </c>
      <c r="BI45" s="82">
        <v>15297.8</v>
      </c>
      <c r="BJ45" s="82">
        <v>14934.199999999999</v>
      </c>
      <c r="BK45" s="81">
        <v>14645.099999999999</v>
      </c>
      <c r="BL45" s="82">
        <v>14041.599999999999</v>
      </c>
      <c r="BM45" s="82">
        <v>14446.100000000002</v>
      </c>
      <c r="BN45" s="82">
        <v>16165.800000000003</v>
      </c>
      <c r="BO45" s="81">
        <v>16150.500000000002</v>
      </c>
      <c r="BP45" s="82">
        <v>16318.200000000003</v>
      </c>
      <c r="BQ45" s="82">
        <v>16163.100000000002</v>
      </c>
      <c r="BR45" s="82">
        <v>17522.300000000003</v>
      </c>
      <c r="BS45" s="81">
        <v>17773.400000000001</v>
      </c>
      <c r="BT45" s="41"/>
      <c r="BU45" s="41"/>
    </row>
    <row r="46" spans="1:74" s="858" customFormat="1" ht="10.8" hidden="1">
      <c r="A46" s="857" t="s">
        <v>291</v>
      </c>
      <c r="B46" s="859" t="s">
        <v>292</v>
      </c>
      <c r="C46" s="709"/>
      <c r="D46" s="715"/>
      <c r="E46" s="715"/>
      <c r="F46" s="717"/>
      <c r="G46" s="709"/>
      <c r="H46" s="715"/>
      <c r="I46" s="715"/>
      <c r="J46" s="717"/>
      <c r="K46" s="715"/>
      <c r="L46" s="715"/>
      <c r="M46" s="715"/>
      <c r="N46" s="715"/>
      <c r="O46" s="709"/>
      <c r="P46" s="715"/>
      <c r="Q46" s="715"/>
      <c r="R46" s="717"/>
      <c r="S46" s="715"/>
      <c r="T46" s="715"/>
      <c r="U46" s="715"/>
      <c r="V46" s="715"/>
      <c r="W46" s="709"/>
      <c r="X46" s="715"/>
      <c r="Y46" s="715"/>
      <c r="Z46" s="717"/>
      <c r="AA46" s="715"/>
      <c r="AB46" s="715"/>
      <c r="AC46" s="715"/>
      <c r="AD46" s="717"/>
      <c r="AE46" s="709"/>
      <c r="AF46" s="715"/>
      <c r="AG46" s="715"/>
      <c r="AH46" s="717"/>
      <c r="AI46" s="715"/>
      <c r="AJ46" s="715"/>
      <c r="AK46" s="715"/>
      <c r="AL46" s="717"/>
      <c r="AM46" s="715"/>
      <c r="AN46" s="715"/>
      <c r="AO46" s="715"/>
      <c r="AP46" s="860"/>
      <c r="AQ46" s="709"/>
      <c r="AR46" s="715"/>
      <c r="AS46" s="715"/>
      <c r="AT46" s="715"/>
      <c r="AU46" s="709"/>
      <c r="AV46" s="715"/>
      <c r="AW46" s="715"/>
      <c r="AX46" s="715"/>
      <c r="AY46" s="709"/>
      <c r="AZ46" s="715"/>
      <c r="BA46" s="715"/>
      <c r="BB46" s="715"/>
      <c r="BC46" s="709"/>
      <c r="BD46" s="715"/>
      <c r="BE46" s="715"/>
      <c r="BF46" s="715"/>
      <c r="BG46" s="861"/>
      <c r="BH46" s="715"/>
      <c r="BI46" s="715"/>
      <c r="BJ46" s="715"/>
      <c r="BK46" s="861"/>
      <c r="BL46" s="715"/>
      <c r="BM46" s="715"/>
      <c r="BN46" s="715"/>
      <c r="BO46" s="861"/>
      <c r="BP46" s="715"/>
      <c r="BQ46" s="715"/>
      <c r="BR46" s="715"/>
      <c r="BS46" s="709"/>
      <c r="BT46" s="862"/>
      <c r="BU46" s="862"/>
    </row>
    <row r="47" spans="1:74" s="78" customFormat="1" ht="10.8">
      <c r="A47" s="84" t="s">
        <v>52</v>
      </c>
      <c r="B47" s="80" t="s">
        <v>53</v>
      </c>
      <c r="C47" s="48"/>
      <c r="D47" s="47"/>
      <c r="E47" s="47"/>
      <c r="F47" s="49"/>
      <c r="G47" s="48"/>
      <c r="H47" s="47"/>
      <c r="I47" s="47"/>
      <c r="J47" s="49"/>
      <c r="K47" s="47"/>
      <c r="L47" s="47"/>
      <c r="M47" s="47"/>
      <c r="N47" s="47"/>
      <c r="O47" s="48"/>
      <c r="P47" s="47"/>
      <c r="Q47" s="47"/>
      <c r="R47" s="49"/>
      <c r="S47" s="47"/>
      <c r="T47" s="47"/>
      <c r="U47" s="47"/>
      <c r="V47" s="47"/>
      <c r="W47" s="48"/>
      <c r="X47" s="47"/>
      <c r="Y47" s="47"/>
      <c r="Z47" s="49"/>
      <c r="AA47" s="47"/>
      <c r="AB47" s="47"/>
      <c r="AC47" s="47"/>
      <c r="AD47" s="49"/>
      <c r="AE47" s="48"/>
      <c r="AF47" s="47"/>
      <c r="AG47" s="47"/>
      <c r="AH47" s="49"/>
      <c r="AI47" s="47"/>
      <c r="AJ47" s="47"/>
      <c r="AK47" s="47"/>
      <c r="AL47" s="49"/>
      <c r="AM47" s="47"/>
      <c r="AN47" s="47"/>
      <c r="AO47" s="47"/>
      <c r="AP47" s="83">
        <v>642.29999999999995</v>
      </c>
      <c r="AQ47" s="48">
        <v>621.79999999999995</v>
      </c>
      <c r="AR47" s="47">
        <v>620.4</v>
      </c>
      <c r="AS47" s="47">
        <v>631.79999999999995</v>
      </c>
      <c r="AT47" s="47">
        <v>613.29999999999995</v>
      </c>
      <c r="AU47" s="48">
        <v>631.29999999999995</v>
      </c>
      <c r="AV47" s="47">
        <v>654.20000000000005</v>
      </c>
      <c r="AW47" s="47">
        <v>640.70000000000005</v>
      </c>
      <c r="AX47" s="47">
        <v>645</v>
      </c>
      <c r="AY47" s="48">
        <v>1075.3</v>
      </c>
      <c r="AZ47" s="47">
        <v>1063</v>
      </c>
      <c r="BA47" s="47">
        <v>1093.4000000000001</v>
      </c>
      <c r="BB47" s="47">
        <v>2129.3000000000002</v>
      </c>
      <c r="BC47" s="48">
        <v>2276.1999999999998</v>
      </c>
      <c r="BD47" s="47">
        <v>2233</v>
      </c>
      <c r="BE47" s="47">
        <v>2263.4</v>
      </c>
      <c r="BF47" s="47">
        <v>2307.4</v>
      </c>
      <c r="BG47" s="81">
        <v>2316.6999999999998</v>
      </c>
      <c r="BH47" s="47">
        <v>2213.6</v>
      </c>
      <c r="BI47" s="47">
        <v>2233.5</v>
      </c>
      <c r="BJ47" s="47">
        <v>1726.3999999999999</v>
      </c>
      <c r="BK47" s="81">
        <v>1730</v>
      </c>
      <c r="BL47" s="47">
        <v>1699.7</v>
      </c>
      <c r="BM47" s="47">
        <v>1725.5</v>
      </c>
      <c r="BN47" s="47">
        <v>1657.3000000000002</v>
      </c>
      <c r="BO47" s="81">
        <v>1636.4</v>
      </c>
      <c r="BP47" s="47">
        <v>1557.6</v>
      </c>
      <c r="BQ47" s="47">
        <v>1622.5</v>
      </c>
      <c r="BR47" s="47">
        <v>1529.3</v>
      </c>
      <c r="BS47" s="48">
        <v>1469.3</v>
      </c>
      <c r="BT47" s="41"/>
      <c r="BU47" s="41"/>
    </row>
    <row r="48" spans="1:74" s="78" customFormat="1" ht="10.8">
      <c r="A48" s="84"/>
      <c r="B48" s="90"/>
      <c r="C48" s="85"/>
      <c r="D48" s="86"/>
      <c r="E48" s="86"/>
      <c r="F48" s="87"/>
      <c r="G48" s="85"/>
      <c r="H48" s="86"/>
      <c r="I48" s="86"/>
      <c r="J48" s="87"/>
      <c r="K48" s="86"/>
      <c r="L48" s="86"/>
      <c r="M48" s="86"/>
      <c r="N48" s="86"/>
      <c r="O48" s="85"/>
      <c r="P48" s="86"/>
      <c r="Q48" s="86"/>
      <c r="R48" s="87"/>
      <c r="S48" s="86"/>
      <c r="T48" s="86"/>
      <c r="U48" s="86"/>
      <c r="V48" s="86"/>
      <c r="W48" s="85"/>
      <c r="X48" s="86"/>
      <c r="Y48" s="86"/>
      <c r="Z48" s="87"/>
      <c r="AA48" s="86"/>
      <c r="AB48" s="86"/>
      <c r="AC48" s="86"/>
      <c r="AD48" s="87"/>
      <c r="AE48" s="85"/>
      <c r="AF48" s="86"/>
      <c r="AG48" s="86"/>
      <c r="AH48" s="87"/>
      <c r="AI48" s="86"/>
      <c r="AJ48" s="86"/>
      <c r="AK48" s="86"/>
      <c r="AL48" s="87"/>
      <c r="AM48" s="86"/>
      <c r="AN48" s="86"/>
      <c r="AO48" s="86"/>
      <c r="AP48" s="212"/>
      <c r="AQ48" s="213"/>
      <c r="AR48" s="214"/>
      <c r="AS48" s="214"/>
      <c r="AT48" s="214"/>
      <c r="AU48" s="213"/>
      <c r="AV48" s="214"/>
      <c r="AW48" s="214"/>
      <c r="AX48" s="214"/>
      <c r="AY48" s="213"/>
      <c r="AZ48" s="214"/>
      <c r="BA48" s="214"/>
      <c r="BB48" s="214"/>
      <c r="BC48" s="213"/>
      <c r="BD48" s="214"/>
      <c r="BE48" s="214"/>
      <c r="BF48" s="214"/>
      <c r="BG48" s="215"/>
      <c r="BH48" s="214"/>
      <c r="BI48" s="214"/>
      <c r="BJ48" s="214"/>
      <c r="BK48" s="215"/>
      <c r="BL48" s="214"/>
      <c r="BM48" s="214"/>
      <c r="BN48" s="214"/>
      <c r="BO48" s="215"/>
      <c r="BP48" s="214"/>
      <c r="BQ48" s="214"/>
      <c r="BR48" s="214"/>
      <c r="BS48" s="213"/>
    </row>
    <row r="49" spans="1:72" s="78" customFormat="1" ht="10.8">
      <c r="A49" s="84"/>
      <c r="B49" s="84"/>
      <c r="C49" s="85"/>
      <c r="D49" s="86"/>
      <c r="E49" s="86"/>
      <c r="F49" s="87"/>
      <c r="G49" s="85"/>
      <c r="H49" s="86"/>
      <c r="I49" s="86"/>
      <c r="J49" s="87"/>
      <c r="K49" s="86"/>
      <c r="L49" s="86"/>
      <c r="M49" s="86"/>
      <c r="N49" s="86"/>
      <c r="O49" s="85"/>
      <c r="P49" s="86"/>
      <c r="Q49" s="86"/>
      <c r="R49" s="87"/>
      <c r="S49" s="86"/>
      <c r="T49" s="86"/>
      <c r="U49" s="86"/>
      <c r="V49" s="86"/>
      <c r="W49" s="85"/>
      <c r="X49" s="86"/>
      <c r="Y49" s="86"/>
      <c r="Z49" s="87"/>
      <c r="AA49" s="86"/>
      <c r="AB49" s="86"/>
      <c r="AC49" s="86"/>
      <c r="AD49" s="87"/>
      <c r="AE49" s="85"/>
      <c r="AF49" s="86"/>
      <c r="AG49" s="86"/>
      <c r="AH49" s="87"/>
      <c r="AI49" s="86"/>
      <c r="AJ49" s="86"/>
      <c r="AK49" s="86"/>
      <c r="AL49" s="87"/>
      <c r="AM49" s="86"/>
      <c r="AN49" s="86"/>
      <c r="AO49" s="86"/>
      <c r="AP49" s="87"/>
      <c r="AQ49" s="85"/>
      <c r="AR49" s="86"/>
      <c r="AS49" s="86"/>
      <c r="AT49" s="86"/>
      <c r="AU49" s="85"/>
      <c r="AV49" s="86"/>
      <c r="AW49" s="86"/>
      <c r="AX49" s="86"/>
      <c r="AY49" s="85"/>
      <c r="AZ49" s="86"/>
      <c r="BA49" s="86"/>
      <c r="BB49" s="86"/>
      <c r="BC49" s="85"/>
      <c r="BD49" s="86"/>
      <c r="BE49" s="86"/>
      <c r="BF49" s="86"/>
      <c r="BG49" s="85"/>
      <c r="BH49" s="86"/>
      <c r="BI49" s="86"/>
      <c r="BJ49" s="86"/>
      <c r="BK49" s="85"/>
      <c r="BL49" s="86"/>
      <c r="BM49" s="86"/>
      <c r="BN49" s="86"/>
      <c r="BO49" s="85"/>
      <c r="BP49" s="86"/>
      <c r="BQ49" s="86"/>
      <c r="BR49" s="86"/>
      <c r="BS49" s="85"/>
    </row>
    <row r="50" spans="1:72" s="33" customFormat="1" ht="21" customHeight="1" thickBot="1">
      <c r="A50" s="26" t="s">
        <v>58</v>
      </c>
      <c r="B50" s="26" t="s">
        <v>59</v>
      </c>
      <c r="C50" s="100"/>
      <c r="D50" s="101"/>
      <c r="E50" s="101"/>
      <c r="F50" s="102"/>
      <c r="G50" s="100"/>
      <c r="H50" s="101"/>
      <c r="I50" s="101"/>
      <c r="J50" s="102"/>
      <c r="K50" s="101"/>
      <c r="L50" s="101"/>
      <c r="M50" s="101"/>
      <c r="N50" s="101"/>
      <c r="O50" s="100"/>
      <c r="P50" s="101"/>
      <c r="Q50" s="101"/>
      <c r="R50" s="102"/>
      <c r="S50" s="103"/>
      <c r="T50" s="103"/>
      <c r="U50" s="103"/>
      <c r="V50" s="103"/>
      <c r="W50" s="104"/>
      <c r="X50" s="103"/>
      <c r="Y50" s="103"/>
      <c r="Z50" s="105"/>
      <c r="AA50" s="103"/>
      <c r="AB50" s="103"/>
      <c r="AC50" s="103"/>
      <c r="AD50" s="105"/>
      <c r="AE50" s="104"/>
      <c r="AF50" s="103"/>
      <c r="AG50" s="103"/>
      <c r="AH50" s="105"/>
      <c r="AI50" s="103"/>
      <c r="AJ50" s="103"/>
      <c r="AK50" s="103"/>
      <c r="AL50" s="105"/>
      <c r="AM50" s="103"/>
      <c r="AN50" s="103"/>
      <c r="AO50" s="103"/>
      <c r="AP50" s="105"/>
      <c r="AQ50" s="104"/>
      <c r="AR50" s="103"/>
      <c r="AS50" s="103"/>
      <c r="AT50" s="103"/>
      <c r="AU50" s="104"/>
      <c r="AV50" s="103"/>
      <c r="AW50" s="103"/>
      <c r="AX50" s="103"/>
      <c r="AY50" s="104"/>
      <c r="AZ50" s="103"/>
      <c r="BA50" s="103"/>
      <c r="BB50" s="103"/>
      <c r="BC50" s="104"/>
      <c r="BD50" s="103"/>
      <c r="BE50" s="103"/>
      <c r="BF50" s="103"/>
      <c r="BG50" s="104"/>
      <c r="BH50" s="103"/>
      <c r="BI50" s="103"/>
      <c r="BJ50" s="103"/>
      <c r="BK50" s="104"/>
      <c r="BL50" s="103"/>
      <c r="BM50" s="103"/>
      <c r="BN50" s="103"/>
      <c r="BO50" s="104"/>
      <c r="BP50" s="103"/>
      <c r="BQ50" s="103"/>
      <c r="BR50" s="103"/>
      <c r="BS50" s="104"/>
    </row>
    <row r="51" spans="1:72" s="78" customFormat="1" ht="22.2" thickBot="1">
      <c r="A51" s="73" t="s">
        <v>78</v>
      </c>
      <c r="B51" s="73" t="s">
        <v>79</v>
      </c>
      <c r="C51" s="107"/>
      <c r="D51" s="108"/>
      <c r="E51" s="108"/>
      <c r="F51" s="109"/>
      <c r="G51" s="107"/>
      <c r="H51" s="108"/>
      <c r="I51" s="108"/>
      <c r="J51" s="109"/>
      <c r="K51" s="108"/>
      <c r="L51" s="108"/>
      <c r="M51" s="108"/>
      <c r="N51" s="108"/>
      <c r="O51" s="107"/>
      <c r="P51" s="108"/>
      <c r="Q51" s="108"/>
      <c r="R51" s="109"/>
      <c r="S51" s="108"/>
      <c r="T51" s="108"/>
      <c r="U51" s="108"/>
      <c r="V51" s="108"/>
      <c r="W51" s="107"/>
      <c r="X51" s="108"/>
      <c r="Y51" s="108"/>
      <c r="Z51" s="109"/>
      <c r="AA51" s="108"/>
      <c r="AB51" s="108"/>
      <c r="AC51" s="108"/>
      <c r="AD51" s="109"/>
      <c r="AE51" s="107"/>
      <c r="AF51" s="108"/>
      <c r="AG51" s="108"/>
      <c r="AH51" s="109"/>
      <c r="AI51" s="108"/>
      <c r="AJ51" s="108"/>
      <c r="AK51" s="108"/>
      <c r="AL51" s="109"/>
      <c r="AM51" s="108"/>
      <c r="AN51" s="108"/>
      <c r="AO51" s="108"/>
      <c r="AP51" s="109">
        <f t="shared" ref="AP51:BS51" si="12">SUM(AP52,AP53:AP56)</f>
        <v>4369.1000000000004</v>
      </c>
      <c r="AQ51" s="107">
        <f t="shared" si="12"/>
        <v>4522.7</v>
      </c>
      <c r="AR51" s="108">
        <f t="shared" si="12"/>
        <v>4658.1000000000004</v>
      </c>
      <c r="AS51" s="108">
        <f t="shared" si="12"/>
        <v>4880.5</v>
      </c>
      <c r="AT51" s="108">
        <f t="shared" si="12"/>
        <v>4673.5</v>
      </c>
      <c r="AU51" s="107">
        <f t="shared" si="12"/>
        <v>4988.5999999999995</v>
      </c>
      <c r="AV51" s="108">
        <f t="shared" si="12"/>
        <v>5394.9</v>
      </c>
      <c r="AW51" s="108">
        <f t="shared" si="12"/>
        <v>5622.0999999999995</v>
      </c>
      <c r="AX51" s="108">
        <f t="shared" si="12"/>
        <v>5568.4</v>
      </c>
      <c r="AY51" s="107">
        <f t="shared" si="12"/>
        <v>5920.5999999999995</v>
      </c>
      <c r="AZ51" s="108">
        <f t="shared" si="12"/>
        <v>6303.2</v>
      </c>
      <c r="BA51" s="108">
        <f t="shared" si="12"/>
        <v>6265.8999999999987</v>
      </c>
      <c r="BB51" s="108">
        <f t="shared" si="12"/>
        <v>6383.6</v>
      </c>
      <c r="BC51" s="107">
        <f t="shared" si="12"/>
        <v>6720.5</v>
      </c>
      <c r="BD51" s="108">
        <f t="shared" si="12"/>
        <v>6567.4000000000005</v>
      </c>
      <c r="BE51" s="108">
        <f t="shared" si="12"/>
        <v>6478.2000000000007</v>
      </c>
      <c r="BF51" s="108">
        <f t="shared" si="12"/>
        <v>6561.5999999999995</v>
      </c>
      <c r="BG51" s="107">
        <f t="shared" si="12"/>
        <v>6835.6</v>
      </c>
      <c r="BH51" s="108">
        <f t="shared" si="12"/>
        <v>7015.9</v>
      </c>
      <c r="BI51" s="108">
        <f t="shared" si="12"/>
        <v>7402.1</v>
      </c>
      <c r="BJ51" s="108">
        <f t="shared" si="12"/>
        <v>7801.2000000000007</v>
      </c>
      <c r="BK51" s="107">
        <f t="shared" si="12"/>
        <v>7997</v>
      </c>
      <c r="BL51" s="108">
        <f t="shared" si="12"/>
        <v>8011.5999999999995</v>
      </c>
      <c r="BM51" s="108">
        <f t="shared" si="12"/>
        <v>8267.0000000000018</v>
      </c>
      <c r="BN51" s="108">
        <f t="shared" si="12"/>
        <v>7992.7999999999993</v>
      </c>
      <c r="BO51" s="107">
        <f t="shared" si="12"/>
        <v>7957.6</v>
      </c>
      <c r="BP51" s="108">
        <f t="shared" si="12"/>
        <v>7733.4</v>
      </c>
      <c r="BQ51" s="108">
        <f t="shared" si="12"/>
        <v>7846.1</v>
      </c>
      <c r="BR51" s="108">
        <f t="shared" si="12"/>
        <v>8132.2</v>
      </c>
      <c r="BS51" s="107">
        <f t="shared" si="12"/>
        <v>8613.6</v>
      </c>
    </row>
    <row r="52" spans="1:72" s="78" customFormat="1" ht="10.8">
      <c r="A52" s="84" t="s">
        <v>60</v>
      </c>
      <c r="B52" s="90" t="s">
        <v>61</v>
      </c>
      <c r="C52" s="91"/>
      <c r="D52" s="92"/>
      <c r="E52" s="92"/>
      <c r="F52" s="93"/>
      <c r="G52" s="91"/>
      <c r="H52" s="92"/>
      <c r="I52" s="92"/>
      <c r="J52" s="93"/>
      <c r="K52" s="92"/>
      <c r="L52" s="92"/>
      <c r="M52" s="92"/>
      <c r="N52" s="92"/>
      <c r="O52" s="91"/>
      <c r="P52" s="92"/>
      <c r="Q52" s="92"/>
      <c r="R52" s="93"/>
      <c r="S52" s="86"/>
      <c r="T52" s="86"/>
      <c r="U52" s="86"/>
      <c r="V52" s="86"/>
      <c r="W52" s="85"/>
      <c r="X52" s="86"/>
      <c r="Y52" s="86"/>
      <c r="Z52" s="87"/>
      <c r="AA52" s="86"/>
      <c r="AB52" s="86"/>
      <c r="AC52" s="86"/>
      <c r="AD52" s="87"/>
      <c r="AE52" s="85"/>
      <c r="AF52" s="86"/>
      <c r="AG52" s="86"/>
      <c r="AH52" s="87"/>
      <c r="AI52" s="86"/>
      <c r="AJ52" s="86"/>
      <c r="AK52" s="86"/>
      <c r="AL52" s="87"/>
      <c r="AM52" s="86"/>
      <c r="AN52" s="86"/>
      <c r="AO52" s="47"/>
      <c r="AP52" s="49">
        <v>3646.5</v>
      </c>
      <c r="AQ52" s="48">
        <v>3786.8</v>
      </c>
      <c r="AR52" s="47">
        <v>4043.8</v>
      </c>
      <c r="AS52" s="47">
        <v>4250.2</v>
      </c>
      <c r="AT52" s="47">
        <v>4029.7</v>
      </c>
      <c r="AU52" s="48">
        <v>4280.5</v>
      </c>
      <c r="AV52" s="47">
        <v>4670.8</v>
      </c>
      <c r="AW52" s="47">
        <v>4920.5</v>
      </c>
      <c r="AX52" s="47">
        <v>4834.8999999999996</v>
      </c>
      <c r="AY52" s="48">
        <v>5102.7</v>
      </c>
      <c r="AZ52" s="47">
        <v>5468.8</v>
      </c>
      <c r="BA52" s="47">
        <v>5410.9</v>
      </c>
      <c r="BB52" s="47">
        <v>5549</v>
      </c>
      <c r="BC52" s="48">
        <v>5903.6</v>
      </c>
      <c r="BD52" s="47">
        <v>5775.6</v>
      </c>
      <c r="BE52" s="47">
        <v>5677.7</v>
      </c>
      <c r="BF52" s="47">
        <v>5717.9</v>
      </c>
      <c r="BG52" s="48">
        <v>5992.3</v>
      </c>
      <c r="BH52" s="47">
        <v>6141.4</v>
      </c>
      <c r="BI52" s="47">
        <v>6516.8</v>
      </c>
      <c r="BJ52" s="47">
        <v>6848.6</v>
      </c>
      <c r="BK52" s="48">
        <v>7072</v>
      </c>
      <c r="BL52" s="47">
        <v>7060.9</v>
      </c>
      <c r="BM52" s="47">
        <v>7289.6</v>
      </c>
      <c r="BN52" s="47">
        <v>6919.9</v>
      </c>
      <c r="BO52" s="48">
        <v>6906.3</v>
      </c>
      <c r="BP52" s="47">
        <v>6681.4</v>
      </c>
      <c r="BQ52" s="47">
        <v>6772.7</v>
      </c>
      <c r="BR52" s="47">
        <v>6839.6</v>
      </c>
      <c r="BS52" s="48">
        <v>7283.2</v>
      </c>
      <c r="BT52" s="41"/>
    </row>
    <row r="53" spans="1:72" s="78" customFormat="1" ht="10.8">
      <c r="A53" s="84" t="s">
        <v>66</v>
      </c>
      <c r="B53" s="90" t="s">
        <v>67</v>
      </c>
      <c r="C53" s="91"/>
      <c r="D53" s="92"/>
      <c r="E53" s="92"/>
      <c r="F53" s="93"/>
      <c r="G53" s="91"/>
      <c r="H53" s="92"/>
      <c r="I53" s="92"/>
      <c r="J53" s="93"/>
      <c r="K53" s="92"/>
      <c r="L53" s="92"/>
      <c r="M53" s="92"/>
      <c r="N53" s="92"/>
      <c r="O53" s="91"/>
      <c r="P53" s="92"/>
      <c r="Q53" s="92"/>
      <c r="R53" s="93"/>
      <c r="S53" s="86"/>
      <c r="T53" s="86"/>
      <c r="U53" s="86"/>
      <c r="V53" s="86"/>
      <c r="W53" s="85"/>
      <c r="X53" s="86"/>
      <c r="Y53" s="86"/>
      <c r="Z53" s="87"/>
      <c r="AA53" s="86"/>
      <c r="AB53" s="86"/>
      <c r="AC53" s="86"/>
      <c r="AD53" s="87"/>
      <c r="AE53" s="85"/>
      <c r="AF53" s="86"/>
      <c r="AG53" s="86"/>
      <c r="AH53" s="87"/>
      <c r="AI53" s="86"/>
      <c r="AJ53" s="86"/>
      <c r="AK53" s="86"/>
      <c r="AL53" s="87"/>
      <c r="AM53" s="86"/>
      <c r="AN53" s="86"/>
      <c r="AO53" s="47"/>
      <c r="AP53" s="49">
        <v>77.2</v>
      </c>
      <c r="AQ53" s="48">
        <v>82</v>
      </c>
      <c r="AR53" s="47">
        <v>73.599999999999994</v>
      </c>
      <c r="AS53" s="47">
        <v>89.6</v>
      </c>
      <c r="AT53" s="47">
        <v>103</v>
      </c>
      <c r="AU53" s="48">
        <v>109.9</v>
      </c>
      <c r="AV53" s="47">
        <v>125.9</v>
      </c>
      <c r="AW53" s="47">
        <v>103.4</v>
      </c>
      <c r="AX53" s="47">
        <v>130.6</v>
      </c>
      <c r="AY53" s="48">
        <v>141.4</v>
      </c>
      <c r="AZ53" s="47">
        <v>158.6</v>
      </c>
      <c r="BA53" s="47">
        <v>176.9</v>
      </c>
      <c r="BB53" s="47">
        <v>157.1</v>
      </c>
      <c r="BC53" s="48">
        <v>64</v>
      </c>
      <c r="BD53" s="47">
        <v>68</v>
      </c>
      <c r="BE53" s="47">
        <v>78.599999999999994</v>
      </c>
      <c r="BF53" s="47">
        <v>60.9</v>
      </c>
      <c r="BG53" s="48">
        <v>61.5</v>
      </c>
      <c r="BH53" s="47">
        <v>91.9</v>
      </c>
      <c r="BI53" s="47">
        <v>102.6</v>
      </c>
      <c r="BJ53" s="47">
        <v>100.3</v>
      </c>
      <c r="BK53" s="48">
        <v>71.099999999999994</v>
      </c>
      <c r="BL53" s="47">
        <v>95.7</v>
      </c>
      <c r="BM53" s="47">
        <v>117.6</v>
      </c>
      <c r="BN53" s="47">
        <v>113</v>
      </c>
      <c r="BO53" s="48">
        <v>89.1</v>
      </c>
      <c r="BP53" s="47">
        <v>86.8</v>
      </c>
      <c r="BQ53" s="47">
        <v>112.3</v>
      </c>
      <c r="BR53" s="47">
        <v>108.2</v>
      </c>
      <c r="BS53" s="48">
        <v>146.19999999999999</v>
      </c>
      <c r="BT53" s="41"/>
    </row>
    <row r="54" spans="1:72" s="78" customFormat="1" ht="10.8">
      <c r="A54" s="84" t="s">
        <v>68</v>
      </c>
      <c r="B54" s="90" t="s">
        <v>69</v>
      </c>
      <c r="C54" s="91"/>
      <c r="D54" s="92"/>
      <c r="E54" s="92"/>
      <c r="F54" s="93"/>
      <c r="G54" s="91"/>
      <c r="H54" s="92"/>
      <c r="I54" s="92"/>
      <c r="J54" s="93"/>
      <c r="K54" s="92"/>
      <c r="L54" s="92"/>
      <c r="M54" s="92"/>
      <c r="N54" s="92"/>
      <c r="O54" s="91"/>
      <c r="P54" s="92"/>
      <c r="Q54" s="92"/>
      <c r="R54" s="93"/>
      <c r="S54" s="86"/>
      <c r="T54" s="86"/>
      <c r="U54" s="86"/>
      <c r="V54" s="86"/>
      <c r="W54" s="85"/>
      <c r="X54" s="86"/>
      <c r="Y54" s="86"/>
      <c r="Z54" s="87"/>
      <c r="AA54" s="86"/>
      <c r="AB54" s="86"/>
      <c r="AC54" s="86"/>
      <c r="AD54" s="87"/>
      <c r="AE54" s="85"/>
      <c r="AF54" s="86"/>
      <c r="AG54" s="86"/>
      <c r="AH54" s="87"/>
      <c r="AI54" s="86"/>
      <c r="AJ54" s="86"/>
      <c r="AK54" s="86"/>
      <c r="AL54" s="87"/>
      <c r="AM54" s="86"/>
      <c r="AN54" s="86"/>
      <c r="AO54" s="47"/>
      <c r="AP54" s="49">
        <v>496.3</v>
      </c>
      <c r="AQ54" s="48">
        <v>540.70000000000005</v>
      </c>
      <c r="AR54" s="47">
        <v>540.70000000000005</v>
      </c>
      <c r="AS54" s="47">
        <v>540.70000000000005</v>
      </c>
      <c r="AT54" s="47">
        <v>540.79999999999995</v>
      </c>
      <c r="AU54" s="48">
        <v>598.20000000000005</v>
      </c>
      <c r="AV54" s="47">
        <v>598.20000000000005</v>
      </c>
      <c r="AW54" s="47">
        <v>598.20000000000005</v>
      </c>
      <c r="AX54" s="47">
        <v>598.20000000000005</v>
      </c>
      <c r="AY54" s="48">
        <v>671.4</v>
      </c>
      <c r="AZ54" s="47">
        <v>671.4</v>
      </c>
      <c r="BA54" s="47">
        <v>671.4</v>
      </c>
      <c r="BB54" s="47">
        <v>671.4</v>
      </c>
      <c r="BC54" s="48">
        <v>748.7</v>
      </c>
      <c r="BD54" s="47">
        <v>711.3</v>
      </c>
      <c r="BE54" s="47">
        <v>711.3</v>
      </c>
      <c r="BF54" s="47">
        <v>774</v>
      </c>
      <c r="BG54" s="48">
        <v>774</v>
      </c>
      <c r="BH54" s="47">
        <v>774</v>
      </c>
      <c r="BI54" s="47">
        <v>774</v>
      </c>
      <c r="BJ54" s="47">
        <v>843.7</v>
      </c>
      <c r="BK54" s="48">
        <v>843.7</v>
      </c>
      <c r="BL54" s="47">
        <v>843.7</v>
      </c>
      <c r="BM54" s="47">
        <v>843.7</v>
      </c>
      <c r="BN54" s="47">
        <v>952.5</v>
      </c>
      <c r="BO54" s="48">
        <v>952.5</v>
      </c>
      <c r="BP54" s="47">
        <v>952.5</v>
      </c>
      <c r="BQ54" s="47">
        <v>952.5</v>
      </c>
      <c r="BR54" s="47">
        <v>1175.2</v>
      </c>
      <c r="BS54" s="48">
        <v>1175.2</v>
      </c>
      <c r="BT54" s="41"/>
    </row>
    <row r="55" spans="1:72" s="78" customFormat="1" ht="10.8">
      <c r="A55" s="84" t="s">
        <v>74</v>
      </c>
      <c r="B55" s="90" t="s">
        <v>75</v>
      </c>
      <c r="C55" s="91"/>
      <c r="D55" s="92"/>
      <c r="E55" s="92"/>
      <c r="F55" s="93"/>
      <c r="G55" s="91"/>
      <c r="H55" s="92"/>
      <c r="I55" s="92"/>
      <c r="J55" s="93"/>
      <c r="K55" s="92"/>
      <c r="L55" s="92"/>
      <c r="M55" s="92"/>
      <c r="N55" s="92"/>
      <c r="O55" s="91"/>
      <c r="P55" s="92"/>
      <c r="Q55" s="92"/>
      <c r="R55" s="93"/>
      <c r="S55" s="86"/>
      <c r="T55" s="86"/>
      <c r="U55" s="86"/>
      <c r="V55" s="86"/>
      <c r="W55" s="85"/>
      <c r="X55" s="86"/>
      <c r="Y55" s="86"/>
      <c r="Z55" s="87"/>
      <c r="AA55" s="86"/>
      <c r="AB55" s="86"/>
      <c r="AC55" s="86"/>
      <c r="AD55" s="87"/>
      <c r="AE55" s="85"/>
      <c r="AF55" s="86"/>
      <c r="AG55" s="86"/>
      <c r="AH55" s="87"/>
      <c r="AI55" s="86"/>
      <c r="AJ55" s="86"/>
      <c r="AK55" s="86"/>
      <c r="AL55" s="87"/>
      <c r="AM55" s="86"/>
      <c r="AN55" s="86"/>
      <c r="AO55" s="47"/>
      <c r="AP55" s="49">
        <v>0</v>
      </c>
      <c r="AQ55" s="48">
        <v>0</v>
      </c>
      <c r="AR55" s="47">
        <v>0</v>
      </c>
      <c r="AS55" s="47">
        <v>0</v>
      </c>
      <c r="AT55" s="47">
        <v>0</v>
      </c>
      <c r="AU55" s="48">
        <v>0</v>
      </c>
      <c r="AV55" s="47">
        <v>0</v>
      </c>
      <c r="AW55" s="47">
        <v>0</v>
      </c>
      <c r="AX55" s="47">
        <v>4.7</v>
      </c>
      <c r="AY55" s="48">
        <v>5.0999999999999996</v>
      </c>
      <c r="AZ55" s="47">
        <v>4.4000000000000004</v>
      </c>
      <c r="BA55" s="47">
        <v>6.6999999999999993</v>
      </c>
      <c r="BB55" s="47">
        <v>6.1</v>
      </c>
      <c r="BC55" s="48">
        <v>4.2</v>
      </c>
      <c r="BD55" s="47">
        <v>12.5</v>
      </c>
      <c r="BE55" s="47">
        <v>10.6</v>
      </c>
      <c r="BF55" s="47">
        <v>8.8000000000000007</v>
      </c>
      <c r="BG55" s="48">
        <v>7.8</v>
      </c>
      <c r="BH55" s="47">
        <v>8.6</v>
      </c>
      <c r="BI55" s="47">
        <v>8.6999999999999993</v>
      </c>
      <c r="BJ55" s="47">
        <v>8.6</v>
      </c>
      <c r="BK55" s="48">
        <v>10.199999999999999</v>
      </c>
      <c r="BL55" s="47">
        <v>11.3</v>
      </c>
      <c r="BM55" s="47">
        <v>16.100000000000001</v>
      </c>
      <c r="BN55" s="47">
        <v>7.4</v>
      </c>
      <c r="BO55" s="48">
        <v>9.6999999999999993</v>
      </c>
      <c r="BP55" s="47">
        <v>12.7</v>
      </c>
      <c r="BQ55" s="47">
        <v>8.6</v>
      </c>
      <c r="BR55" s="47">
        <v>9.1999999999999993</v>
      </c>
      <c r="BS55" s="48">
        <v>9</v>
      </c>
      <c r="BT55" s="41"/>
    </row>
    <row r="56" spans="1:72" s="78" customFormat="1" ht="10.8">
      <c r="A56" s="84" t="s">
        <v>76</v>
      </c>
      <c r="B56" s="90" t="s">
        <v>77</v>
      </c>
      <c r="C56" s="91"/>
      <c r="D56" s="92"/>
      <c r="E56" s="92"/>
      <c r="F56" s="93"/>
      <c r="G56" s="91"/>
      <c r="H56" s="92"/>
      <c r="I56" s="92"/>
      <c r="J56" s="93"/>
      <c r="K56" s="92"/>
      <c r="L56" s="92"/>
      <c r="M56" s="92"/>
      <c r="N56" s="92"/>
      <c r="O56" s="91"/>
      <c r="P56" s="92"/>
      <c r="Q56" s="92"/>
      <c r="R56" s="93"/>
      <c r="S56" s="86"/>
      <c r="T56" s="86"/>
      <c r="U56" s="86"/>
      <c r="V56" s="86"/>
      <c r="W56" s="85"/>
      <c r="X56" s="86"/>
      <c r="Y56" s="86"/>
      <c r="Z56" s="87"/>
      <c r="AA56" s="86"/>
      <c r="AB56" s="86"/>
      <c r="AC56" s="86"/>
      <c r="AD56" s="87"/>
      <c r="AE56" s="85"/>
      <c r="AF56" s="86"/>
      <c r="AG56" s="86"/>
      <c r="AH56" s="87"/>
      <c r="AI56" s="86"/>
      <c r="AJ56" s="86"/>
      <c r="AK56" s="86"/>
      <c r="AL56" s="87"/>
      <c r="AM56" s="86"/>
      <c r="AN56" s="86"/>
      <c r="AO56" s="47"/>
      <c r="AP56" s="49">
        <v>149.1</v>
      </c>
      <c r="AQ56" s="48">
        <v>113.2</v>
      </c>
      <c r="AR56" s="47">
        <v>0</v>
      </c>
      <c r="AS56" s="47">
        <v>0</v>
      </c>
      <c r="AT56" s="47">
        <v>0</v>
      </c>
      <c r="AU56" s="48">
        <v>0</v>
      </c>
      <c r="AV56" s="47">
        <v>0</v>
      </c>
      <c r="AW56" s="47">
        <v>0</v>
      </c>
      <c r="AX56" s="47">
        <v>0</v>
      </c>
      <c r="AY56" s="48">
        <v>0</v>
      </c>
      <c r="AZ56" s="47">
        <v>0</v>
      </c>
      <c r="BA56" s="47">
        <v>0</v>
      </c>
      <c r="BB56" s="47">
        <v>0</v>
      </c>
      <c r="BC56" s="48">
        <v>0</v>
      </c>
      <c r="BD56" s="47">
        <v>0</v>
      </c>
      <c r="BE56" s="47">
        <v>0</v>
      </c>
      <c r="BF56" s="47">
        <v>0</v>
      </c>
      <c r="BG56" s="48">
        <v>0</v>
      </c>
      <c r="BH56" s="47">
        <v>0</v>
      </c>
      <c r="BI56" s="47">
        <v>0</v>
      </c>
      <c r="BJ56" s="47">
        <v>0</v>
      </c>
      <c r="BK56" s="48">
        <v>0</v>
      </c>
      <c r="BL56" s="47">
        <v>0</v>
      </c>
      <c r="BM56" s="47">
        <v>0</v>
      </c>
      <c r="BN56" s="47">
        <v>0</v>
      </c>
      <c r="BO56" s="48">
        <v>0</v>
      </c>
      <c r="BP56" s="47">
        <v>0</v>
      </c>
      <c r="BQ56" s="47">
        <v>0</v>
      </c>
      <c r="BR56" s="47">
        <v>0</v>
      </c>
      <c r="BS56" s="48">
        <v>0</v>
      </c>
      <c r="BT56" s="41"/>
    </row>
    <row r="57" spans="1:72"/>
    <row r="58" spans="1:72" s="78" customFormat="1" ht="10.8">
      <c r="A58" s="111" t="s">
        <v>82</v>
      </c>
      <c r="B58" s="111" t="s">
        <v>83</v>
      </c>
      <c r="C58" s="112"/>
      <c r="D58" s="113"/>
      <c r="E58" s="113"/>
      <c r="F58" s="114"/>
      <c r="G58" s="112"/>
      <c r="H58" s="113"/>
      <c r="I58" s="113"/>
      <c r="J58" s="114"/>
      <c r="K58" s="112"/>
      <c r="L58" s="113"/>
      <c r="M58" s="113"/>
      <c r="N58" s="114"/>
      <c r="O58" s="112"/>
      <c r="P58" s="113"/>
      <c r="Q58" s="113"/>
      <c r="R58" s="114"/>
      <c r="S58" s="112"/>
      <c r="T58" s="113"/>
      <c r="U58" s="113"/>
      <c r="V58" s="114"/>
      <c r="W58" s="112"/>
      <c r="X58" s="113"/>
      <c r="Y58" s="113"/>
      <c r="Z58" s="114"/>
      <c r="AA58" s="112"/>
      <c r="AB58" s="113"/>
      <c r="AC58" s="113"/>
      <c r="AD58" s="114"/>
      <c r="AE58" s="112"/>
      <c r="AF58" s="113"/>
      <c r="AG58" s="113"/>
      <c r="AH58" s="114"/>
      <c r="AI58" s="113"/>
      <c r="AJ58" s="113"/>
      <c r="AK58" s="113"/>
      <c r="AL58" s="114"/>
      <c r="AM58" s="113"/>
      <c r="AN58" s="113"/>
      <c r="AO58" s="113"/>
      <c r="AP58" s="114">
        <f t="shared" ref="AP58:BS58" si="13">AP59</f>
        <v>0.16600000000000001</v>
      </c>
      <c r="AQ58" s="112">
        <f t="shared" si="13"/>
        <v>0.1613</v>
      </c>
      <c r="AR58" s="113">
        <f t="shared" si="13"/>
        <v>0.17199999999999999</v>
      </c>
      <c r="AS58" s="113">
        <f t="shared" si="13"/>
        <v>0.16470000000000001</v>
      </c>
      <c r="AT58" s="113">
        <f t="shared" si="13"/>
        <v>0.18390000000000001</v>
      </c>
      <c r="AU58" s="112">
        <f t="shared" si="13"/>
        <v>0.17649999999999999</v>
      </c>
      <c r="AV58" s="113">
        <f t="shared" si="13"/>
        <v>0.16639999999999999</v>
      </c>
      <c r="AW58" s="113">
        <f t="shared" si="13"/>
        <v>0.1673</v>
      </c>
      <c r="AX58" s="113">
        <f t="shared" si="13"/>
        <v>0.17169999999999999</v>
      </c>
      <c r="AY58" s="112">
        <f t="shared" si="13"/>
        <v>0.17169999999999999</v>
      </c>
      <c r="AZ58" s="113">
        <f t="shared" si="13"/>
        <v>0.16239999999999999</v>
      </c>
      <c r="BA58" s="113">
        <f t="shared" si="13"/>
        <v>0.1709</v>
      </c>
      <c r="BB58" s="113">
        <f t="shared" si="13"/>
        <v>0.183</v>
      </c>
      <c r="BC58" s="112">
        <f t="shared" si="13"/>
        <v>0.17069999999999999</v>
      </c>
      <c r="BD58" s="113">
        <f t="shared" si="13"/>
        <v>0.19539999999999999</v>
      </c>
      <c r="BE58" s="113">
        <f t="shared" si="13"/>
        <v>0.19739999999999999</v>
      </c>
      <c r="BF58" s="113">
        <f t="shared" si="13"/>
        <v>0.2087</v>
      </c>
      <c r="BG58" s="112">
        <f t="shared" si="13"/>
        <v>0.20130000000000001</v>
      </c>
      <c r="BH58" s="113">
        <f t="shared" si="13"/>
        <v>0.1986</v>
      </c>
      <c r="BI58" s="113">
        <f t="shared" si="13"/>
        <v>0.1895</v>
      </c>
      <c r="BJ58" s="113">
        <f t="shared" si="13"/>
        <v>0.1709</v>
      </c>
      <c r="BK58" s="112">
        <f t="shared" si="13"/>
        <v>0.1638</v>
      </c>
      <c r="BL58" s="113">
        <f t="shared" si="13"/>
        <v>0.15720000000000001</v>
      </c>
      <c r="BM58" s="113">
        <f t="shared" si="13"/>
        <v>0.1565</v>
      </c>
      <c r="BN58" s="113">
        <f t="shared" si="13"/>
        <v>0.1784</v>
      </c>
      <c r="BO58" s="112">
        <f t="shared" si="13"/>
        <v>0.17879999999999999</v>
      </c>
      <c r="BP58" s="113">
        <f t="shared" si="13"/>
        <v>0.18490000000000001</v>
      </c>
      <c r="BQ58" s="113">
        <f t="shared" si="13"/>
        <v>0.18129999999999999</v>
      </c>
      <c r="BR58" s="113">
        <f t="shared" si="13"/>
        <v>0.18740000000000001</v>
      </c>
      <c r="BS58" s="112">
        <f t="shared" si="13"/>
        <v>0.1787</v>
      </c>
    </row>
    <row r="59" spans="1:72" s="120" customFormat="1" ht="10.8">
      <c r="A59" s="115" t="s">
        <v>84</v>
      </c>
      <c r="B59" s="116" t="s">
        <v>85</v>
      </c>
      <c r="C59" s="117"/>
      <c r="D59" s="118"/>
      <c r="E59" s="118"/>
      <c r="F59" s="119"/>
      <c r="G59" s="117"/>
      <c r="H59" s="118"/>
      <c r="I59" s="118"/>
      <c r="J59" s="119"/>
      <c r="K59" s="117"/>
      <c r="L59" s="118"/>
      <c r="M59" s="118"/>
      <c r="N59" s="119"/>
      <c r="O59" s="117"/>
      <c r="P59" s="118"/>
      <c r="Q59" s="118"/>
      <c r="R59" s="119"/>
      <c r="S59" s="117"/>
      <c r="T59" s="118"/>
      <c r="U59" s="118"/>
      <c r="V59" s="119"/>
      <c r="W59" s="117"/>
      <c r="X59" s="118"/>
      <c r="Y59" s="118"/>
      <c r="Z59" s="119"/>
      <c r="AA59" s="117"/>
      <c r="AB59" s="118"/>
      <c r="AC59" s="118"/>
      <c r="AD59" s="119"/>
      <c r="AE59" s="117"/>
      <c r="AF59" s="118"/>
      <c r="AG59" s="118"/>
      <c r="AH59" s="119"/>
      <c r="AI59" s="118"/>
      <c r="AJ59" s="118"/>
      <c r="AK59" s="118"/>
      <c r="AL59" s="119"/>
      <c r="AM59" s="118"/>
      <c r="AN59" s="118"/>
      <c r="AO59" s="118"/>
      <c r="AP59" s="119">
        <f t="shared" ref="AP59:BS59" si="14">ROUND(AP44/(AP51*12.5),4)</f>
        <v>0.16600000000000001</v>
      </c>
      <c r="AQ59" s="117">
        <f t="shared" si="14"/>
        <v>0.1613</v>
      </c>
      <c r="AR59" s="118">
        <f t="shared" si="14"/>
        <v>0.17199999999999999</v>
      </c>
      <c r="AS59" s="118">
        <f t="shared" si="14"/>
        <v>0.16470000000000001</v>
      </c>
      <c r="AT59" s="118">
        <f t="shared" si="14"/>
        <v>0.18390000000000001</v>
      </c>
      <c r="AU59" s="117">
        <f t="shared" si="14"/>
        <v>0.17649999999999999</v>
      </c>
      <c r="AV59" s="118">
        <f t="shared" si="14"/>
        <v>0.16639999999999999</v>
      </c>
      <c r="AW59" s="118">
        <f t="shared" si="14"/>
        <v>0.1673</v>
      </c>
      <c r="AX59" s="118">
        <f t="shared" si="14"/>
        <v>0.17169999999999999</v>
      </c>
      <c r="AY59" s="117">
        <f t="shared" si="14"/>
        <v>0.17169999999999999</v>
      </c>
      <c r="AZ59" s="118">
        <f t="shared" si="14"/>
        <v>0.16239999999999999</v>
      </c>
      <c r="BA59" s="118">
        <f t="shared" si="14"/>
        <v>0.1709</v>
      </c>
      <c r="BB59" s="118">
        <f t="shared" si="14"/>
        <v>0.183</v>
      </c>
      <c r="BC59" s="117">
        <f t="shared" si="14"/>
        <v>0.17069999999999999</v>
      </c>
      <c r="BD59" s="118">
        <f t="shared" si="14"/>
        <v>0.19539999999999999</v>
      </c>
      <c r="BE59" s="118">
        <f t="shared" si="14"/>
        <v>0.19739999999999999</v>
      </c>
      <c r="BF59" s="118">
        <f t="shared" si="14"/>
        <v>0.2087</v>
      </c>
      <c r="BG59" s="117">
        <f t="shared" si="14"/>
        <v>0.20130000000000001</v>
      </c>
      <c r="BH59" s="118">
        <f t="shared" si="14"/>
        <v>0.1986</v>
      </c>
      <c r="BI59" s="118">
        <f t="shared" si="14"/>
        <v>0.1895</v>
      </c>
      <c r="BJ59" s="118">
        <f t="shared" si="14"/>
        <v>0.1709</v>
      </c>
      <c r="BK59" s="117">
        <f t="shared" si="14"/>
        <v>0.1638</v>
      </c>
      <c r="BL59" s="118">
        <f t="shared" si="14"/>
        <v>0.15720000000000001</v>
      </c>
      <c r="BM59" s="118">
        <f t="shared" si="14"/>
        <v>0.1565</v>
      </c>
      <c r="BN59" s="118">
        <f t="shared" si="14"/>
        <v>0.1784</v>
      </c>
      <c r="BO59" s="117">
        <f t="shared" si="14"/>
        <v>0.17879999999999999</v>
      </c>
      <c r="BP59" s="118">
        <f t="shared" si="14"/>
        <v>0.18490000000000001</v>
      </c>
      <c r="BQ59" s="118">
        <f t="shared" si="14"/>
        <v>0.18129999999999999</v>
      </c>
      <c r="BR59" s="118">
        <f t="shared" si="14"/>
        <v>0.18740000000000001</v>
      </c>
      <c r="BS59" s="117">
        <f t="shared" si="14"/>
        <v>0.1787</v>
      </c>
    </row>
    <row r="60" spans="1:72" s="120" customFormat="1" ht="10.8">
      <c r="A60" s="115" t="s">
        <v>86</v>
      </c>
      <c r="B60" s="116" t="s">
        <v>87</v>
      </c>
      <c r="C60" s="117"/>
      <c r="D60" s="118"/>
      <c r="E60" s="118"/>
      <c r="F60" s="119"/>
      <c r="G60" s="117"/>
      <c r="H60" s="118"/>
      <c r="I60" s="118"/>
      <c r="J60" s="119"/>
      <c r="K60" s="117"/>
      <c r="L60" s="118"/>
      <c r="M60" s="118"/>
      <c r="N60" s="119"/>
      <c r="O60" s="117"/>
      <c r="P60" s="118"/>
      <c r="Q60" s="118"/>
      <c r="R60" s="119"/>
      <c r="S60" s="117"/>
      <c r="T60" s="118"/>
      <c r="U60" s="118"/>
      <c r="V60" s="119"/>
      <c r="W60" s="117"/>
      <c r="X60" s="118"/>
      <c r="Y60" s="118"/>
      <c r="Z60" s="119"/>
      <c r="AA60" s="117"/>
      <c r="AB60" s="118"/>
      <c r="AC60" s="118"/>
      <c r="AD60" s="119"/>
      <c r="AE60" s="117"/>
      <c r="AF60" s="118"/>
      <c r="AG60" s="118"/>
      <c r="AH60" s="119"/>
      <c r="AI60" s="118"/>
      <c r="AJ60" s="118"/>
      <c r="AK60" s="118"/>
      <c r="AL60" s="119"/>
      <c r="AM60" s="118"/>
      <c r="AN60" s="118"/>
      <c r="AO60" s="118"/>
      <c r="AP60" s="119" t="s">
        <v>28</v>
      </c>
      <c r="AQ60" s="117" t="s">
        <v>28</v>
      </c>
      <c r="AR60" s="118" t="s">
        <v>28</v>
      </c>
      <c r="AS60" s="118" t="s">
        <v>28</v>
      </c>
      <c r="AT60" s="118" t="s">
        <v>28</v>
      </c>
      <c r="AU60" s="117">
        <v>0.17298801266888508</v>
      </c>
      <c r="AV60" s="118">
        <v>0.16318523049546793</v>
      </c>
      <c r="AW60" s="118">
        <v>0.16443962220522582</v>
      </c>
      <c r="AX60" s="118">
        <v>0.16900000000000001</v>
      </c>
      <c r="AY60" s="117">
        <v>0.16919999999999999</v>
      </c>
      <c r="AZ60" s="118">
        <v>0.15920000000000001</v>
      </c>
      <c r="BA60" s="118">
        <v>0.1673</v>
      </c>
      <c r="BB60" s="118">
        <v>0.18049999999999999</v>
      </c>
      <c r="BC60" s="117">
        <v>0.16880000000000001</v>
      </c>
      <c r="BD60" s="118">
        <v>0.193</v>
      </c>
      <c r="BE60" s="118">
        <v>0.19475000000000001</v>
      </c>
      <c r="BF60" s="118">
        <v>0.20610000000000001</v>
      </c>
      <c r="BG60" s="117">
        <v>0.19950000000000001</v>
      </c>
      <c r="BH60" s="118">
        <v>0.19719999999999999</v>
      </c>
      <c r="BI60" s="118">
        <v>0.18820000000000001</v>
      </c>
      <c r="BJ60" s="118">
        <v>0.16839999999999999</v>
      </c>
      <c r="BK60" s="117">
        <v>0.1612107917173064</v>
      </c>
      <c r="BL60" s="118">
        <v>0.15370145453912079</v>
      </c>
      <c r="BM60" s="118">
        <v>0.15268649883535498</v>
      </c>
      <c r="BN60" s="118">
        <v>0.17403887566325305</v>
      </c>
      <c r="BO60" s="117">
        <v>0.17791816845934957</v>
      </c>
      <c r="BP60" s="118">
        <v>0.18335508370935821</v>
      </c>
      <c r="BQ60" s="118">
        <v>0.17993548688254141</v>
      </c>
      <c r="BR60" s="118">
        <v>0.18679443627069869</v>
      </c>
      <c r="BS60" s="117">
        <v>0.1784221247039697</v>
      </c>
    </row>
    <row r="61" spans="1:72" s="78" customFormat="1" ht="10.8">
      <c r="A61" s="121"/>
      <c r="B61" s="121"/>
      <c r="C61" s="122"/>
      <c r="D61" s="123"/>
      <c r="E61" s="123"/>
      <c r="F61" s="124"/>
      <c r="G61" s="122"/>
      <c r="H61" s="123"/>
      <c r="I61" s="123"/>
      <c r="J61" s="124"/>
      <c r="K61" s="122"/>
      <c r="L61" s="123"/>
      <c r="M61" s="123"/>
      <c r="N61" s="124"/>
      <c r="O61" s="122"/>
      <c r="P61" s="123"/>
      <c r="Q61" s="123"/>
      <c r="R61" s="124"/>
      <c r="S61" s="122"/>
      <c r="T61" s="123"/>
      <c r="U61" s="123"/>
      <c r="V61" s="124"/>
      <c r="W61" s="122"/>
      <c r="X61" s="123"/>
      <c r="Y61" s="123"/>
      <c r="Z61" s="124"/>
      <c r="AA61" s="122"/>
      <c r="AB61" s="123"/>
      <c r="AC61" s="123"/>
      <c r="AD61" s="124"/>
      <c r="AE61" s="122"/>
      <c r="AF61" s="123"/>
      <c r="AG61" s="123"/>
      <c r="AH61" s="124"/>
      <c r="AI61" s="123"/>
      <c r="AJ61" s="123"/>
      <c r="AK61" s="123"/>
      <c r="AL61" s="124"/>
      <c r="AM61" s="123"/>
      <c r="AN61" s="123"/>
      <c r="AO61" s="123"/>
      <c r="AP61" s="124"/>
      <c r="AQ61" s="122"/>
      <c r="AR61" s="123"/>
      <c r="AS61" s="123"/>
      <c r="AT61" s="123"/>
      <c r="AU61" s="122"/>
      <c r="AV61" s="123"/>
      <c r="AW61" s="123"/>
      <c r="AX61" s="123"/>
      <c r="AY61" s="122"/>
      <c r="AZ61" s="123"/>
      <c r="BA61" s="123"/>
      <c r="BB61" s="123"/>
      <c r="BC61" s="122"/>
      <c r="BD61" s="123"/>
      <c r="BE61" s="123"/>
      <c r="BF61" s="123"/>
      <c r="BG61" s="122"/>
      <c r="BH61" s="123"/>
      <c r="BI61" s="123"/>
      <c r="BJ61" s="123"/>
      <c r="BK61" s="122"/>
      <c r="BL61" s="123"/>
      <c r="BM61" s="123"/>
      <c r="BN61" s="123"/>
      <c r="BO61" s="122"/>
      <c r="BP61" s="123"/>
      <c r="BQ61" s="123"/>
      <c r="BR61" s="123"/>
      <c r="BS61" s="122"/>
    </row>
    <row r="62" spans="1:72" s="129" customFormat="1" ht="10.8">
      <c r="A62" s="125" t="s">
        <v>90</v>
      </c>
      <c r="B62" s="125" t="s">
        <v>91</v>
      </c>
      <c r="C62" s="126"/>
      <c r="D62" s="127"/>
      <c r="E62" s="127"/>
      <c r="F62" s="128"/>
      <c r="G62" s="126"/>
      <c r="H62" s="127"/>
      <c r="I62" s="127"/>
      <c r="J62" s="128"/>
      <c r="K62" s="126"/>
      <c r="L62" s="127"/>
      <c r="M62" s="127"/>
      <c r="N62" s="128"/>
      <c r="O62" s="126"/>
      <c r="P62" s="127"/>
      <c r="Q62" s="127"/>
      <c r="R62" s="128"/>
      <c r="S62" s="126"/>
      <c r="T62" s="127"/>
      <c r="U62" s="127"/>
      <c r="V62" s="128"/>
      <c r="W62" s="126"/>
      <c r="X62" s="127"/>
      <c r="Y62" s="127"/>
      <c r="Z62" s="128"/>
      <c r="AA62" s="126"/>
      <c r="AB62" s="127"/>
      <c r="AC62" s="127"/>
      <c r="AD62" s="128"/>
      <c r="AE62" s="126"/>
      <c r="AF62" s="127"/>
      <c r="AG62" s="127"/>
      <c r="AH62" s="128"/>
      <c r="AI62" s="127"/>
      <c r="AJ62" s="127"/>
      <c r="AK62" s="127"/>
      <c r="AL62" s="128"/>
      <c r="AM62" s="127"/>
      <c r="AN62" s="127"/>
      <c r="AO62" s="127"/>
      <c r="AP62" s="128">
        <f t="shared" ref="AP62:BS62" si="15">AP63</f>
        <v>0.15429999999999999</v>
      </c>
      <c r="AQ62" s="126">
        <f t="shared" si="15"/>
        <v>0.15029999999999999</v>
      </c>
      <c r="AR62" s="127">
        <f t="shared" si="15"/>
        <v>0.16139999999999999</v>
      </c>
      <c r="AS62" s="127">
        <f t="shared" si="15"/>
        <v>0.15440000000000001</v>
      </c>
      <c r="AT62" s="127">
        <f t="shared" si="15"/>
        <v>0.1734</v>
      </c>
      <c r="AU62" s="126">
        <f t="shared" si="15"/>
        <v>0.1663</v>
      </c>
      <c r="AV62" s="127">
        <f t="shared" si="15"/>
        <v>0.15670000000000001</v>
      </c>
      <c r="AW62" s="127">
        <f t="shared" si="15"/>
        <v>0.15820000000000001</v>
      </c>
      <c r="AX62" s="127">
        <f t="shared" si="15"/>
        <v>0.16239999999999999</v>
      </c>
      <c r="AY62" s="126">
        <f t="shared" si="15"/>
        <v>0.15720000000000001</v>
      </c>
      <c r="AZ62" s="127">
        <f t="shared" si="15"/>
        <v>0.1489</v>
      </c>
      <c r="BA62" s="127">
        <f t="shared" si="15"/>
        <v>0.157</v>
      </c>
      <c r="BB62" s="127">
        <f t="shared" si="15"/>
        <v>0.15629999999999999</v>
      </c>
      <c r="BC62" s="126">
        <f t="shared" si="15"/>
        <v>0.14360000000000001</v>
      </c>
      <c r="BD62" s="127">
        <f t="shared" si="15"/>
        <v>0.16819999999999999</v>
      </c>
      <c r="BE62" s="127">
        <f t="shared" si="15"/>
        <v>0.16950000000000001</v>
      </c>
      <c r="BF62" s="127">
        <f t="shared" si="15"/>
        <v>0.18049999999999999</v>
      </c>
      <c r="BG62" s="126">
        <f t="shared" si="15"/>
        <v>0.17419999999999999</v>
      </c>
      <c r="BH62" s="127">
        <f t="shared" si="15"/>
        <v>0.1734</v>
      </c>
      <c r="BI62" s="127">
        <f t="shared" si="15"/>
        <v>0.1653</v>
      </c>
      <c r="BJ62" s="127">
        <f t="shared" si="15"/>
        <v>0.15310000000000001</v>
      </c>
      <c r="BK62" s="126">
        <f t="shared" si="15"/>
        <v>0.14649999999999999</v>
      </c>
      <c r="BL62" s="127">
        <f t="shared" si="15"/>
        <v>0.14019999999999999</v>
      </c>
      <c r="BM62" s="127">
        <f t="shared" si="15"/>
        <v>0.13980000000000001</v>
      </c>
      <c r="BN62" s="127">
        <f t="shared" si="15"/>
        <v>0.1618</v>
      </c>
      <c r="BO62" s="126">
        <f t="shared" si="15"/>
        <v>0.16239999999999999</v>
      </c>
      <c r="BP62" s="127">
        <f t="shared" si="15"/>
        <v>0.16880000000000001</v>
      </c>
      <c r="BQ62" s="127">
        <f t="shared" si="15"/>
        <v>0.1648</v>
      </c>
      <c r="BR62" s="127">
        <f t="shared" si="15"/>
        <v>0.1724</v>
      </c>
      <c r="BS62" s="126">
        <f t="shared" si="15"/>
        <v>0.1651</v>
      </c>
    </row>
    <row r="63" spans="1:72" s="120" customFormat="1" ht="10.8">
      <c r="A63" s="115" t="s">
        <v>92</v>
      </c>
      <c r="B63" s="116" t="s">
        <v>93</v>
      </c>
      <c r="C63" s="117"/>
      <c r="D63" s="118"/>
      <c r="E63" s="118"/>
      <c r="F63" s="119"/>
      <c r="G63" s="117"/>
      <c r="H63" s="118"/>
      <c r="I63" s="118"/>
      <c r="J63" s="119"/>
      <c r="K63" s="117"/>
      <c r="L63" s="118"/>
      <c r="M63" s="118"/>
      <c r="N63" s="119"/>
      <c r="O63" s="117"/>
      <c r="P63" s="118"/>
      <c r="Q63" s="118"/>
      <c r="R63" s="119"/>
      <c r="S63" s="117"/>
      <c r="T63" s="118"/>
      <c r="U63" s="118"/>
      <c r="V63" s="119"/>
      <c r="W63" s="117"/>
      <c r="X63" s="118"/>
      <c r="Y63" s="118"/>
      <c r="Z63" s="119"/>
      <c r="AA63" s="117"/>
      <c r="AB63" s="118"/>
      <c r="AC63" s="118"/>
      <c r="AD63" s="119"/>
      <c r="AE63" s="117"/>
      <c r="AF63" s="118"/>
      <c r="AG63" s="118"/>
      <c r="AH63" s="119"/>
      <c r="AI63" s="118"/>
      <c r="AJ63" s="118"/>
      <c r="AK63" s="118"/>
      <c r="AL63" s="119"/>
      <c r="AM63" s="118"/>
      <c r="AN63" s="118"/>
      <c r="AO63" s="118"/>
      <c r="AP63" s="119">
        <f t="shared" ref="AP63:BS63" si="16">ROUND(AP45/(AP51*12.5),4)</f>
        <v>0.15429999999999999</v>
      </c>
      <c r="AQ63" s="117">
        <f t="shared" si="16"/>
        <v>0.15029999999999999</v>
      </c>
      <c r="AR63" s="118">
        <f t="shared" si="16"/>
        <v>0.16139999999999999</v>
      </c>
      <c r="AS63" s="118">
        <f t="shared" si="16"/>
        <v>0.15440000000000001</v>
      </c>
      <c r="AT63" s="118">
        <f t="shared" si="16"/>
        <v>0.1734</v>
      </c>
      <c r="AU63" s="117">
        <f t="shared" si="16"/>
        <v>0.1663</v>
      </c>
      <c r="AV63" s="118">
        <f t="shared" si="16"/>
        <v>0.15670000000000001</v>
      </c>
      <c r="AW63" s="118">
        <f t="shared" si="16"/>
        <v>0.15820000000000001</v>
      </c>
      <c r="AX63" s="118">
        <f t="shared" si="16"/>
        <v>0.16239999999999999</v>
      </c>
      <c r="AY63" s="117">
        <f t="shared" si="16"/>
        <v>0.15720000000000001</v>
      </c>
      <c r="AZ63" s="118">
        <f t="shared" si="16"/>
        <v>0.1489</v>
      </c>
      <c r="BA63" s="118">
        <f t="shared" si="16"/>
        <v>0.157</v>
      </c>
      <c r="BB63" s="118">
        <f t="shared" si="16"/>
        <v>0.15629999999999999</v>
      </c>
      <c r="BC63" s="117">
        <f t="shared" si="16"/>
        <v>0.14360000000000001</v>
      </c>
      <c r="BD63" s="118">
        <f t="shared" si="16"/>
        <v>0.16819999999999999</v>
      </c>
      <c r="BE63" s="118">
        <f t="shared" si="16"/>
        <v>0.16950000000000001</v>
      </c>
      <c r="BF63" s="118">
        <f t="shared" si="16"/>
        <v>0.18049999999999999</v>
      </c>
      <c r="BG63" s="117">
        <f t="shared" si="16"/>
        <v>0.17419999999999999</v>
      </c>
      <c r="BH63" s="118">
        <f t="shared" si="16"/>
        <v>0.1734</v>
      </c>
      <c r="BI63" s="118">
        <f t="shared" si="16"/>
        <v>0.1653</v>
      </c>
      <c r="BJ63" s="118">
        <f t="shared" si="16"/>
        <v>0.15310000000000001</v>
      </c>
      <c r="BK63" s="117">
        <f t="shared" si="16"/>
        <v>0.14649999999999999</v>
      </c>
      <c r="BL63" s="118">
        <f t="shared" si="16"/>
        <v>0.14019999999999999</v>
      </c>
      <c r="BM63" s="118">
        <f t="shared" si="16"/>
        <v>0.13980000000000001</v>
      </c>
      <c r="BN63" s="118">
        <f t="shared" si="16"/>
        <v>0.1618</v>
      </c>
      <c r="BO63" s="117">
        <f t="shared" si="16"/>
        <v>0.16239999999999999</v>
      </c>
      <c r="BP63" s="118">
        <f t="shared" si="16"/>
        <v>0.16880000000000001</v>
      </c>
      <c r="BQ63" s="118">
        <f t="shared" si="16"/>
        <v>0.1648</v>
      </c>
      <c r="BR63" s="118">
        <f t="shared" si="16"/>
        <v>0.1724</v>
      </c>
      <c r="BS63" s="117">
        <f t="shared" si="16"/>
        <v>0.1651</v>
      </c>
    </row>
    <row r="64" spans="1:72" s="120" customFormat="1" ht="10.8">
      <c r="A64" s="115" t="s">
        <v>94</v>
      </c>
      <c r="B64" s="116" t="s">
        <v>95</v>
      </c>
      <c r="C64" s="117"/>
      <c r="D64" s="118"/>
      <c r="E64" s="118"/>
      <c r="F64" s="119"/>
      <c r="G64" s="117"/>
      <c r="H64" s="118"/>
      <c r="I64" s="118"/>
      <c r="J64" s="119"/>
      <c r="K64" s="117"/>
      <c r="L64" s="118"/>
      <c r="M64" s="118"/>
      <c r="N64" s="119"/>
      <c r="O64" s="117"/>
      <c r="P64" s="118"/>
      <c r="Q64" s="118"/>
      <c r="R64" s="119"/>
      <c r="S64" s="117"/>
      <c r="T64" s="118"/>
      <c r="U64" s="118"/>
      <c r="V64" s="119"/>
      <c r="W64" s="117"/>
      <c r="X64" s="118"/>
      <c r="Y64" s="118"/>
      <c r="Z64" s="119"/>
      <c r="AA64" s="117"/>
      <c r="AB64" s="118"/>
      <c r="AC64" s="118"/>
      <c r="AD64" s="119"/>
      <c r="AE64" s="117"/>
      <c r="AF64" s="118"/>
      <c r="AG64" s="118"/>
      <c r="AH64" s="119"/>
      <c r="AI64" s="118"/>
      <c r="AJ64" s="118"/>
      <c r="AK64" s="118"/>
      <c r="AL64" s="119"/>
      <c r="AM64" s="118"/>
      <c r="AN64" s="118"/>
      <c r="AO64" s="118"/>
      <c r="AP64" s="119" t="s">
        <v>28</v>
      </c>
      <c r="AQ64" s="117" t="s">
        <v>28</v>
      </c>
      <c r="AR64" s="118" t="s">
        <v>28</v>
      </c>
      <c r="AS64" s="118" t="s">
        <v>28</v>
      </c>
      <c r="AT64" s="118" t="s">
        <v>28</v>
      </c>
      <c r="AU64" s="117">
        <v>0.16286413021689455</v>
      </c>
      <c r="AV64" s="118">
        <v>0.15348421657491332</v>
      </c>
      <c r="AW64" s="118">
        <v>0.15532274417032782</v>
      </c>
      <c r="AX64" s="118">
        <v>0.15970000000000001</v>
      </c>
      <c r="AY64" s="117">
        <v>0.15459999999999999</v>
      </c>
      <c r="AZ64" s="118">
        <v>0.1457</v>
      </c>
      <c r="BA64" s="118">
        <v>0.15340000000000001</v>
      </c>
      <c r="BB64" s="118">
        <v>0.15379999999999999</v>
      </c>
      <c r="BC64" s="117">
        <v>0.1416</v>
      </c>
      <c r="BD64" s="118">
        <v>0.16400000000000001</v>
      </c>
      <c r="BE64" s="118">
        <v>0.16520000000000001</v>
      </c>
      <c r="BF64" s="118">
        <v>0.1769</v>
      </c>
      <c r="BG64" s="117">
        <v>0.1714</v>
      </c>
      <c r="BH64" s="118">
        <v>0.17119999999999999</v>
      </c>
      <c r="BI64" s="118">
        <v>0.16350000000000001</v>
      </c>
      <c r="BJ64" s="118">
        <v>0.15049999999999999</v>
      </c>
      <c r="BK64" s="117">
        <v>0.14387664427357191</v>
      </c>
      <c r="BL64" s="118">
        <v>0.13668290370328331</v>
      </c>
      <c r="BM64" s="118">
        <v>0.13496158407837708</v>
      </c>
      <c r="BN64" s="118">
        <v>0.15643929137368506</v>
      </c>
      <c r="BO64" s="117">
        <v>0.16075012885538525</v>
      </c>
      <c r="BP64" s="118">
        <v>0.16723338767808682</v>
      </c>
      <c r="BQ64" s="118">
        <v>0.1633837220348065</v>
      </c>
      <c r="BR64" s="118">
        <v>0.17174760327248023</v>
      </c>
      <c r="BS64" s="117">
        <v>0.16477472606994401</v>
      </c>
    </row>
    <row r="65" spans="71:71">
      <c r="BS65" s="3"/>
    </row>
  </sheetData>
  <mergeCells count="40">
    <mergeCell ref="BS40:BV40"/>
    <mergeCell ref="AA40:AD40"/>
    <mergeCell ref="AE40:AH40"/>
    <mergeCell ref="AI40:AL40"/>
    <mergeCell ref="AM40:AP40"/>
    <mergeCell ref="AQ40:AT40"/>
    <mergeCell ref="AU40:AX40"/>
    <mergeCell ref="AY40:BB40"/>
    <mergeCell ref="BC40:BF40"/>
    <mergeCell ref="BG40:BJ40"/>
    <mergeCell ref="BK40:BN40"/>
    <mergeCell ref="BO40:BR40"/>
    <mergeCell ref="BO3:BR3"/>
    <mergeCell ref="BS3:BV3"/>
    <mergeCell ref="A40:A41"/>
    <mergeCell ref="B40:B41"/>
    <mergeCell ref="C40:F40"/>
    <mergeCell ref="G40:J40"/>
    <mergeCell ref="K40:N40"/>
    <mergeCell ref="O40:R40"/>
    <mergeCell ref="S40:V40"/>
    <mergeCell ref="W40:Z40"/>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8EA532C6-B306-4B9B-89DC-770EA37464F2}"/>
    <hyperlink ref="B1" location="'Spis tresci_Table of content'!A1" display="Powrót do spisu treści" xr:uid="{B1F85DBC-1951-42C2-AED3-15B6254D1CB6}"/>
    <hyperlink ref="A1" location="'Spis tresci_Table of content'!A1" display="Go back to Table of content" xr:uid="{12FBE26E-D2AC-4911-952B-6EC6FAEDC69A}"/>
  </hyperlinks>
  <pageMargins left="0.23622047244094491" right="0.23622047244094491" top="0.74803149606299213" bottom="0.74803149606299213" header="0.31496062992125984" footer="0.31496062992125984"/>
  <pageSetup paperSize="9" scale="14"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EEBC4-242E-4CAF-A9BC-923359AC6F31}">
  <dimension ref="A1:BV31"/>
  <sheetViews>
    <sheetView showGridLines="0" zoomScale="115" zoomScaleNormal="115" zoomScaleSheetLayoutView="100" zoomScalePageLayoutView="80" workbookViewId="0">
      <pane xSplit="2" ySplit="5" topLeftCell="C6" activePane="bottomRight" state="frozen"/>
      <selection activeCell="B29" sqref="B29"/>
      <selection pane="topRight" activeCell="B29" sqref="B29"/>
      <selection pane="bottomLeft" activeCell="B29" sqref="B29"/>
      <selection pane="bottomRight" activeCell="BH2" sqref="BH2"/>
    </sheetView>
  </sheetViews>
  <sheetFormatPr defaultColWidth="0" defaultRowHeight="13.8" customHeight="1" zeroHeight="1" outlineLevelCol="1"/>
  <cols>
    <col min="1" max="1" width="42.33203125" style="4" bestFit="1" customWidth="1" outlineLevel="1"/>
    <col min="2" max="2" width="47.33203125" style="4" bestFit="1" customWidth="1"/>
    <col min="3" max="58" width="5.6640625" style="2" hidden="1" customWidth="1"/>
    <col min="59" max="70" width="5.6640625" style="2" customWidth="1"/>
    <col min="71" max="74" width="8.88671875" style="2" customWidth="1"/>
    <col min="75" max="16384" width="8.88671875" style="2" hidden="1"/>
  </cols>
  <sheetData>
    <row r="1" spans="1:74">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74">
      <c r="A2" s="152" t="s">
        <v>4</v>
      </c>
      <c r="B2" s="152" t="s">
        <v>5</v>
      </c>
    </row>
    <row r="3" spans="1:74">
      <c r="A3" s="536" t="s">
        <v>258</v>
      </c>
      <c r="B3" s="536" t="s">
        <v>259</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4"/>
      <c r="AA3" s="533">
        <v>2013</v>
      </c>
      <c r="AB3" s="534"/>
      <c r="AC3" s="534"/>
      <c r="AD3" s="534"/>
      <c r="AE3" s="533">
        <v>2014</v>
      </c>
      <c r="AF3" s="534"/>
      <c r="AG3" s="534"/>
      <c r="AH3" s="534"/>
      <c r="AI3" s="533">
        <v>2015</v>
      </c>
      <c r="AJ3" s="534"/>
      <c r="AK3" s="534"/>
      <c r="AL3" s="534"/>
      <c r="AM3" s="533">
        <v>2016</v>
      </c>
      <c r="AN3" s="534"/>
      <c r="AO3" s="534"/>
      <c r="AP3" s="534"/>
      <c r="AQ3" s="533">
        <v>2017</v>
      </c>
      <c r="AR3" s="534"/>
      <c r="AS3" s="534"/>
      <c r="AT3" s="541"/>
      <c r="AU3" s="533">
        <v>2018</v>
      </c>
      <c r="AV3" s="538"/>
      <c r="AW3" s="538"/>
      <c r="AX3" s="539"/>
      <c r="AY3" s="533">
        <v>2019</v>
      </c>
      <c r="AZ3" s="538"/>
      <c r="BA3" s="538"/>
      <c r="BB3" s="539"/>
      <c r="BC3" s="533">
        <v>2020</v>
      </c>
      <c r="BD3" s="538"/>
      <c r="BE3" s="538"/>
      <c r="BF3" s="539"/>
      <c r="BG3" s="533">
        <v>2021</v>
      </c>
      <c r="BH3" s="538"/>
      <c r="BI3" s="538"/>
      <c r="BJ3" s="539"/>
      <c r="BK3" s="533">
        <v>2022</v>
      </c>
      <c r="BL3" s="538"/>
      <c r="BM3" s="538"/>
      <c r="BN3" s="539"/>
      <c r="BO3" s="533">
        <v>2023</v>
      </c>
      <c r="BP3" s="538"/>
      <c r="BQ3" s="538"/>
      <c r="BR3" s="539"/>
      <c r="BS3" s="533">
        <v>2024</v>
      </c>
      <c r="BT3" s="538"/>
      <c r="BU3" s="538"/>
      <c r="BV3" s="539"/>
    </row>
    <row r="4" spans="1:74">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2" t="s">
        <v>11</v>
      </c>
      <c r="AA4" s="11" t="s">
        <v>8</v>
      </c>
      <c r="AB4" s="12" t="s">
        <v>9</v>
      </c>
      <c r="AC4" s="12" t="s">
        <v>10</v>
      </c>
      <c r="AD4" s="12" t="s">
        <v>11</v>
      </c>
      <c r="AE4" s="11" t="s">
        <v>8</v>
      </c>
      <c r="AF4" s="12" t="s">
        <v>9</v>
      </c>
      <c r="AG4" s="12" t="s">
        <v>10</v>
      </c>
      <c r="AH4" s="12" t="s">
        <v>11</v>
      </c>
      <c r="AI4" s="11" t="s">
        <v>8</v>
      </c>
      <c r="AJ4" s="12" t="s">
        <v>9</v>
      </c>
      <c r="AK4" s="12" t="s">
        <v>10</v>
      </c>
      <c r="AL4" s="12" t="s">
        <v>11</v>
      </c>
      <c r="AM4" s="11" t="s">
        <v>8</v>
      </c>
      <c r="AN4" s="12" t="s">
        <v>9</v>
      </c>
      <c r="AO4" s="12" t="s">
        <v>10</v>
      </c>
      <c r="AP4" s="12" t="s">
        <v>11</v>
      </c>
      <c r="AQ4" s="11" t="s">
        <v>8</v>
      </c>
      <c r="AR4" s="12" t="s">
        <v>9</v>
      </c>
      <c r="AS4" s="12" t="s">
        <v>10</v>
      </c>
      <c r="AT4" s="12" t="s">
        <v>11</v>
      </c>
      <c r="AU4" s="11" t="s">
        <v>8</v>
      </c>
      <c r="AV4" s="12" t="s">
        <v>9</v>
      </c>
      <c r="AW4" s="12" t="s">
        <v>10</v>
      </c>
      <c r="AX4" s="12" t="s">
        <v>11</v>
      </c>
      <c r="AY4" s="11" t="s">
        <v>8</v>
      </c>
      <c r="AZ4" s="12" t="s">
        <v>9</v>
      </c>
      <c r="BA4" s="12" t="s">
        <v>10</v>
      </c>
      <c r="BB4" s="12" t="s">
        <v>11</v>
      </c>
      <c r="BC4" s="11" t="s">
        <v>8</v>
      </c>
      <c r="BD4" s="12" t="s">
        <v>9</v>
      </c>
      <c r="BE4" s="12" t="s">
        <v>10</v>
      </c>
      <c r="BF4" s="12" t="s">
        <v>11</v>
      </c>
      <c r="BG4" s="11" t="s">
        <v>8</v>
      </c>
      <c r="BH4" s="12" t="s">
        <v>9</v>
      </c>
      <c r="BI4" s="12" t="s">
        <v>10</v>
      </c>
      <c r="BJ4" s="12" t="s">
        <v>11</v>
      </c>
      <c r="BK4" s="11" t="s">
        <v>8</v>
      </c>
      <c r="BL4" s="12" t="s">
        <v>9</v>
      </c>
      <c r="BM4" s="12" t="s">
        <v>10</v>
      </c>
      <c r="BN4" s="12" t="s">
        <v>11</v>
      </c>
      <c r="BO4" s="11" t="s">
        <v>8</v>
      </c>
      <c r="BP4" s="12" t="s">
        <v>9</v>
      </c>
      <c r="BQ4" s="12" t="s">
        <v>10</v>
      </c>
      <c r="BR4" s="12" t="s">
        <v>11</v>
      </c>
      <c r="BS4" s="11" t="s">
        <v>8</v>
      </c>
      <c r="BT4" s="12" t="s">
        <v>9</v>
      </c>
      <c r="BU4" s="12" t="s">
        <v>10</v>
      </c>
      <c r="BV4" s="12" t="s">
        <v>11</v>
      </c>
    </row>
    <row r="5" spans="1:74" s="150" customFormat="1" ht="12.75" customHeight="1">
      <c r="A5" s="17"/>
      <c r="B5" s="17"/>
      <c r="C5" s="18"/>
      <c r="D5" s="20"/>
      <c r="E5" s="20"/>
      <c r="F5" s="20"/>
      <c r="G5" s="18"/>
      <c r="H5" s="20"/>
      <c r="I5" s="20"/>
      <c r="J5" s="154"/>
      <c r="K5" s="18"/>
      <c r="L5" s="20"/>
      <c r="M5" s="20"/>
      <c r="N5" s="154"/>
      <c r="O5" s="18"/>
      <c r="P5" s="20"/>
      <c r="Q5" s="20"/>
      <c r="R5" s="154"/>
      <c r="S5" s="18"/>
      <c r="T5" s="20"/>
      <c r="U5" s="20"/>
      <c r="V5" s="154"/>
      <c r="W5" s="18"/>
      <c r="X5" s="20"/>
      <c r="Y5" s="20"/>
      <c r="Z5" s="20"/>
      <c r="AA5" s="18"/>
      <c r="AB5" s="20"/>
      <c r="AC5" s="20"/>
      <c r="AD5" s="20"/>
      <c r="AE5" s="18"/>
      <c r="AF5" s="20"/>
      <c r="AG5" s="20"/>
      <c r="AH5" s="20"/>
      <c r="AI5" s="18"/>
      <c r="AJ5" s="20"/>
      <c r="AK5" s="20"/>
      <c r="AL5" s="20"/>
      <c r="AM5" s="18"/>
      <c r="AN5" s="20"/>
      <c r="AO5" s="20"/>
      <c r="AP5" s="20"/>
      <c r="AQ5" s="18"/>
      <c r="AR5" s="20"/>
      <c r="AS5" s="20"/>
      <c r="AT5" s="20"/>
      <c r="AU5" s="18"/>
      <c r="AV5" s="20"/>
      <c r="AW5" s="20"/>
      <c r="AX5" s="20"/>
      <c r="AY5" s="18"/>
      <c r="AZ5" s="20"/>
      <c r="BA5" s="20"/>
      <c r="BB5" s="20"/>
      <c r="BC5" s="18"/>
      <c r="BD5" s="20"/>
      <c r="BE5" s="20"/>
      <c r="BF5" s="20"/>
      <c r="BG5" s="18"/>
      <c r="BH5" s="20"/>
      <c r="BI5" s="20"/>
      <c r="BJ5" s="20"/>
      <c r="BK5" s="18"/>
      <c r="BL5" s="20"/>
      <c r="BM5" s="20"/>
      <c r="BN5" s="20"/>
      <c r="BO5" s="18"/>
      <c r="BP5" s="20"/>
      <c r="BQ5" s="20"/>
      <c r="BR5" s="20"/>
      <c r="BS5" s="18"/>
    </row>
    <row r="6" spans="1:74" s="6" customFormat="1" ht="10.8">
      <c r="A6" s="155" t="s">
        <v>260</v>
      </c>
      <c r="B6" s="867" t="s">
        <v>261</v>
      </c>
      <c r="C6" s="616"/>
      <c r="D6" s="617"/>
      <c r="E6" s="617"/>
      <c r="F6" s="617"/>
      <c r="G6" s="616"/>
      <c r="H6" s="617"/>
      <c r="I6" s="617"/>
      <c r="J6" s="618"/>
      <c r="K6" s="616"/>
      <c r="L6" s="617"/>
      <c r="M6" s="617"/>
      <c r="N6" s="618"/>
      <c r="O6" s="616"/>
      <c r="P6" s="617"/>
      <c r="Q6" s="617"/>
      <c r="R6" s="618"/>
      <c r="S6" s="616"/>
      <c r="T6" s="617"/>
      <c r="U6" s="617"/>
      <c r="V6" s="618"/>
      <c r="W6" s="616"/>
      <c r="X6" s="617"/>
      <c r="Y6" s="617"/>
      <c r="Z6" s="617"/>
      <c r="AA6" s="616"/>
      <c r="AB6" s="617"/>
      <c r="AC6" s="617"/>
      <c r="AD6" s="617"/>
      <c r="AE6" s="616"/>
      <c r="AF6" s="617"/>
      <c r="AG6" s="617"/>
      <c r="AH6" s="617"/>
      <c r="AI6" s="616"/>
      <c r="AJ6" s="617"/>
      <c r="AK6" s="617"/>
      <c r="AL6" s="617"/>
      <c r="AM6" s="616"/>
      <c r="AN6" s="617"/>
      <c r="AO6" s="617"/>
      <c r="AP6" s="617"/>
      <c r="AQ6" s="616"/>
      <c r="AR6" s="617"/>
      <c r="AS6" s="617"/>
      <c r="AT6" s="617"/>
      <c r="AU6" s="616"/>
      <c r="AV6" s="617"/>
      <c r="AW6" s="617"/>
      <c r="AX6" s="617"/>
      <c r="AY6" s="616"/>
      <c r="AZ6" s="617"/>
      <c r="BA6" s="617"/>
      <c r="BB6" s="617"/>
      <c r="BC6" s="616"/>
      <c r="BD6" s="617"/>
      <c r="BE6" s="617"/>
      <c r="BF6" s="617"/>
      <c r="BG6" s="616"/>
      <c r="BH6" s="617"/>
      <c r="BI6" s="617"/>
      <c r="BJ6" s="617"/>
      <c r="BK6" s="616"/>
      <c r="BL6" s="617"/>
      <c r="BM6" s="617"/>
      <c r="BN6" s="617"/>
      <c r="BO6" s="616"/>
      <c r="BP6" s="617"/>
      <c r="BQ6" s="617"/>
      <c r="BR6" s="617"/>
      <c r="BS6" s="616"/>
      <c r="BT6" s="868"/>
    </row>
    <row r="7" spans="1:74" s="6" customFormat="1" ht="10.8">
      <c r="A7" s="163" t="s">
        <v>262</v>
      </c>
      <c r="B7" s="869" t="s">
        <v>263</v>
      </c>
      <c r="C7" s="616"/>
      <c r="D7" s="617"/>
      <c r="E7" s="617"/>
      <c r="F7" s="617"/>
      <c r="G7" s="616"/>
      <c r="H7" s="617"/>
      <c r="I7" s="617"/>
      <c r="J7" s="618"/>
      <c r="K7" s="616"/>
      <c r="L7" s="617"/>
      <c r="M7" s="617"/>
      <c r="N7" s="618"/>
      <c r="O7" s="616"/>
      <c r="P7" s="617"/>
      <c r="Q7" s="617"/>
      <c r="R7" s="618"/>
      <c r="S7" s="616"/>
      <c r="T7" s="617"/>
      <c r="U7" s="617"/>
      <c r="V7" s="618"/>
      <c r="W7" s="616"/>
      <c r="X7" s="617"/>
      <c r="Y7" s="617"/>
      <c r="Z7" s="617"/>
      <c r="AA7" s="616"/>
      <c r="AB7" s="617"/>
      <c r="AC7" s="617"/>
      <c r="AD7" s="617"/>
      <c r="AE7" s="616"/>
      <c r="AF7" s="617"/>
      <c r="AG7" s="617"/>
      <c r="AH7" s="617"/>
      <c r="AI7" s="616"/>
      <c r="AJ7" s="617"/>
      <c r="AK7" s="617"/>
      <c r="AL7" s="617"/>
      <c r="AM7" s="616"/>
      <c r="AN7" s="617"/>
      <c r="AO7" s="617"/>
      <c r="AP7" s="617"/>
      <c r="AQ7" s="616"/>
      <c r="AR7" s="617"/>
      <c r="AS7" s="617"/>
      <c r="AT7" s="617"/>
      <c r="AU7" s="616"/>
      <c r="AV7" s="617"/>
      <c r="AW7" s="617"/>
      <c r="AX7" s="617"/>
      <c r="AY7" s="616"/>
      <c r="AZ7" s="617"/>
      <c r="BA7" s="617"/>
      <c r="BB7" s="617"/>
      <c r="BC7" s="616"/>
      <c r="BD7" s="617"/>
      <c r="BE7" s="617"/>
      <c r="BF7" s="617"/>
      <c r="BG7" s="616"/>
      <c r="BH7" s="617"/>
      <c r="BI7" s="617"/>
      <c r="BJ7" s="617"/>
      <c r="BK7" s="616"/>
      <c r="BL7" s="617"/>
      <c r="BM7" s="617"/>
      <c r="BN7" s="617"/>
      <c r="BO7" s="616"/>
      <c r="BP7" s="617"/>
      <c r="BQ7" s="617"/>
      <c r="BR7" s="617"/>
      <c r="BS7" s="616"/>
      <c r="BT7" s="868"/>
    </row>
    <row r="8" spans="1:74" s="6" customFormat="1" ht="10.8">
      <c r="A8" s="163" t="s">
        <v>264</v>
      </c>
      <c r="B8" s="869" t="s">
        <v>265</v>
      </c>
      <c r="C8" s="616">
        <v>7578</v>
      </c>
      <c r="D8" s="617">
        <v>7676</v>
      </c>
      <c r="E8" s="617">
        <v>7828</v>
      </c>
      <c r="F8" s="617">
        <v>8048</v>
      </c>
      <c r="G8" s="616">
        <v>8137</v>
      </c>
      <c r="H8" s="617">
        <v>8318</v>
      </c>
      <c r="I8" s="617">
        <v>8330</v>
      </c>
      <c r="J8" s="618">
        <v>8454</v>
      </c>
      <c r="K8" s="616">
        <v>8368</v>
      </c>
      <c r="L8" s="617">
        <v>8196</v>
      </c>
      <c r="M8" s="617">
        <v>8092</v>
      </c>
      <c r="N8" s="618">
        <v>8064</v>
      </c>
      <c r="O8" s="616">
        <v>8084</v>
      </c>
      <c r="P8" s="617">
        <v>8183</v>
      </c>
      <c r="Q8" s="617">
        <v>8366</v>
      </c>
      <c r="R8" s="618">
        <v>8314</v>
      </c>
      <c r="S8" s="616">
        <v>8358</v>
      </c>
      <c r="T8" s="617">
        <v>8357</v>
      </c>
      <c r="U8" s="617">
        <v>8212</v>
      </c>
      <c r="V8" s="618">
        <v>8344</v>
      </c>
      <c r="W8" s="616">
        <v>8608</v>
      </c>
      <c r="X8" s="617">
        <v>8639</v>
      </c>
      <c r="Y8" s="617">
        <v>8633</v>
      </c>
      <c r="Z8" s="617">
        <v>8603</v>
      </c>
      <c r="AA8" s="616">
        <v>8569</v>
      </c>
      <c r="AB8" s="617">
        <v>8511</v>
      </c>
      <c r="AC8" s="617">
        <v>8449</v>
      </c>
      <c r="AD8" s="617">
        <v>8396</v>
      </c>
      <c r="AE8" s="616">
        <v>8327</v>
      </c>
      <c r="AF8" s="617">
        <v>8302</v>
      </c>
      <c r="AG8" s="617">
        <v>8302</v>
      </c>
      <c r="AH8" s="617">
        <v>8287</v>
      </c>
      <c r="AI8" s="616">
        <v>8332</v>
      </c>
      <c r="AJ8" s="617">
        <v>8338</v>
      </c>
      <c r="AK8" s="617">
        <v>8314</v>
      </c>
      <c r="AL8" s="617">
        <v>8274</v>
      </c>
      <c r="AM8" s="616">
        <v>8271</v>
      </c>
      <c r="AN8" s="617">
        <v>8245</v>
      </c>
      <c r="AO8" s="617">
        <v>8179</v>
      </c>
      <c r="AP8" s="617">
        <v>8025</v>
      </c>
      <c r="AQ8" s="616">
        <v>7966</v>
      </c>
      <c r="AR8" s="617">
        <v>7980</v>
      </c>
      <c r="AS8" s="617">
        <v>8016</v>
      </c>
      <c r="AT8" s="617">
        <v>8032</v>
      </c>
      <c r="AU8" s="616">
        <v>8082</v>
      </c>
      <c r="AV8" s="617">
        <v>8075</v>
      </c>
      <c r="AW8" s="617">
        <v>8080</v>
      </c>
      <c r="AX8" s="617">
        <v>8086</v>
      </c>
      <c r="AY8" s="616">
        <v>8013</v>
      </c>
      <c r="AZ8" s="617">
        <v>8031</v>
      </c>
      <c r="BA8" s="617">
        <v>7953</v>
      </c>
      <c r="BB8" s="617">
        <v>7984</v>
      </c>
      <c r="BC8" s="616">
        <v>8032</v>
      </c>
      <c r="BD8" s="617">
        <v>8049</v>
      </c>
      <c r="BE8" s="617">
        <v>8141</v>
      </c>
      <c r="BF8" s="617">
        <v>8426</v>
      </c>
      <c r="BG8" s="616">
        <v>8593</v>
      </c>
      <c r="BH8" s="617">
        <v>8706</v>
      </c>
      <c r="BI8" s="617">
        <v>8680</v>
      </c>
      <c r="BJ8" s="617">
        <v>8625</v>
      </c>
      <c r="BK8" s="616">
        <v>8445</v>
      </c>
      <c r="BL8" s="617">
        <v>8446</v>
      </c>
      <c r="BM8" s="617">
        <v>8410</v>
      </c>
      <c r="BN8" s="617">
        <v>8363</v>
      </c>
      <c r="BO8" s="616">
        <v>8447</v>
      </c>
      <c r="BP8" s="617">
        <v>8503</v>
      </c>
      <c r="BQ8" s="617">
        <v>8448</v>
      </c>
      <c r="BR8" s="617">
        <v>8379</v>
      </c>
      <c r="BS8" s="616">
        <v>8305</v>
      </c>
      <c r="BT8" s="868"/>
    </row>
    <row r="9" spans="1:74" s="150" customFormat="1" ht="10.8">
      <c r="A9" s="163" t="s">
        <v>266</v>
      </c>
      <c r="B9" s="869" t="s">
        <v>267</v>
      </c>
      <c r="C9" s="616">
        <v>7331.8906250000009</v>
      </c>
      <c r="D9" s="617">
        <v>7417.3703125000002</v>
      </c>
      <c r="E9" s="617">
        <v>7578.3996875000003</v>
      </c>
      <c r="F9" s="617">
        <v>7792.9743749999998</v>
      </c>
      <c r="G9" s="616">
        <v>7946.2468750000007</v>
      </c>
      <c r="H9" s="617">
        <v>8125.2243749999998</v>
      </c>
      <c r="I9" s="617">
        <v>8143.5462500000012</v>
      </c>
      <c r="J9" s="618">
        <v>8279.6212500000001</v>
      </c>
      <c r="K9" s="616">
        <v>8206.4931250000009</v>
      </c>
      <c r="L9" s="617">
        <v>8048.7724999999991</v>
      </c>
      <c r="M9" s="617">
        <v>7951.6140625000007</v>
      </c>
      <c r="N9" s="618">
        <v>7914.1831250000005</v>
      </c>
      <c r="O9" s="616">
        <v>7931.9751086956512</v>
      </c>
      <c r="P9" s="617">
        <v>8027.0964285714272</v>
      </c>
      <c r="Q9" s="617">
        <v>8219.5053977272728</v>
      </c>
      <c r="R9" s="618">
        <v>8158.847826086957</v>
      </c>
      <c r="S9" s="616">
        <v>8216.8850000000002</v>
      </c>
      <c r="T9" s="617">
        <v>8204.3430000000008</v>
      </c>
      <c r="U9" s="617">
        <v>8061.3829999999998</v>
      </c>
      <c r="V9" s="618">
        <v>8194.9039999999986</v>
      </c>
      <c r="W9" s="616">
        <v>8453.421214554226</v>
      </c>
      <c r="X9" s="617">
        <v>8487.6032153000015</v>
      </c>
      <c r="Y9" s="617">
        <v>8465.2729999999992</v>
      </c>
      <c r="Z9" s="617">
        <v>8424.7649999999994</v>
      </c>
      <c r="AA9" s="616">
        <v>8391.2250000000004</v>
      </c>
      <c r="AB9" s="617">
        <v>8381.15</v>
      </c>
      <c r="AC9" s="617">
        <v>8336.17</v>
      </c>
      <c r="AD9" s="617">
        <v>8275.9549999999999</v>
      </c>
      <c r="AE9" s="616">
        <v>8208.8623809523815</v>
      </c>
      <c r="AF9" s="617">
        <v>8230.2400000000016</v>
      </c>
      <c r="AG9" s="617">
        <v>8229.130000000001</v>
      </c>
      <c r="AH9" s="617">
        <v>8223.8950000000004</v>
      </c>
      <c r="AI9" s="616">
        <v>8274.6200000000008</v>
      </c>
      <c r="AJ9" s="617">
        <v>8272.0249999999996</v>
      </c>
      <c r="AK9" s="617">
        <v>8254.363409090909</v>
      </c>
      <c r="AL9" s="617">
        <v>8218.66096590909</v>
      </c>
      <c r="AM9" s="616">
        <v>8215.8447727272724</v>
      </c>
      <c r="AN9" s="617">
        <v>8193.1556818181834</v>
      </c>
      <c r="AO9" s="617">
        <v>8130.4174999999996</v>
      </c>
      <c r="AP9" s="617">
        <v>7969.5550000000003</v>
      </c>
      <c r="AQ9" s="616">
        <v>7912.6159239130438</v>
      </c>
      <c r="AR9" s="617">
        <v>7932.7571428571428</v>
      </c>
      <c r="AS9" s="617">
        <v>7970.2934523809517</v>
      </c>
      <c r="AT9" s="617">
        <v>7979.35</v>
      </c>
      <c r="AU9" s="616">
        <v>8032.9943181818162</v>
      </c>
      <c r="AV9" s="617">
        <v>8026.2717261904754</v>
      </c>
      <c r="AW9" s="617">
        <v>8033.5629999999983</v>
      </c>
      <c r="AX9" s="617">
        <v>8033.6309999999976</v>
      </c>
      <c r="AY9" s="616">
        <v>7965.2110000000011</v>
      </c>
      <c r="AZ9" s="617">
        <v>7983.9110000000001</v>
      </c>
      <c r="BA9" s="617">
        <v>7896.9599999999991</v>
      </c>
      <c r="BB9" s="617">
        <v>7926.8099999999995</v>
      </c>
      <c r="BC9" s="616">
        <v>7986.5350000000017</v>
      </c>
      <c r="BD9" s="617">
        <v>8004.0350000000008</v>
      </c>
      <c r="BE9" s="617">
        <v>8092.8224999999993</v>
      </c>
      <c r="BF9" s="617">
        <v>8374.2975000000006</v>
      </c>
      <c r="BG9" s="616">
        <v>8542.7849999999999</v>
      </c>
      <c r="BH9" s="617">
        <v>8653.06</v>
      </c>
      <c r="BI9" s="617">
        <v>8632.9299999999967</v>
      </c>
      <c r="BJ9" s="617">
        <v>8575.0499999999993</v>
      </c>
      <c r="BK9" s="616">
        <v>8398.3374999999996</v>
      </c>
      <c r="BL9" s="617">
        <v>8399.0374999999985</v>
      </c>
      <c r="BM9" s="617">
        <v>8367.1124999999993</v>
      </c>
      <c r="BN9" s="617">
        <v>8322.4375000000018</v>
      </c>
      <c r="BO9" s="616">
        <v>8406.6125000000011</v>
      </c>
      <c r="BP9" s="617">
        <v>8460.9675000000007</v>
      </c>
      <c r="BQ9" s="617">
        <v>8403.4675000000007</v>
      </c>
      <c r="BR9" s="617">
        <v>8332.9424999999992</v>
      </c>
      <c r="BS9" s="616">
        <v>8260.3424999999988</v>
      </c>
      <c r="BT9" s="620"/>
    </row>
    <row r="10" spans="1:74" s="164" customFormat="1" ht="10.8">
      <c r="A10" s="163" t="s">
        <v>268</v>
      </c>
      <c r="B10" s="869" t="s">
        <v>269</v>
      </c>
      <c r="C10" s="616"/>
      <c r="D10" s="617"/>
      <c r="E10" s="617"/>
      <c r="F10" s="617"/>
      <c r="G10" s="616"/>
      <c r="H10" s="617"/>
      <c r="I10" s="617"/>
      <c r="J10" s="618"/>
      <c r="K10" s="616"/>
      <c r="L10" s="617"/>
      <c r="M10" s="617"/>
      <c r="N10" s="618"/>
      <c r="O10" s="616"/>
      <c r="P10" s="617"/>
      <c r="Q10" s="617"/>
      <c r="R10" s="618"/>
      <c r="S10" s="616"/>
      <c r="T10" s="617"/>
      <c r="U10" s="617"/>
      <c r="V10" s="618"/>
      <c r="W10" s="616"/>
      <c r="X10" s="617"/>
      <c r="Y10" s="617"/>
      <c r="Z10" s="617"/>
      <c r="AA10" s="616"/>
      <c r="AB10" s="617"/>
      <c r="AC10" s="617"/>
      <c r="AD10" s="617"/>
      <c r="AE10" s="616"/>
      <c r="AF10" s="617"/>
      <c r="AG10" s="617"/>
      <c r="AH10" s="617"/>
      <c r="AI10" s="616"/>
      <c r="AJ10" s="617"/>
      <c r="AK10" s="617"/>
      <c r="AL10" s="617"/>
      <c r="AM10" s="616"/>
      <c r="AN10" s="617"/>
      <c r="AO10" s="617"/>
      <c r="AP10" s="617"/>
      <c r="AQ10" s="616"/>
      <c r="AR10" s="617"/>
      <c r="AS10" s="617"/>
      <c r="AT10" s="617"/>
      <c r="AU10" s="616"/>
      <c r="AV10" s="617"/>
      <c r="AW10" s="617"/>
      <c r="AX10" s="617"/>
      <c r="AY10" s="616"/>
      <c r="AZ10" s="617"/>
      <c r="BA10" s="617"/>
      <c r="BB10" s="617"/>
      <c r="BC10" s="616"/>
      <c r="BD10" s="617"/>
      <c r="BE10" s="617"/>
      <c r="BF10" s="617"/>
      <c r="BG10" s="616"/>
      <c r="BH10" s="617"/>
      <c r="BI10" s="617"/>
      <c r="BJ10" s="617"/>
      <c r="BK10" s="616"/>
      <c r="BL10" s="617"/>
      <c r="BM10" s="617"/>
      <c r="BN10" s="617"/>
      <c r="BO10" s="616"/>
      <c r="BP10" s="617"/>
      <c r="BQ10" s="617"/>
      <c r="BR10" s="617"/>
      <c r="BS10" s="616"/>
      <c r="BT10" s="659"/>
    </row>
    <row r="11" spans="1:74" s="164" customFormat="1" ht="10.8">
      <c r="A11" s="163" t="s">
        <v>264</v>
      </c>
      <c r="B11" s="869" t="s">
        <v>265</v>
      </c>
      <c r="C11" s="616">
        <v>7338</v>
      </c>
      <c r="D11" s="617">
        <v>7439</v>
      </c>
      <c r="E11" s="617">
        <v>7588</v>
      </c>
      <c r="F11" s="617">
        <v>7816</v>
      </c>
      <c r="G11" s="616">
        <v>7905</v>
      </c>
      <c r="H11" s="617">
        <v>8082</v>
      </c>
      <c r="I11" s="617">
        <v>8096</v>
      </c>
      <c r="J11" s="618">
        <v>8214</v>
      </c>
      <c r="K11" s="616">
        <v>8131</v>
      </c>
      <c r="L11" s="617">
        <v>7966</v>
      </c>
      <c r="M11" s="617">
        <v>7850</v>
      </c>
      <c r="N11" s="618">
        <v>7827</v>
      </c>
      <c r="O11" s="616">
        <v>7846</v>
      </c>
      <c r="P11" s="617">
        <v>7946</v>
      </c>
      <c r="Q11" s="617">
        <v>8127</v>
      </c>
      <c r="R11" s="618">
        <v>8068</v>
      </c>
      <c r="S11" s="616">
        <v>8113</v>
      </c>
      <c r="T11" s="617">
        <v>8115</v>
      </c>
      <c r="U11" s="617">
        <v>7984</v>
      </c>
      <c r="V11" s="618">
        <v>8149</v>
      </c>
      <c r="W11" s="616">
        <v>8206</v>
      </c>
      <c r="X11" s="617">
        <v>8221</v>
      </c>
      <c r="Y11" s="617">
        <v>8189</v>
      </c>
      <c r="Z11" s="617">
        <v>8156</v>
      </c>
      <c r="AA11" s="616">
        <v>8126</v>
      </c>
      <c r="AB11" s="617">
        <v>8069</v>
      </c>
      <c r="AC11" s="617">
        <v>8000</v>
      </c>
      <c r="AD11" s="617">
        <v>7929</v>
      </c>
      <c r="AE11" s="616">
        <v>7862</v>
      </c>
      <c r="AF11" s="617">
        <v>7824</v>
      </c>
      <c r="AG11" s="617">
        <v>7837</v>
      </c>
      <c r="AH11" s="617">
        <v>7817</v>
      </c>
      <c r="AI11" s="616">
        <v>7849</v>
      </c>
      <c r="AJ11" s="617">
        <v>7869</v>
      </c>
      <c r="AK11" s="617">
        <v>7856</v>
      </c>
      <c r="AL11" s="617">
        <v>7813</v>
      </c>
      <c r="AM11" s="616">
        <v>7804</v>
      </c>
      <c r="AN11" s="617">
        <v>7873</v>
      </c>
      <c r="AO11" s="617">
        <v>7821</v>
      </c>
      <c r="AP11" s="617">
        <v>7669</v>
      </c>
      <c r="AQ11" s="616">
        <v>7611</v>
      </c>
      <c r="AR11" s="617">
        <v>7624</v>
      </c>
      <c r="AS11" s="617">
        <v>7654</v>
      </c>
      <c r="AT11" s="617">
        <v>7661</v>
      </c>
      <c r="AU11" s="616">
        <v>7701</v>
      </c>
      <c r="AV11" s="617">
        <v>7676</v>
      </c>
      <c r="AW11" s="617">
        <v>7676</v>
      </c>
      <c r="AX11" s="617">
        <v>7665</v>
      </c>
      <c r="AY11" s="616">
        <v>7593</v>
      </c>
      <c r="AZ11" s="617">
        <v>7603</v>
      </c>
      <c r="BA11" s="617">
        <v>7520</v>
      </c>
      <c r="BB11" s="617">
        <v>7542</v>
      </c>
      <c r="BC11" s="616">
        <v>7592</v>
      </c>
      <c r="BD11" s="617">
        <v>7608</v>
      </c>
      <c r="BE11" s="617">
        <v>7696</v>
      </c>
      <c r="BF11" s="617">
        <v>7972</v>
      </c>
      <c r="BG11" s="616">
        <v>8135</v>
      </c>
      <c r="BH11" s="617">
        <v>8253</v>
      </c>
      <c r="BI11" s="617">
        <v>8231</v>
      </c>
      <c r="BJ11" s="617">
        <v>8179</v>
      </c>
      <c r="BK11" s="616">
        <v>8004</v>
      </c>
      <c r="BL11" s="617">
        <v>8001</v>
      </c>
      <c r="BM11" s="617">
        <v>7966</v>
      </c>
      <c r="BN11" s="617">
        <v>7925</v>
      </c>
      <c r="BO11" s="616">
        <v>8005</v>
      </c>
      <c r="BP11" s="617">
        <v>8030</v>
      </c>
      <c r="BQ11" s="617">
        <v>7974</v>
      </c>
      <c r="BR11" s="617">
        <v>7906</v>
      </c>
      <c r="BS11" s="616">
        <v>7840</v>
      </c>
      <c r="BT11" s="659"/>
    </row>
    <row r="12" spans="1:74" s="164" customFormat="1" ht="10.8">
      <c r="A12" s="163" t="s">
        <v>266</v>
      </c>
      <c r="B12" s="869" t="s">
        <v>267</v>
      </c>
      <c r="C12" s="616">
        <v>7104.1406250000009</v>
      </c>
      <c r="D12" s="617">
        <v>7192.2203125000005</v>
      </c>
      <c r="E12" s="617">
        <v>7349.8396874999999</v>
      </c>
      <c r="F12" s="617">
        <v>7573.7143749999996</v>
      </c>
      <c r="G12" s="616">
        <v>7726.4868750000005</v>
      </c>
      <c r="H12" s="617">
        <v>7900.7143749999996</v>
      </c>
      <c r="I12" s="617">
        <v>7920.786250000001</v>
      </c>
      <c r="J12" s="618">
        <v>8051.3612500000008</v>
      </c>
      <c r="K12" s="616">
        <v>7981.4331249999996</v>
      </c>
      <c r="L12" s="617">
        <v>7828.9124999999995</v>
      </c>
      <c r="M12" s="617">
        <v>7720.5540625000003</v>
      </c>
      <c r="N12" s="618">
        <v>7687.3731250000001</v>
      </c>
      <c r="O12" s="616">
        <v>7704.3251086956516</v>
      </c>
      <c r="P12" s="617">
        <v>7800.4464285714275</v>
      </c>
      <c r="Q12" s="617">
        <v>7989.2553977272728</v>
      </c>
      <c r="R12" s="618">
        <v>7920.847826086957</v>
      </c>
      <c r="S12" s="616">
        <v>7979.2349999999997</v>
      </c>
      <c r="T12" s="617">
        <v>7968.5630000000001</v>
      </c>
      <c r="U12" s="617">
        <v>7839.4529999999995</v>
      </c>
      <c r="V12" s="618">
        <v>8003.424</v>
      </c>
      <c r="W12" s="616">
        <v>8057.4409999999998</v>
      </c>
      <c r="X12" s="617">
        <v>8068.018</v>
      </c>
      <c r="Y12" s="617">
        <v>8033.5929999999998</v>
      </c>
      <c r="Z12" s="617">
        <v>7988.1049999999996</v>
      </c>
      <c r="AA12" s="616">
        <v>7962.8649999999998</v>
      </c>
      <c r="AB12" s="617">
        <v>7948.63</v>
      </c>
      <c r="AC12" s="617">
        <v>7894.6100000000006</v>
      </c>
      <c r="AD12" s="617">
        <v>7825.3450000000003</v>
      </c>
      <c r="AE12" s="616">
        <v>7759.9523809523807</v>
      </c>
      <c r="AF12" s="617">
        <v>7767.9000000000005</v>
      </c>
      <c r="AG12" s="617">
        <v>7779.4500000000016</v>
      </c>
      <c r="AH12" s="617">
        <v>7767.5349999999999</v>
      </c>
      <c r="AI12" s="616">
        <v>7803.9500000000007</v>
      </c>
      <c r="AJ12" s="617">
        <v>7817.7449999999999</v>
      </c>
      <c r="AK12" s="617">
        <v>7810.3084090909097</v>
      </c>
      <c r="AL12" s="617">
        <v>7771.2809659090899</v>
      </c>
      <c r="AM12" s="616">
        <v>7756.664772727273</v>
      </c>
      <c r="AN12" s="617">
        <v>7824.9556818181827</v>
      </c>
      <c r="AO12" s="617">
        <v>7776.0424999999996</v>
      </c>
      <c r="AP12" s="617">
        <v>7618.6550000000007</v>
      </c>
      <c r="AQ12" s="616">
        <v>7563.040923913044</v>
      </c>
      <c r="AR12" s="617">
        <v>7580.2321428571431</v>
      </c>
      <c r="AS12" s="617">
        <v>7611.4434523809523</v>
      </c>
      <c r="AT12" s="617">
        <v>7612.4210526315783</v>
      </c>
      <c r="AU12" s="616">
        <v>7655.4443181818169</v>
      </c>
      <c r="AV12" s="617">
        <v>7629.8467261904761</v>
      </c>
      <c r="AW12" s="617">
        <v>7633.6629999999986</v>
      </c>
      <c r="AX12" s="617">
        <v>7615.7059999999983</v>
      </c>
      <c r="AY12" s="616">
        <v>7548.7310000000016</v>
      </c>
      <c r="AZ12" s="617">
        <v>7559.6810000000005</v>
      </c>
      <c r="BA12" s="617">
        <v>7478.2800000000007</v>
      </c>
      <c r="BB12" s="617">
        <v>7498.93</v>
      </c>
      <c r="BC12" s="616">
        <v>7559.0300000000016</v>
      </c>
      <c r="BD12" s="617">
        <v>7575.5300000000007</v>
      </c>
      <c r="BE12" s="617">
        <v>7665.1675000000005</v>
      </c>
      <c r="BF12" s="617">
        <v>7936.0925000000007</v>
      </c>
      <c r="BG12" s="616">
        <v>8100.5800000000008</v>
      </c>
      <c r="BH12" s="617">
        <v>8215.2050000000017</v>
      </c>
      <c r="BI12" s="617">
        <v>8198.6749999999993</v>
      </c>
      <c r="BJ12" s="617">
        <v>8143.1500000000005</v>
      </c>
      <c r="BK12" s="616">
        <v>7972.4125000000013</v>
      </c>
      <c r="BL12" s="617">
        <v>7969.1125000000002</v>
      </c>
      <c r="BM12" s="617">
        <v>7938.1875000000009</v>
      </c>
      <c r="BN12" s="617">
        <v>7895.4875000000011</v>
      </c>
      <c r="BO12" s="616">
        <v>7975.8874999999998</v>
      </c>
      <c r="BP12" s="617">
        <v>7999.7924999999996</v>
      </c>
      <c r="BQ12" s="617">
        <v>7944.0924999999997</v>
      </c>
      <c r="BR12" s="617">
        <v>7874.1925000000001</v>
      </c>
      <c r="BS12" s="616">
        <v>7808.1675000000005</v>
      </c>
      <c r="BT12" s="659"/>
    </row>
    <row r="13" spans="1:74" s="6" customFormat="1" ht="10.8">
      <c r="A13" s="163"/>
      <c r="B13" s="869"/>
      <c r="C13" s="616"/>
      <c r="D13" s="617"/>
      <c r="E13" s="617"/>
      <c r="F13" s="617"/>
      <c r="G13" s="616"/>
      <c r="H13" s="617"/>
      <c r="I13" s="617"/>
      <c r="J13" s="618"/>
      <c r="K13" s="616"/>
      <c r="L13" s="617"/>
      <c r="M13" s="617"/>
      <c r="N13" s="618"/>
      <c r="O13" s="616"/>
      <c r="P13" s="617"/>
      <c r="Q13" s="617"/>
      <c r="R13" s="618"/>
      <c r="S13" s="616"/>
      <c r="T13" s="617"/>
      <c r="U13" s="617"/>
      <c r="V13" s="618"/>
      <c r="W13" s="616"/>
      <c r="X13" s="617"/>
      <c r="Y13" s="617"/>
      <c r="Z13" s="617"/>
      <c r="AA13" s="616"/>
      <c r="AB13" s="617"/>
      <c r="AC13" s="617"/>
      <c r="AD13" s="617"/>
      <c r="AE13" s="616"/>
      <c r="AF13" s="617"/>
      <c r="AG13" s="617"/>
      <c r="AH13" s="617"/>
      <c r="AI13" s="616"/>
      <c r="AJ13" s="617"/>
      <c r="AK13" s="617"/>
      <c r="AL13" s="617"/>
      <c r="AM13" s="616"/>
      <c r="AN13" s="617"/>
      <c r="AO13" s="617"/>
      <c r="AP13" s="617"/>
      <c r="AQ13" s="616"/>
      <c r="AR13" s="617"/>
      <c r="AS13" s="617"/>
      <c r="AT13" s="617"/>
      <c r="AU13" s="616"/>
      <c r="AV13" s="617"/>
      <c r="AW13" s="617"/>
      <c r="AX13" s="617"/>
      <c r="AY13" s="616"/>
      <c r="AZ13" s="617"/>
      <c r="BA13" s="617"/>
      <c r="BB13" s="617"/>
      <c r="BC13" s="616"/>
      <c r="BD13" s="617"/>
      <c r="BE13" s="617"/>
      <c r="BF13" s="617"/>
      <c r="BG13" s="616"/>
      <c r="BH13" s="617"/>
      <c r="BI13" s="617"/>
      <c r="BJ13" s="617"/>
      <c r="BK13" s="616"/>
      <c r="BL13" s="617"/>
      <c r="BM13" s="617"/>
      <c r="BN13" s="617"/>
      <c r="BO13" s="616"/>
      <c r="BP13" s="617"/>
      <c r="BQ13" s="617"/>
      <c r="BR13" s="617"/>
      <c r="BS13" s="616"/>
      <c r="BT13" s="868"/>
    </row>
    <row r="14" spans="1:74" s="164" customFormat="1" ht="10.8">
      <c r="A14" s="155" t="s">
        <v>270</v>
      </c>
      <c r="B14" s="867" t="s">
        <v>271</v>
      </c>
      <c r="C14" s="616">
        <v>350</v>
      </c>
      <c r="D14" s="617">
        <v>361</v>
      </c>
      <c r="E14" s="617">
        <v>375</v>
      </c>
      <c r="F14" s="617">
        <v>404</v>
      </c>
      <c r="G14" s="616">
        <v>415</v>
      </c>
      <c r="H14" s="617">
        <v>430</v>
      </c>
      <c r="I14" s="617">
        <v>432</v>
      </c>
      <c r="J14" s="618">
        <v>439</v>
      </c>
      <c r="K14" s="616">
        <v>439</v>
      </c>
      <c r="L14" s="617">
        <v>438</v>
      </c>
      <c r="M14" s="617">
        <v>438</v>
      </c>
      <c r="N14" s="618">
        <v>441</v>
      </c>
      <c r="O14" s="616">
        <v>441</v>
      </c>
      <c r="P14" s="617">
        <v>442</v>
      </c>
      <c r="Q14" s="617">
        <v>441</v>
      </c>
      <c r="R14" s="618">
        <v>443</v>
      </c>
      <c r="S14" s="616">
        <v>445</v>
      </c>
      <c r="T14" s="617">
        <v>443</v>
      </c>
      <c r="U14" s="617">
        <v>441</v>
      </c>
      <c r="V14" s="618">
        <v>439</v>
      </c>
      <c r="W14" s="616">
        <v>438</v>
      </c>
      <c r="X14" s="617">
        <v>437</v>
      </c>
      <c r="Y14" s="617">
        <v>432</v>
      </c>
      <c r="Z14" s="617">
        <v>426</v>
      </c>
      <c r="AA14" s="616">
        <v>423</v>
      </c>
      <c r="AB14" s="617">
        <v>421</v>
      </c>
      <c r="AC14" s="617">
        <v>421</v>
      </c>
      <c r="AD14" s="617">
        <v>417</v>
      </c>
      <c r="AE14" s="616">
        <v>412</v>
      </c>
      <c r="AF14" s="617">
        <v>409</v>
      </c>
      <c r="AG14" s="617">
        <v>407</v>
      </c>
      <c r="AH14" s="617">
        <v>401</v>
      </c>
      <c r="AI14" s="616">
        <v>401</v>
      </c>
      <c r="AJ14" s="617">
        <v>399</v>
      </c>
      <c r="AK14" s="617">
        <v>398</v>
      </c>
      <c r="AL14" s="617">
        <v>395</v>
      </c>
      <c r="AM14" s="616">
        <v>394</v>
      </c>
      <c r="AN14" s="617">
        <v>391</v>
      </c>
      <c r="AO14" s="617">
        <v>386</v>
      </c>
      <c r="AP14" s="617">
        <v>384</v>
      </c>
      <c r="AQ14" s="616">
        <v>381</v>
      </c>
      <c r="AR14" s="617">
        <v>374</v>
      </c>
      <c r="AS14" s="617">
        <v>367</v>
      </c>
      <c r="AT14" s="617">
        <v>357</v>
      </c>
      <c r="AU14" s="616">
        <v>355</v>
      </c>
      <c r="AV14" s="617">
        <v>352</v>
      </c>
      <c r="AW14" s="617">
        <v>351</v>
      </c>
      <c r="AX14" s="617">
        <v>337</v>
      </c>
      <c r="AY14" s="616">
        <v>334</v>
      </c>
      <c r="AZ14" s="617">
        <v>332</v>
      </c>
      <c r="BA14" s="617">
        <v>330</v>
      </c>
      <c r="BB14" s="617">
        <v>317</v>
      </c>
      <c r="BC14" s="616">
        <v>315</v>
      </c>
      <c r="BD14" s="617">
        <v>304</v>
      </c>
      <c r="BE14" s="617">
        <v>298</v>
      </c>
      <c r="BF14" s="617">
        <v>290</v>
      </c>
      <c r="BG14" s="616">
        <v>281</v>
      </c>
      <c r="BH14" s="617">
        <v>272</v>
      </c>
      <c r="BI14" s="617">
        <v>262</v>
      </c>
      <c r="BJ14" s="617">
        <v>257</v>
      </c>
      <c r="BK14" s="616">
        <v>253</v>
      </c>
      <c r="BL14" s="617">
        <v>244</v>
      </c>
      <c r="BM14" s="617">
        <v>237</v>
      </c>
      <c r="BN14" s="617">
        <v>228</v>
      </c>
      <c r="BO14" s="616">
        <v>227</v>
      </c>
      <c r="BP14" s="617">
        <v>218</v>
      </c>
      <c r="BQ14" s="617">
        <v>214</v>
      </c>
      <c r="BR14" s="617">
        <v>205</v>
      </c>
      <c r="BS14" s="616">
        <v>205</v>
      </c>
      <c r="BT14" s="659"/>
    </row>
    <row r="15" spans="1:74" s="164" customFormat="1" ht="10.8">
      <c r="A15" s="155" t="s">
        <v>272</v>
      </c>
      <c r="B15" s="867" t="s">
        <v>273</v>
      </c>
      <c r="C15" s="616"/>
      <c r="D15" s="617"/>
      <c r="E15" s="617"/>
      <c r="F15" s="617"/>
      <c r="G15" s="616"/>
      <c r="H15" s="617"/>
      <c r="I15" s="617"/>
      <c r="J15" s="618"/>
      <c r="K15" s="616"/>
      <c r="L15" s="617"/>
      <c r="M15" s="617"/>
      <c r="N15" s="618"/>
      <c r="O15" s="616"/>
      <c r="P15" s="617"/>
      <c r="Q15" s="617"/>
      <c r="R15" s="618"/>
      <c r="S15" s="616"/>
      <c r="T15" s="617"/>
      <c r="U15" s="617"/>
      <c r="V15" s="618"/>
      <c r="W15" s="616"/>
      <c r="X15" s="617"/>
      <c r="Y15" s="617"/>
      <c r="Z15" s="617"/>
      <c r="AA15" s="616"/>
      <c r="AB15" s="617"/>
      <c r="AC15" s="617"/>
      <c r="AD15" s="617"/>
      <c r="AE15" s="616">
        <v>13</v>
      </c>
      <c r="AF15" s="617">
        <v>13</v>
      </c>
      <c r="AG15" s="617">
        <v>11</v>
      </c>
      <c r="AH15" s="617">
        <v>55</v>
      </c>
      <c r="AI15" s="616">
        <v>58</v>
      </c>
      <c r="AJ15" s="617">
        <v>59</v>
      </c>
      <c r="AK15" s="617">
        <v>60</v>
      </c>
      <c r="AL15" s="617">
        <v>64</v>
      </c>
      <c r="AM15" s="616">
        <v>66</v>
      </c>
      <c r="AN15" s="617">
        <v>66</v>
      </c>
      <c r="AO15" s="617">
        <v>65</v>
      </c>
      <c r="AP15" s="617">
        <v>65</v>
      </c>
      <c r="AQ15" s="616">
        <v>66</v>
      </c>
      <c r="AR15" s="617">
        <v>66</v>
      </c>
      <c r="AS15" s="617">
        <v>66</v>
      </c>
      <c r="AT15" s="617">
        <v>66</v>
      </c>
      <c r="AU15" s="616">
        <v>65</v>
      </c>
      <c r="AV15" s="617">
        <v>64</v>
      </c>
      <c r="AW15" s="617">
        <v>63</v>
      </c>
      <c r="AX15" s="617">
        <v>63</v>
      </c>
      <c r="AY15" s="616">
        <v>65</v>
      </c>
      <c r="AZ15" s="617">
        <v>65</v>
      </c>
      <c r="BA15" s="617">
        <v>65</v>
      </c>
      <c r="BB15" s="617">
        <v>65</v>
      </c>
      <c r="BC15" s="616">
        <v>62</v>
      </c>
      <c r="BD15" s="617">
        <v>62</v>
      </c>
      <c r="BE15" s="617">
        <v>63</v>
      </c>
      <c r="BF15" s="617">
        <v>63</v>
      </c>
      <c r="BG15" s="616">
        <v>61</v>
      </c>
      <c r="BH15" s="617">
        <v>60</v>
      </c>
      <c r="BI15" s="617">
        <v>60</v>
      </c>
      <c r="BJ15" s="617">
        <v>56</v>
      </c>
      <c r="BK15" s="616">
        <v>56</v>
      </c>
      <c r="BL15" s="617">
        <v>54</v>
      </c>
      <c r="BM15" s="617">
        <v>54</v>
      </c>
      <c r="BN15" s="617">
        <v>53</v>
      </c>
      <c r="BO15" s="616">
        <v>54</v>
      </c>
      <c r="BP15" s="617">
        <v>54</v>
      </c>
      <c r="BQ15" s="617">
        <v>55</v>
      </c>
      <c r="BR15" s="617">
        <v>55</v>
      </c>
      <c r="BS15" s="616">
        <v>54</v>
      </c>
      <c r="BT15" s="659"/>
    </row>
    <row r="16" spans="1:74" s="164" customFormat="1" ht="10.8">
      <c r="A16" s="163"/>
      <c r="B16" s="869"/>
      <c r="C16" s="616"/>
      <c r="D16" s="617"/>
      <c r="E16" s="617"/>
      <c r="F16" s="617"/>
      <c r="G16" s="616"/>
      <c r="H16" s="617"/>
      <c r="I16" s="617"/>
      <c r="J16" s="618"/>
      <c r="K16" s="616"/>
      <c r="L16" s="617"/>
      <c r="M16" s="617"/>
      <c r="N16" s="618"/>
      <c r="O16" s="616"/>
      <c r="P16" s="617"/>
      <c r="Q16" s="617"/>
      <c r="R16" s="618"/>
      <c r="S16" s="616"/>
      <c r="T16" s="617"/>
      <c r="U16" s="617"/>
      <c r="V16" s="618"/>
      <c r="W16" s="616"/>
      <c r="X16" s="617"/>
      <c r="Y16" s="617"/>
      <c r="Z16" s="617"/>
      <c r="AA16" s="616"/>
      <c r="AB16" s="617"/>
      <c r="AC16" s="617"/>
      <c r="AD16" s="617"/>
      <c r="AE16" s="616"/>
      <c r="AF16" s="617"/>
      <c r="AG16" s="617"/>
      <c r="AH16" s="617"/>
      <c r="AI16" s="616"/>
      <c r="AJ16" s="617"/>
      <c r="AK16" s="617"/>
      <c r="AL16" s="617"/>
      <c r="AM16" s="616"/>
      <c r="AN16" s="617"/>
      <c r="AO16" s="617"/>
      <c r="AP16" s="617"/>
      <c r="AQ16" s="616"/>
      <c r="AR16" s="617"/>
      <c r="AS16" s="617"/>
      <c r="AT16" s="617"/>
      <c r="AU16" s="616"/>
      <c r="AV16" s="617"/>
      <c r="AW16" s="617"/>
      <c r="AX16" s="617"/>
      <c r="AY16" s="616"/>
      <c r="AZ16" s="617"/>
      <c r="BA16" s="617"/>
      <c r="BB16" s="617"/>
      <c r="BC16" s="616"/>
      <c r="BD16" s="617"/>
      <c r="BE16" s="617"/>
      <c r="BF16" s="617"/>
      <c r="BG16" s="616"/>
      <c r="BH16" s="617"/>
      <c r="BI16" s="617"/>
      <c r="BJ16" s="617"/>
      <c r="BK16" s="616"/>
      <c r="BL16" s="617"/>
      <c r="BM16" s="617"/>
      <c r="BN16" s="617"/>
      <c r="BO16" s="616"/>
      <c r="BP16" s="617"/>
      <c r="BQ16" s="617"/>
      <c r="BR16" s="617"/>
      <c r="BS16" s="616"/>
      <c r="BT16" s="659"/>
    </row>
    <row r="17" spans="1:72" s="164" customFormat="1" ht="10.8">
      <c r="A17" s="155" t="s">
        <v>274</v>
      </c>
      <c r="B17" s="867" t="s">
        <v>275</v>
      </c>
      <c r="C17" s="616"/>
      <c r="D17" s="617"/>
      <c r="E17" s="617"/>
      <c r="F17" s="617"/>
      <c r="G17" s="616"/>
      <c r="H17" s="617"/>
      <c r="I17" s="617"/>
      <c r="J17" s="618"/>
      <c r="K17" s="616"/>
      <c r="L17" s="617"/>
      <c r="M17" s="617"/>
      <c r="N17" s="618"/>
      <c r="O17" s="616"/>
      <c r="P17" s="617"/>
      <c r="Q17" s="617"/>
      <c r="R17" s="618"/>
      <c r="S17" s="616"/>
      <c r="T17" s="617"/>
      <c r="U17" s="617"/>
      <c r="V17" s="618"/>
      <c r="W17" s="616"/>
      <c r="X17" s="617"/>
      <c r="Y17" s="617"/>
      <c r="Z17" s="617"/>
      <c r="AA17" s="616"/>
      <c r="AB17" s="617"/>
      <c r="AC17" s="617"/>
      <c r="AD17" s="617"/>
      <c r="AE17" s="616"/>
      <c r="AF17" s="617"/>
      <c r="AG17" s="617"/>
      <c r="AH17" s="617"/>
      <c r="AI17" s="616"/>
      <c r="AJ17" s="617"/>
      <c r="AK17" s="617"/>
      <c r="AL17" s="617"/>
      <c r="AM17" s="616"/>
      <c r="AN17" s="617"/>
      <c r="AO17" s="617"/>
      <c r="AP17" s="617"/>
      <c r="AQ17" s="616"/>
      <c r="AR17" s="617"/>
      <c r="AS17" s="617"/>
      <c r="AT17" s="617"/>
      <c r="AU17" s="616"/>
      <c r="AV17" s="617"/>
      <c r="AW17" s="617"/>
      <c r="AX17" s="617"/>
      <c r="AY17" s="616"/>
      <c r="AZ17" s="617"/>
      <c r="BA17" s="617"/>
      <c r="BB17" s="617"/>
      <c r="BC17" s="616"/>
      <c r="BD17" s="617"/>
      <c r="BE17" s="617"/>
      <c r="BF17" s="617"/>
      <c r="BG17" s="616"/>
      <c r="BH17" s="617"/>
      <c r="BI17" s="617"/>
      <c r="BJ17" s="617"/>
      <c r="BK17" s="616"/>
      <c r="BL17" s="617"/>
      <c r="BM17" s="617"/>
      <c r="BN17" s="617"/>
      <c r="BO17" s="616"/>
      <c r="BP17" s="617"/>
      <c r="BQ17" s="617"/>
      <c r="BR17" s="617"/>
      <c r="BS17" s="616"/>
      <c r="BT17" s="659"/>
    </row>
    <row r="18" spans="1:72" s="164" customFormat="1" ht="10.8">
      <c r="A18" s="163" t="s">
        <v>276</v>
      </c>
      <c r="B18" s="869" t="s">
        <v>277</v>
      </c>
      <c r="C18" s="616">
        <f>SUM(C19:C21)</f>
        <v>1572</v>
      </c>
      <c r="D18" s="617">
        <f t="shared" ref="D18:X18" si="0">SUM(D19:D21)</f>
        <v>1619</v>
      </c>
      <c r="E18" s="617">
        <f t="shared" si="0"/>
        <v>1688</v>
      </c>
      <c r="F18" s="617">
        <f t="shared" si="0"/>
        <v>1777</v>
      </c>
      <c r="G18" s="616">
        <f t="shared" si="0"/>
        <v>1825</v>
      </c>
      <c r="H18" s="617">
        <f t="shared" si="0"/>
        <v>1904</v>
      </c>
      <c r="I18" s="617">
        <f t="shared" si="0"/>
        <v>1983</v>
      </c>
      <c r="J18" s="618">
        <f t="shared" si="0"/>
        <v>2003</v>
      </c>
      <c r="K18" s="616">
        <f t="shared" si="0"/>
        <v>2033</v>
      </c>
      <c r="L18" s="617">
        <f t="shared" si="0"/>
        <v>2056</v>
      </c>
      <c r="M18" s="617">
        <f t="shared" si="0"/>
        <v>2086</v>
      </c>
      <c r="N18" s="618">
        <f t="shared" si="0"/>
        <v>2082</v>
      </c>
      <c r="O18" s="616">
        <f t="shared" si="0"/>
        <v>2122</v>
      </c>
      <c r="P18" s="617">
        <f t="shared" si="0"/>
        <v>2166</v>
      </c>
      <c r="Q18" s="617">
        <f t="shared" si="0"/>
        <v>2226</v>
      </c>
      <c r="R18" s="618">
        <f t="shared" si="0"/>
        <v>2267</v>
      </c>
      <c r="S18" s="616">
        <f t="shared" si="0"/>
        <v>2300</v>
      </c>
      <c r="T18" s="617">
        <f t="shared" si="0"/>
        <v>2350</v>
      </c>
      <c r="U18" s="617">
        <f t="shared" si="0"/>
        <v>2375</v>
      </c>
      <c r="V18" s="618">
        <f t="shared" si="0"/>
        <v>2386</v>
      </c>
      <c r="W18" s="616">
        <f t="shared" si="0"/>
        <v>2405</v>
      </c>
      <c r="X18" s="617">
        <f t="shared" si="0"/>
        <v>2413</v>
      </c>
      <c r="Y18" s="617">
        <f>SUM(Y19:Y21)</f>
        <v>2456</v>
      </c>
      <c r="Z18" s="617">
        <f>SUM(Z19:Z21)</f>
        <v>2437</v>
      </c>
      <c r="AA18" s="616">
        <f>SUM(AA19:AA21)</f>
        <v>2447</v>
      </c>
      <c r="AB18" s="617">
        <f>SUM(AB19:AB21)</f>
        <v>2690</v>
      </c>
      <c r="AC18" s="617">
        <f>SUM(AC19:AC21)</f>
        <v>2820</v>
      </c>
      <c r="AD18" s="617">
        <v>2562</v>
      </c>
      <c r="AE18" s="616">
        <v>2568</v>
      </c>
      <c r="AF18" s="617">
        <v>2606</v>
      </c>
      <c r="AG18" s="617">
        <v>2667</v>
      </c>
      <c r="AH18" s="617">
        <v>2731</v>
      </c>
      <c r="AI18" s="616">
        <v>2806</v>
      </c>
      <c r="AJ18" s="617">
        <v>2877</v>
      </c>
      <c r="AK18" s="617">
        <v>2949</v>
      </c>
      <c r="AL18" s="617">
        <v>3003</v>
      </c>
      <c r="AM18" s="616">
        <v>3038</v>
      </c>
      <c r="AN18" s="617">
        <v>3093</v>
      </c>
      <c r="AO18" s="617">
        <v>3140</v>
      </c>
      <c r="AP18" s="617">
        <f t="shared" ref="AP18:BS18" si="1">AP19+AP20+AP21</f>
        <v>3160</v>
      </c>
      <c r="AQ18" s="616">
        <f t="shared" si="1"/>
        <v>2830</v>
      </c>
      <c r="AR18" s="617">
        <f t="shared" si="1"/>
        <v>2882</v>
      </c>
      <c r="AS18" s="617">
        <f t="shared" si="1"/>
        <v>2943</v>
      </c>
      <c r="AT18" s="617">
        <f t="shared" si="1"/>
        <v>3021</v>
      </c>
      <c r="AU18" s="616">
        <f t="shared" si="1"/>
        <v>3047</v>
      </c>
      <c r="AV18" s="617">
        <f t="shared" si="1"/>
        <v>2931</v>
      </c>
      <c r="AW18" s="617">
        <f t="shared" si="1"/>
        <v>3182</v>
      </c>
      <c r="AX18" s="617">
        <f t="shared" si="1"/>
        <v>3194</v>
      </c>
      <c r="AY18" s="616">
        <f t="shared" si="1"/>
        <v>3291</v>
      </c>
      <c r="AZ18" s="617">
        <f t="shared" si="1"/>
        <v>3373</v>
      </c>
      <c r="BA18" s="617">
        <f t="shared" si="1"/>
        <v>3431</v>
      </c>
      <c r="BB18" s="617">
        <f t="shared" si="1"/>
        <v>3477</v>
      </c>
      <c r="BC18" s="616">
        <f t="shared" si="1"/>
        <v>3547</v>
      </c>
      <c r="BD18" s="617">
        <f t="shared" si="1"/>
        <v>3586</v>
      </c>
      <c r="BE18" s="617">
        <f t="shared" si="1"/>
        <v>3642</v>
      </c>
      <c r="BF18" s="617">
        <f t="shared" si="1"/>
        <v>3688</v>
      </c>
      <c r="BG18" s="616">
        <f t="shared" si="1"/>
        <v>3716</v>
      </c>
      <c r="BH18" s="617">
        <f t="shared" si="1"/>
        <v>3731</v>
      </c>
      <c r="BI18" s="617">
        <f t="shared" si="1"/>
        <v>3785</v>
      </c>
      <c r="BJ18" s="617">
        <f t="shared" si="1"/>
        <v>3812</v>
      </c>
      <c r="BK18" s="616">
        <f t="shared" si="1"/>
        <v>3847</v>
      </c>
      <c r="BL18" s="617">
        <f t="shared" si="1"/>
        <v>3886</v>
      </c>
      <c r="BM18" s="617">
        <f t="shared" si="1"/>
        <v>3913</v>
      </c>
      <c r="BN18" s="617">
        <f t="shared" si="1"/>
        <v>3917</v>
      </c>
      <c r="BO18" s="616">
        <f t="shared" si="1"/>
        <v>3906</v>
      </c>
      <c r="BP18" s="617">
        <f t="shared" si="1"/>
        <v>3763</v>
      </c>
      <c r="BQ18" s="617">
        <f t="shared" si="1"/>
        <v>3876</v>
      </c>
      <c r="BR18" s="617">
        <f t="shared" si="1"/>
        <v>3857</v>
      </c>
      <c r="BS18" s="616">
        <f t="shared" si="1"/>
        <v>3877</v>
      </c>
      <c r="BT18" s="659"/>
    </row>
    <row r="19" spans="1:72" s="164" customFormat="1" ht="10.8">
      <c r="A19" s="163" t="s">
        <v>278</v>
      </c>
      <c r="B19" s="869" t="s">
        <v>279</v>
      </c>
      <c r="C19" s="616">
        <v>1264</v>
      </c>
      <c r="D19" s="617">
        <v>1301</v>
      </c>
      <c r="E19" s="617">
        <v>1334</v>
      </c>
      <c r="F19" s="617">
        <v>1397</v>
      </c>
      <c r="G19" s="616">
        <v>1441</v>
      </c>
      <c r="H19" s="617">
        <v>1509</v>
      </c>
      <c r="I19" s="617">
        <v>1583</v>
      </c>
      <c r="J19" s="618">
        <v>1625</v>
      </c>
      <c r="K19" s="616">
        <v>1671</v>
      </c>
      <c r="L19" s="617">
        <v>1703</v>
      </c>
      <c r="M19" s="617">
        <v>1746</v>
      </c>
      <c r="N19" s="618">
        <v>1758</v>
      </c>
      <c r="O19" s="616">
        <v>1809</v>
      </c>
      <c r="P19" s="617">
        <v>1861</v>
      </c>
      <c r="Q19" s="617">
        <v>1934</v>
      </c>
      <c r="R19" s="618">
        <v>1987</v>
      </c>
      <c r="S19" s="616">
        <v>2020</v>
      </c>
      <c r="T19" s="617">
        <v>2075</v>
      </c>
      <c r="U19" s="617">
        <v>2102</v>
      </c>
      <c r="V19" s="618">
        <v>2116</v>
      </c>
      <c r="W19" s="616">
        <v>2132</v>
      </c>
      <c r="X19" s="617">
        <v>2144</v>
      </c>
      <c r="Y19" s="617">
        <v>2188</v>
      </c>
      <c r="Z19" s="617">
        <v>2144</v>
      </c>
      <c r="AA19" s="616">
        <v>2155</v>
      </c>
      <c r="AB19" s="617">
        <v>2401</v>
      </c>
      <c r="AC19" s="617">
        <v>2532</v>
      </c>
      <c r="AD19" s="617">
        <v>2271</v>
      </c>
      <c r="AE19" s="616">
        <v>2277</v>
      </c>
      <c r="AF19" s="617">
        <v>2311</v>
      </c>
      <c r="AG19" s="617">
        <v>2369</v>
      </c>
      <c r="AH19" s="617">
        <v>2431</v>
      </c>
      <c r="AI19" s="616">
        <v>2501</v>
      </c>
      <c r="AJ19" s="617">
        <v>2567</v>
      </c>
      <c r="AK19" s="617">
        <v>2636</v>
      </c>
      <c r="AL19" s="617">
        <v>2685</v>
      </c>
      <c r="AM19" s="616">
        <v>2722</v>
      </c>
      <c r="AN19" s="617">
        <v>2775</v>
      </c>
      <c r="AO19" s="617">
        <v>2818</v>
      </c>
      <c r="AP19" s="617">
        <v>2832</v>
      </c>
      <c r="AQ19" s="616">
        <v>2502</v>
      </c>
      <c r="AR19" s="617">
        <v>2548</v>
      </c>
      <c r="AS19" s="617">
        <v>2600</v>
      </c>
      <c r="AT19" s="617">
        <v>2674</v>
      </c>
      <c r="AU19" s="616">
        <v>2692</v>
      </c>
      <c r="AV19" s="617">
        <v>2550</v>
      </c>
      <c r="AW19" s="617">
        <v>2788</v>
      </c>
      <c r="AX19" s="617">
        <v>2795</v>
      </c>
      <c r="AY19" s="616">
        <v>2887</v>
      </c>
      <c r="AZ19" s="617">
        <v>2959</v>
      </c>
      <c r="BA19" s="617">
        <v>3008</v>
      </c>
      <c r="BB19" s="617">
        <v>3050</v>
      </c>
      <c r="BC19" s="616">
        <v>3125</v>
      </c>
      <c r="BD19" s="617">
        <v>3155</v>
      </c>
      <c r="BE19" s="617">
        <v>3205</v>
      </c>
      <c r="BF19" s="617">
        <v>3243</v>
      </c>
      <c r="BG19" s="616">
        <v>3267</v>
      </c>
      <c r="BH19" s="617">
        <v>3271</v>
      </c>
      <c r="BI19" s="617">
        <v>3310</v>
      </c>
      <c r="BJ19" s="617">
        <v>3328</v>
      </c>
      <c r="BK19" s="616">
        <v>3353</v>
      </c>
      <c r="BL19" s="617">
        <v>3376</v>
      </c>
      <c r="BM19" s="617">
        <v>3388</v>
      </c>
      <c r="BN19" s="617">
        <v>3383</v>
      </c>
      <c r="BO19" s="616">
        <v>3361</v>
      </c>
      <c r="BP19" s="617">
        <v>3206</v>
      </c>
      <c r="BQ19" s="617">
        <v>3321</v>
      </c>
      <c r="BR19" s="617">
        <v>3311</v>
      </c>
      <c r="BS19" s="616">
        <v>3338</v>
      </c>
      <c r="BT19" s="659"/>
    </row>
    <row r="20" spans="1:72" s="164" customFormat="1" ht="10.8">
      <c r="A20" s="163" t="s">
        <v>280</v>
      </c>
      <c r="B20" s="869" t="s">
        <v>281</v>
      </c>
      <c r="C20" s="616">
        <v>153</v>
      </c>
      <c r="D20" s="617">
        <v>185</v>
      </c>
      <c r="E20" s="617">
        <v>220</v>
      </c>
      <c r="F20" s="617">
        <v>261</v>
      </c>
      <c r="G20" s="616">
        <v>267</v>
      </c>
      <c r="H20" s="617">
        <v>274</v>
      </c>
      <c r="I20" s="617">
        <v>277</v>
      </c>
      <c r="J20" s="618">
        <v>278</v>
      </c>
      <c r="K20" s="616">
        <v>273</v>
      </c>
      <c r="L20" s="617">
        <v>265</v>
      </c>
      <c r="M20" s="617">
        <v>259</v>
      </c>
      <c r="N20" s="618">
        <v>254</v>
      </c>
      <c r="O20" s="616">
        <v>246</v>
      </c>
      <c r="P20" s="617">
        <v>248</v>
      </c>
      <c r="Q20" s="617">
        <v>237</v>
      </c>
      <c r="R20" s="618">
        <v>231</v>
      </c>
      <c r="S20" s="616">
        <v>226</v>
      </c>
      <c r="T20" s="617">
        <v>221</v>
      </c>
      <c r="U20" s="617">
        <v>216</v>
      </c>
      <c r="V20" s="618">
        <v>211</v>
      </c>
      <c r="W20" s="616">
        <v>211</v>
      </c>
      <c r="X20" s="617">
        <v>205</v>
      </c>
      <c r="Y20" s="617">
        <v>202</v>
      </c>
      <c r="Z20" s="617">
        <v>201</v>
      </c>
      <c r="AA20" s="616">
        <v>199</v>
      </c>
      <c r="AB20" s="617">
        <v>199</v>
      </c>
      <c r="AC20" s="617">
        <v>200</v>
      </c>
      <c r="AD20" s="617">
        <v>200</v>
      </c>
      <c r="AE20" s="616">
        <v>200</v>
      </c>
      <c r="AF20" s="617">
        <v>203</v>
      </c>
      <c r="AG20" s="617">
        <v>205</v>
      </c>
      <c r="AH20" s="617">
        <v>206</v>
      </c>
      <c r="AI20" s="616">
        <v>206</v>
      </c>
      <c r="AJ20" s="617">
        <v>208</v>
      </c>
      <c r="AK20" s="617">
        <v>210</v>
      </c>
      <c r="AL20" s="617">
        <v>211</v>
      </c>
      <c r="AM20" s="616">
        <v>212</v>
      </c>
      <c r="AN20" s="617">
        <v>214</v>
      </c>
      <c r="AO20" s="617">
        <v>217</v>
      </c>
      <c r="AP20" s="617">
        <v>218</v>
      </c>
      <c r="AQ20" s="616">
        <v>219</v>
      </c>
      <c r="AR20" s="617">
        <v>221</v>
      </c>
      <c r="AS20" s="617">
        <v>224</v>
      </c>
      <c r="AT20" s="617">
        <v>224</v>
      </c>
      <c r="AU20" s="616">
        <v>227</v>
      </c>
      <c r="AV20" s="617">
        <v>248</v>
      </c>
      <c r="AW20" s="617">
        <v>254</v>
      </c>
      <c r="AX20" s="617">
        <v>254</v>
      </c>
      <c r="AY20" s="616">
        <v>253</v>
      </c>
      <c r="AZ20" s="617">
        <v>259</v>
      </c>
      <c r="BA20" s="617">
        <v>266</v>
      </c>
      <c r="BB20" s="617">
        <v>271</v>
      </c>
      <c r="BC20" s="616">
        <v>264</v>
      </c>
      <c r="BD20" s="617">
        <v>272</v>
      </c>
      <c r="BE20" s="617">
        <v>275</v>
      </c>
      <c r="BF20" s="617">
        <v>278</v>
      </c>
      <c r="BG20" s="616">
        <v>279</v>
      </c>
      <c r="BH20" s="617">
        <v>284</v>
      </c>
      <c r="BI20" s="617">
        <v>288</v>
      </c>
      <c r="BJ20" s="617">
        <v>288</v>
      </c>
      <c r="BK20" s="616">
        <v>291</v>
      </c>
      <c r="BL20" s="617">
        <v>295</v>
      </c>
      <c r="BM20" s="617">
        <v>298</v>
      </c>
      <c r="BN20" s="617">
        <v>300</v>
      </c>
      <c r="BO20" s="616">
        <v>303</v>
      </c>
      <c r="BP20" s="617">
        <v>307</v>
      </c>
      <c r="BQ20" s="617">
        <v>309</v>
      </c>
      <c r="BR20" s="617">
        <v>309</v>
      </c>
      <c r="BS20" s="870">
        <v>310</v>
      </c>
      <c r="BT20" s="659"/>
    </row>
    <row r="21" spans="1:72" s="164" customFormat="1" ht="10.8">
      <c r="A21" s="163" t="s">
        <v>282</v>
      </c>
      <c r="B21" s="869" t="s">
        <v>283</v>
      </c>
      <c r="C21" s="616">
        <v>155</v>
      </c>
      <c r="D21" s="617">
        <v>133</v>
      </c>
      <c r="E21" s="617">
        <v>134</v>
      </c>
      <c r="F21" s="617">
        <v>119</v>
      </c>
      <c r="G21" s="616">
        <v>117</v>
      </c>
      <c r="H21" s="617">
        <v>121</v>
      </c>
      <c r="I21" s="617">
        <v>123</v>
      </c>
      <c r="J21" s="618">
        <v>100</v>
      </c>
      <c r="K21" s="616">
        <v>89</v>
      </c>
      <c r="L21" s="617">
        <v>88</v>
      </c>
      <c r="M21" s="617">
        <v>81</v>
      </c>
      <c r="N21" s="618">
        <v>70</v>
      </c>
      <c r="O21" s="616">
        <v>67</v>
      </c>
      <c r="P21" s="617">
        <v>57</v>
      </c>
      <c r="Q21" s="617">
        <v>55</v>
      </c>
      <c r="R21" s="618">
        <v>49</v>
      </c>
      <c r="S21" s="616">
        <v>54</v>
      </c>
      <c r="T21" s="617">
        <v>54</v>
      </c>
      <c r="U21" s="617">
        <v>57</v>
      </c>
      <c r="V21" s="618">
        <v>59</v>
      </c>
      <c r="W21" s="616">
        <v>62</v>
      </c>
      <c r="X21" s="617">
        <v>64</v>
      </c>
      <c r="Y21" s="617">
        <v>66</v>
      </c>
      <c r="Z21" s="617">
        <v>92</v>
      </c>
      <c r="AA21" s="616">
        <v>93</v>
      </c>
      <c r="AB21" s="617">
        <v>90</v>
      </c>
      <c r="AC21" s="617">
        <v>88</v>
      </c>
      <c r="AD21" s="617">
        <v>91</v>
      </c>
      <c r="AE21" s="616">
        <v>91</v>
      </c>
      <c r="AF21" s="617">
        <v>92</v>
      </c>
      <c r="AG21" s="617">
        <v>93</v>
      </c>
      <c r="AH21" s="617">
        <v>94</v>
      </c>
      <c r="AI21" s="616">
        <v>99</v>
      </c>
      <c r="AJ21" s="617">
        <v>102</v>
      </c>
      <c r="AK21" s="617">
        <v>103</v>
      </c>
      <c r="AL21" s="617">
        <v>107</v>
      </c>
      <c r="AM21" s="616">
        <v>104</v>
      </c>
      <c r="AN21" s="617">
        <v>104</v>
      </c>
      <c r="AO21" s="617">
        <v>105</v>
      </c>
      <c r="AP21" s="617">
        <v>110</v>
      </c>
      <c r="AQ21" s="616">
        <v>109</v>
      </c>
      <c r="AR21" s="617">
        <v>113</v>
      </c>
      <c r="AS21" s="617">
        <v>119</v>
      </c>
      <c r="AT21" s="617">
        <v>123</v>
      </c>
      <c r="AU21" s="616">
        <v>128</v>
      </c>
      <c r="AV21" s="617">
        <v>133</v>
      </c>
      <c r="AW21" s="617">
        <v>140</v>
      </c>
      <c r="AX21" s="617">
        <v>145</v>
      </c>
      <c r="AY21" s="616">
        <v>151</v>
      </c>
      <c r="AZ21" s="617">
        <v>155</v>
      </c>
      <c r="BA21" s="617">
        <v>157</v>
      </c>
      <c r="BB21" s="617">
        <v>156</v>
      </c>
      <c r="BC21" s="616">
        <v>158</v>
      </c>
      <c r="BD21" s="617">
        <v>159</v>
      </c>
      <c r="BE21" s="617">
        <v>162</v>
      </c>
      <c r="BF21" s="617">
        <v>167</v>
      </c>
      <c r="BG21" s="616">
        <v>170</v>
      </c>
      <c r="BH21" s="617">
        <v>176</v>
      </c>
      <c r="BI21" s="617">
        <v>187</v>
      </c>
      <c r="BJ21" s="617">
        <v>196</v>
      </c>
      <c r="BK21" s="616">
        <v>203</v>
      </c>
      <c r="BL21" s="617">
        <v>215</v>
      </c>
      <c r="BM21" s="617">
        <v>227</v>
      </c>
      <c r="BN21" s="617">
        <v>234</v>
      </c>
      <c r="BO21" s="616">
        <v>242</v>
      </c>
      <c r="BP21" s="617">
        <v>250</v>
      </c>
      <c r="BQ21" s="617">
        <v>246</v>
      </c>
      <c r="BR21" s="617">
        <v>237</v>
      </c>
      <c r="BS21" s="870">
        <v>229</v>
      </c>
      <c r="BT21" s="659"/>
    </row>
    <row r="22" spans="1:72" s="164" customFormat="1" ht="10.8">
      <c r="A22" s="155"/>
      <c r="B22" s="867"/>
      <c r="C22" s="616"/>
      <c r="D22" s="617"/>
      <c r="E22" s="617"/>
      <c r="F22" s="617"/>
      <c r="G22" s="616"/>
      <c r="H22" s="617"/>
      <c r="I22" s="617"/>
      <c r="J22" s="618"/>
      <c r="K22" s="616"/>
      <c r="L22" s="617"/>
      <c r="M22" s="617"/>
      <c r="N22" s="618"/>
      <c r="O22" s="616"/>
      <c r="P22" s="617"/>
      <c r="Q22" s="617"/>
      <c r="R22" s="618"/>
      <c r="S22" s="616"/>
      <c r="T22" s="617"/>
      <c r="U22" s="617"/>
      <c r="V22" s="618"/>
      <c r="W22" s="616"/>
      <c r="X22" s="617"/>
      <c r="Y22" s="617"/>
      <c r="Z22" s="617"/>
      <c r="AA22" s="616"/>
      <c r="AB22" s="617"/>
      <c r="AC22" s="617"/>
      <c r="AD22" s="617"/>
      <c r="AE22" s="616"/>
      <c r="AF22" s="617"/>
      <c r="AG22" s="617"/>
      <c r="AH22" s="617"/>
      <c r="AI22" s="616"/>
      <c r="AJ22" s="617"/>
      <c r="AK22" s="617"/>
      <c r="AL22" s="617"/>
      <c r="AM22" s="616"/>
      <c r="AN22" s="617"/>
      <c r="AO22" s="617"/>
      <c r="AP22" s="617"/>
      <c r="AQ22" s="616"/>
      <c r="AR22" s="617"/>
      <c r="AS22" s="617"/>
      <c r="AT22" s="617"/>
      <c r="AU22" s="616"/>
      <c r="AV22" s="617"/>
      <c r="AW22" s="617"/>
      <c r="AX22" s="617"/>
      <c r="AY22" s="616"/>
      <c r="AZ22" s="617"/>
      <c r="BA22" s="617"/>
      <c r="BB22" s="617"/>
      <c r="BC22" s="616"/>
      <c r="BD22" s="617"/>
      <c r="BE22" s="617"/>
      <c r="BF22" s="617"/>
      <c r="BG22" s="616"/>
      <c r="BH22" s="617"/>
      <c r="BI22" s="617"/>
      <c r="BJ22" s="617"/>
      <c r="BK22" s="616"/>
      <c r="BL22" s="617"/>
      <c r="BM22" s="617"/>
      <c r="BN22" s="617"/>
      <c r="BO22" s="616"/>
      <c r="BP22" s="617"/>
      <c r="BQ22" s="617"/>
      <c r="BR22" s="617"/>
      <c r="BS22" s="616"/>
      <c r="BT22" s="659"/>
    </row>
    <row r="23" spans="1:72" s="164" customFormat="1" ht="10.8">
      <c r="A23" s="155" t="s">
        <v>284</v>
      </c>
      <c r="B23" s="867" t="s">
        <v>285</v>
      </c>
      <c r="C23" s="616"/>
      <c r="D23" s="617"/>
      <c r="E23" s="617"/>
      <c r="F23" s="617"/>
      <c r="G23" s="616"/>
      <c r="H23" s="617"/>
      <c r="I23" s="617"/>
      <c r="J23" s="618"/>
      <c r="K23" s="616"/>
      <c r="L23" s="617"/>
      <c r="M23" s="617"/>
      <c r="N23" s="618"/>
      <c r="O23" s="616"/>
      <c r="P23" s="617"/>
      <c r="Q23" s="617"/>
      <c r="R23" s="618"/>
      <c r="S23" s="616"/>
      <c r="T23" s="617"/>
      <c r="U23" s="617"/>
      <c r="V23" s="617"/>
      <c r="W23" s="616"/>
      <c r="X23" s="617"/>
      <c r="Y23" s="617"/>
      <c r="Z23" s="617"/>
      <c r="AA23" s="616">
        <v>425.8</v>
      </c>
      <c r="AB23" s="617">
        <v>554.29999999999995</v>
      </c>
      <c r="AC23" s="617">
        <v>575.79999999999995</v>
      </c>
      <c r="AD23" s="617">
        <v>483.8</v>
      </c>
      <c r="AE23" s="616">
        <v>581.1</v>
      </c>
      <c r="AF23" s="617">
        <v>741.7</v>
      </c>
      <c r="AG23" s="617">
        <v>729.9</v>
      </c>
      <c r="AH23" s="617">
        <v>632.79999999999995</v>
      </c>
      <c r="AI23" s="616">
        <v>663.3</v>
      </c>
      <c r="AJ23" s="617">
        <v>785.3</v>
      </c>
      <c r="AK23" s="617">
        <v>793</v>
      </c>
      <c r="AL23" s="617">
        <v>792.1</v>
      </c>
      <c r="AM23" s="616">
        <v>927.9</v>
      </c>
      <c r="AN23" s="617">
        <v>1168</v>
      </c>
      <c r="AO23" s="617">
        <v>960.2</v>
      </c>
      <c r="AP23" s="617">
        <v>815.3</v>
      </c>
      <c r="AQ23" s="616">
        <v>994.8</v>
      </c>
      <c r="AR23" s="617">
        <v>1090.8</v>
      </c>
      <c r="AS23" s="617">
        <v>998.5</v>
      </c>
      <c r="AT23" s="617">
        <v>1184.0999999999999</v>
      </c>
      <c r="AU23" s="616">
        <v>1189</v>
      </c>
      <c r="AV23" s="617">
        <v>1389.1</v>
      </c>
      <c r="AW23" s="617">
        <v>1242.9000000000001</v>
      </c>
      <c r="AX23" s="617">
        <v>1336.1</v>
      </c>
      <c r="AY23" s="616">
        <v>1066.2</v>
      </c>
      <c r="AZ23" s="617">
        <v>1087.3</v>
      </c>
      <c r="BA23" s="617">
        <v>1004</v>
      </c>
      <c r="BB23" s="617">
        <v>908.3</v>
      </c>
      <c r="BC23" s="616">
        <v>1013.3</v>
      </c>
      <c r="BD23" s="617">
        <v>515.1</v>
      </c>
      <c r="BE23" s="617">
        <v>731.6</v>
      </c>
      <c r="BF23" s="617">
        <v>833.7</v>
      </c>
      <c r="BG23" s="616">
        <v>1079.5999999999999</v>
      </c>
      <c r="BH23" s="617">
        <v>1425.3</v>
      </c>
      <c r="BI23" s="617">
        <v>1389.3</v>
      </c>
      <c r="BJ23" s="617">
        <v>1181.4000000000001</v>
      </c>
      <c r="BK23" s="616">
        <v>995.6</v>
      </c>
      <c r="BL23" s="617">
        <v>1042.3</v>
      </c>
      <c r="BM23" s="617">
        <v>993.9</v>
      </c>
      <c r="BN23" s="617">
        <v>994</v>
      </c>
      <c r="BO23" s="616">
        <v>951.8</v>
      </c>
      <c r="BP23" s="617">
        <v>1287.2</v>
      </c>
      <c r="BQ23" s="617">
        <v>1270.2</v>
      </c>
      <c r="BR23" s="617">
        <v>1220.2</v>
      </c>
      <c r="BS23" s="616">
        <v>1302.2</v>
      </c>
      <c r="BT23" s="659"/>
    </row>
    <row r="24" spans="1:72" s="164" customFormat="1" ht="10.8">
      <c r="A24" s="155" t="s">
        <v>286</v>
      </c>
      <c r="B24" s="867" t="s">
        <v>287</v>
      </c>
      <c r="C24" s="616"/>
      <c r="D24" s="617"/>
      <c r="E24" s="617"/>
      <c r="F24" s="617"/>
      <c r="G24" s="616"/>
      <c r="H24" s="617"/>
      <c r="I24" s="617"/>
      <c r="J24" s="618"/>
      <c r="K24" s="616"/>
      <c r="L24" s="617"/>
      <c r="M24" s="617"/>
      <c r="N24" s="618"/>
      <c r="O24" s="616"/>
      <c r="P24" s="617"/>
      <c r="Q24" s="617"/>
      <c r="R24" s="618"/>
      <c r="S24" s="616"/>
      <c r="T24" s="617"/>
      <c r="U24" s="617"/>
      <c r="V24" s="617"/>
      <c r="W24" s="616"/>
      <c r="X24" s="617"/>
      <c r="Y24" s="617"/>
      <c r="Z24" s="617"/>
      <c r="AA24" s="616">
        <v>588.5</v>
      </c>
      <c r="AB24" s="617">
        <v>882.4</v>
      </c>
      <c r="AC24" s="617">
        <v>785.3</v>
      </c>
      <c r="AD24" s="617">
        <v>442.2</v>
      </c>
      <c r="AE24" s="616">
        <v>692</v>
      </c>
      <c r="AF24" s="617">
        <v>914.4</v>
      </c>
      <c r="AG24" s="617">
        <v>1277.5</v>
      </c>
      <c r="AH24" s="617">
        <v>1361.2</v>
      </c>
      <c r="AI24" s="616">
        <v>1475.4</v>
      </c>
      <c r="AJ24" s="617">
        <v>1487.2</v>
      </c>
      <c r="AK24" s="617">
        <v>1096.5999999999999</v>
      </c>
      <c r="AL24" s="617">
        <v>1178.5</v>
      </c>
      <c r="AM24" s="616">
        <v>1573.7</v>
      </c>
      <c r="AN24" s="617">
        <v>1680.6</v>
      </c>
      <c r="AO24" s="617">
        <v>1052.9000000000001</v>
      </c>
      <c r="AP24" s="617">
        <v>1388.6</v>
      </c>
      <c r="AQ24" s="616">
        <v>1285</v>
      </c>
      <c r="AR24" s="617">
        <v>1602</v>
      </c>
      <c r="AS24" s="617">
        <v>1655.3</v>
      </c>
      <c r="AT24" s="617">
        <v>2148.5</v>
      </c>
      <c r="AU24" s="616">
        <v>2174</v>
      </c>
      <c r="AV24" s="617">
        <v>2301.6999999999998</v>
      </c>
      <c r="AW24" s="617">
        <v>2100.3000000000002</v>
      </c>
      <c r="AX24" s="617">
        <v>1946.3</v>
      </c>
      <c r="AY24" s="616">
        <v>2102.9</v>
      </c>
      <c r="AZ24" s="617">
        <v>2950.8</v>
      </c>
      <c r="BA24" s="617">
        <v>3127.5</v>
      </c>
      <c r="BB24" s="617">
        <v>3211.5</v>
      </c>
      <c r="BC24" s="616">
        <v>3617.2</v>
      </c>
      <c r="BD24" s="617">
        <v>2381.1</v>
      </c>
      <c r="BE24" s="617">
        <v>1680.5</v>
      </c>
      <c r="BF24" s="617">
        <v>3680.3</v>
      </c>
      <c r="BG24" s="616">
        <v>4456.8</v>
      </c>
      <c r="BH24" s="617">
        <v>4168.1000000000004</v>
      </c>
      <c r="BI24" s="617">
        <v>4011.1</v>
      </c>
      <c r="BJ24" s="617">
        <v>3757.7</v>
      </c>
      <c r="BK24" s="616">
        <v>2881.4</v>
      </c>
      <c r="BL24" s="617">
        <v>2129.6</v>
      </c>
      <c r="BM24" s="617">
        <v>1623.6</v>
      </c>
      <c r="BN24" s="617">
        <v>1218.5</v>
      </c>
      <c r="BO24" s="616">
        <v>1202.2</v>
      </c>
      <c r="BP24" s="617">
        <v>1825.3</v>
      </c>
      <c r="BQ24" s="617">
        <v>1979.5</v>
      </c>
      <c r="BR24" s="617">
        <v>2047.8</v>
      </c>
      <c r="BS24" s="616">
        <v>3563.8</v>
      </c>
      <c r="BT24" s="659"/>
    </row>
    <row r="25" spans="1:72" s="164" customFormat="1" ht="10.8">
      <c r="A25" s="155"/>
      <c r="B25" s="867"/>
      <c r="C25" s="616"/>
      <c r="D25" s="617"/>
      <c r="E25" s="617"/>
      <c r="F25" s="617"/>
      <c r="G25" s="616"/>
      <c r="H25" s="617"/>
      <c r="I25" s="617"/>
      <c r="J25" s="618"/>
      <c r="K25" s="616"/>
      <c r="L25" s="617"/>
      <c r="M25" s="617"/>
      <c r="N25" s="618"/>
      <c r="O25" s="616"/>
      <c r="P25" s="617"/>
      <c r="Q25" s="617"/>
      <c r="R25" s="618"/>
      <c r="S25" s="616"/>
      <c r="T25" s="617"/>
      <c r="U25" s="617"/>
      <c r="V25" s="618"/>
      <c r="W25" s="616"/>
      <c r="X25" s="617"/>
      <c r="Y25" s="617"/>
      <c r="Z25" s="617"/>
      <c r="AA25" s="616"/>
      <c r="AB25" s="617"/>
      <c r="AC25" s="617"/>
      <c r="AD25" s="617"/>
      <c r="AE25" s="616"/>
      <c r="AF25" s="617"/>
      <c r="AG25" s="617"/>
      <c r="AH25" s="617"/>
      <c r="AI25" s="616"/>
      <c r="AJ25" s="617"/>
      <c r="AK25" s="617"/>
      <c r="AL25" s="617"/>
      <c r="AM25" s="616"/>
      <c r="AN25" s="617"/>
      <c r="AO25" s="617"/>
      <c r="AP25" s="617"/>
      <c r="AQ25" s="616"/>
      <c r="AR25" s="617"/>
      <c r="AS25" s="617"/>
      <c r="AT25" s="617"/>
      <c r="AU25" s="616"/>
      <c r="AV25" s="617"/>
      <c r="AW25" s="617"/>
      <c r="AX25" s="617"/>
      <c r="AY25" s="616"/>
      <c r="AZ25" s="617"/>
      <c r="BA25" s="617"/>
      <c r="BB25" s="617"/>
      <c r="BC25" s="616"/>
      <c r="BD25" s="617"/>
      <c r="BE25" s="617"/>
      <c r="BF25" s="617"/>
      <c r="BG25" s="616"/>
      <c r="BH25" s="617"/>
      <c r="BI25" s="617"/>
      <c r="BJ25" s="617"/>
      <c r="BK25" s="616"/>
      <c r="BL25" s="617"/>
      <c r="BM25" s="617"/>
      <c r="BN25" s="617"/>
      <c r="BO25" s="616"/>
      <c r="BP25" s="617"/>
      <c r="BQ25" s="617"/>
      <c r="BR25" s="617"/>
      <c r="BS25" s="616"/>
      <c r="BT25" s="659"/>
    </row>
    <row r="26" spans="1:72" s="164" customFormat="1" ht="10.8">
      <c r="A26" s="175" t="s">
        <v>288</v>
      </c>
      <c r="B26" s="871" t="s">
        <v>1033</v>
      </c>
      <c r="C26" s="616"/>
      <c r="D26" s="617"/>
      <c r="E26" s="617"/>
      <c r="F26" s="617"/>
      <c r="G26" s="616"/>
      <c r="H26" s="617"/>
      <c r="I26" s="617"/>
      <c r="J26" s="618"/>
      <c r="K26" s="616"/>
      <c r="L26" s="617"/>
      <c r="M26" s="617"/>
      <c r="N26" s="618"/>
      <c r="O26" s="616"/>
      <c r="P26" s="617"/>
      <c r="Q26" s="617"/>
      <c r="R26" s="618"/>
      <c r="S26" s="616"/>
      <c r="T26" s="617"/>
      <c r="U26" s="617"/>
      <c r="V26" s="618"/>
      <c r="W26" s="616"/>
      <c r="X26" s="617"/>
      <c r="Y26" s="617"/>
      <c r="Z26" s="617"/>
      <c r="AA26" s="616">
        <v>2582.8000000000002</v>
      </c>
      <c r="AB26" s="617">
        <v>3001.2</v>
      </c>
      <c r="AC26" s="617">
        <v>3526.7</v>
      </c>
      <c r="AD26" s="617">
        <v>3762.7</v>
      </c>
      <c r="AE26" s="616">
        <v>3412.2</v>
      </c>
      <c r="AF26" s="617">
        <v>4119.3</v>
      </c>
      <c r="AG26" s="617">
        <v>4592.5</v>
      </c>
      <c r="AH26" s="617">
        <v>4752.5</v>
      </c>
      <c r="AI26" s="616">
        <v>4295.2</v>
      </c>
      <c r="AJ26" s="617">
        <v>4373.3999999999996</v>
      </c>
      <c r="AK26" s="617">
        <v>4766.7</v>
      </c>
      <c r="AL26" s="617">
        <v>5475.4</v>
      </c>
      <c r="AM26" s="616">
        <v>5114.6000000000004</v>
      </c>
      <c r="AN26" s="617">
        <v>6421.9</v>
      </c>
      <c r="AO26" s="617">
        <v>6337.3</v>
      </c>
      <c r="AP26" s="617">
        <v>6482.2</v>
      </c>
      <c r="AQ26" s="616">
        <v>6265</v>
      </c>
      <c r="AR26" s="617">
        <v>6322</v>
      </c>
      <c r="AS26" s="617">
        <v>7026</v>
      </c>
      <c r="AT26" s="617">
        <v>8176</v>
      </c>
      <c r="AU26" s="616">
        <v>7336</v>
      </c>
      <c r="AV26" s="617">
        <v>7480</v>
      </c>
      <c r="AW26" s="617">
        <v>7570</v>
      </c>
      <c r="AX26" s="617">
        <v>9152</v>
      </c>
      <c r="AY26" s="616">
        <v>8110</v>
      </c>
      <c r="AZ26" s="617">
        <v>8704.4</v>
      </c>
      <c r="BA26" s="617">
        <v>9143.6</v>
      </c>
      <c r="BB26" s="617">
        <v>9689.2000000000007</v>
      </c>
      <c r="BC26" s="616">
        <v>8902</v>
      </c>
      <c r="BD26" s="617">
        <v>8073.2</v>
      </c>
      <c r="BE26" s="617">
        <v>9448.7999999999993</v>
      </c>
      <c r="BF26" s="617">
        <v>10542</v>
      </c>
      <c r="BG26" s="616">
        <v>10082</v>
      </c>
      <c r="BH26" s="617">
        <v>12610</v>
      </c>
      <c r="BI26" s="617">
        <v>14214</v>
      </c>
      <c r="BJ26" s="617">
        <v>16054</v>
      </c>
      <c r="BK26" s="616">
        <v>14929</v>
      </c>
      <c r="BL26" s="617">
        <v>15905</v>
      </c>
      <c r="BM26" s="617">
        <v>18154</v>
      </c>
      <c r="BN26" s="617">
        <v>17656</v>
      </c>
      <c r="BO26" s="616">
        <v>16335</v>
      </c>
      <c r="BP26" s="617">
        <v>16100</v>
      </c>
      <c r="BQ26" s="617">
        <v>16025</v>
      </c>
      <c r="BR26" s="617">
        <v>17518</v>
      </c>
      <c r="BS26" s="616">
        <v>14963.2</v>
      </c>
      <c r="BT26" s="659"/>
    </row>
    <row r="27" spans="1:72" s="164" customFormat="1" ht="10.8">
      <c r="A27" s="155" t="s">
        <v>289</v>
      </c>
      <c r="B27" s="867" t="s">
        <v>1034</v>
      </c>
      <c r="C27" s="616"/>
      <c r="D27" s="617"/>
      <c r="E27" s="617"/>
      <c r="F27" s="617"/>
      <c r="G27" s="616"/>
      <c r="H27" s="617"/>
      <c r="I27" s="617"/>
      <c r="J27" s="618"/>
      <c r="K27" s="616"/>
      <c r="L27" s="617"/>
      <c r="M27" s="617"/>
      <c r="N27" s="618"/>
      <c r="O27" s="616"/>
      <c r="P27" s="617"/>
      <c r="Q27" s="617"/>
      <c r="R27" s="618"/>
      <c r="S27" s="616"/>
      <c r="T27" s="617"/>
      <c r="U27" s="617"/>
      <c r="V27" s="618"/>
      <c r="W27" s="616"/>
      <c r="X27" s="617"/>
      <c r="Y27" s="617"/>
      <c r="Z27" s="617"/>
      <c r="AA27" s="616">
        <v>278.8</v>
      </c>
      <c r="AB27" s="617">
        <v>373.8</v>
      </c>
      <c r="AC27" s="617">
        <v>501.3</v>
      </c>
      <c r="AD27" s="617">
        <v>478.1</v>
      </c>
      <c r="AE27" s="616">
        <v>528.6</v>
      </c>
      <c r="AF27" s="617">
        <v>766</v>
      </c>
      <c r="AG27" s="617">
        <v>375</v>
      </c>
      <c r="AH27" s="617">
        <v>516</v>
      </c>
      <c r="AI27" s="616">
        <v>644</v>
      </c>
      <c r="AJ27" s="617">
        <v>652</v>
      </c>
      <c r="AK27" s="617">
        <v>612.6</v>
      </c>
      <c r="AL27" s="617">
        <v>649.4</v>
      </c>
      <c r="AM27" s="616">
        <v>589</v>
      </c>
      <c r="AN27" s="617">
        <v>931</v>
      </c>
      <c r="AO27" s="617">
        <v>684.4</v>
      </c>
      <c r="AP27" s="617">
        <v>801</v>
      </c>
      <c r="AQ27" s="616">
        <v>891</v>
      </c>
      <c r="AR27" s="617">
        <v>981.2</v>
      </c>
      <c r="AS27" s="617">
        <v>848</v>
      </c>
      <c r="AT27" s="617">
        <v>985</v>
      </c>
      <c r="AU27" s="616">
        <v>971</v>
      </c>
      <c r="AV27" s="617">
        <v>1198.5999999999999</v>
      </c>
      <c r="AW27" s="617">
        <v>1097.9000000000001</v>
      </c>
      <c r="AX27" s="617">
        <v>1358.8</v>
      </c>
      <c r="AY27" s="616">
        <v>1378.8</v>
      </c>
      <c r="AZ27" s="617">
        <v>1403.1</v>
      </c>
      <c r="BA27" s="617">
        <v>1184.2</v>
      </c>
      <c r="BB27" s="617">
        <v>1071.5</v>
      </c>
      <c r="BC27" s="616">
        <v>888.5</v>
      </c>
      <c r="BD27" s="617">
        <v>723.9</v>
      </c>
      <c r="BE27" s="617">
        <v>985.3</v>
      </c>
      <c r="BF27" s="617">
        <v>1232</v>
      </c>
      <c r="BG27" s="616">
        <v>1434.9</v>
      </c>
      <c r="BH27" s="617">
        <v>1638.2</v>
      </c>
      <c r="BI27" s="617">
        <v>1384.7</v>
      </c>
      <c r="BJ27" s="617">
        <v>1822.2</v>
      </c>
      <c r="BK27" s="616">
        <v>1557.8</v>
      </c>
      <c r="BL27" s="617">
        <v>1608.2</v>
      </c>
      <c r="BM27" s="617">
        <v>1668</v>
      </c>
      <c r="BN27" s="617">
        <v>1603.2</v>
      </c>
      <c r="BO27" s="616">
        <v>1558</v>
      </c>
      <c r="BP27" s="617">
        <v>1707.4</v>
      </c>
      <c r="BQ27" s="617">
        <v>1733.4</v>
      </c>
      <c r="BR27" s="617">
        <v>1869.9</v>
      </c>
      <c r="BS27" s="616">
        <v>1558.6</v>
      </c>
      <c r="BT27" s="659"/>
    </row>
    <row r="28" spans="1:72" ht="13.5" hidden="1" customHeight="1"/>
    <row r="29" spans="1:72" ht="13.5" hidden="1" customHeight="1"/>
    <row r="30" spans="1:72" ht="13.5" hidden="1" customHeight="1">
      <c r="BB30" s="209"/>
      <c r="BF30" s="209"/>
      <c r="BJ30" s="209"/>
      <c r="BN30" s="209"/>
      <c r="BR30" s="209"/>
    </row>
    <row r="31" spans="1:72" ht="13.5" hidden="1" customHeight="1">
      <c r="BB31" s="210"/>
      <c r="BF31" s="210"/>
      <c r="BJ31" s="210"/>
      <c r="BN31" s="210"/>
      <c r="BR31" s="210"/>
    </row>
  </sheetData>
  <mergeCells count="20">
    <mergeCell ref="BO3:BR3"/>
    <mergeCell ref="BS3:BV3"/>
    <mergeCell ref="AQ3:AT3"/>
    <mergeCell ref="AU3:AX3"/>
    <mergeCell ref="AY3:BB3"/>
    <mergeCell ref="BC3:BF3"/>
    <mergeCell ref="BG3:BJ3"/>
    <mergeCell ref="BK3:BN3"/>
    <mergeCell ref="AM3:AP3"/>
    <mergeCell ref="A3:A4"/>
    <mergeCell ref="B3:B4"/>
    <mergeCell ref="C3:F3"/>
    <mergeCell ref="G3:J3"/>
    <mergeCell ref="K3:N3"/>
    <mergeCell ref="O3:R3"/>
    <mergeCell ref="S3:V3"/>
    <mergeCell ref="W3:Z3"/>
    <mergeCell ref="AA3:AD3"/>
    <mergeCell ref="AE3:AH3"/>
    <mergeCell ref="AI3:AL3"/>
  </mergeCells>
  <hyperlinks>
    <hyperlink ref="A1:B1" location="'Spis tresci_Table of content'!Print_Area" display="Go back to Table of content" xr:uid="{338C7172-C4BC-494F-ACC6-BBD0CC02A90E}"/>
    <hyperlink ref="A1" location="'Spis tresci_Table of content'!A1" display="Go back to Table of content" xr:uid="{E31CD639-CA76-4B04-BBA8-1BB3C1CDA651}"/>
    <hyperlink ref="B1" location="'Spis tresci_Table of content'!A1" display="Powrót do spisu treści" xr:uid="{7BB784E4-F5C8-4469-9D05-1F094D686518}"/>
  </hyperlink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oddHeader xml:space="preserve">&amp;C&amp;"Times New Roman,Kursywa"&amp;12
</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0E98D-44B9-42C8-A285-30951A8E7427}">
  <dimension ref="A1:BN46"/>
  <sheetViews>
    <sheetView showGridLines="0" topLeftCell="A2" zoomScaleNormal="100" zoomScaleSheetLayoutView="100" zoomScalePageLayoutView="80" workbookViewId="0">
      <pane xSplit="2" ySplit="5" topLeftCell="AI19" activePane="bottomRight" state="frozen"/>
      <selection activeCell="B29" sqref="B29"/>
      <selection pane="topRight" activeCell="B29" sqref="B29"/>
      <selection pane="bottomLeft" activeCell="B29" sqref="B29"/>
      <selection pane="bottomRight" activeCell="A2" sqref="A2"/>
    </sheetView>
  </sheetViews>
  <sheetFormatPr defaultColWidth="0" defaultRowHeight="13.8" zeroHeight="1" outlineLevelCol="1"/>
  <cols>
    <col min="1" max="1" width="49.6640625" style="4" customWidth="1" outlineLevel="1"/>
    <col min="2" max="2" width="52.33203125" style="4" customWidth="1"/>
    <col min="3" max="46" width="8.6640625" style="2" customWidth="1"/>
    <col min="47" max="66" width="0" style="2" hidden="1" customWidth="1"/>
    <col min="67" max="16384" width="8.88671875" style="2" hidden="1"/>
  </cols>
  <sheetData>
    <row r="1" spans="1:51">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51">
      <c r="A2" s="1" t="s">
        <v>0</v>
      </c>
      <c r="B2" s="1" t="s">
        <v>1</v>
      </c>
    </row>
    <row r="3" spans="1:51">
      <c r="A3" s="152" t="s">
        <v>4</v>
      </c>
      <c r="B3" s="152" t="s">
        <v>5</v>
      </c>
    </row>
    <row r="4" spans="1:51">
      <c r="A4" s="536" t="s">
        <v>223</v>
      </c>
      <c r="B4" s="536" t="s">
        <v>224</v>
      </c>
      <c r="C4" s="533">
        <v>2007</v>
      </c>
      <c r="D4" s="534"/>
      <c r="E4" s="534"/>
      <c r="F4" s="534"/>
      <c r="G4" s="533">
        <v>2008</v>
      </c>
      <c r="H4" s="534"/>
      <c r="I4" s="534"/>
      <c r="J4" s="534"/>
      <c r="K4" s="533">
        <v>2009</v>
      </c>
      <c r="L4" s="534"/>
      <c r="M4" s="534"/>
      <c r="N4" s="534"/>
      <c r="O4" s="533">
        <v>2010</v>
      </c>
      <c r="P4" s="534"/>
      <c r="Q4" s="534"/>
      <c r="R4" s="534"/>
      <c r="S4" s="533">
        <v>2011</v>
      </c>
      <c r="T4" s="534"/>
      <c r="U4" s="534"/>
      <c r="V4" s="534"/>
      <c r="W4" s="533">
        <v>2012</v>
      </c>
      <c r="X4" s="534"/>
      <c r="Y4" s="534"/>
      <c r="Z4" s="535"/>
      <c r="AA4" s="533">
        <v>2013</v>
      </c>
      <c r="AB4" s="534"/>
      <c r="AC4" s="534"/>
      <c r="AD4" s="535"/>
      <c r="AE4" s="540">
        <v>2014</v>
      </c>
      <c r="AF4" s="534"/>
      <c r="AG4" s="534"/>
      <c r="AH4" s="535"/>
      <c r="AI4" s="540">
        <v>2015</v>
      </c>
      <c r="AJ4" s="534"/>
      <c r="AK4" s="534"/>
      <c r="AL4" s="535"/>
      <c r="AM4" s="540">
        <v>2016</v>
      </c>
      <c r="AN4" s="534"/>
      <c r="AO4" s="534"/>
      <c r="AP4" s="535"/>
      <c r="AQ4" s="594">
        <v>2017</v>
      </c>
      <c r="AR4" s="595"/>
      <c r="AS4" s="595"/>
      <c r="AT4" s="595"/>
    </row>
    <row r="5" spans="1:51">
      <c r="A5" s="537"/>
      <c r="B5" s="537"/>
      <c r="C5" s="11" t="s">
        <v>8</v>
      </c>
      <c r="D5" s="12" t="s">
        <v>9</v>
      </c>
      <c r="E5" s="12" t="s">
        <v>10</v>
      </c>
      <c r="F5" s="12" t="s">
        <v>11</v>
      </c>
      <c r="G5" s="11" t="s">
        <v>8</v>
      </c>
      <c r="H5" s="12" t="s">
        <v>9</v>
      </c>
      <c r="I5" s="12" t="s">
        <v>10</v>
      </c>
      <c r="J5" s="12" t="s">
        <v>11</v>
      </c>
      <c r="K5" s="11" t="s">
        <v>8</v>
      </c>
      <c r="L5" s="12" t="s">
        <v>9</v>
      </c>
      <c r="M5" s="12" t="s">
        <v>10</v>
      </c>
      <c r="N5" s="12" t="s">
        <v>11</v>
      </c>
      <c r="O5" s="11" t="s">
        <v>8</v>
      </c>
      <c r="P5" s="12" t="s">
        <v>9</v>
      </c>
      <c r="Q5" s="12" t="s">
        <v>10</v>
      </c>
      <c r="R5" s="12" t="s">
        <v>11</v>
      </c>
      <c r="S5" s="11" t="s">
        <v>8</v>
      </c>
      <c r="T5" s="12" t="s">
        <v>9</v>
      </c>
      <c r="U5" s="12" t="s">
        <v>10</v>
      </c>
      <c r="V5" s="12" t="s">
        <v>11</v>
      </c>
      <c r="W5" s="11" t="s">
        <v>8</v>
      </c>
      <c r="X5" s="12" t="s">
        <v>9</v>
      </c>
      <c r="Y5" s="12" t="s">
        <v>10</v>
      </c>
      <c r="Z5" s="13" t="s">
        <v>11</v>
      </c>
      <c r="AA5" s="15" t="s">
        <v>8</v>
      </c>
      <c r="AB5" s="14" t="s">
        <v>9</v>
      </c>
      <c r="AC5" s="14" t="s">
        <v>10</v>
      </c>
      <c r="AD5" s="16" t="s">
        <v>11</v>
      </c>
      <c r="AE5" s="14" t="s">
        <v>8</v>
      </c>
      <c r="AF5" s="14" t="s">
        <v>9</v>
      </c>
      <c r="AG5" s="14" t="s">
        <v>10</v>
      </c>
      <c r="AH5" s="16" t="s">
        <v>11</v>
      </c>
      <c r="AI5" s="14" t="s">
        <v>8</v>
      </c>
      <c r="AJ5" s="14" t="s">
        <v>9</v>
      </c>
      <c r="AK5" s="14" t="s">
        <v>10</v>
      </c>
      <c r="AL5" s="16" t="s">
        <v>11</v>
      </c>
      <c r="AM5" s="14" t="s">
        <v>8</v>
      </c>
      <c r="AN5" s="14" t="s">
        <v>9</v>
      </c>
      <c r="AO5" s="14" t="s">
        <v>10</v>
      </c>
      <c r="AP5" s="16" t="s">
        <v>11</v>
      </c>
      <c r="AQ5" s="14" t="s">
        <v>8</v>
      </c>
      <c r="AR5" s="14" t="s">
        <v>9</v>
      </c>
      <c r="AS5" s="14" t="s">
        <v>10</v>
      </c>
      <c r="AT5" s="16" t="s">
        <v>11</v>
      </c>
    </row>
    <row r="6" spans="1:51" s="150" customFormat="1" ht="12.75" customHeight="1">
      <c r="A6" s="17" t="s">
        <v>12</v>
      </c>
      <c r="B6" s="17" t="s">
        <v>13</v>
      </c>
      <c r="C6" s="18"/>
      <c r="D6" s="19"/>
      <c r="E6" s="20"/>
      <c r="F6" s="19"/>
      <c r="G6" s="18"/>
      <c r="H6" s="19"/>
      <c r="I6" s="20"/>
      <c r="J6" s="21"/>
      <c r="K6" s="18"/>
      <c r="L6" s="19"/>
      <c r="M6" s="20"/>
      <c r="N6" s="21"/>
      <c r="O6" s="18"/>
      <c r="P6" s="19"/>
      <c r="Q6" s="20"/>
      <c r="R6" s="21"/>
      <c r="S6" s="18"/>
      <c r="T6" s="19"/>
      <c r="U6" s="20"/>
      <c r="V6" s="21"/>
      <c r="W6" s="18"/>
      <c r="X6" s="20"/>
      <c r="Y6" s="20"/>
      <c r="Z6" s="154"/>
      <c r="AA6" s="18"/>
      <c r="AB6" s="20"/>
      <c r="AC6" s="20"/>
      <c r="AD6" s="154"/>
      <c r="AE6" s="20"/>
      <c r="AF6" s="20"/>
      <c r="AG6" s="20"/>
      <c r="AH6" s="154"/>
      <c r="AI6" s="20"/>
      <c r="AJ6" s="20"/>
      <c r="AK6" s="20"/>
      <c r="AL6" s="154"/>
      <c r="AM6" s="20"/>
      <c r="AN6" s="20"/>
      <c r="AO6" s="20"/>
      <c r="AP6" s="154"/>
      <c r="AQ6" s="20"/>
      <c r="AR6" s="20"/>
      <c r="AS6" s="20"/>
      <c r="AT6" s="154"/>
    </row>
    <row r="7" spans="1:51" s="6" customFormat="1" ht="10.8">
      <c r="A7" s="159" t="s">
        <v>225</v>
      </c>
      <c r="B7" s="159" t="s">
        <v>226</v>
      </c>
      <c r="C7" s="160">
        <f t="shared" ref="C7:AR7" si="0">SUM(C16,C25,C30,C38)</f>
        <v>37903.5</v>
      </c>
      <c r="D7" s="161">
        <f t="shared" si="0"/>
        <v>37613</v>
      </c>
      <c r="E7" s="161">
        <f t="shared" si="0"/>
        <v>38935.5</v>
      </c>
      <c r="F7" s="161">
        <f t="shared" si="0"/>
        <v>42952.5</v>
      </c>
      <c r="G7" s="160">
        <f t="shared" si="0"/>
        <v>44148.4</v>
      </c>
      <c r="H7" s="161">
        <f t="shared" si="0"/>
        <v>46819.5</v>
      </c>
      <c r="I7" s="161">
        <f t="shared" si="0"/>
        <v>50369.599999999999</v>
      </c>
      <c r="J7" s="162">
        <f t="shared" si="0"/>
        <v>46317.7</v>
      </c>
      <c r="K7" s="160">
        <f t="shared" si="0"/>
        <v>45628.1</v>
      </c>
      <c r="L7" s="161">
        <f t="shared" si="0"/>
        <v>45008.2</v>
      </c>
      <c r="M7" s="161">
        <f t="shared" si="0"/>
        <v>45775.9</v>
      </c>
      <c r="N7" s="162">
        <f t="shared" si="0"/>
        <v>46762</v>
      </c>
      <c r="O7" s="160">
        <f t="shared" si="0"/>
        <v>45165.799999999996</v>
      </c>
      <c r="P7" s="161">
        <f t="shared" si="0"/>
        <v>45293.700000000004</v>
      </c>
      <c r="Q7" s="161">
        <f t="shared" si="0"/>
        <v>47122.899999999994</v>
      </c>
      <c r="R7" s="162">
        <f t="shared" si="0"/>
        <v>46884.899999999994</v>
      </c>
      <c r="S7" s="160">
        <f t="shared" si="0"/>
        <v>45740.9</v>
      </c>
      <c r="T7" s="161">
        <f t="shared" si="0"/>
        <v>47565.100000000006</v>
      </c>
      <c r="U7" s="161">
        <f t="shared" si="0"/>
        <v>50063.799999999996</v>
      </c>
      <c r="V7" s="162">
        <f t="shared" si="0"/>
        <v>52379.1</v>
      </c>
      <c r="W7" s="160">
        <f t="shared" si="0"/>
        <v>51557.8</v>
      </c>
      <c r="X7" s="161">
        <f t="shared" si="0"/>
        <v>53253.5</v>
      </c>
      <c r="Y7" s="161">
        <f t="shared" si="0"/>
        <v>53924.7</v>
      </c>
      <c r="Z7" s="162">
        <f t="shared" si="0"/>
        <v>56834.600000000006</v>
      </c>
      <c r="AA7" s="160">
        <f t="shared" si="0"/>
        <v>57034.1</v>
      </c>
      <c r="AB7" s="161">
        <f t="shared" si="0"/>
        <v>61127.499999999993</v>
      </c>
      <c r="AC7" s="161">
        <f t="shared" si="0"/>
        <v>65255.7</v>
      </c>
      <c r="AD7" s="162">
        <f t="shared" si="0"/>
        <v>66544</v>
      </c>
      <c r="AE7" s="161">
        <f t="shared" si="0"/>
        <v>66012.3</v>
      </c>
      <c r="AF7" s="161">
        <f t="shared" si="0"/>
        <v>68471</v>
      </c>
      <c r="AG7" s="161">
        <f t="shared" si="0"/>
        <v>70537.8</v>
      </c>
      <c r="AH7" s="162">
        <f t="shared" si="0"/>
        <v>74405.7</v>
      </c>
      <c r="AI7" s="161">
        <f t="shared" si="0"/>
        <v>76535.200000000012</v>
      </c>
      <c r="AJ7" s="161">
        <f t="shared" si="0"/>
        <v>79505.600000000006</v>
      </c>
      <c r="AK7" s="161">
        <f t="shared" si="0"/>
        <v>82585</v>
      </c>
      <c r="AL7" s="162">
        <f t="shared" si="0"/>
        <v>86463.7</v>
      </c>
      <c r="AM7" s="161">
        <f t="shared" si="0"/>
        <v>89106.8</v>
      </c>
      <c r="AN7" s="161">
        <f t="shared" si="0"/>
        <v>91728.099999999991</v>
      </c>
      <c r="AO7" s="161">
        <f t="shared" si="0"/>
        <v>90785</v>
      </c>
      <c r="AP7" s="162">
        <f t="shared" si="0"/>
        <v>94113.400000000009</v>
      </c>
      <c r="AQ7" s="161">
        <f t="shared" si="0"/>
        <v>95065.2</v>
      </c>
      <c r="AR7" s="161">
        <f t="shared" si="0"/>
        <v>95981.1</v>
      </c>
      <c r="AS7" s="161">
        <f>SUM(AS16,AS25,AS30,AS38)</f>
        <v>96965</v>
      </c>
      <c r="AT7" s="161">
        <f>SUM(AT16,AT25,AT30,AT38)</f>
        <v>102850.59999999999</v>
      </c>
    </row>
    <row r="8" spans="1:51" s="6" customFormat="1" ht="10.8">
      <c r="A8" s="163" t="s">
        <v>227</v>
      </c>
      <c r="B8" s="163" t="s">
        <v>228</v>
      </c>
      <c r="C8" s="160">
        <f t="shared" ref="C8:AR8" si="1">SUM(C19,C28,C33,C41)</f>
        <v>481</v>
      </c>
      <c r="D8" s="161">
        <f t="shared" si="1"/>
        <v>648.69999999999993</v>
      </c>
      <c r="E8" s="161">
        <f t="shared" si="1"/>
        <v>659.79999999999973</v>
      </c>
      <c r="F8" s="161">
        <f t="shared" si="1"/>
        <v>694</v>
      </c>
      <c r="G8" s="160">
        <f t="shared" si="1"/>
        <v>543.1</v>
      </c>
      <c r="H8" s="161">
        <f t="shared" si="1"/>
        <v>626.09999999999991</v>
      </c>
      <c r="I8" s="161">
        <f t="shared" si="1"/>
        <v>634.80000000000007</v>
      </c>
      <c r="J8" s="162">
        <f t="shared" si="1"/>
        <v>592.20000000000005</v>
      </c>
      <c r="K8" s="160">
        <f t="shared" si="1"/>
        <v>716.69999999999993</v>
      </c>
      <c r="L8" s="161">
        <f t="shared" si="1"/>
        <v>720.4</v>
      </c>
      <c r="M8" s="161">
        <f t="shared" si="1"/>
        <v>729.1</v>
      </c>
      <c r="N8" s="162">
        <f t="shared" si="1"/>
        <v>557.1</v>
      </c>
      <c r="O8" s="160">
        <f t="shared" si="1"/>
        <v>541.79999999999995</v>
      </c>
      <c r="P8" s="161">
        <f t="shared" si="1"/>
        <v>597.6</v>
      </c>
      <c r="Q8" s="161">
        <f t="shared" si="1"/>
        <v>578.70000000000005</v>
      </c>
      <c r="R8" s="162">
        <f t="shared" si="1"/>
        <v>563.29999999999995</v>
      </c>
      <c r="S8" s="160">
        <f t="shared" si="1"/>
        <v>624.20000000000005</v>
      </c>
      <c r="T8" s="161">
        <f t="shared" si="1"/>
        <v>646.50000000000011</v>
      </c>
      <c r="U8" s="161">
        <f t="shared" si="1"/>
        <v>656.69999999999993</v>
      </c>
      <c r="V8" s="162">
        <f t="shared" si="1"/>
        <v>481.50000000000006</v>
      </c>
      <c r="W8" s="160">
        <f t="shared" si="1"/>
        <v>863.69999999999993</v>
      </c>
      <c r="X8" s="161">
        <f t="shared" si="1"/>
        <v>928.90000000000009</v>
      </c>
      <c r="Y8" s="161">
        <f t="shared" si="1"/>
        <v>967.00000000000011</v>
      </c>
      <c r="Z8" s="162">
        <f t="shared" si="1"/>
        <v>1063.8</v>
      </c>
      <c r="AA8" s="160">
        <f t="shared" si="1"/>
        <v>1092.7</v>
      </c>
      <c r="AB8" s="161">
        <f t="shared" si="1"/>
        <v>1093.0999999999999</v>
      </c>
      <c r="AC8" s="161">
        <f t="shared" si="1"/>
        <v>1142.2000000000003</v>
      </c>
      <c r="AD8" s="162">
        <f t="shared" si="1"/>
        <v>1003.9000000000001</v>
      </c>
      <c r="AE8" s="161">
        <f t="shared" si="1"/>
        <v>1013.6</v>
      </c>
      <c r="AF8" s="161">
        <f t="shared" si="1"/>
        <v>1218.2</v>
      </c>
      <c r="AG8" s="161">
        <f t="shared" si="1"/>
        <v>1160.6999999999998</v>
      </c>
      <c r="AH8" s="162">
        <f t="shared" si="1"/>
        <v>1253.2</v>
      </c>
      <c r="AI8" s="161">
        <f t="shared" si="1"/>
        <v>1071.5</v>
      </c>
      <c r="AJ8" s="161">
        <f t="shared" si="1"/>
        <v>1245.0000000000002</v>
      </c>
      <c r="AK8" s="161">
        <f t="shared" si="1"/>
        <v>1240.8999999999999</v>
      </c>
      <c r="AL8" s="162">
        <f t="shared" si="1"/>
        <v>1354.8000000000002</v>
      </c>
      <c r="AM8" s="161">
        <f t="shared" si="1"/>
        <v>1296.2</v>
      </c>
      <c r="AN8" s="161">
        <f t="shared" si="1"/>
        <v>1755.2</v>
      </c>
      <c r="AO8" s="161">
        <f t="shared" si="1"/>
        <v>1519.6</v>
      </c>
      <c r="AP8" s="162">
        <f t="shared" si="1"/>
        <v>1712</v>
      </c>
      <c r="AQ8" s="161">
        <f t="shared" si="1"/>
        <v>1555.5</v>
      </c>
      <c r="AR8" s="161">
        <f t="shared" si="1"/>
        <v>1727.6999999999998</v>
      </c>
      <c r="AS8" s="161">
        <f>SUM(AS19,AS28,AS33,AS41)</f>
        <v>1494.7999999999997</v>
      </c>
      <c r="AT8" s="161">
        <f>SUM(AT19,AT28,AT33,AT41)</f>
        <v>1652.7</v>
      </c>
    </row>
    <row r="9" spans="1:51" s="164" customFormat="1" ht="17.399999999999999" customHeight="1">
      <c r="A9" s="143" t="s">
        <v>229</v>
      </c>
      <c r="B9" s="143" t="s">
        <v>230</v>
      </c>
      <c r="C9" s="172">
        <f>SUM(C7:C8)</f>
        <v>38384.5</v>
      </c>
      <c r="D9" s="173">
        <f t="shared" ref="D9:AR9" si="2">SUM(D7:D8)</f>
        <v>38261.699999999997</v>
      </c>
      <c r="E9" s="173">
        <f t="shared" si="2"/>
        <v>39595.300000000003</v>
      </c>
      <c r="F9" s="173">
        <f t="shared" si="2"/>
        <v>43646.5</v>
      </c>
      <c r="G9" s="172">
        <f t="shared" si="2"/>
        <v>44691.5</v>
      </c>
      <c r="H9" s="173">
        <f t="shared" si="2"/>
        <v>47445.599999999999</v>
      </c>
      <c r="I9" s="173">
        <f t="shared" si="2"/>
        <v>51004.4</v>
      </c>
      <c r="J9" s="174">
        <f t="shared" si="2"/>
        <v>46909.899999999994</v>
      </c>
      <c r="K9" s="172">
        <f t="shared" si="2"/>
        <v>46344.799999999996</v>
      </c>
      <c r="L9" s="173">
        <f t="shared" si="2"/>
        <v>45728.6</v>
      </c>
      <c r="M9" s="173">
        <f t="shared" si="2"/>
        <v>46505</v>
      </c>
      <c r="N9" s="174">
        <f t="shared" si="2"/>
        <v>47319.1</v>
      </c>
      <c r="O9" s="172">
        <f t="shared" si="2"/>
        <v>45707.6</v>
      </c>
      <c r="P9" s="173">
        <f t="shared" si="2"/>
        <v>45891.3</v>
      </c>
      <c r="Q9" s="173">
        <f t="shared" si="2"/>
        <v>47701.599999999991</v>
      </c>
      <c r="R9" s="174">
        <f t="shared" si="2"/>
        <v>47448.2</v>
      </c>
      <c r="S9" s="172">
        <f t="shared" si="2"/>
        <v>46365.1</v>
      </c>
      <c r="T9" s="173">
        <f t="shared" si="2"/>
        <v>48211.600000000006</v>
      </c>
      <c r="U9" s="173">
        <f t="shared" si="2"/>
        <v>50720.499999999993</v>
      </c>
      <c r="V9" s="174">
        <f t="shared" si="2"/>
        <v>52860.6</v>
      </c>
      <c r="W9" s="172">
        <f t="shared" si="2"/>
        <v>52421.5</v>
      </c>
      <c r="X9" s="173">
        <f t="shared" si="2"/>
        <v>54182.400000000001</v>
      </c>
      <c r="Y9" s="173">
        <f t="shared" si="2"/>
        <v>54891.7</v>
      </c>
      <c r="Z9" s="174">
        <f t="shared" si="2"/>
        <v>57898.400000000009</v>
      </c>
      <c r="AA9" s="172">
        <f t="shared" si="2"/>
        <v>58126.799999999996</v>
      </c>
      <c r="AB9" s="173">
        <f t="shared" si="2"/>
        <v>62220.599999999991</v>
      </c>
      <c r="AC9" s="173">
        <f t="shared" si="2"/>
        <v>66397.899999999994</v>
      </c>
      <c r="AD9" s="174">
        <f t="shared" si="2"/>
        <v>67547.899999999994</v>
      </c>
      <c r="AE9" s="173">
        <f t="shared" si="2"/>
        <v>67025.900000000009</v>
      </c>
      <c r="AF9" s="173">
        <f t="shared" si="2"/>
        <v>69689.2</v>
      </c>
      <c r="AG9" s="173">
        <f t="shared" si="2"/>
        <v>71698.5</v>
      </c>
      <c r="AH9" s="174">
        <f t="shared" si="2"/>
        <v>75658.899999999994</v>
      </c>
      <c r="AI9" s="173">
        <f t="shared" si="2"/>
        <v>77606.700000000012</v>
      </c>
      <c r="AJ9" s="173">
        <f t="shared" si="2"/>
        <v>80750.600000000006</v>
      </c>
      <c r="AK9" s="173">
        <f t="shared" si="2"/>
        <v>83825.899999999994</v>
      </c>
      <c r="AL9" s="174">
        <f t="shared" si="2"/>
        <v>87818.5</v>
      </c>
      <c r="AM9" s="173">
        <f t="shared" si="2"/>
        <v>90403</v>
      </c>
      <c r="AN9" s="173">
        <f>SUM(AN7:AN8)</f>
        <v>93483.299999999988</v>
      </c>
      <c r="AO9" s="173">
        <f>SUM(AO7:AO8)</f>
        <v>92304.6</v>
      </c>
      <c r="AP9" s="174">
        <f t="shared" si="2"/>
        <v>95825.400000000009</v>
      </c>
      <c r="AQ9" s="173">
        <f t="shared" si="2"/>
        <v>96620.7</v>
      </c>
      <c r="AR9" s="173">
        <f t="shared" si="2"/>
        <v>97708.800000000003</v>
      </c>
      <c r="AS9" s="173">
        <f>SUM(AS7:AS8)</f>
        <v>98459.8</v>
      </c>
      <c r="AT9" s="173">
        <f>SUM(AT7:AT8)</f>
        <v>104503.29999999999</v>
      </c>
    </row>
    <row r="10" spans="1:51" s="164" customFormat="1" ht="10.8">
      <c r="A10" s="165" t="s">
        <v>231</v>
      </c>
      <c r="B10" s="165" t="s">
        <v>232</v>
      </c>
      <c r="C10" s="160">
        <f>SUM(C20)</f>
        <v>2997.5</v>
      </c>
      <c r="D10" s="161">
        <f t="shared" ref="D10:AR10" si="3">SUM(D20)</f>
        <v>2818.1000000000004</v>
      </c>
      <c r="E10" s="161">
        <f t="shared" si="3"/>
        <v>2449.8999999999996</v>
      </c>
      <c r="F10" s="161">
        <f t="shared" si="3"/>
        <v>2342.1999999999998</v>
      </c>
      <c r="G10" s="160">
        <f t="shared" si="3"/>
        <v>2498.6</v>
      </c>
      <c r="H10" s="161">
        <f t="shared" si="3"/>
        <v>3802.2</v>
      </c>
      <c r="I10" s="161">
        <f t="shared" si="3"/>
        <v>3351</v>
      </c>
      <c r="J10" s="162">
        <f t="shared" si="3"/>
        <v>4396.4000000000005</v>
      </c>
      <c r="K10" s="160">
        <f t="shared" si="3"/>
        <v>4990.7</v>
      </c>
      <c r="L10" s="161">
        <f t="shared" si="3"/>
        <v>4152.5</v>
      </c>
      <c r="M10" s="161">
        <f t="shared" si="3"/>
        <v>4327</v>
      </c>
      <c r="N10" s="162">
        <f t="shared" si="3"/>
        <v>3445.4999999999995</v>
      </c>
      <c r="O10" s="160">
        <f t="shared" si="3"/>
        <v>3147.7000000000003</v>
      </c>
      <c r="P10" s="161">
        <f t="shared" si="3"/>
        <v>3962.7000000000003</v>
      </c>
      <c r="Q10" s="161">
        <f t="shared" si="3"/>
        <v>3319.5</v>
      </c>
      <c r="R10" s="162">
        <f t="shared" si="3"/>
        <v>2726</v>
      </c>
      <c r="S10" s="160">
        <f t="shared" si="3"/>
        <v>2774.4</v>
      </c>
      <c r="T10" s="161">
        <f t="shared" si="3"/>
        <v>2772.2000000000003</v>
      </c>
      <c r="U10" s="161">
        <f t="shared" si="3"/>
        <v>2440.5</v>
      </c>
      <c r="V10" s="162">
        <f t="shared" si="3"/>
        <v>3010.7</v>
      </c>
      <c r="W10" s="160">
        <f t="shared" si="3"/>
        <v>3104.7</v>
      </c>
      <c r="X10" s="161">
        <f t="shared" si="3"/>
        <v>3719.4</v>
      </c>
      <c r="Y10" s="161">
        <f t="shared" si="3"/>
        <v>3209</v>
      </c>
      <c r="Z10" s="162">
        <f t="shared" si="3"/>
        <v>3544.6999999999994</v>
      </c>
      <c r="AA10" s="160">
        <f t="shared" si="3"/>
        <v>2440.6999999999998</v>
      </c>
      <c r="AB10" s="161">
        <f t="shared" si="3"/>
        <v>2763</v>
      </c>
      <c r="AC10" s="161">
        <f t="shared" si="3"/>
        <v>3874.7000000000007</v>
      </c>
      <c r="AD10" s="162">
        <f t="shared" si="3"/>
        <v>3216.2</v>
      </c>
      <c r="AE10" s="161">
        <f t="shared" si="3"/>
        <v>2392.3000000000002</v>
      </c>
      <c r="AF10" s="161">
        <f t="shared" si="3"/>
        <v>2641.5</v>
      </c>
      <c r="AG10" s="161">
        <f t="shared" si="3"/>
        <v>2921.7999999999997</v>
      </c>
      <c r="AH10" s="162">
        <f t="shared" si="3"/>
        <v>2243.7999999999997</v>
      </c>
      <c r="AI10" s="161">
        <f t="shared" si="3"/>
        <v>2426.3000000000002</v>
      </c>
      <c r="AJ10" s="161">
        <f t="shared" si="3"/>
        <v>2083.7000000000003</v>
      </c>
      <c r="AK10" s="161">
        <f t="shared" si="3"/>
        <v>2689.7000000000003</v>
      </c>
      <c r="AL10" s="162">
        <f t="shared" si="3"/>
        <v>2417.3000000000002</v>
      </c>
      <c r="AM10" s="161">
        <f t="shared" si="3"/>
        <v>2527.9</v>
      </c>
      <c r="AN10" s="161">
        <f t="shared" si="3"/>
        <v>2700.1</v>
      </c>
      <c r="AO10" s="161">
        <f t="shared" si="3"/>
        <v>2775.5</v>
      </c>
      <c r="AP10" s="162">
        <f t="shared" si="3"/>
        <v>3617.9</v>
      </c>
      <c r="AQ10" s="161">
        <f t="shared" si="3"/>
        <v>2957.6</v>
      </c>
      <c r="AR10" s="161">
        <f t="shared" si="3"/>
        <v>4115.5</v>
      </c>
      <c r="AS10" s="161">
        <f>SUM(AS20)</f>
        <v>3615.5000000000005</v>
      </c>
      <c r="AT10" s="161">
        <f>SUM(AT20)</f>
        <v>4258.3999999999996</v>
      </c>
    </row>
    <row r="11" spans="1:51" s="164" customFormat="1" ht="12.75" customHeight="1">
      <c r="A11" s="159" t="s">
        <v>233</v>
      </c>
      <c r="B11" s="159" t="s">
        <v>234</v>
      </c>
      <c r="C11" s="160">
        <f>SUM(C34)</f>
        <v>33444.9</v>
      </c>
      <c r="D11" s="161">
        <f t="shared" ref="D11:AR11" si="4">SUM(D34)</f>
        <v>33312.699999999997</v>
      </c>
      <c r="E11" s="161">
        <f t="shared" si="4"/>
        <v>34912.6</v>
      </c>
      <c r="F11" s="161">
        <f t="shared" si="4"/>
        <v>38725.300000000003</v>
      </c>
      <c r="G11" s="160">
        <f t="shared" si="4"/>
        <v>39810.700000000004</v>
      </c>
      <c r="H11" s="161">
        <f t="shared" si="4"/>
        <v>40753.4</v>
      </c>
      <c r="I11" s="161">
        <f t="shared" si="4"/>
        <v>45088.3</v>
      </c>
      <c r="J11" s="162">
        <f t="shared" si="4"/>
        <v>39611.299999999996</v>
      </c>
      <c r="K11" s="160">
        <f t="shared" si="4"/>
        <v>39154.1</v>
      </c>
      <c r="L11" s="161">
        <f t="shared" si="4"/>
        <v>39901.399999999994</v>
      </c>
      <c r="M11" s="161">
        <f t="shared" si="4"/>
        <v>40493.199999999997</v>
      </c>
      <c r="N11" s="162">
        <f t="shared" si="4"/>
        <v>42364.3</v>
      </c>
      <c r="O11" s="160">
        <f t="shared" si="4"/>
        <v>41033.699999999997</v>
      </c>
      <c r="P11" s="161">
        <f t="shared" si="4"/>
        <v>40545.5</v>
      </c>
      <c r="Q11" s="161">
        <f t="shared" si="4"/>
        <v>41582.299999999996</v>
      </c>
      <c r="R11" s="162">
        <f t="shared" si="4"/>
        <v>43025.299999999996</v>
      </c>
      <c r="S11" s="160">
        <f t="shared" si="4"/>
        <v>41801.299999999996</v>
      </c>
      <c r="T11" s="161">
        <f t="shared" si="4"/>
        <v>43799.899999999994</v>
      </c>
      <c r="U11" s="161">
        <f t="shared" si="4"/>
        <v>46054.7</v>
      </c>
      <c r="V11" s="162">
        <f t="shared" si="4"/>
        <v>47745.2</v>
      </c>
      <c r="W11" s="160">
        <f t="shared" si="4"/>
        <v>47634.900000000009</v>
      </c>
      <c r="X11" s="161">
        <f t="shared" si="4"/>
        <v>48818.400000000001</v>
      </c>
      <c r="Y11" s="161">
        <f t="shared" si="4"/>
        <v>50048.899999999994</v>
      </c>
      <c r="Z11" s="162">
        <f t="shared" si="4"/>
        <v>52251.100000000006</v>
      </c>
      <c r="AA11" s="160">
        <f t="shared" si="4"/>
        <v>53749.500000000007</v>
      </c>
      <c r="AB11" s="161">
        <f t="shared" si="4"/>
        <v>57471.799999999996</v>
      </c>
      <c r="AC11" s="161">
        <f t="shared" si="4"/>
        <v>60576.7</v>
      </c>
      <c r="AD11" s="162">
        <f t="shared" si="4"/>
        <v>62231.3</v>
      </c>
      <c r="AE11" s="161">
        <f t="shared" si="4"/>
        <v>62610.9</v>
      </c>
      <c r="AF11" s="161">
        <f t="shared" si="4"/>
        <v>65126.400000000001</v>
      </c>
      <c r="AG11" s="161">
        <f t="shared" si="4"/>
        <v>66832.600000000006</v>
      </c>
      <c r="AH11" s="162">
        <f t="shared" si="4"/>
        <v>71539.299999999988</v>
      </c>
      <c r="AI11" s="161">
        <f t="shared" si="4"/>
        <v>73225.8</v>
      </c>
      <c r="AJ11" s="161">
        <f t="shared" si="4"/>
        <v>76942.5</v>
      </c>
      <c r="AK11" s="161">
        <f t="shared" si="4"/>
        <v>79348.800000000003</v>
      </c>
      <c r="AL11" s="162">
        <f t="shared" si="4"/>
        <v>83769.299999999988</v>
      </c>
      <c r="AM11" s="161">
        <f t="shared" si="4"/>
        <v>86077.3</v>
      </c>
      <c r="AN11" s="161">
        <f t="shared" si="4"/>
        <v>88521.8</v>
      </c>
      <c r="AO11" s="161">
        <f t="shared" si="4"/>
        <v>87572.299999999988</v>
      </c>
      <c r="AP11" s="162">
        <f t="shared" si="4"/>
        <v>90456.5</v>
      </c>
      <c r="AQ11" s="161">
        <f t="shared" si="4"/>
        <v>91082.7</v>
      </c>
      <c r="AR11" s="161">
        <f t="shared" si="4"/>
        <v>91830.200000000012</v>
      </c>
      <c r="AS11" s="161">
        <f>SUM(AS34)</f>
        <v>92532.7</v>
      </c>
      <c r="AT11" s="161">
        <f>SUM(AT34)</f>
        <v>98438.799999999988</v>
      </c>
    </row>
    <row r="12" spans="1:51" s="164" customFormat="1" ht="21.6">
      <c r="A12" s="159" t="s">
        <v>235</v>
      </c>
      <c r="B12" s="159" t="s">
        <v>236</v>
      </c>
      <c r="C12" s="160">
        <f>SUM(C42)</f>
        <v>1942.1</v>
      </c>
      <c r="D12" s="161">
        <f t="shared" ref="D12:AR12" si="5">SUM(D42)</f>
        <v>2130.8999999999996</v>
      </c>
      <c r="E12" s="161">
        <f t="shared" si="5"/>
        <v>2232.8000000000002</v>
      </c>
      <c r="F12" s="161">
        <f t="shared" si="5"/>
        <v>2579</v>
      </c>
      <c r="G12" s="160">
        <f t="shared" si="5"/>
        <v>2382.1999999999998</v>
      </c>
      <c r="H12" s="161">
        <f t="shared" si="5"/>
        <v>2890</v>
      </c>
      <c r="I12" s="161">
        <f t="shared" si="5"/>
        <v>2565.1</v>
      </c>
      <c r="J12" s="162">
        <f t="shared" si="5"/>
        <v>2902.2</v>
      </c>
      <c r="K12" s="160">
        <f t="shared" si="5"/>
        <v>2200</v>
      </c>
      <c r="L12" s="161">
        <f t="shared" si="5"/>
        <v>1674.7</v>
      </c>
      <c r="M12" s="161">
        <f t="shared" si="5"/>
        <v>1684.8</v>
      </c>
      <c r="N12" s="162">
        <f t="shared" si="5"/>
        <v>1509.3</v>
      </c>
      <c r="O12" s="160">
        <f t="shared" si="5"/>
        <v>1526.2</v>
      </c>
      <c r="P12" s="161">
        <f t="shared" si="5"/>
        <v>1383.1</v>
      </c>
      <c r="Q12" s="161">
        <f t="shared" si="5"/>
        <v>2799.7999999999997</v>
      </c>
      <c r="R12" s="162">
        <f t="shared" si="5"/>
        <v>1696.9</v>
      </c>
      <c r="S12" s="160">
        <f t="shared" si="5"/>
        <v>1789.4</v>
      </c>
      <c r="T12" s="161">
        <f t="shared" si="5"/>
        <v>1639.5000000000002</v>
      </c>
      <c r="U12" s="161">
        <f t="shared" si="5"/>
        <v>2225.2999999999997</v>
      </c>
      <c r="V12" s="162">
        <f t="shared" si="5"/>
        <v>2104.6999999999998</v>
      </c>
      <c r="W12" s="160">
        <f t="shared" si="5"/>
        <v>1681.9</v>
      </c>
      <c r="X12" s="161">
        <f t="shared" si="5"/>
        <v>1644.6000000000001</v>
      </c>
      <c r="Y12" s="161">
        <f t="shared" si="5"/>
        <v>1633.8</v>
      </c>
      <c r="Z12" s="162">
        <f t="shared" si="5"/>
        <v>2102.6</v>
      </c>
      <c r="AA12" s="160">
        <f t="shared" si="5"/>
        <v>1936.6</v>
      </c>
      <c r="AB12" s="161">
        <f t="shared" si="5"/>
        <v>1985.8000000000002</v>
      </c>
      <c r="AC12" s="161">
        <f t="shared" si="5"/>
        <v>1946.5000000000002</v>
      </c>
      <c r="AD12" s="162">
        <f t="shared" si="5"/>
        <v>2100.4</v>
      </c>
      <c r="AE12" s="161">
        <f t="shared" si="5"/>
        <v>2022.7</v>
      </c>
      <c r="AF12" s="161">
        <f t="shared" si="5"/>
        <v>1921.3</v>
      </c>
      <c r="AG12" s="161">
        <f t="shared" si="5"/>
        <v>1944.1</v>
      </c>
      <c r="AH12" s="162">
        <f t="shared" si="5"/>
        <v>1875.8</v>
      </c>
      <c r="AI12" s="161">
        <f t="shared" si="5"/>
        <v>1954.6</v>
      </c>
      <c r="AJ12" s="161">
        <f t="shared" si="5"/>
        <v>1724.4</v>
      </c>
      <c r="AK12" s="161">
        <f t="shared" si="5"/>
        <v>1787.4</v>
      </c>
      <c r="AL12" s="162">
        <f t="shared" si="5"/>
        <v>1631.9</v>
      </c>
      <c r="AM12" s="161">
        <f t="shared" si="5"/>
        <v>1797.7999999999997</v>
      </c>
      <c r="AN12" s="161">
        <f t="shared" si="5"/>
        <v>2261.3999999999996</v>
      </c>
      <c r="AO12" s="161">
        <f t="shared" si="5"/>
        <v>1956.7999999999997</v>
      </c>
      <c r="AP12" s="162">
        <f t="shared" si="5"/>
        <v>1751</v>
      </c>
      <c r="AQ12" s="161">
        <f t="shared" si="5"/>
        <v>2580.4</v>
      </c>
      <c r="AR12" s="161">
        <f t="shared" si="5"/>
        <v>1763.1000000000001</v>
      </c>
      <c r="AS12" s="161">
        <f>SUM(AS42)</f>
        <v>2311.6000000000004</v>
      </c>
      <c r="AT12" s="161">
        <f>SUM(AT42)</f>
        <v>1806.1000000000001</v>
      </c>
    </row>
    <row r="13" spans="1:51" s="150" customFormat="1" ht="10.8">
      <c r="A13" s="202"/>
      <c r="B13" s="202"/>
      <c r="C13" s="160"/>
      <c r="D13" s="161"/>
      <c r="E13" s="161"/>
      <c r="F13" s="161"/>
      <c r="G13" s="160"/>
      <c r="H13" s="161"/>
      <c r="I13" s="161"/>
      <c r="J13" s="162"/>
      <c r="K13" s="160"/>
      <c r="L13" s="161"/>
      <c r="M13" s="161"/>
      <c r="N13" s="162"/>
      <c r="O13" s="160"/>
      <c r="P13" s="161"/>
      <c r="Q13" s="161"/>
      <c r="R13" s="162"/>
      <c r="S13" s="160"/>
      <c r="T13" s="161"/>
      <c r="U13" s="161"/>
      <c r="V13" s="162"/>
      <c r="W13" s="160"/>
      <c r="X13" s="161"/>
      <c r="Y13" s="161"/>
      <c r="Z13" s="162"/>
      <c r="AA13" s="160"/>
      <c r="AB13" s="161"/>
      <c r="AC13" s="161"/>
      <c r="AD13" s="162"/>
      <c r="AE13" s="161"/>
      <c r="AF13" s="161"/>
      <c r="AG13" s="161"/>
      <c r="AH13" s="162"/>
      <c r="AI13" s="161"/>
      <c r="AJ13" s="161"/>
      <c r="AK13" s="161"/>
      <c r="AL13" s="162"/>
      <c r="AM13" s="161"/>
      <c r="AN13" s="161"/>
      <c r="AO13" s="161"/>
      <c r="AP13" s="162"/>
      <c r="AQ13" s="161"/>
      <c r="AR13" s="161"/>
      <c r="AS13" s="161"/>
      <c r="AT13" s="162"/>
    </row>
    <row r="14" spans="1:51" s="164" customFormat="1" ht="10.8">
      <c r="A14" s="203" t="s">
        <v>237</v>
      </c>
      <c r="B14" s="203" t="s">
        <v>238</v>
      </c>
      <c r="C14" s="160"/>
      <c r="D14" s="161"/>
      <c r="E14" s="161"/>
      <c r="F14" s="161"/>
      <c r="G14" s="160"/>
      <c r="H14" s="161"/>
      <c r="I14" s="161"/>
      <c r="J14" s="162"/>
      <c r="K14" s="160"/>
      <c r="L14" s="161"/>
      <c r="M14" s="161"/>
      <c r="N14" s="162"/>
      <c r="O14" s="160"/>
      <c r="P14" s="161"/>
      <c r="Q14" s="161"/>
      <c r="R14" s="162"/>
      <c r="S14" s="160"/>
      <c r="T14" s="161"/>
      <c r="U14" s="161"/>
      <c r="V14" s="162"/>
      <c r="W14" s="160"/>
      <c r="X14" s="161"/>
      <c r="Y14" s="161"/>
      <c r="Z14" s="162"/>
      <c r="AA14" s="160"/>
      <c r="AB14" s="161"/>
      <c r="AC14" s="161"/>
      <c r="AD14" s="162"/>
      <c r="AE14" s="161"/>
      <c r="AF14" s="161"/>
      <c r="AG14" s="161"/>
      <c r="AH14" s="162"/>
      <c r="AI14" s="161"/>
      <c r="AJ14" s="161"/>
      <c r="AK14" s="161"/>
      <c r="AL14" s="162"/>
      <c r="AM14" s="161"/>
      <c r="AN14" s="161"/>
      <c r="AO14" s="161"/>
      <c r="AP14" s="162"/>
      <c r="AQ14" s="161"/>
      <c r="AR14" s="161"/>
      <c r="AS14" s="161"/>
      <c r="AT14" s="162"/>
    </row>
    <row r="15" spans="1:51" s="164" customFormat="1" ht="6" customHeight="1">
      <c r="A15" s="165"/>
      <c r="B15" s="165"/>
      <c r="C15" s="160"/>
      <c r="D15" s="161"/>
      <c r="E15" s="161"/>
      <c r="F15" s="161"/>
      <c r="G15" s="160"/>
      <c r="H15" s="161"/>
      <c r="I15" s="161"/>
      <c r="J15" s="162"/>
      <c r="K15" s="160"/>
      <c r="L15" s="161"/>
      <c r="M15" s="161"/>
      <c r="N15" s="162"/>
      <c r="O15" s="160"/>
      <c r="P15" s="161"/>
      <c r="Q15" s="161"/>
      <c r="R15" s="162"/>
      <c r="S15" s="160"/>
      <c r="T15" s="161"/>
      <c r="U15" s="161"/>
      <c r="V15" s="162"/>
      <c r="W15" s="160"/>
      <c r="X15" s="161"/>
      <c r="Y15" s="161"/>
      <c r="Z15" s="162"/>
      <c r="AA15" s="160"/>
      <c r="AB15" s="161"/>
      <c r="AC15" s="161"/>
      <c r="AD15" s="162"/>
      <c r="AE15" s="161"/>
      <c r="AF15" s="161"/>
      <c r="AG15" s="161"/>
      <c r="AH15" s="162"/>
      <c r="AI15" s="161"/>
      <c r="AJ15" s="161"/>
      <c r="AK15" s="161"/>
      <c r="AL15" s="162"/>
      <c r="AM15" s="161"/>
      <c r="AN15" s="161"/>
      <c r="AO15" s="161"/>
      <c r="AP15" s="162"/>
      <c r="AQ15" s="161"/>
      <c r="AR15" s="161"/>
      <c r="AS15" s="161"/>
      <c r="AT15" s="162"/>
    </row>
    <row r="16" spans="1:51" s="164" customFormat="1" ht="10.8">
      <c r="A16" s="165" t="s">
        <v>225</v>
      </c>
      <c r="B16" s="165" t="s">
        <v>239</v>
      </c>
      <c r="C16" s="160">
        <f>SUM(C17:C18)</f>
        <v>2886.5</v>
      </c>
      <c r="D16" s="161">
        <f>SUM(D17:D18)</f>
        <v>2746.2000000000003</v>
      </c>
      <c r="E16" s="161">
        <f>SUM(E17:E18)</f>
        <v>2399.6999999999998</v>
      </c>
      <c r="F16" s="161">
        <f>SUM(F17:F18)</f>
        <v>2226.6999999999998</v>
      </c>
      <c r="G16" s="160">
        <f t="shared" ref="G16:AT16" si="6">SUM(G17:G18)</f>
        <v>2414.1</v>
      </c>
      <c r="H16" s="161">
        <f t="shared" si="6"/>
        <v>3649</v>
      </c>
      <c r="I16" s="161">
        <f t="shared" si="6"/>
        <v>3265.5</v>
      </c>
      <c r="J16" s="162">
        <f t="shared" si="6"/>
        <v>4312.3</v>
      </c>
      <c r="K16" s="160">
        <f t="shared" si="6"/>
        <v>4862.8</v>
      </c>
      <c r="L16" s="161">
        <f t="shared" si="6"/>
        <v>4011.1</v>
      </c>
      <c r="M16" s="161">
        <f t="shared" si="6"/>
        <v>4210.3</v>
      </c>
      <c r="N16" s="162">
        <f t="shared" si="6"/>
        <v>3352.3999999999996</v>
      </c>
      <c r="O16" s="160">
        <f t="shared" si="6"/>
        <v>3046.8</v>
      </c>
      <c r="P16" s="161">
        <f t="shared" si="6"/>
        <v>3804.6000000000004</v>
      </c>
      <c r="Q16" s="161">
        <f t="shared" si="6"/>
        <v>3210.7</v>
      </c>
      <c r="R16" s="162">
        <f t="shared" si="6"/>
        <v>2588.6</v>
      </c>
      <c r="S16" s="160">
        <f t="shared" si="6"/>
        <v>2667</v>
      </c>
      <c r="T16" s="161">
        <f t="shared" si="6"/>
        <v>2662.3</v>
      </c>
      <c r="U16" s="161">
        <f t="shared" si="6"/>
        <v>2328.4</v>
      </c>
      <c r="V16" s="162">
        <f t="shared" si="6"/>
        <v>2954.5</v>
      </c>
      <c r="W16" s="160">
        <f t="shared" si="6"/>
        <v>2977.7</v>
      </c>
      <c r="X16" s="161">
        <f t="shared" si="6"/>
        <v>3602.9</v>
      </c>
      <c r="Y16" s="161">
        <f t="shared" si="6"/>
        <v>3077.2</v>
      </c>
      <c r="Z16" s="162">
        <f t="shared" si="6"/>
        <v>3367.9999999999995</v>
      </c>
      <c r="AA16" s="160">
        <f t="shared" si="6"/>
        <v>2323</v>
      </c>
      <c r="AB16" s="161">
        <f t="shared" si="6"/>
        <v>2659.2</v>
      </c>
      <c r="AC16" s="161">
        <f t="shared" si="6"/>
        <v>3656.4000000000005</v>
      </c>
      <c r="AD16" s="162">
        <f t="shared" si="6"/>
        <v>3143.1</v>
      </c>
      <c r="AE16" s="161">
        <f t="shared" si="6"/>
        <v>2252</v>
      </c>
      <c r="AF16" s="161">
        <f t="shared" si="6"/>
        <v>2442.9</v>
      </c>
      <c r="AG16" s="161">
        <f t="shared" si="6"/>
        <v>2842.7</v>
      </c>
      <c r="AH16" s="162">
        <f t="shared" si="6"/>
        <v>2142.7999999999997</v>
      </c>
      <c r="AI16" s="161">
        <f t="shared" si="6"/>
        <v>2367.5</v>
      </c>
      <c r="AJ16" s="161">
        <f t="shared" si="6"/>
        <v>1957.9</v>
      </c>
      <c r="AK16" s="161">
        <f t="shared" si="6"/>
        <v>2630.9</v>
      </c>
      <c r="AL16" s="162">
        <f t="shared" si="6"/>
        <v>2353.8000000000002</v>
      </c>
      <c r="AM16" s="161">
        <f t="shared" si="6"/>
        <v>2469</v>
      </c>
      <c r="AN16" s="161">
        <f t="shared" si="6"/>
        <v>2661.1</v>
      </c>
      <c r="AO16" s="161">
        <f t="shared" si="6"/>
        <v>2700.8</v>
      </c>
      <c r="AP16" s="162">
        <f t="shared" si="6"/>
        <v>3429.2000000000003</v>
      </c>
      <c r="AQ16" s="161">
        <f t="shared" si="6"/>
        <v>2847.6</v>
      </c>
      <c r="AR16" s="161">
        <f t="shared" si="6"/>
        <v>4044.7</v>
      </c>
      <c r="AS16" s="161">
        <f t="shared" si="6"/>
        <v>3348.2000000000003</v>
      </c>
      <c r="AT16" s="161">
        <f t="shared" si="6"/>
        <v>3961.5</v>
      </c>
    </row>
    <row r="17" spans="1:46" s="170" customFormat="1" ht="10.8">
      <c r="A17" s="166" t="s">
        <v>240</v>
      </c>
      <c r="B17" s="166" t="s">
        <v>241</v>
      </c>
      <c r="C17" s="167">
        <v>2550.4</v>
      </c>
      <c r="D17" s="168">
        <v>2099.3000000000002</v>
      </c>
      <c r="E17" s="168">
        <v>1707.7</v>
      </c>
      <c r="F17" s="168">
        <v>1229.8</v>
      </c>
      <c r="G17" s="167">
        <v>1477.4</v>
      </c>
      <c r="H17" s="168">
        <v>2129.1</v>
      </c>
      <c r="I17" s="168">
        <v>1801.3999999999999</v>
      </c>
      <c r="J17" s="169">
        <v>1312.8999999999999</v>
      </c>
      <c r="K17" s="167">
        <v>1547.4</v>
      </c>
      <c r="L17" s="168">
        <v>1840.5</v>
      </c>
      <c r="M17" s="168">
        <v>1702.5</v>
      </c>
      <c r="N17" s="169">
        <v>1727.1</v>
      </c>
      <c r="O17" s="167">
        <v>1598.7</v>
      </c>
      <c r="P17" s="168">
        <v>1886.1000000000001</v>
      </c>
      <c r="Q17" s="168">
        <v>1647.9</v>
      </c>
      <c r="R17" s="169">
        <v>1461.7</v>
      </c>
      <c r="S17" s="167">
        <v>1435.6</v>
      </c>
      <c r="T17" s="168">
        <v>1731.5</v>
      </c>
      <c r="U17" s="168">
        <v>1409</v>
      </c>
      <c r="V17" s="169">
        <v>1266</v>
      </c>
      <c r="W17" s="167">
        <v>1735</v>
      </c>
      <c r="X17" s="168">
        <v>2478.4</v>
      </c>
      <c r="Y17" s="168">
        <v>2556.1</v>
      </c>
      <c r="Z17" s="169">
        <v>2333.2999999999997</v>
      </c>
      <c r="AA17" s="167">
        <v>1517.1000000000001</v>
      </c>
      <c r="AB17" s="168">
        <v>1738.6</v>
      </c>
      <c r="AC17" s="168">
        <v>2781.1000000000004</v>
      </c>
      <c r="AD17" s="169">
        <v>2211.1999999999998</v>
      </c>
      <c r="AE17" s="168">
        <v>1646.4</v>
      </c>
      <c r="AF17" s="168">
        <v>1999.6</v>
      </c>
      <c r="AG17" s="168">
        <v>2145.7999999999997</v>
      </c>
      <c r="AH17" s="169">
        <v>1707.6</v>
      </c>
      <c r="AI17" s="168">
        <v>1850.4</v>
      </c>
      <c r="AJ17" s="168">
        <v>1931.9</v>
      </c>
      <c r="AK17" s="168">
        <v>2515.6</v>
      </c>
      <c r="AL17" s="169">
        <v>2272.3000000000002</v>
      </c>
      <c r="AM17" s="168">
        <v>2393.6</v>
      </c>
      <c r="AN17" s="168">
        <v>2536.1999999999998</v>
      </c>
      <c r="AO17" s="168">
        <v>2241.3000000000002</v>
      </c>
      <c r="AP17" s="169">
        <v>3233.8</v>
      </c>
      <c r="AQ17" s="168">
        <v>2709.1</v>
      </c>
      <c r="AR17" s="168">
        <v>3944</v>
      </c>
      <c r="AS17" s="168">
        <v>3133.3</v>
      </c>
      <c r="AT17" s="169">
        <v>3847.2</v>
      </c>
    </row>
    <row r="18" spans="1:46" s="170" customFormat="1" ht="10.8">
      <c r="A18" s="166" t="s">
        <v>242</v>
      </c>
      <c r="B18" s="166" t="s">
        <v>243</v>
      </c>
      <c r="C18" s="167">
        <f>332.4+3.7</f>
        <v>336.09999999999997</v>
      </c>
      <c r="D18" s="168">
        <f>645+1.9</f>
        <v>646.9</v>
      </c>
      <c r="E18" s="168">
        <f>690.4+1.6</f>
        <v>692</v>
      </c>
      <c r="F18" s="168">
        <v>996.9</v>
      </c>
      <c r="G18" s="167">
        <v>936.69999999999993</v>
      </c>
      <c r="H18" s="168">
        <v>1519.8999999999999</v>
      </c>
      <c r="I18" s="168">
        <v>1464.1</v>
      </c>
      <c r="J18" s="169">
        <v>2999.4</v>
      </c>
      <c r="K18" s="167">
        <v>3315.4</v>
      </c>
      <c r="L18" s="168">
        <v>2170.6</v>
      </c>
      <c r="M18" s="168">
        <v>2507.8000000000002</v>
      </c>
      <c r="N18" s="169">
        <v>1625.3</v>
      </c>
      <c r="O18" s="167">
        <v>1448.1000000000001</v>
      </c>
      <c r="P18" s="168">
        <v>1918.5</v>
      </c>
      <c r="Q18" s="168">
        <v>1562.8</v>
      </c>
      <c r="R18" s="169">
        <v>1126.8999999999999</v>
      </c>
      <c r="S18" s="167">
        <v>1231.4000000000001</v>
      </c>
      <c r="T18" s="168">
        <v>930.80000000000007</v>
      </c>
      <c r="U18" s="168">
        <v>919.4</v>
      </c>
      <c r="V18" s="169">
        <v>1688.5</v>
      </c>
      <c r="W18" s="167">
        <v>1242.6999999999998</v>
      </c>
      <c r="X18" s="168">
        <v>1124.5</v>
      </c>
      <c r="Y18" s="168">
        <v>521.09999999999991</v>
      </c>
      <c r="Z18" s="169">
        <v>1034.6999999999998</v>
      </c>
      <c r="AA18" s="167">
        <v>805.9</v>
      </c>
      <c r="AB18" s="168">
        <v>920.6</v>
      </c>
      <c r="AC18" s="168">
        <v>875.3</v>
      </c>
      <c r="AD18" s="169">
        <v>931.9</v>
      </c>
      <c r="AE18" s="168">
        <v>605.6</v>
      </c>
      <c r="AF18" s="168">
        <v>443.3</v>
      </c>
      <c r="AG18" s="168">
        <v>696.90000000000009</v>
      </c>
      <c r="AH18" s="169">
        <v>435.2</v>
      </c>
      <c r="AI18" s="168">
        <v>517.1</v>
      </c>
      <c r="AJ18" s="168">
        <v>26</v>
      </c>
      <c r="AK18" s="168">
        <v>115.3</v>
      </c>
      <c r="AL18" s="169">
        <v>81.5</v>
      </c>
      <c r="AM18" s="168">
        <v>75.400000000000006</v>
      </c>
      <c r="AN18" s="168">
        <v>124.9</v>
      </c>
      <c r="AO18" s="168">
        <v>459.5</v>
      </c>
      <c r="AP18" s="169">
        <v>195.4</v>
      </c>
      <c r="AQ18" s="168">
        <v>138.5</v>
      </c>
      <c r="AR18" s="168">
        <v>100.7</v>
      </c>
      <c r="AS18" s="168">
        <v>214.9</v>
      </c>
      <c r="AT18" s="169">
        <v>114.3</v>
      </c>
    </row>
    <row r="19" spans="1:46" s="150" customFormat="1" ht="10.8">
      <c r="A19" s="202" t="s">
        <v>227</v>
      </c>
      <c r="B19" s="202" t="s">
        <v>228</v>
      </c>
      <c r="C19" s="160">
        <v>111</v>
      </c>
      <c r="D19" s="161">
        <v>71.900000000000006</v>
      </c>
      <c r="E19" s="161">
        <f>50.2</f>
        <v>50.2</v>
      </c>
      <c r="F19" s="161">
        <v>115.5</v>
      </c>
      <c r="G19" s="160">
        <v>84.5</v>
      </c>
      <c r="H19" s="161">
        <v>153.19999999999999</v>
      </c>
      <c r="I19" s="161">
        <v>85.5</v>
      </c>
      <c r="J19" s="162">
        <v>84.100000000000009</v>
      </c>
      <c r="K19" s="160">
        <v>127.9</v>
      </c>
      <c r="L19" s="161">
        <v>141.39999999999998</v>
      </c>
      <c r="M19" s="161">
        <v>116.7</v>
      </c>
      <c r="N19" s="162">
        <v>93.100000000000009</v>
      </c>
      <c r="O19" s="160">
        <v>100.9</v>
      </c>
      <c r="P19" s="161">
        <v>158.1</v>
      </c>
      <c r="Q19" s="161">
        <v>108.8</v>
      </c>
      <c r="R19" s="162">
        <v>137.4</v>
      </c>
      <c r="S19" s="160">
        <v>107.39999999999999</v>
      </c>
      <c r="T19" s="161">
        <v>109.89999999999999</v>
      </c>
      <c r="U19" s="161">
        <v>112.1</v>
      </c>
      <c r="V19" s="162">
        <v>56.2</v>
      </c>
      <c r="W19" s="160">
        <v>127</v>
      </c>
      <c r="X19" s="161">
        <v>116.5</v>
      </c>
      <c r="Y19" s="161">
        <v>131.79999999999998</v>
      </c>
      <c r="Z19" s="162">
        <v>176.7</v>
      </c>
      <c r="AA19" s="160">
        <v>117.69999999999999</v>
      </c>
      <c r="AB19" s="161">
        <v>103.8</v>
      </c>
      <c r="AC19" s="161">
        <v>218.29999999999998</v>
      </c>
      <c r="AD19" s="162">
        <v>73.099999999999994</v>
      </c>
      <c r="AE19" s="161">
        <v>140.29999999999998</v>
      </c>
      <c r="AF19" s="161">
        <v>198.6</v>
      </c>
      <c r="AG19" s="161">
        <v>79.099999999999994</v>
      </c>
      <c r="AH19" s="162">
        <v>101</v>
      </c>
      <c r="AI19" s="161">
        <v>58.8</v>
      </c>
      <c r="AJ19" s="161">
        <v>125.80000000000001</v>
      </c>
      <c r="AK19" s="161">
        <v>58.8</v>
      </c>
      <c r="AL19" s="162">
        <v>63.5</v>
      </c>
      <c r="AM19" s="161">
        <v>58.9</v>
      </c>
      <c r="AN19" s="161">
        <v>39</v>
      </c>
      <c r="AO19" s="161">
        <v>74.7</v>
      </c>
      <c r="AP19" s="162">
        <v>188.7</v>
      </c>
      <c r="AQ19" s="161">
        <v>110</v>
      </c>
      <c r="AR19" s="161">
        <v>70.8</v>
      </c>
      <c r="AS19" s="161">
        <v>267.3</v>
      </c>
      <c r="AT19" s="162">
        <v>296.89999999999998</v>
      </c>
    </row>
    <row r="20" spans="1:46" s="164" customFormat="1" ht="10.8">
      <c r="A20" s="143" t="s">
        <v>244</v>
      </c>
      <c r="B20" s="143" t="s">
        <v>245</v>
      </c>
      <c r="C20" s="172">
        <f t="shared" ref="C20:AT20" si="7">C16+C19</f>
        <v>2997.5</v>
      </c>
      <c r="D20" s="173">
        <f t="shared" si="7"/>
        <v>2818.1000000000004</v>
      </c>
      <c r="E20" s="173">
        <f t="shared" si="7"/>
        <v>2449.8999999999996</v>
      </c>
      <c r="F20" s="173">
        <f t="shared" si="7"/>
        <v>2342.1999999999998</v>
      </c>
      <c r="G20" s="172">
        <f t="shared" si="7"/>
        <v>2498.6</v>
      </c>
      <c r="H20" s="173">
        <f t="shared" si="7"/>
        <v>3802.2</v>
      </c>
      <c r="I20" s="173">
        <f t="shared" si="7"/>
        <v>3351</v>
      </c>
      <c r="J20" s="174">
        <f t="shared" si="7"/>
        <v>4396.4000000000005</v>
      </c>
      <c r="K20" s="172">
        <f t="shared" si="7"/>
        <v>4990.7</v>
      </c>
      <c r="L20" s="173">
        <f t="shared" si="7"/>
        <v>4152.5</v>
      </c>
      <c r="M20" s="173">
        <f t="shared" si="7"/>
        <v>4327</v>
      </c>
      <c r="N20" s="174">
        <f t="shared" si="7"/>
        <v>3445.4999999999995</v>
      </c>
      <c r="O20" s="172">
        <f t="shared" si="7"/>
        <v>3147.7000000000003</v>
      </c>
      <c r="P20" s="173">
        <f t="shared" si="7"/>
        <v>3962.7000000000003</v>
      </c>
      <c r="Q20" s="173">
        <f t="shared" si="7"/>
        <v>3319.5</v>
      </c>
      <c r="R20" s="174">
        <f t="shared" si="7"/>
        <v>2726</v>
      </c>
      <c r="S20" s="172">
        <f t="shared" si="7"/>
        <v>2774.4</v>
      </c>
      <c r="T20" s="173">
        <f t="shared" si="7"/>
        <v>2772.2000000000003</v>
      </c>
      <c r="U20" s="173">
        <f t="shared" si="7"/>
        <v>2440.5</v>
      </c>
      <c r="V20" s="174">
        <f t="shared" si="7"/>
        <v>3010.7</v>
      </c>
      <c r="W20" s="172">
        <f t="shared" si="7"/>
        <v>3104.7</v>
      </c>
      <c r="X20" s="173">
        <f t="shared" si="7"/>
        <v>3719.4</v>
      </c>
      <c r="Y20" s="173">
        <f t="shared" si="7"/>
        <v>3209</v>
      </c>
      <c r="Z20" s="174">
        <f t="shared" si="7"/>
        <v>3544.6999999999994</v>
      </c>
      <c r="AA20" s="172">
        <f t="shared" si="7"/>
        <v>2440.6999999999998</v>
      </c>
      <c r="AB20" s="173">
        <f t="shared" si="7"/>
        <v>2763</v>
      </c>
      <c r="AC20" s="173">
        <f t="shared" si="7"/>
        <v>3874.7000000000007</v>
      </c>
      <c r="AD20" s="174">
        <f t="shared" si="7"/>
        <v>3216.2</v>
      </c>
      <c r="AE20" s="173">
        <f t="shared" si="7"/>
        <v>2392.3000000000002</v>
      </c>
      <c r="AF20" s="173">
        <f t="shared" si="7"/>
        <v>2641.5</v>
      </c>
      <c r="AG20" s="173">
        <f t="shared" si="7"/>
        <v>2921.7999999999997</v>
      </c>
      <c r="AH20" s="174">
        <f t="shared" si="7"/>
        <v>2243.7999999999997</v>
      </c>
      <c r="AI20" s="173">
        <f t="shared" si="7"/>
        <v>2426.3000000000002</v>
      </c>
      <c r="AJ20" s="173">
        <f t="shared" si="7"/>
        <v>2083.7000000000003</v>
      </c>
      <c r="AK20" s="173">
        <f t="shared" si="7"/>
        <v>2689.7000000000003</v>
      </c>
      <c r="AL20" s="174">
        <f t="shared" si="7"/>
        <v>2417.3000000000002</v>
      </c>
      <c r="AM20" s="173">
        <f t="shared" si="7"/>
        <v>2527.9</v>
      </c>
      <c r="AN20" s="173">
        <f t="shared" si="7"/>
        <v>2700.1</v>
      </c>
      <c r="AO20" s="173">
        <f t="shared" si="7"/>
        <v>2775.5</v>
      </c>
      <c r="AP20" s="174">
        <f t="shared" si="7"/>
        <v>3617.9</v>
      </c>
      <c r="AQ20" s="173">
        <f t="shared" si="7"/>
        <v>2957.6</v>
      </c>
      <c r="AR20" s="173">
        <f t="shared" si="7"/>
        <v>4115.5</v>
      </c>
      <c r="AS20" s="173">
        <f t="shared" si="7"/>
        <v>3615.5000000000005</v>
      </c>
      <c r="AT20" s="173">
        <f t="shared" si="7"/>
        <v>4258.3999999999996</v>
      </c>
    </row>
    <row r="21" spans="1:46" s="150" customFormat="1" ht="10.8">
      <c r="A21" s="202"/>
      <c r="B21" s="202"/>
      <c r="C21" s="160"/>
      <c r="D21" s="161"/>
      <c r="E21" s="161"/>
      <c r="F21" s="161"/>
      <c r="G21" s="160"/>
      <c r="H21" s="161"/>
      <c r="I21" s="161"/>
      <c r="J21" s="162"/>
      <c r="K21" s="160"/>
      <c r="L21" s="161"/>
      <c r="M21" s="161"/>
      <c r="N21" s="162"/>
      <c r="O21" s="160"/>
      <c r="P21" s="161"/>
      <c r="Q21" s="161"/>
      <c r="R21" s="162"/>
      <c r="S21" s="160"/>
      <c r="T21" s="161"/>
      <c r="U21" s="161"/>
      <c r="V21" s="162"/>
      <c r="W21" s="160"/>
      <c r="X21" s="161"/>
      <c r="Y21" s="161"/>
      <c r="Z21" s="162"/>
      <c r="AA21" s="160"/>
      <c r="AB21" s="161"/>
      <c r="AC21" s="161"/>
      <c r="AD21" s="162"/>
      <c r="AE21" s="161"/>
      <c r="AF21" s="161"/>
      <c r="AG21" s="161"/>
      <c r="AH21" s="162"/>
      <c r="AI21" s="161"/>
      <c r="AJ21" s="161"/>
      <c r="AK21" s="161"/>
      <c r="AL21" s="162"/>
      <c r="AM21" s="161"/>
      <c r="AN21" s="161"/>
      <c r="AO21" s="161"/>
      <c r="AP21" s="162"/>
      <c r="AQ21" s="161"/>
      <c r="AR21" s="161"/>
      <c r="AS21" s="161"/>
      <c r="AT21" s="162"/>
    </row>
    <row r="22" spans="1:46" s="164" customFormat="1" ht="10.8">
      <c r="A22" s="203" t="s">
        <v>246</v>
      </c>
      <c r="B22" s="203" t="s">
        <v>247</v>
      </c>
      <c r="C22" s="160"/>
      <c r="D22" s="161"/>
      <c r="E22" s="161"/>
      <c r="F22" s="161"/>
      <c r="G22" s="160"/>
      <c r="H22" s="161"/>
      <c r="I22" s="161"/>
      <c r="J22" s="162"/>
      <c r="K22" s="160"/>
      <c r="L22" s="161"/>
      <c r="M22" s="161"/>
      <c r="N22" s="162"/>
      <c r="O22" s="160"/>
      <c r="P22" s="161"/>
      <c r="Q22" s="161"/>
      <c r="R22" s="162"/>
      <c r="S22" s="160"/>
      <c r="T22" s="161"/>
      <c r="U22" s="161"/>
      <c r="V22" s="162"/>
      <c r="W22" s="160"/>
      <c r="X22" s="161"/>
      <c r="Y22" s="161"/>
      <c r="Z22" s="162"/>
      <c r="AA22" s="160"/>
      <c r="AB22" s="161"/>
      <c r="AC22" s="161"/>
      <c r="AD22" s="162"/>
      <c r="AE22" s="161"/>
      <c r="AF22" s="161"/>
      <c r="AG22" s="161"/>
      <c r="AH22" s="162"/>
      <c r="AI22" s="161"/>
      <c r="AJ22" s="161"/>
      <c r="AK22" s="161"/>
      <c r="AL22" s="162"/>
      <c r="AM22" s="161"/>
      <c r="AN22" s="161"/>
      <c r="AO22" s="161"/>
      <c r="AP22" s="162"/>
      <c r="AQ22" s="161"/>
      <c r="AR22" s="161"/>
      <c r="AS22" s="161"/>
      <c r="AT22" s="162"/>
    </row>
    <row r="23" spans="1:46" s="164" customFormat="1" ht="10.8">
      <c r="A23" s="165"/>
      <c r="B23" s="165"/>
      <c r="C23" s="160"/>
      <c r="D23" s="161"/>
      <c r="E23" s="161"/>
      <c r="F23" s="161"/>
      <c r="G23" s="160"/>
      <c r="H23" s="161"/>
      <c r="I23" s="161"/>
      <c r="J23" s="162"/>
      <c r="K23" s="160"/>
      <c r="L23" s="161"/>
      <c r="M23" s="161"/>
      <c r="N23" s="162"/>
      <c r="O23" s="160"/>
      <c r="P23" s="161"/>
      <c r="Q23" s="161"/>
      <c r="R23" s="162"/>
      <c r="S23" s="160"/>
      <c r="T23" s="161"/>
      <c r="U23" s="161"/>
      <c r="V23" s="162"/>
      <c r="W23" s="160"/>
      <c r="X23" s="161"/>
      <c r="Y23" s="161"/>
      <c r="Z23" s="162"/>
      <c r="AA23" s="160"/>
      <c r="AB23" s="161"/>
      <c r="AC23" s="161"/>
      <c r="AD23" s="162"/>
      <c r="AE23" s="161"/>
      <c r="AF23" s="161"/>
      <c r="AG23" s="161"/>
      <c r="AH23" s="162"/>
      <c r="AI23" s="161"/>
      <c r="AJ23" s="161"/>
      <c r="AK23" s="161"/>
      <c r="AL23" s="162"/>
      <c r="AM23" s="161"/>
      <c r="AN23" s="161"/>
      <c r="AO23" s="161"/>
      <c r="AP23" s="162"/>
      <c r="AQ23" s="161"/>
      <c r="AR23" s="161"/>
      <c r="AS23" s="161"/>
      <c r="AT23" s="162"/>
    </row>
    <row r="24" spans="1:46" s="164" customFormat="1" ht="10.8">
      <c r="A24" s="203" t="s">
        <v>188</v>
      </c>
      <c r="B24" s="203" t="s">
        <v>189</v>
      </c>
      <c r="C24" s="156">
        <f t="shared" ref="C24:AT24" si="8">SUM(C28,C25)</f>
        <v>10876.6</v>
      </c>
      <c r="D24" s="157">
        <f t="shared" si="8"/>
        <v>10972.900000000001</v>
      </c>
      <c r="E24" s="157">
        <f t="shared" si="8"/>
        <v>11286.9</v>
      </c>
      <c r="F24" s="157">
        <f t="shared" si="8"/>
        <v>13085.8</v>
      </c>
      <c r="G24" s="156">
        <f t="shared" si="8"/>
        <v>12080.900000000001</v>
      </c>
      <c r="H24" s="157">
        <f t="shared" si="8"/>
        <v>12392.6</v>
      </c>
      <c r="I24" s="157">
        <f t="shared" si="8"/>
        <v>12806.800000000001</v>
      </c>
      <c r="J24" s="158">
        <f t="shared" si="8"/>
        <v>11600</v>
      </c>
      <c r="K24" s="156">
        <f t="shared" si="8"/>
        <v>10613.1</v>
      </c>
      <c r="L24" s="157">
        <f t="shared" si="8"/>
        <v>10476.799999999999</v>
      </c>
      <c r="M24" s="157">
        <f t="shared" si="8"/>
        <v>11467.800000000001</v>
      </c>
      <c r="N24" s="158">
        <f t="shared" si="8"/>
        <v>12260.400000000001</v>
      </c>
      <c r="O24" s="156">
        <f t="shared" si="8"/>
        <v>12097.1</v>
      </c>
      <c r="P24" s="157">
        <f t="shared" si="8"/>
        <v>11531.400000000001</v>
      </c>
      <c r="Q24" s="157">
        <f t="shared" si="8"/>
        <v>11952.799999999997</v>
      </c>
      <c r="R24" s="158">
        <f t="shared" si="8"/>
        <v>12858.099999999999</v>
      </c>
      <c r="S24" s="156">
        <f t="shared" si="8"/>
        <v>11553.1</v>
      </c>
      <c r="T24" s="157">
        <f t="shared" si="8"/>
        <v>12538.5</v>
      </c>
      <c r="U24" s="157">
        <f t="shared" si="8"/>
        <v>13579.2</v>
      </c>
      <c r="V24" s="158">
        <f t="shared" si="8"/>
        <v>14263.400000000001</v>
      </c>
      <c r="W24" s="156">
        <f t="shared" si="8"/>
        <v>13893.2</v>
      </c>
      <c r="X24" s="157">
        <f t="shared" si="8"/>
        <v>13569.4</v>
      </c>
      <c r="Y24" s="157">
        <f t="shared" si="8"/>
        <v>13912</v>
      </c>
      <c r="Z24" s="158">
        <f t="shared" si="8"/>
        <v>14567.4</v>
      </c>
      <c r="AA24" s="156">
        <f t="shared" si="8"/>
        <v>14314.4</v>
      </c>
      <c r="AB24" s="157">
        <f t="shared" si="8"/>
        <v>16619</v>
      </c>
      <c r="AC24" s="157">
        <f t="shared" si="8"/>
        <v>17472.3</v>
      </c>
      <c r="AD24" s="158">
        <f t="shared" si="8"/>
        <v>18602.399999999998</v>
      </c>
      <c r="AE24" s="157">
        <f t="shared" si="8"/>
        <v>17512.599999999999</v>
      </c>
      <c r="AF24" s="157">
        <f t="shared" si="8"/>
        <v>19136.700000000004</v>
      </c>
      <c r="AG24" s="157">
        <f t="shared" si="8"/>
        <v>19702.2</v>
      </c>
      <c r="AH24" s="158">
        <f t="shared" si="8"/>
        <v>21260.500000000004</v>
      </c>
      <c r="AI24" s="157">
        <f t="shared" si="8"/>
        <v>20717.899999999998</v>
      </c>
      <c r="AJ24" s="157">
        <f t="shared" si="8"/>
        <v>22162.2</v>
      </c>
      <c r="AK24" s="157">
        <f t="shared" si="8"/>
        <v>23347.8</v>
      </c>
      <c r="AL24" s="158">
        <f t="shared" si="8"/>
        <v>24792.899999999998</v>
      </c>
      <c r="AM24" s="157">
        <f t="shared" si="8"/>
        <v>24268.7</v>
      </c>
      <c r="AN24" s="157">
        <f t="shared" si="8"/>
        <v>25447.600000000002</v>
      </c>
      <c r="AO24" s="157">
        <f t="shared" si="8"/>
        <v>25975.1</v>
      </c>
      <c r="AP24" s="158">
        <f t="shared" si="8"/>
        <v>26840.9</v>
      </c>
      <c r="AQ24" s="157">
        <f t="shared" si="8"/>
        <v>26273.1</v>
      </c>
      <c r="AR24" s="157">
        <f t="shared" si="8"/>
        <v>26682.799999999999</v>
      </c>
      <c r="AS24" s="157">
        <f t="shared" si="8"/>
        <v>26965.5</v>
      </c>
      <c r="AT24" s="157">
        <f t="shared" si="8"/>
        <v>30438.2</v>
      </c>
    </row>
    <row r="25" spans="1:46" s="164" customFormat="1" ht="10.8">
      <c r="A25" s="165" t="s">
        <v>248</v>
      </c>
      <c r="B25" s="165" t="s">
        <v>249</v>
      </c>
      <c r="C25" s="160">
        <f t="shared" ref="C25:AF25" si="9">SUM(C26:C27)</f>
        <v>10570.4</v>
      </c>
      <c r="D25" s="161">
        <f t="shared" si="9"/>
        <v>10703.7</v>
      </c>
      <c r="E25" s="161">
        <f t="shared" si="9"/>
        <v>10969.1</v>
      </c>
      <c r="F25" s="161">
        <f t="shared" si="9"/>
        <v>12760.8</v>
      </c>
      <c r="G25" s="160">
        <f t="shared" si="9"/>
        <v>11704.400000000001</v>
      </c>
      <c r="H25" s="161">
        <f t="shared" si="9"/>
        <v>12007.7</v>
      </c>
      <c r="I25" s="161">
        <f t="shared" si="9"/>
        <v>12316.2</v>
      </c>
      <c r="J25" s="162">
        <f t="shared" si="9"/>
        <v>11173.5</v>
      </c>
      <c r="K25" s="160">
        <f t="shared" si="9"/>
        <v>10094</v>
      </c>
      <c r="L25" s="161">
        <f t="shared" si="9"/>
        <v>9973</v>
      </c>
      <c r="M25" s="161">
        <f t="shared" si="9"/>
        <v>10922.900000000001</v>
      </c>
      <c r="N25" s="162">
        <f t="shared" si="9"/>
        <v>11861.7</v>
      </c>
      <c r="O25" s="160">
        <f t="shared" si="9"/>
        <v>11717.6</v>
      </c>
      <c r="P25" s="161">
        <f t="shared" si="9"/>
        <v>11136.7</v>
      </c>
      <c r="Q25" s="161">
        <f t="shared" si="9"/>
        <v>11554.999999999998</v>
      </c>
      <c r="R25" s="162">
        <f t="shared" si="9"/>
        <v>12483.599999999999</v>
      </c>
      <c r="S25" s="160">
        <f t="shared" si="9"/>
        <v>11140</v>
      </c>
      <c r="T25" s="161">
        <f t="shared" si="9"/>
        <v>12110.7</v>
      </c>
      <c r="U25" s="161">
        <f t="shared" si="9"/>
        <v>13100.1</v>
      </c>
      <c r="V25" s="162">
        <f t="shared" si="9"/>
        <v>13887.300000000001</v>
      </c>
      <c r="W25" s="160">
        <f t="shared" si="9"/>
        <v>13203.2</v>
      </c>
      <c r="X25" s="161">
        <f t="shared" si="9"/>
        <v>12810.1</v>
      </c>
      <c r="Y25" s="161">
        <f t="shared" si="9"/>
        <v>13132.6</v>
      </c>
      <c r="Z25" s="162">
        <f t="shared" si="9"/>
        <v>13739.9</v>
      </c>
      <c r="AA25" s="160">
        <f t="shared" si="9"/>
        <v>13459.1</v>
      </c>
      <c r="AB25" s="161">
        <f t="shared" si="9"/>
        <v>15738.599999999999</v>
      </c>
      <c r="AC25" s="161">
        <f t="shared" si="9"/>
        <v>16618.3</v>
      </c>
      <c r="AD25" s="162">
        <f t="shared" si="9"/>
        <v>17746.3</v>
      </c>
      <c r="AE25" s="161">
        <f t="shared" si="9"/>
        <v>16705.3</v>
      </c>
      <c r="AF25" s="161">
        <f t="shared" si="9"/>
        <v>18207.300000000003</v>
      </c>
      <c r="AG25" s="161">
        <f t="shared" ref="AG25:AT25" si="10">SUM(AG26:AG27)</f>
        <v>18690.5</v>
      </c>
      <c r="AH25" s="162">
        <f t="shared" si="10"/>
        <v>20177.300000000003</v>
      </c>
      <c r="AI25" s="161">
        <f t="shared" si="10"/>
        <v>19777.599999999999</v>
      </c>
      <c r="AJ25" s="161">
        <f t="shared" si="10"/>
        <v>21154.3</v>
      </c>
      <c r="AK25" s="161">
        <f t="shared" si="10"/>
        <v>22258.5</v>
      </c>
      <c r="AL25" s="162">
        <f t="shared" si="10"/>
        <v>23594.199999999997</v>
      </c>
      <c r="AM25" s="161">
        <f t="shared" si="10"/>
        <v>23122.5</v>
      </c>
      <c r="AN25" s="161">
        <f t="shared" si="10"/>
        <v>23805.9</v>
      </c>
      <c r="AO25" s="161">
        <f t="shared" si="10"/>
        <v>24618.5</v>
      </c>
      <c r="AP25" s="162">
        <f t="shared" si="10"/>
        <v>25395.4</v>
      </c>
      <c r="AQ25" s="161">
        <f t="shared" si="10"/>
        <v>24901.1</v>
      </c>
      <c r="AR25" s="161">
        <f t="shared" si="10"/>
        <v>25099.7</v>
      </c>
      <c r="AS25" s="161">
        <f t="shared" si="10"/>
        <v>25826.9</v>
      </c>
      <c r="AT25" s="161">
        <f t="shared" si="10"/>
        <v>29196.5</v>
      </c>
    </row>
    <row r="26" spans="1:46" s="170" customFormat="1" ht="10.8">
      <c r="A26" s="166" t="s">
        <v>250</v>
      </c>
      <c r="B26" s="166" t="s">
        <v>241</v>
      </c>
      <c r="C26" s="167">
        <v>5611.5</v>
      </c>
      <c r="D26" s="168">
        <v>6202.7</v>
      </c>
      <c r="E26" s="168">
        <v>6353.8</v>
      </c>
      <c r="F26" s="168">
        <v>7970.4</v>
      </c>
      <c r="G26" s="167">
        <v>6808.1</v>
      </c>
      <c r="H26" s="168">
        <v>7124.1</v>
      </c>
      <c r="I26" s="168">
        <v>7482.4</v>
      </c>
      <c r="J26" s="169">
        <v>7292.1</v>
      </c>
      <c r="K26" s="167">
        <v>5979.3</v>
      </c>
      <c r="L26" s="168">
        <v>5985</v>
      </c>
      <c r="M26" s="168">
        <v>6214.7000000000007</v>
      </c>
      <c r="N26" s="169">
        <v>6418.5</v>
      </c>
      <c r="O26" s="167">
        <v>7328.5</v>
      </c>
      <c r="P26" s="168">
        <v>6996.5</v>
      </c>
      <c r="Q26" s="168">
        <v>7044.1999999999989</v>
      </c>
      <c r="R26" s="169">
        <v>7688.7</v>
      </c>
      <c r="S26" s="167">
        <v>6864.8</v>
      </c>
      <c r="T26" s="168">
        <v>7566.4</v>
      </c>
      <c r="U26" s="168">
        <v>8153</v>
      </c>
      <c r="V26" s="169">
        <v>8842.9000000000015</v>
      </c>
      <c r="W26" s="167">
        <v>7619.2</v>
      </c>
      <c r="X26" s="168">
        <v>7487.2000000000007</v>
      </c>
      <c r="Y26" s="168">
        <v>7733.6</v>
      </c>
      <c r="Z26" s="169">
        <v>8410.4</v>
      </c>
      <c r="AA26" s="167">
        <v>7605.6</v>
      </c>
      <c r="AB26" s="168">
        <v>8979.2999999999993</v>
      </c>
      <c r="AC26" s="168">
        <v>10185.599999999999</v>
      </c>
      <c r="AD26" s="169">
        <v>10756.099999999999</v>
      </c>
      <c r="AE26" s="168">
        <v>9393.4</v>
      </c>
      <c r="AF26" s="168">
        <v>10590.6</v>
      </c>
      <c r="AG26" s="168">
        <v>10853.1</v>
      </c>
      <c r="AH26" s="169">
        <v>10641.5</v>
      </c>
      <c r="AI26" s="168">
        <v>10648.5</v>
      </c>
      <c r="AJ26" s="168">
        <v>11638.5</v>
      </c>
      <c r="AK26" s="168">
        <v>12693.5</v>
      </c>
      <c r="AL26" s="169">
        <v>13123.8</v>
      </c>
      <c r="AM26" s="168">
        <v>12346.1</v>
      </c>
      <c r="AN26" s="168">
        <v>12577.6</v>
      </c>
      <c r="AO26" s="168">
        <v>13431.2</v>
      </c>
      <c r="AP26" s="169">
        <v>15542.2</v>
      </c>
      <c r="AQ26" s="168">
        <v>15262.4</v>
      </c>
      <c r="AR26" s="168">
        <v>15951.6</v>
      </c>
      <c r="AS26" s="168">
        <f>16323.9</f>
        <v>16323.9</v>
      </c>
      <c r="AT26" s="169">
        <v>18337.599999999999</v>
      </c>
    </row>
    <row r="27" spans="1:46" s="170" customFormat="1" ht="10.8">
      <c r="A27" s="166" t="s">
        <v>251</v>
      </c>
      <c r="B27" s="166" t="s">
        <v>252</v>
      </c>
      <c r="C27" s="167">
        <v>4958.8999999999996</v>
      </c>
      <c r="D27" s="168">
        <v>4501</v>
      </c>
      <c r="E27" s="168">
        <v>4615.3</v>
      </c>
      <c r="F27" s="168">
        <v>4790.3999999999996</v>
      </c>
      <c r="G27" s="167">
        <v>4896.3</v>
      </c>
      <c r="H27" s="168">
        <v>4883.6000000000004</v>
      </c>
      <c r="I27" s="168">
        <v>4833.8</v>
      </c>
      <c r="J27" s="169">
        <v>3881.4</v>
      </c>
      <c r="K27" s="167">
        <v>4114.7</v>
      </c>
      <c r="L27" s="168">
        <v>3988</v>
      </c>
      <c r="M27" s="168">
        <v>4708.2000000000007</v>
      </c>
      <c r="N27" s="169">
        <v>5443.2</v>
      </c>
      <c r="O27" s="167">
        <v>4389.1000000000004</v>
      </c>
      <c r="P27" s="168">
        <v>4140.2</v>
      </c>
      <c r="Q27" s="168">
        <v>4510.7999999999993</v>
      </c>
      <c r="R27" s="169">
        <v>4794.8999999999996</v>
      </c>
      <c r="S27" s="167">
        <v>4275.2</v>
      </c>
      <c r="T27" s="168">
        <v>4544.3</v>
      </c>
      <c r="U27" s="168">
        <v>4947.1000000000004</v>
      </c>
      <c r="V27" s="169">
        <v>5044.3999999999996</v>
      </c>
      <c r="W27" s="167">
        <v>5584</v>
      </c>
      <c r="X27" s="168">
        <v>5322.9</v>
      </c>
      <c r="Y27" s="168">
        <v>5399</v>
      </c>
      <c r="Z27" s="169">
        <v>5329.5</v>
      </c>
      <c r="AA27" s="167">
        <v>5853.5</v>
      </c>
      <c r="AB27" s="168">
        <v>6759.3</v>
      </c>
      <c r="AC27" s="168">
        <v>6432.7</v>
      </c>
      <c r="AD27" s="169">
        <v>6990.2000000000007</v>
      </c>
      <c r="AE27" s="168">
        <v>7311.9</v>
      </c>
      <c r="AF27" s="168">
        <v>7616.7000000000007</v>
      </c>
      <c r="AG27" s="168">
        <f>5482+2355.4</f>
        <v>7837.4</v>
      </c>
      <c r="AH27" s="169">
        <v>9535.8000000000011</v>
      </c>
      <c r="AI27" s="168">
        <v>9129.1</v>
      </c>
      <c r="AJ27" s="168">
        <v>9515.7999999999993</v>
      </c>
      <c r="AK27" s="168">
        <v>9565</v>
      </c>
      <c r="AL27" s="169">
        <v>10470.4</v>
      </c>
      <c r="AM27" s="168">
        <v>10776.4</v>
      </c>
      <c r="AN27" s="168">
        <v>11228.3</v>
      </c>
      <c r="AO27" s="168">
        <v>11187.3</v>
      </c>
      <c r="AP27" s="169">
        <f>8414.4+1438.8</f>
        <v>9853.1999999999989</v>
      </c>
      <c r="AQ27" s="168">
        <f>7932.5+1706.2</f>
        <v>9638.7000000000007</v>
      </c>
      <c r="AR27" s="168">
        <f>7798.7+1349.4</f>
        <v>9148.1</v>
      </c>
      <c r="AS27" s="168">
        <f>8126.8+1376.2</f>
        <v>9503</v>
      </c>
      <c r="AT27" s="169">
        <f>8405.8+2453.1</f>
        <v>10858.9</v>
      </c>
    </row>
    <row r="28" spans="1:46" s="164" customFormat="1" ht="10.8">
      <c r="A28" s="165" t="s">
        <v>253</v>
      </c>
      <c r="B28" s="165" t="s">
        <v>254</v>
      </c>
      <c r="C28" s="160">
        <v>306.20000000000005</v>
      </c>
      <c r="D28" s="161">
        <v>269.19999999999993</v>
      </c>
      <c r="E28" s="161">
        <v>317.79999999999984</v>
      </c>
      <c r="F28" s="161">
        <v>325</v>
      </c>
      <c r="G28" s="160">
        <v>376.5</v>
      </c>
      <c r="H28" s="161">
        <v>384.9</v>
      </c>
      <c r="I28" s="161">
        <v>490.6</v>
      </c>
      <c r="J28" s="162">
        <v>426.5</v>
      </c>
      <c r="K28" s="160">
        <v>519.09999999999991</v>
      </c>
      <c r="L28" s="161">
        <v>503.79999999999995</v>
      </c>
      <c r="M28" s="161">
        <v>544.9</v>
      </c>
      <c r="N28" s="162">
        <v>398.7</v>
      </c>
      <c r="O28" s="160">
        <v>379.5</v>
      </c>
      <c r="P28" s="161">
        <v>394.7</v>
      </c>
      <c r="Q28" s="161">
        <v>397.8</v>
      </c>
      <c r="R28" s="162">
        <v>374.5</v>
      </c>
      <c r="S28" s="160">
        <v>413.1</v>
      </c>
      <c r="T28" s="161">
        <v>427.8</v>
      </c>
      <c r="U28" s="161">
        <v>479.09999999999997</v>
      </c>
      <c r="V28" s="162">
        <v>376.1</v>
      </c>
      <c r="W28" s="160">
        <v>690</v>
      </c>
      <c r="X28" s="161">
        <v>759.30000000000007</v>
      </c>
      <c r="Y28" s="161">
        <v>779.40000000000009</v>
      </c>
      <c r="Z28" s="162">
        <v>827.5</v>
      </c>
      <c r="AA28" s="160">
        <v>855.30000000000007</v>
      </c>
      <c r="AB28" s="161">
        <v>880.4</v>
      </c>
      <c r="AC28" s="161">
        <v>854.00000000000011</v>
      </c>
      <c r="AD28" s="162">
        <v>856.1</v>
      </c>
      <c r="AE28" s="161">
        <v>807.30000000000007</v>
      </c>
      <c r="AF28" s="161">
        <v>929.40000000000009</v>
      </c>
      <c r="AG28" s="161">
        <v>1011.7</v>
      </c>
      <c r="AH28" s="162">
        <v>1083.2</v>
      </c>
      <c r="AI28" s="161">
        <v>940.3</v>
      </c>
      <c r="AJ28" s="161">
        <v>1007.9</v>
      </c>
      <c r="AK28" s="161">
        <v>1089.3</v>
      </c>
      <c r="AL28" s="162">
        <v>1198.7</v>
      </c>
      <c r="AM28" s="161">
        <v>1146.2</v>
      </c>
      <c r="AN28" s="161">
        <v>1641.7</v>
      </c>
      <c r="AO28" s="161">
        <v>1356.6</v>
      </c>
      <c r="AP28" s="162">
        <v>1445.5</v>
      </c>
      <c r="AQ28" s="161">
        <v>1372</v>
      </c>
      <c r="AR28" s="161">
        <v>1583.1</v>
      </c>
      <c r="AS28" s="161">
        <v>1138.5999999999999</v>
      </c>
      <c r="AT28" s="162">
        <v>1241.7</v>
      </c>
    </row>
    <row r="29" spans="1:46" s="164" customFormat="1" ht="10.8">
      <c r="A29" s="203" t="s">
        <v>197</v>
      </c>
      <c r="B29" s="203" t="s">
        <v>198</v>
      </c>
      <c r="C29" s="156">
        <f t="shared" ref="C29:AT29" si="11">SUM(C33,C30)</f>
        <v>22568.300000000003</v>
      </c>
      <c r="D29" s="157">
        <f t="shared" si="11"/>
        <v>22339.8</v>
      </c>
      <c r="E29" s="157">
        <f t="shared" si="11"/>
        <v>23625.7</v>
      </c>
      <c r="F29" s="157">
        <f t="shared" si="11"/>
        <v>25639.5</v>
      </c>
      <c r="G29" s="156">
        <f t="shared" si="11"/>
        <v>27729.800000000003</v>
      </c>
      <c r="H29" s="157">
        <f t="shared" si="11"/>
        <v>28360.799999999999</v>
      </c>
      <c r="I29" s="157">
        <f t="shared" si="11"/>
        <v>32281.5</v>
      </c>
      <c r="J29" s="158">
        <f t="shared" si="11"/>
        <v>28011.299999999996</v>
      </c>
      <c r="K29" s="156">
        <f t="shared" si="11"/>
        <v>28541</v>
      </c>
      <c r="L29" s="157">
        <f t="shared" si="11"/>
        <v>29424.6</v>
      </c>
      <c r="M29" s="157">
        <f t="shared" si="11"/>
        <v>29025.399999999998</v>
      </c>
      <c r="N29" s="158">
        <f t="shared" si="11"/>
        <v>30103.9</v>
      </c>
      <c r="O29" s="156">
        <f t="shared" si="11"/>
        <v>28936.6</v>
      </c>
      <c r="P29" s="157">
        <f t="shared" si="11"/>
        <v>29014.100000000002</v>
      </c>
      <c r="Q29" s="157">
        <f t="shared" si="11"/>
        <v>29629.5</v>
      </c>
      <c r="R29" s="158">
        <f t="shared" si="11"/>
        <v>30167.199999999997</v>
      </c>
      <c r="S29" s="156">
        <f t="shared" si="11"/>
        <v>30248.199999999997</v>
      </c>
      <c r="T29" s="157">
        <f t="shared" si="11"/>
        <v>31261.399999999998</v>
      </c>
      <c r="U29" s="157">
        <f t="shared" si="11"/>
        <v>32475.5</v>
      </c>
      <c r="V29" s="158">
        <f t="shared" si="11"/>
        <v>33481.799999999996</v>
      </c>
      <c r="W29" s="156">
        <f t="shared" si="11"/>
        <v>33741.700000000004</v>
      </c>
      <c r="X29" s="157">
        <f t="shared" si="11"/>
        <v>35249</v>
      </c>
      <c r="Y29" s="157">
        <f t="shared" si="11"/>
        <v>36136.899999999994</v>
      </c>
      <c r="Z29" s="158">
        <f t="shared" si="11"/>
        <v>37683.700000000004</v>
      </c>
      <c r="AA29" s="156">
        <f t="shared" si="11"/>
        <v>39435.100000000006</v>
      </c>
      <c r="AB29" s="157">
        <f t="shared" si="11"/>
        <v>40852.799999999996</v>
      </c>
      <c r="AC29" s="157">
        <f t="shared" si="11"/>
        <v>43104.399999999994</v>
      </c>
      <c r="AD29" s="158">
        <f t="shared" si="11"/>
        <v>43628.9</v>
      </c>
      <c r="AE29" s="157">
        <f t="shared" si="11"/>
        <v>45098.3</v>
      </c>
      <c r="AF29" s="157">
        <f t="shared" si="11"/>
        <v>45989.7</v>
      </c>
      <c r="AG29" s="157">
        <f t="shared" si="11"/>
        <v>47130.400000000001</v>
      </c>
      <c r="AH29" s="158">
        <f t="shared" si="11"/>
        <v>50278.799999999988</v>
      </c>
      <c r="AI29" s="157">
        <f t="shared" si="11"/>
        <v>52507.9</v>
      </c>
      <c r="AJ29" s="157">
        <f t="shared" si="11"/>
        <v>54780.3</v>
      </c>
      <c r="AK29" s="157">
        <f t="shared" si="11"/>
        <v>56001</v>
      </c>
      <c r="AL29" s="158">
        <f t="shared" si="11"/>
        <v>58976.399999999994</v>
      </c>
      <c r="AM29" s="157">
        <f t="shared" si="11"/>
        <v>61808.6</v>
      </c>
      <c r="AN29" s="157">
        <f t="shared" si="11"/>
        <v>63074.2</v>
      </c>
      <c r="AO29" s="157">
        <f t="shared" si="11"/>
        <v>61597.2</v>
      </c>
      <c r="AP29" s="158">
        <f t="shared" si="11"/>
        <v>63615.6</v>
      </c>
      <c r="AQ29" s="157">
        <f t="shared" si="11"/>
        <v>64809.599999999999</v>
      </c>
      <c r="AR29" s="157">
        <f t="shared" si="11"/>
        <v>65147.400000000009</v>
      </c>
      <c r="AS29" s="157">
        <f t="shared" si="11"/>
        <v>65567.199999999997</v>
      </c>
      <c r="AT29" s="157">
        <f t="shared" si="11"/>
        <v>68000.599999999991</v>
      </c>
    </row>
    <row r="30" spans="1:46" s="164" customFormat="1" ht="10.8">
      <c r="A30" s="165" t="s">
        <v>248</v>
      </c>
      <c r="B30" s="165" t="s">
        <v>239</v>
      </c>
      <c r="C30" s="160">
        <f t="shared" ref="C30:AF30" si="12">SUM(C31:C32)</f>
        <v>22505.9</v>
      </c>
      <c r="D30" s="161">
        <f t="shared" si="12"/>
        <v>22032.899999999998</v>
      </c>
      <c r="E30" s="161">
        <f t="shared" si="12"/>
        <v>23343.200000000001</v>
      </c>
      <c r="F30" s="161">
        <f t="shared" si="12"/>
        <v>25392.6</v>
      </c>
      <c r="G30" s="160">
        <f t="shared" si="12"/>
        <v>27654.9</v>
      </c>
      <c r="H30" s="161">
        <f t="shared" si="12"/>
        <v>28277.399999999998</v>
      </c>
      <c r="I30" s="161">
        <f t="shared" si="12"/>
        <v>32225</v>
      </c>
      <c r="J30" s="162">
        <f t="shared" si="12"/>
        <v>27945.699999999997</v>
      </c>
      <c r="K30" s="160">
        <f t="shared" si="12"/>
        <v>28475.8</v>
      </c>
      <c r="L30" s="161">
        <f t="shared" si="12"/>
        <v>29363.1</v>
      </c>
      <c r="M30" s="161">
        <f t="shared" si="12"/>
        <v>28963.399999999998</v>
      </c>
      <c r="N30" s="162">
        <f t="shared" si="12"/>
        <v>30039.7</v>
      </c>
      <c r="O30" s="160">
        <f t="shared" si="12"/>
        <v>28875.8</v>
      </c>
      <c r="P30" s="161">
        <f t="shared" si="12"/>
        <v>28969.9</v>
      </c>
      <c r="Q30" s="161">
        <f t="shared" si="12"/>
        <v>29558</v>
      </c>
      <c r="R30" s="162">
        <f t="shared" si="12"/>
        <v>30117.699999999997</v>
      </c>
      <c r="S30" s="160">
        <f t="shared" si="12"/>
        <v>30146.6</v>
      </c>
      <c r="T30" s="161">
        <f t="shared" si="12"/>
        <v>31154.799999999999</v>
      </c>
      <c r="U30" s="161">
        <f t="shared" si="12"/>
        <v>32412.1</v>
      </c>
      <c r="V30" s="162">
        <f t="shared" si="12"/>
        <v>33434.699999999997</v>
      </c>
      <c r="W30" s="160">
        <f t="shared" si="12"/>
        <v>33696.9</v>
      </c>
      <c r="X30" s="161">
        <f t="shared" si="12"/>
        <v>35197.300000000003</v>
      </c>
      <c r="Y30" s="161">
        <f t="shared" si="12"/>
        <v>36082.699999999997</v>
      </c>
      <c r="Z30" s="162">
        <f t="shared" si="12"/>
        <v>37627.700000000004</v>
      </c>
      <c r="AA30" s="160">
        <f t="shared" si="12"/>
        <v>39370.300000000003</v>
      </c>
      <c r="AB30" s="161">
        <f t="shared" si="12"/>
        <v>40795.799999999996</v>
      </c>
      <c r="AC30" s="161">
        <f t="shared" si="12"/>
        <v>43042.2</v>
      </c>
      <c r="AD30" s="162">
        <f t="shared" si="12"/>
        <v>43563.8</v>
      </c>
      <c r="AE30" s="161">
        <f t="shared" si="12"/>
        <v>45038.3</v>
      </c>
      <c r="AF30" s="161">
        <f t="shared" si="12"/>
        <v>45910.299999999996</v>
      </c>
      <c r="AG30" s="161">
        <f t="shared" ref="AG30:AT30" si="13">SUM(AG31:AG32)</f>
        <v>47067.8</v>
      </c>
      <c r="AH30" s="162">
        <f t="shared" si="13"/>
        <v>50217.099999999991</v>
      </c>
      <c r="AI30" s="161">
        <f t="shared" si="13"/>
        <v>52442</v>
      </c>
      <c r="AJ30" s="161">
        <f t="shared" si="13"/>
        <v>54687.9</v>
      </c>
      <c r="AK30" s="161">
        <f t="shared" si="13"/>
        <v>55918</v>
      </c>
      <c r="AL30" s="162">
        <f t="shared" si="13"/>
        <v>58896.2</v>
      </c>
      <c r="AM30" s="161">
        <f t="shared" si="13"/>
        <v>61729.1</v>
      </c>
      <c r="AN30" s="161">
        <f t="shared" si="13"/>
        <v>63008.799999999996</v>
      </c>
      <c r="AO30" s="161">
        <f t="shared" si="13"/>
        <v>61521</v>
      </c>
      <c r="AP30" s="162">
        <f t="shared" si="13"/>
        <v>63548</v>
      </c>
      <c r="AQ30" s="161">
        <f t="shared" si="13"/>
        <v>64744</v>
      </c>
      <c r="AR30" s="161">
        <f t="shared" si="13"/>
        <v>65081.100000000006</v>
      </c>
      <c r="AS30" s="161">
        <f t="shared" si="13"/>
        <v>65488.6</v>
      </c>
      <c r="AT30" s="161">
        <f t="shared" si="13"/>
        <v>67918.7</v>
      </c>
    </row>
    <row r="31" spans="1:46" s="6" customFormat="1" ht="10.8">
      <c r="A31" s="204" t="s">
        <v>250</v>
      </c>
      <c r="B31" s="204" t="s">
        <v>241</v>
      </c>
      <c r="C31" s="167">
        <v>3030</v>
      </c>
      <c r="D31" s="168">
        <v>2999.1</v>
      </c>
      <c r="E31" s="168">
        <v>2254.1</v>
      </c>
      <c r="F31" s="168">
        <v>2603.8000000000002</v>
      </c>
      <c r="G31" s="167">
        <v>3482.7</v>
      </c>
      <c r="H31" s="168">
        <v>3582.6</v>
      </c>
      <c r="I31" s="168">
        <v>2313.1</v>
      </c>
      <c r="J31" s="169">
        <v>3796.1</v>
      </c>
      <c r="K31" s="167">
        <v>3711.3</v>
      </c>
      <c r="L31" s="168">
        <v>3858.3</v>
      </c>
      <c r="M31" s="168">
        <v>3847.6</v>
      </c>
      <c r="N31" s="169">
        <v>4122.2</v>
      </c>
      <c r="O31" s="167">
        <v>3957.1</v>
      </c>
      <c r="P31" s="168">
        <v>4239.1000000000004</v>
      </c>
      <c r="Q31" s="168">
        <v>4257.5</v>
      </c>
      <c r="R31" s="169">
        <v>4792.3999999999996</v>
      </c>
      <c r="S31" s="167">
        <v>4926.8999999999996</v>
      </c>
      <c r="T31" s="168">
        <v>4957.8</v>
      </c>
      <c r="U31" s="168">
        <v>4880.8</v>
      </c>
      <c r="V31" s="169">
        <v>5065.5</v>
      </c>
      <c r="W31" s="167">
        <v>4983.6000000000004</v>
      </c>
      <c r="X31" s="168">
        <v>5215.3999999999996</v>
      </c>
      <c r="Y31" s="168">
        <v>5909.5999999999995</v>
      </c>
      <c r="Z31" s="169">
        <v>7520.3</v>
      </c>
      <c r="AA31" s="167">
        <v>5464.8</v>
      </c>
      <c r="AB31" s="168">
        <v>5815.2</v>
      </c>
      <c r="AC31" s="168">
        <v>5897.2</v>
      </c>
      <c r="AD31" s="169">
        <v>6456.3</v>
      </c>
      <c r="AE31" s="168">
        <v>6379.1</v>
      </c>
      <c r="AF31" s="168">
        <v>7459.2</v>
      </c>
      <c r="AG31" s="168">
        <v>6924.5999999999995</v>
      </c>
      <c r="AH31" s="169">
        <v>7715.2999999999993</v>
      </c>
      <c r="AI31" s="168">
        <v>10354.5</v>
      </c>
      <c r="AJ31" s="168">
        <v>8702.5</v>
      </c>
      <c r="AK31" s="168">
        <v>9043.6999999999989</v>
      </c>
      <c r="AL31" s="169">
        <v>9875.2000000000007</v>
      </c>
      <c r="AM31" s="168">
        <v>10004.1</v>
      </c>
      <c r="AN31" s="168">
        <v>10769.1</v>
      </c>
      <c r="AO31" s="168">
        <v>11259.2</v>
      </c>
      <c r="AP31" s="169">
        <v>11960.2</v>
      </c>
      <c r="AQ31" s="168">
        <v>12385</v>
      </c>
      <c r="AR31" s="168">
        <v>13167.4</v>
      </c>
      <c r="AS31" s="168">
        <v>13516.9</v>
      </c>
      <c r="AT31" s="169">
        <v>14816.2</v>
      </c>
    </row>
    <row r="32" spans="1:46" s="6" customFormat="1" ht="10.8">
      <c r="A32" s="166" t="s">
        <v>251</v>
      </c>
      <c r="B32" s="166" t="s">
        <v>252</v>
      </c>
      <c r="C32" s="205">
        <v>19475.900000000001</v>
      </c>
      <c r="D32" s="205">
        <v>19033.8</v>
      </c>
      <c r="E32" s="205">
        <v>21089.100000000002</v>
      </c>
      <c r="F32" s="205">
        <v>22788.799999999999</v>
      </c>
      <c r="G32" s="205">
        <v>24172.2</v>
      </c>
      <c r="H32" s="205">
        <v>24694.799999999999</v>
      </c>
      <c r="I32" s="205">
        <v>29911.9</v>
      </c>
      <c r="J32" s="205">
        <v>24149.599999999999</v>
      </c>
      <c r="K32" s="205">
        <v>24764.5</v>
      </c>
      <c r="L32" s="205">
        <v>25504.799999999999</v>
      </c>
      <c r="M32" s="205">
        <v>25115.8</v>
      </c>
      <c r="N32" s="205">
        <v>25917.5</v>
      </c>
      <c r="O32" s="205">
        <v>24918.7</v>
      </c>
      <c r="P32" s="205">
        <v>24730.799999999999</v>
      </c>
      <c r="Q32" s="205">
        <v>25300.5</v>
      </c>
      <c r="R32" s="205">
        <v>25325.3</v>
      </c>
      <c r="S32" s="205">
        <v>25219.7</v>
      </c>
      <c r="T32" s="205">
        <v>26197</v>
      </c>
      <c r="U32" s="205">
        <v>27531.3</v>
      </c>
      <c r="V32" s="205">
        <v>28369.199999999997</v>
      </c>
      <c r="W32" s="205">
        <v>28713.3</v>
      </c>
      <c r="X32" s="205">
        <v>29981.9</v>
      </c>
      <c r="Y32" s="205">
        <v>30173.1</v>
      </c>
      <c r="Z32" s="205">
        <v>30107.4</v>
      </c>
      <c r="AA32" s="205">
        <v>33905.5</v>
      </c>
      <c r="AB32" s="205">
        <v>34980.6</v>
      </c>
      <c r="AC32" s="205">
        <v>37145</v>
      </c>
      <c r="AD32" s="205">
        <v>37107.5</v>
      </c>
      <c r="AE32" s="205">
        <v>38659.200000000004</v>
      </c>
      <c r="AF32" s="205">
        <v>38451.1</v>
      </c>
      <c r="AG32" s="205">
        <v>40143.200000000004</v>
      </c>
      <c r="AH32" s="206">
        <v>42501.799999999996</v>
      </c>
      <c r="AI32" s="205">
        <v>42087.5</v>
      </c>
      <c r="AJ32" s="205">
        <v>45985.4</v>
      </c>
      <c r="AK32" s="205">
        <v>46874.3</v>
      </c>
      <c r="AL32" s="206">
        <v>49021</v>
      </c>
      <c r="AM32" s="205">
        <v>51725</v>
      </c>
      <c r="AN32" s="205">
        <v>52239.7</v>
      </c>
      <c r="AO32" s="205">
        <v>50261.8</v>
      </c>
      <c r="AP32" s="206">
        <f>47726+3861.8</f>
        <v>51587.8</v>
      </c>
      <c r="AQ32" s="205">
        <f>48905+3454</f>
        <v>52359</v>
      </c>
      <c r="AR32" s="205">
        <f>2933.9+48979.8</f>
        <v>51913.700000000004</v>
      </c>
      <c r="AS32" s="205">
        <f>49373+2598.7</f>
        <v>51971.7</v>
      </c>
      <c r="AT32" s="206">
        <f>49767.7+3334.8</f>
        <v>53102.5</v>
      </c>
    </row>
    <row r="33" spans="1:46" s="150" customFormat="1" ht="10.8">
      <c r="A33" s="165" t="s">
        <v>253</v>
      </c>
      <c r="B33" s="165" t="s">
        <v>254</v>
      </c>
      <c r="C33" s="160">
        <v>62.4</v>
      </c>
      <c r="D33" s="161">
        <v>306.89999999999998</v>
      </c>
      <c r="E33" s="161">
        <v>282.5</v>
      </c>
      <c r="F33" s="161">
        <v>246.9</v>
      </c>
      <c r="G33" s="160">
        <v>74.900000000000006</v>
      </c>
      <c r="H33" s="161">
        <v>83.4</v>
      </c>
      <c r="I33" s="161">
        <v>56.5</v>
      </c>
      <c r="J33" s="162">
        <v>65.600000000000009</v>
      </c>
      <c r="K33" s="160">
        <v>65.2</v>
      </c>
      <c r="L33" s="161">
        <v>61.5</v>
      </c>
      <c r="M33" s="161">
        <v>62</v>
      </c>
      <c r="N33" s="162">
        <v>64.2</v>
      </c>
      <c r="O33" s="160">
        <v>60.8</v>
      </c>
      <c r="P33" s="161">
        <v>44.2</v>
      </c>
      <c r="Q33" s="161">
        <v>71.5</v>
      </c>
      <c r="R33" s="162">
        <v>49.5</v>
      </c>
      <c r="S33" s="160">
        <v>101.6</v>
      </c>
      <c r="T33" s="161">
        <v>106.6</v>
      </c>
      <c r="U33" s="161">
        <v>63.400000000000006</v>
      </c>
      <c r="V33" s="162">
        <v>47.1</v>
      </c>
      <c r="W33" s="160">
        <v>44.8</v>
      </c>
      <c r="X33" s="161">
        <v>51.699999999999996</v>
      </c>
      <c r="Y33" s="161">
        <v>54.199999999999996</v>
      </c>
      <c r="Z33" s="162">
        <v>56</v>
      </c>
      <c r="AA33" s="160">
        <v>64.8</v>
      </c>
      <c r="AB33" s="161">
        <v>57</v>
      </c>
      <c r="AC33" s="161">
        <v>62.199999999999996</v>
      </c>
      <c r="AD33" s="162">
        <v>65.099999999999994</v>
      </c>
      <c r="AE33" s="161">
        <v>60</v>
      </c>
      <c r="AF33" s="161">
        <v>79.400000000000006</v>
      </c>
      <c r="AG33" s="161">
        <v>62.6</v>
      </c>
      <c r="AH33" s="162">
        <v>61.699999999999996</v>
      </c>
      <c r="AI33" s="161">
        <v>65.900000000000006</v>
      </c>
      <c r="AJ33" s="161">
        <v>92.4</v>
      </c>
      <c r="AK33" s="161">
        <v>83</v>
      </c>
      <c r="AL33" s="162">
        <v>80.2</v>
      </c>
      <c r="AM33" s="161">
        <v>79.5</v>
      </c>
      <c r="AN33" s="161">
        <v>65.400000000000006</v>
      </c>
      <c r="AO33" s="161">
        <v>76.2</v>
      </c>
      <c r="AP33" s="162">
        <v>67.599999999999994</v>
      </c>
      <c r="AQ33" s="161">
        <v>65.599999999999994</v>
      </c>
      <c r="AR33" s="161">
        <v>66.3</v>
      </c>
      <c r="AS33" s="161">
        <v>78.599999999999994</v>
      </c>
      <c r="AT33" s="162">
        <v>81.900000000000006</v>
      </c>
    </row>
    <row r="34" spans="1:46" s="164" customFormat="1" ht="10.8">
      <c r="A34" s="143" t="s">
        <v>244</v>
      </c>
      <c r="B34" s="143" t="s">
        <v>255</v>
      </c>
      <c r="C34" s="172">
        <f t="shared" ref="C34:AE34" si="14">C24+C29</f>
        <v>33444.9</v>
      </c>
      <c r="D34" s="173">
        <f t="shared" si="14"/>
        <v>33312.699999999997</v>
      </c>
      <c r="E34" s="173">
        <f t="shared" si="14"/>
        <v>34912.6</v>
      </c>
      <c r="F34" s="173">
        <f t="shared" si="14"/>
        <v>38725.300000000003</v>
      </c>
      <c r="G34" s="172">
        <f t="shared" si="14"/>
        <v>39810.700000000004</v>
      </c>
      <c r="H34" s="173">
        <f t="shared" si="14"/>
        <v>40753.4</v>
      </c>
      <c r="I34" s="173">
        <f t="shared" si="14"/>
        <v>45088.3</v>
      </c>
      <c r="J34" s="174">
        <f t="shared" si="14"/>
        <v>39611.299999999996</v>
      </c>
      <c r="K34" s="172">
        <f t="shared" si="14"/>
        <v>39154.1</v>
      </c>
      <c r="L34" s="173">
        <f t="shared" si="14"/>
        <v>39901.399999999994</v>
      </c>
      <c r="M34" s="173">
        <f t="shared" si="14"/>
        <v>40493.199999999997</v>
      </c>
      <c r="N34" s="174">
        <f t="shared" si="14"/>
        <v>42364.3</v>
      </c>
      <c r="O34" s="172">
        <f t="shared" si="14"/>
        <v>41033.699999999997</v>
      </c>
      <c r="P34" s="173">
        <f t="shared" si="14"/>
        <v>40545.5</v>
      </c>
      <c r="Q34" s="173">
        <f t="shared" si="14"/>
        <v>41582.299999999996</v>
      </c>
      <c r="R34" s="174">
        <f t="shared" si="14"/>
        <v>43025.299999999996</v>
      </c>
      <c r="S34" s="172">
        <f t="shared" si="14"/>
        <v>41801.299999999996</v>
      </c>
      <c r="T34" s="173">
        <f t="shared" si="14"/>
        <v>43799.899999999994</v>
      </c>
      <c r="U34" s="173">
        <f t="shared" si="14"/>
        <v>46054.7</v>
      </c>
      <c r="V34" s="174">
        <f t="shared" si="14"/>
        <v>47745.2</v>
      </c>
      <c r="W34" s="172">
        <f t="shared" si="14"/>
        <v>47634.900000000009</v>
      </c>
      <c r="X34" s="173">
        <f t="shared" si="14"/>
        <v>48818.400000000001</v>
      </c>
      <c r="Y34" s="173">
        <f t="shared" si="14"/>
        <v>50048.899999999994</v>
      </c>
      <c r="Z34" s="174">
        <f t="shared" si="14"/>
        <v>52251.100000000006</v>
      </c>
      <c r="AA34" s="172">
        <f t="shared" si="14"/>
        <v>53749.500000000007</v>
      </c>
      <c r="AB34" s="173">
        <f t="shared" si="14"/>
        <v>57471.799999999996</v>
      </c>
      <c r="AC34" s="173">
        <f t="shared" si="14"/>
        <v>60576.7</v>
      </c>
      <c r="AD34" s="174">
        <f t="shared" si="14"/>
        <v>62231.3</v>
      </c>
      <c r="AE34" s="173">
        <f t="shared" si="14"/>
        <v>62610.9</v>
      </c>
      <c r="AF34" s="173">
        <f t="shared" ref="AF34:AT34" si="15">SUM(AF24,AF29)</f>
        <v>65126.400000000001</v>
      </c>
      <c r="AG34" s="173">
        <f t="shared" si="15"/>
        <v>66832.600000000006</v>
      </c>
      <c r="AH34" s="174">
        <f t="shared" si="15"/>
        <v>71539.299999999988</v>
      </c>
      <c r="AI34" s="173">
        <f t="shared" si="15"/>
        <v>73225.8</v>
      </c>
      <c r="AJ34" s="173">
        <f t="shared" si="15"/>
        <v>76942.5</v>
      </c>
      <c r="AK34" s="173">
        <f t="shared" si="15"/>
        <v>79348.800000000003</v>
      </c>
      <c r="AL34" s="174">
        <f t="shared" si="15"/>
        <v>83769.299999999988</v>
      </c>
      <c r="AM34" s="173">
        <f t="shared" si="15"/>
        <v>86077.3</v>
      </c>
      <c r="AN34" s="173">
        <f t="shared" si="15"/>
        <v>88521.8</v>
      </c>
      <c r="AO34" s="173">
        <f t="shared" si="15"/>
        <v>87572.299999999988</v>
      </c>
      <c r="AP34" s="174">
        <f t="shared" si="15"/>
        <v>90456.5</v>
      </c>
      <c r="AQ34" s="173">
        <f t="shared" si="15"/>
        <v>91082.7</v>
      </c>
      <c r="AR34" s="173">
        <f t="shared" si="15"/>
        <v>91830.200000000012</v>
      </c>
      <c r="AS34" s="173">
        <f t="shared" si="15"/>
        <v>92532.7</v>
      </c>
      <c r="AT34" s="173">
        <f t="shared" si="15"/>
        <v>98438.799999999988</v>
      </c>
    </row>
    <row r="35" spans="1:46" s="164" customFormat="1" ht="10.8">
      <c r="A35" s="165"/>
      <c r="B35" s="165"/>
      <c r="C35" s="160"/>
      <c r="D35" s="161"/>
      <c r="E35" s="161"/>
      <c r="F35" s="161"/>
      <c r="G35" s="160"/>
      <c r="H35" s="161"/>
      <c r="I35" s="161"/>
      <c r="J35" s="162"/>
      <c r="K35" s="160"/>
      <c r="L35" s="161"/>
      <c r="M35" s="161"/>
      <c r="N35" s="162"/>
      <c r="O35" s="160"/>
      <c r="P35" s="161"/>
      <c r="Q35" s="161"/>
      <c r="R35" s="162"/>
      <c r="S35" s="160"/>
      <c r="T35" s="161"/>
      <c r="U35" s="161"/>
      <c r="V35" s="162"/>
      <c r="W35" s="160"/>
      <c r="X35" s="161"/>
      <c r="Y35" s="161"/>
      <c r="Z35" s="162"/>
      <c r="AA35" s="160"/>
      <c r="AB35" s="161"/>
      <c r="AC35" s="161"/>
      <c r="AD35" s="162"/>
      <c r="AE35" s="161"/>
      <c r="AF35" s="161"/>
      <c r="AG35" s="161"/>
      <c r="AH35" s="162"/>
      <c r="AI35" s="161"/>
      <c r="AJ35" s="161"/>
      <c r="AK35" s="161"/>
      <c r="AL35" s="162"/>
      <c r="AM35" s="161"/>
      <c r="AN35" s="161"/>
      <c r="AO35" s="161"/>
      <c r="AP35" s="162"/>
      <c r="AQ35" s="161"/>
      <c r="AR35" s="161"/>
      <c r="AS35" s="161"/>
      <c r="AT35" s="162"/>
    </row>
    <row r="36" spans="1:46" s="164" customFormat="1" ht="21.6">
      <c r="A36" s="203" t="s">
        <v>256</v>
      </c>
      <c r="B36" s="203" t="s">
        <v>257</v>
      </c>
      <c r="C36" s="160"/>
      <c r="D36" s="161"/>
      <c r="E36" s="161"/>
      <c r="F36" s="161"/>
      <c r="G36" s="160"/>
      <c r="H36" s="161"/>
      <c r="I36" s="161"/>
      <c r="J36" s="162"/>
      <c r="K36" s="160"/>
      <c r="L36" s="161"/>
      <c r="M36" s="161"/>
      <c r="N36" s="162"/>
      <c r="O36" s="160"/>
      <c r="P36" s="161"/>
      <c r="Q36" s="161"/>
      <c r="R36" s="162"/>
      <c r="S36" s="160"/>
      <c r="T36" s="161"/>
      <c r="U36" s="161"/>
      <c r="V36" s="162"/>
      <c r="W36" s="160"/>
      <c r="X36" s="161"/>
      <c r="Y36" s="161"/>
      <c r="Z36" s="162"/>
      <c r="AA36" s="160"/>
      <c r="AB36" s="161"/>
      <c r="AC36" s="161"/>
      <c r="AD36" s="162"/>
      <c r="AE36" s="161"/>
      <c r="AF36" s="161"/>
      <c r="AG36" s="161"/>
      <c r="AH36" s="162"/>
      <c r="AI36" s="161"/>
      <c r="AJ36" s="161"/>
      <c r="AK36" s="161"/>
      <c r="AL36" s="162"/>
      <c r="AM36" s="161"/>
      <c r="AN36" s="161"/>
      <c r="AO36" s="161"/>
      <c r="AP36" s="162"/>
      <c r="AQ36" s="161"/>
      <c r="AR36" s="161"/>
      <c r="AS36" s="161"/>
      <c r="AT36" s="162"/>
    </row>
    <row r="37" spans="1:46" s="164" customFormat="1" ht="10.8">
      <c r="A37" s="165"/>
      <c r="B37" s="165"/>
      <c r="C37" s="160"/>
      <c r="D37" s="161"/>
      <c r="E37" s="161"/>
      <c r="F37" s="161"/>
      <c r="G37" s="160"/>
      <c r="H37" s="161"/>
      <c r="I37" s="161"/>
      <c r="J37" s="162"/>
      <c r="K37" s="160"/>
      <c r="L37" s="161"/>
      <c r="M37" s="161"/>
      <c r="N37" s="162"/>
      <c r="O37" s="160"/>
      <c r="P37" s="161"/>
      <c r="Q37" s="161"/>
      <c r="R37" s="162"/>
      <c r="S37" s="160"/>
      <c r="T37" s="161"/>
      <c r="U37" s="161"/>
      <c r="V37" s="162"/>
      <c r="W37" s="160"/>
      <c r="X37" s="161"/>
      <c r="Y37" s="161"/>
      <c r="Z37" s="162"/>
      <c r="AA37" s="160"/>
      <c r="AB37" s="161"/>
      <c r="AC37" s="161"/>
      <c r="AD37" s="162"/>
      <c r="AE37" s="161"/>
      <c r="AF37" s="161"/>
      <c r="AG37" s="161"/>
      <c r="AH37" s="162"/>
      <c r="AI37" s="161"/>
      <c r="AJ37" s="161"/>
      <c r="AK37" s="161"/>
      <c r="AL37" s="162"/>
      <c r="AM37" s="161"/>
      <c r="AN37" s="161"/>
      <c r="AO37" s="161"/>
      <c r="AP37" s="162"/>
      <c r="AQ37" s="161"/>
      <c r="AR37" s="161"/>
      <c r="AS37" s="161"/>
      <c r="AT37" s="162"/>
    </row>
    <row r="38" spans="1:46" s="164" customFormat="1" ht="10.8">
      <c r="A38" s="165" t="s">
        <v>225</v>
      </c>
      <c r="B38" s="165" t="s">
        <v>239</v>
      </c>
      <c r="C38" s="160">
        <f>SUM(C39:C40)</f>
        <v>1940.6999999999998</v>
      </c>
      <c r="D38" s="161">
        <f t="shared" ref="D38:AT38" si="16">SUM(D39:D40)</f>
        <v>2130.1999999999998</v>
      </c>
      <c r="E38" s="161">
        <f t="shared" si="16"/>
        <v>2223.5</v>
      </c>
      <c r="F38" s="161">
        <f t="shared" si="16"/>
        <v>2572.4</v>
      </c>
      <c r="G38" s="160">
        <f t="shared" si="16"/>
        <v>2375</v>
      </c>
      <c r="H38" s="161">
        <f t="shared" si="16"/>
        <v>2885.4</v>
      </c>
      <c r="I38" s="161">
        <f t="shared" si="16"/>
        <v>2562.9</v>
      </c>
      <c r="J38" s="162">
        <f t="shared" si="16"/>
        <v>2886.2</v>
      </c>
      <c r="K38" s="160">
        <f t="shared" si="16"/>
        <v>2195.5</v>
      </c>
      <c r="L38" s="161">
        <f t="shared" si="16"/>
        <v>1661</v>
      </c>
      <c r="M38" s="161">
        <f t="shared" si="16"/>
        <v>1679.3</v>
      </c>
      <c r="N38" s="162">
        <f t="shared" si="16"/>
        <v>1508.2</v>
      </c>
      <c r="O38" s="160">
        <f t="shared" si="16"/>
        <v>1525.6000000000001</v>
      </c>
      <c r="P38" s="161">
        <f t="shared" si="16"/>
        <v>1382.5</v>
      </c>
      <c r="Q38" s="161">
        <f t="shared" si="16"/>
        <v>2799.2</v>
      </c>
      <c r="R38" s="162">
        <f t="shared" si="16"/>
        <v>1695</v>
      </c>
      <c r="S38" s="160">
        <f t="shared" si="16"/>
        <v>1787.3000000000002</v>
      </c>
      <c r="T38" s="161">
        <f t="shared" si="16"/>
        <v>1637.3000000000002</v>
      </c>
      <c r="U38" s="161">
        <f t="shared" si="16"/>
        <v>2223.1999999999998</v>
      </c>
      <c r="V38" s="162">
        <f t="shared" si="16"/>
        <v>2102.6</v>
      </c>
      <c r="W38" s="160">
        <f t="shared" si="16"/>
        <v>1680</v>
      </c>
      <c r="X38" s="161">
        <f t="shared" si="16"/>
        <v>1643.2</v>
      </c>
      <c r="Y38" s="161">
        <f t="shared" si="16"/>
        <v>1632.2</v>
      </c>
      <c r="Z38" s="162">
        <f t="shared" si="16"/>
        <v>2099</v>
      </c>
      <c r="AA38" s="160">
        <f t="shared" si="16"/>
        <v>1881.6999999999998</v>
      </c>
      <c r="AB38" s="161">
        <f t="shared" si="16"/>
        <v>1933.9</v>
      </c>
      <c r="AC38" s="161">
        <f t="shared" si="16"/>
        <v>1938.8000000000002</v>
      </c>
      <c r="AD38" s="162">
        <f t="shared" si="16"/>
        <v>2090.8000000000002</v>
      </c>
      <c r="AE38" s="161">
        <f t="shared" si="16"/>
        <v>2016.7</v>
      </c>
      <c r="AF38" s="161">
        <f t="shared" si="16"/>
        <v>1910.5</v>
      </c>
      <c r="AG38" s="161">
        <f t="shared" si="16"/>
        <v>1936.8</v>
      </c>
      <c r="AH38" s="162">
        <f t="shared" si="16"/>
        <v>1868.5</v>
      </c>
      <c r="AI38" s="161">
        <f t="shared" si="16"/>
        <v>1948.1</v>
      </c>
      <c r="AJ38" s="161">
        <f t="shared" si="16"/>
        <v>1705.5</v>
      </c>
      <c r="AK38" s="161">
        <f t="shared" si="16"/>
        <v>1777.6000000000001</v>
      </c>
      <c r="AL38" s="162">
        <f t="shared" si="16"/>
        <v>1619.5</v>
      </c>
      <c r="AM38" s="161">
        <f t="shared" si="16"/>
        <v>1786.1999999999998</v>
      </c>
      <c r="AN38" s="161">
        <f t="shared" si="16"/>
        <v>2252.2999999999997</v>
      </c>
      <c r="AO38" s="161">
        <f t="shared" si="16"/>
        <v>1944.6999999999998</v>
      </c>
      <c r="AP38" s="162">
        <f t="shared" si="16"/>
        <v>1740.8</v>
      </c>
      <c r="AQ38" s="161">
        <f t="shared" si="16"/>
        <v>2572.5</v>
      </c>
      <c r="AR38" s="161">
        <f t="shared" si="16"/>
        <v>1755.6000000000001</v>
      </c>
      <c r="AS38" s="161">
        <f t="shared" si="16"/>
        <v>2301.3000000000002</v>
      </c>
      <c r="AT38" s="161">
        <f t="shared" si="16"/>
        <v>1773.9</v>
      </c>
    </row>
    <row r="39" spans="1:46" s="170" customFormat="1" ht="10.8">
      <c r="A39" s="166" t="s">
        <v>240</v>
      </c>
      <c r="B39" s="166" t="s">
        <v>241</v>
      </c>
      <c r="C39" s="167">
        <v>852.5</v>
      </c>
      <c r="D39" s="168">
        <v>910</v>
      </c>
      <c r="E39" s="168">
        <v>1104.9000000000001</v>
      </c>
      <c r="F39" s="168">
        <v>2028.9</v>
      </c>
      <c r="G39" s="167">
        <v>1264.2</v>
      </c>
      <c r="H39" s="168">
        <v>1695.5</v>
      </c>
      <c r="I39" s="168">
        <v>1176.2</v>
      </c>
      <c r="J39" s="169">
        <v>2400.6999999999998</v>
      </c>
      <c r="K39" s="167">
        <v>1266.0999999999999</v>
      </c>
      <c r="L39" s="168">
        <v>1182.3</v>
      </c>
      <c r="M39" s="168">
        <v>1198.3</v>
      </c>
      <c r="N39" s="169">
        <v>1304</v>
      </c>
      <c r="O39" s="167">
        <v>1141.4000000000001</v>
      </c>
      <c r="P39" s="168">
        <v>1081.4000000000001</v>
      </c>
      <c r="Q39" s="168">
        <v>1878.3</v>
      </c>
      <c r="R39" s="169">
        <v>1455.3</v>
      </c>
      <c r="S39" s="167">
        <v>1357.9</v>
      </c>
      <c r="T39" s="168">
        <v>1285.7</v>
      </c>
      <c r="U39" s="168">
        <v>1569.5</v>
      </c>
      <c r="V39" s="169">
        <v>1930.9</v>
      </c>
      <c r="W39" s="167">
        <v>1216.3</v>
      </c>
      <c r="X39" s="168">
        <v>1254.5</v>
      </c>
      <c r="Y39" s="168">
        <v>1318.5</v>
      </c>
      <c r="Z39" s="169">
        <v>1982.1</v>
      </c>
      <c r="AA39" s="167">
        <v>1446.1</v>
      </c>
      <c r="AB39" s="168">
        <v>1501.7</v>
      </c>
      <c r="AC39" s="168">
        <v>1511.7</v>
      </c>
      <c r="AD39" s="169">
        <v>2029</v>
      </c>
      <c r="AE39" s="168">
        <v>1589</v>
      </c>
      <c r="AF39" s="168">
        <v>1625.2</v>
      </c>
      <c r="AG39" s="168">
        <v>1622.5</v>
      </c>
      <c r="AH39" s="169">
        <v>1809.4</v>
      </c>
      <c r="AI39" s="168">
        <v>1577.6</v>
      </c>
      <c r="AJ39" s="168">
        <v>1549.5</v>
      </c>
      <c r="AK39" s="168">
        <v>1657.4</v>
      </c>
      <c r="AL39" s="169">
        <v>1530.6</v>
      </c>
      <c r="AM39" s="168">
        <v>1669.6</v>
      </c>
      <c r="AN39" s="168">
        <v>2091.6999999999998</v>
      </c>
      <c r="AO39" s="168">
        <v>1747.1</v>
      </c>
      <c r="AP39" s="169">
        <v>1684.3</v>
      </c>
      <c r="AQ39" s="168">
        <v>1693.5</v>
      </c>
      <c r="AR39" s="168">
        <v>1647.2</v>
      </c>
      <c r="AS39" s="168">
        <v>1705.6</v>
      </c>
      <c r="AT39" s="169">
        <v>1712.7</v>
      </c>
    </row>
    <row r="40" spans="1:46" s="6" customFormat="1" ht="10.8">
      <c r="A40" s="166" t="s">
        <v>242</v>
      </c>
      <c r="B40" s="166" t="s">
        <v>243</v>
      </c>
      <c r="C40" s="167">
        <f>1086.6+1.6</f>
        <v>1088.1999999999998</v>
      </c>
      <c r="D40" s="168">
        <f>1218.2+2</f>
        <v>1220.2</v>
      </c>
      <c r="E40" s="168">
        <f>1116.5+2.1</f>
        <v>1118.5999999999999</v>
      </c>
      <c r="F40" s="168">
        <v>543.5</v>
      </c>
      <c r="G40" s="167">
        <v>1110.8</v>
      </c>
      <c r="H40" s="168">
        <v>1189.9000000000001</v>
      </c>
      <c r="I40" s="168">
        <v>1386.7</v>
      </c>
      <c r="J40" s="169">
        <v>485.5</v>
      </c>
      <c r="K40" s="167">
        <v>929.4</v>
      </c>
      <c r="L40" s="168">
        <v>478.7</v>
      </c>
      <c r="M40" s="168">
        <v>481</v>
      </c>
      <c r="N40" s="169">
        <v>204.2</v>
      </c>
      <c r="O40" s="167">
        <v>384.2</v>
      </c>
      <c r="P40" s="168">
        <v>301.10000000000002</v>
      </c>
      <c r="Q40" s="168">
        <v>920.9</v>
      </c>
      <c r="R40" s="169">
        <v>239.7</v>
      </c>
      <c r="S40" s="167">
        <v>429.4</v>
      </c>
      <c r="T40" s="168">
        <v>351.6</v>
      </c>
      <c r="U40" s="168">
        <v>653.70000000000005</v>
      </c>
      <c r="V40" s="169">
        <v>171.7</v>
      </c>
      <c r="W40" s="167">
        <v>463.7</v>
      </c>
      <c r="X40" s="168">
        <v>388.7</v>
      </c>
      <c r="Y40" s="168">
        <v>313.7</v>
      </c>
      <c r="Z40" s="169">
        <v>116.9</v>
      </c>
      <c r="AA40" s="167">
        <v>435.6</v>
      </c>
      <c r="AB40" s="168">
        <v>432.2</v>
      </c>
      <c r="AC40" s="168">
        <v>427.1</v>
      </c>
      <c r="AD40" s="169">
        <v>61.8</v>
      </c>
      <c r="AE40" s="168">
        <v>427.7</v>
      </c>
      <c r="AF40" s="168">
        <v>285.3</v>
      </c>
      <c r="AG40" s="168">
        <v>314.3</v>
      </c>
      <c r="AH40" s="169">
        <v>59.1</v>
      </c>
      <c r="AI40" s="168">
        <v>370.5</v>
      </c>
      <c r="AJ40" s="168">
        <v>156</v>
      </c>
      <c r="AK40" s="168">
        <v>120.2</v>
      </c>
      <c r="AL40" s="169">
        <v>88.9</v>
      </c>
      <c r="AM40" s="168">
        <v>116.60000000000001</v>
      </c>
      <c r="AN40" s="168">
        <v>160.6</v>
      </c>
      <c r="AO40" s="168">
        <v>197.6</v>
      </c>
      <c r="AP40" s="169">
        <v>56.5</v>
      </c>
      <c r="AQ40" s="168">
        <v>879</v>
      </c>
      <c r="AR40" s="168">
        <v>108.4</v>
      </c>
      <c r="AS40" s="168">
        <v>595.70000000000005</v>
      </c>
      <c r="AT40" s="169">
        <v>61.2</v>
      </c>
    </row>
    <row r="41" spans="1:46" s="150" customFormat="1" ht="10.8">
      <c r="A41" s="150" t="s">
        <v>227</v>
      </c>
      <c r="B41" s="150" t="s">
        <v>228</v>
      </c>
      <c r="C41" s="160">
        <v>1.4</v>
      </c>
      <c r="D41" s="161">
        <v>0.7</v>
      </c>
      <c r="E41" s="161">
        <v>9.3000000000000007</v>
      </c>
      <c r="F41" s="161">
        <v>6.6</v>
      </c>
      <c r="G41" s="160">
        <v>7.2</v>
      </c>
      <c r="H41" s="161">
        <v>4.5999999999999996</v>
      </c>
      <c r="I41" s="161">
        <v>2.2000000000000002</v>
      </c>
      <c r="J41" s="162">
        <v>16</v>
      </c>
      <c r="K41" s="160">
        <v>4.5</v>
      </c>
      <c r="L41" s="161">
        <v>13.7</v>
      </c>
      <c r="M41" s="161">
        <v>5.5</v>
      </c>
      <c r="N41" s="162">
        <v>1.1000000000000001</v>
      </c>
      <c r="O41" s="160">
        <v>0.6</v>
      </c>
      <c r="P41" s="161">
        <v>0.6</v>
      </c>
      <c r="Q41" s="161">
        <v>0.6</v>
      </c>
      <c r="R41" s="162">
        <v>1.9</v>
      </c>
      <c r="S41" s="160">
        <v>2.1</v>
      </c>
      <c r="T41" s="161">
        <v>2.2000000000000002</v>
      </c>
      <c r="U41" s="161">
        <v>2.1</v>
      </c>
      <c r="V41" s="162">
        <v>2.1</v>
      </c>
      <c r="W41" s="160">
        <v>1.9</v>
      </c>
      <c r="X41" s="161">
        <v>1.4</v>
      </c>
      <c r="Y41" s="161">
        <v>1.6</v>
      </c>
      <c r="Z41" s="162">
        <v>3.6</v>
      </c>
      <c r="AA41" s="160">
        <v>54.9</v>
      </c>
      <c r="AB41" s="161">
        <v>51.9</v>
      </c>
      <c r="AC41" s="161">
        <v>7.7</v>
      </c>
      <c r="AD41" s="162">
        <v>9.6</v>
      </c>
      <c r="AE41" s="161">
        <v>6</v>
      </c>
      <c r="AF41" s="161">
        <v>10.8</v>
      </c>
      <c r="AG41" s="161">
        <v>7.3</v>
      </c>
      <c r="AH41" s="162">
        <v>7.3</v>
      </c>
      <c r="AI41" s="161">
        <v>6.5</v>
      </c>
      <c r="AJ41" s="161">
        <v>18.899999999999999</v>
      </c>
      <c r="AK41" s="161">
        <v>9.8000000000000007</v>
      </c>
      <c r="AL41" s="162">
        <v>12.4</v>
      </c>
      <c r="AM41" s="161">
        <v>11.600000000000001</v>
      </c>
      <c r="AN41" s="161">
        <v>9.1</v>
      </c>
      <c r="AO41" s="161">
        <v>12.1</v>
      </c>
      <c r="AP41" s="162">
        <v>10.199999999999999</v>
      </c>
      <c r="AQ41" s="161">
        <v>7.9</v>
      </c>
      <c r="AR41" s="161">
        <v>7.5</v>
      </c>
      <c r="AS41" s="161">
        <v>10.3</v>
      </c>
      <c r="AT41" s="162">
        <v>32.199999999999996</v>
      </c>
    </row>
    <row r="42" spans="1:46" s="164" customFormat="1" ht="10.8">
      <c r="A42" s="143" t="s">
        <v>244</v>
      </c>
      <c r="B42" s="143" t="s">
        <v>255</v>
      </c>
      <c r="C42" s="172">
        <f t="shared" ref="C42:AT42" si="17">C38+C41</f>
        <v>1942.1</v>
      </c>
      <c r="D42" s="173">
        <f t="shared" si="17"/>
        <v>2130.8999999999996</v>
      </c>
      <c r="E42" s="173">
        <f t="shared" si="17"/>
        <v>2232.8000000000002</v>
      </c>
      <c r="F42" s="173">
        <f t="shared" si="17"/>
        <v>2579</v>
      </c>
      <c r="G42" s="172">
        <f t="shared" si="17"/>
        <v>2382.1999999999998</v>
      </c>
      <c r="H42" s="173">
        <f t="shared" si="17"/>
        <v>2890</v>
      </c>
      <c r="I42" s="173">
        <f t="shared" si="17"/>
        <v>2565.1</v>
      </c>
      <c r="J42" s="174">
        <f t="shared" si="17"/>
        <v>2902.2</v>
      </c>
      <c r="K42" s="172">
        <f t="shared" si="17"/>
        <v>2200</v>
      </c>
      <c r="L42" s="173">
        <f t="shared" si="17"/>
        <v>1674.7</v>
      </c>
      <c r="M42" s="173">
        <f t="shared" si="17"/>
        <v>1684.8</v>
      </c>
      <c r="N42" s="174">
        <f t="shared" si="17"/>
        <v>1509.3</v>
      </c>
      <c r="O42" s="172">
        <f t="shared" si="17"/>
        <v>1526.2</v>
      </c>
      <c r="P42" s="173">
        <f t="shared" si="17"/>
        <v>1383.1</v>
      </c>
      <c r="Q42" s="173">
        <f t="shared" si="17"/>
        <v>2799.7999999999997</v>
      </c>
      <c r="R42" s="174">
        <f t="shared" si="17"/>
        <v>1696.9</v>
      </c>
      <c r="S42" s="172">
        <f t="shared" si="17"/>
        <v>1789.4</v>
      </c>
      <c r="T42" s="173">
        <f t="shared" si="17"/>
        <v>1639.5000000000002</v>
      </c>
      <c r="U42" s="173">
        <f t="shared" si="17"/>
        <v>2225.2999999999997</v>
      </c>
      <c r="V42" s="174">
        <f t="shared" si="17"/>
        <v>2104.6999999999998</v>
      </c>
      <c r="W42" s="172">
        <f t="shared" si="17"/>
        <v>1681.9</v>
      </c>
      <c r="X42" s="173">
        <f t="shared" si="17"/>
        <v>1644.6000000000001</v>
      </c>
      <c r="Y42" s="173">
        <f t="shared" si="17"/>
        <v>1633.8</v>
      </c>
      <c r="Z42" s="174">
        <f t="shared" si="17"/>
        <v>2102.6</v>
      </c>
      <c r="AA42" s="172">
        <f t="shared" si="17"/>
        <v>1936.6</v>
      </c>
      <c r="AB42" s="173">
        <f t="shared" si="17"/>
        <v>1985.8000000000002</v>
      </c>
      <c r="AC42" s="173">
        <f t="shared" si="17"/>
        <v>1946.5000000000002</v>
      </c>
      <c r="AD42" s="174">
        <f t="shared" si="17"/>
        <v>2100.4</v>
      </c>
      <c r="AE42" s="173">
        <f t="shared" si="17"/>
        <v>2022.7</v>
      </c>
      <c r="AF42" s="173">
        <f t="shared" si="17"/>
        <v>1921.3</v>
      </c>
      <c r="AG42" s="173">
        <f t="shared" si="17"/>
        <v>1944.1</v>
      </c>
      <c r="AH42" s="174">
        <f t="shared" si="17"/>
        <v>1875.8</v>
      </c>
      <c r="AI42" s="173">
        <f t="shared" si="17"/>
        <v>1954.6</v>
      </c>
      <c r="AJ42" s="173">
        <f t="shared" si="17"/>
        <v>1724.4</v>
      </c>
      <c r="AK42" s="173">
        <f t="shared" si="17"/>
        <v>1787.4</v>
      </c>
      <c r="AL42" s="174">
        <f t="shared" si="17"/>
        <v>1631.9</v>
      </c>
      <c r="AM42" s="173">
        <f t="shared" si="17"/>
        <v>1797.7999999999997</v>
      </c>
      <c r="AN42" s="173">
        <f t="shared" si="17"/>
        <v>2261.3999999999996</v>
      </c>
      <c r="AO42" s="173">
        <f t="shared" si="17"/>
        <v>1956.7999999999997</v>
      </c>
      <c r="AP42" s="174">
        <f t="shared" si="17"/>
        <v>1751</v>
      </c>
      <c r="AQ42" s="173">
        <f t="shared" si="17"/>
        <v>2580.4</v>
      </c>
      <c r="AR42" s="173">
        <f t="shared" si="17"/>
        <v>1763.1000000000001</v>
      </c>
      <c r="AS42" s="173">
        <f t="shared" si="17"/>
        <v>2311.6000000000004</v>
      </c>
      <c r="AT42" s="173">
        <f t="shared" si="17"/>
        <v>1806.1000000000001</v>
      </c>
    </row>
    <row r="44" spans="1:46" hidden="1">
      <c r="C44" s="201"/>
      <c r="D44" s="201"/>
      <c r="E44" s="201"/>
      <c r="F44" s="201"/>
      <c r="G44" s="201"/>
      <c r="H44" s="201"/>
      <c r="I44" s="201"/>
      <c r="J44" s="201"/>
      <c r="K44" s="201"/>
      <c r="L44" s="201"/>
      <c r="M44" s="201"/>
      <c r="N44" s="201"/>
      <c r="O44" s="201"/>
      <c r="P44" s="201"/>
      <c r="Q44" s="201"/>
      <c r="R44" s="201"/>
    </row>
    <row r="46" spans="1:46" hidden="1">
      <c r="C46" s="201"/>
      <c r="D46" s="201"/>
      <c r="E46" s="201"/>
      <c r="F46" s="201"/>
      <c r="G46" s="201"/>
      <c r="H46" s="201"/>
      <c r="I46" s="201"/>
      <c r="J46" s="201"/>
      <c r="K46" s="201"/>
      <c r="L46" s="201"/>
      <c r="M46" s="201"/>
      <c r="N46" s="201"/>
      <c r="O46" s="201"/>
      <c r="P46" s="201"/>
      <c r="Q46" s="201"/>
      <c r="R46" s="201"/>
      <c r="S46" s="201"/>
      <c r="T46" s="201"/>
      <c r="U46" s="201"/>
      <c r="V46" s="201"/>
      <c r="W46" s="201"/>
      <c r="X46" s="201"/>
      <c r="Y46" s="201"/>
      <c r="Z46" s="201"/>
      <c r="AA46" s="201"/>
      <c r="AB46" s="201"/>
      <c r="AC46" s="201"/>
      <c r="AD46" s="201"/>
      <c r="AE46" s="201"/>
      <c r="AF46" s="201"/>
      <c r="AG46" s="201"/>
      <c r="AH46" s="201"/>
      <c r="AI46" s="201"/>
      <c r="AJ46" s="201"/>
      <c r="AK46" s="201"/>
      <c r="AL46" s="201"/>
      <c r="AM46" s="201"/>
      <c r="AN46" s="201"/>
      <c r="AO46" s="201"/>
      <c r="AP46" s="201"/>
      <c r="AQ46" s="201"/>
      <c r="AS46" s="201"/>
      <c r="AT46" s="201"/>
    </row>
  </sheetData>
  <mergeCells count="13">
    <mergeCell ref="AQ4:AT4"/>
    <mergeCell ref="S4:V4"/>
    <mergeCell ref="W4:Z4"/>
    <mergeCell ref="AA4:AD4"/>
    <mergeCell ref="AE4:AH4"/>
    <mergeCell ref="AI4:AL4"/>
    <mergeCell ref="AM4:AP4"/>
    <mergeCell ref="O4:R4"/>
    <mergeCell ref="A4:A5"/>
    <mergeCell ref="B4:B5"/>
    <mergeCell ref="C4:F4"/>
    <mergeCell ref="G4:J4"/>
    <mergeCell ref="K4:N4"/>
  </mergeCells>
  <hyperlinks>
    <hyperlink ref="A1:B1" location="'Spis tresci_Table of content'!Print_Area" display="Go back to Table of content" xr:uid="{E565BF92-1940-4640-BF26-78BF587C362A}"/>
    <hyperlink ref="A2:B2" location="'Spis tresci_Table of content'!Print_Area" display="Go back to Table of content" xr:uid="{E1CE3A14-CD42-40E2-95F8-3C748C9CE7B4}"/>
    <hyperlink ref="A2" location="'Spis tresci_Table of content'!A1" display="Go back to Table of content" xr:uid="{8A5A4DAD-E08D-4BCA-B43A-3456A308C2E3}"/>
    <hyperlink ref="B2" location="'Spis tresci_Table of content'!A1" display="Powrót do spisu treści" xr:uid="{B56D417D-D945-4331-A280-5F98BEA85EB2}"/>
  </hyperlink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ECFF2-8777-4DB4-8AC6-C62B32BDE2D3}">
  <dimension ref="A1:BN98"/>
  <sheetViews>
    <sheetView showGridLines="0" zoomScaleNormal="100" zoomScaleSheetLayoutView="100" zoomScalePageLayoutView="80" workbookViewId="0">
      <pane xSplit="2" ySplit="5" topLeftCell="AJ80" activePane="bottomRight" state="frozen"/>
      <selection activeCell="B29" sqref="B29"/>
      <selection pane="topRight" activeCell="B29" sqref="B29"/>
      <selection pane="bottomLeft" activeCell="B29" sqref="B29"/>
      <selection pane="bottomRight"/>
    </sheetView>
  </sheetViews>
  <sheetFormatPr defaultColWidth="0" defaultRowHeight="13.8" zeroHeight="1" outlineLevelCol="1"/>
  <cols>
    <col min="1" max="1" width="54.109375" style="4" customWidth="1" outlineLevel="1"/>
    <col min="2" max="2" width="55.6640625" style="4" customWidth="1"/>
    <col min="3" max="46" width="8.109375" style="2" customWidth="1"/>
    <col min="47" max="66" width="0" style="2" hidden="1" customWidth="1"/>
    <col min="67" max="16384" width="8.88671875" style="2" hidden="1"/>
  </cols>
  <sheetData>
    <row r="1" spans="1:51">
      <c r="A1" s="1" t="s">
        <v>0</v>
      </c>
      <c r="B1" s="1" t="s">
        <v>1</v>
      </c>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Y1" s="151"/>
    </row>
    <row r="2" spans="1:51">
      <c r="A2" s="152" t="s">
        <v>4</v>
      </c>
      <c r="B2" s="152" t="s">
        <v>5</v>
      </c>
      <c r="C2" s="153"/>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S2" s="153"/>
      <c r="AT2" s="153"/>
    </row>
    <row r="3" spans="1:51">
      <c r="A3" s="536" t="s">
        <v>117</v>
      </c>
      <c r="B3" s="536" t="s">
        <v>118</v>
      </c>
      <c r="C3" s="533">
        <v>2007</v>
      </c>
      <c r="D3" s="534"/>
      <c r="E3" s="534"/>
      <c r="F3" s="534"/>
      <c r="G3" s="533">
        <v>2008</v>
      </c>
      <c r="H3" s="534"/>
      <c r="I3" s="534"/>
      <c r="J3" s="534"/>
      <c r="K3" s="533">
        <v>2009</v>
      </c>
      <c r="L3" s="534"/>
      <c r="M3" s="534"/>
      <c r="N3" s="534"/>
      <c r="O3" s="533">
        <v>2010</v>
      </c>
      <c r="P3" s="534"/>
      <c r="Q3" s="534"/>
      <c r="R3" s="534"/>
      <c r="S3" s="533">
        <v>2011</v>
      </c>
      <c r="T3" s="534"/>
      <c r="U3" s="534"/>
      <c r="V3" s="534"/>
      <c r="W3" s="533">
        <v>2012</v>
      </c>
      <c r="X3" s="534"/>
      <c r="Y3" s="534"/>
      <c r="Z3" s="535"/>
      <c r="AA3" s="533">
        <v>2013</v>
      </c>
      <c r="AB3" s="534"/>
      <c r="AC3" s="534"/>
      <c r="AD3" s="535"/>
      <c r="AE3" s="540">
        <v>2014</v>
      </c>
      <c r="AF3" s="534"/>
      <c r="AG3" s="534"/>
      <c r="AH3" s="535"/>
      <c r="AI3" s="540">
        <v>2015</v>
      </c>
      <c r="AJ3" s="534"/>
      <c r="AK3" s="534"/>
      <c r="AL3" s="535"/>
      <c r="AM3" s="540">
        <v>2016</v>
      </c>
      <c r="AN3" s="534"/>
      <c r="AO3" s="534"/>
      <c r="AP3" s="535"/>
      <c r="AQ3" s="604">
        <v>2017</v>
      </c>
      <c r="AR3" s="605"/>
      <c r="AS3" s="605"/>
      <c r="AT3" s="605"/>
    </row>
    <row r="4" spans="1:51">
      <c r="A4" s="537"/>
      <c r="B4" s="537"/>
      <c r="C4" s="11" t="s">
        <v>8</v>
      </c>
      <c r="D4" s="12" t="s">
        <v>9</v>
      </c>
      <c r="E4" s="12" t="s">
        <v>10</v>
      </c>
      <c r="F4" s="12" t="s">
        <v>11</v>
      </c>
      <c r="G4" s="11" t="s">
        <v>8</v>
      </c>
      <c r="H4" s="12" t="s">
        <v>9</v>
      </c>
      <c r="I4" s="12" t="s">
        <v>10</v>
      </c>
      <c r="J4" s="12" t="s">
        <v>11</v>
      </c>
      <c r="K4" s="11" t="s">
        <v>8</v>
      </c>
      <c r="L4" s="12" t="s">
        <v>9</v>
      </c>
      <c r="M4" s="12" t="s">
        <v>10</v>
      </c>
      <c r="N4" s="12" t="s">
        <v>11</v>
      </c>
      <c r="O4" s="11" t="s">
        <v>8</v>
      </c>
      <c r="P4" s="12" t="s">
        <v>9</v>
      </c>
      <c r="Q4" s="12" t="s">
        <v>10</v>
      </c>
      <c r="R4" s="12" t="s">
        <v>11</v>
      </c>
      <c r="S4" s="11" t="s">
        <v>8</v>
      </c>
      <c r="T4" s="12" t="s">
        <v>9</v>
      </c>
      <c r="U4" s="12" t="s">
        <v>10</v>
      </c>
      <c r="V4" s="12" t="s">
        <v>11</v>
      </c>
      <c r="W4" s="11" t="s">
        <v>8</v>
      </c>
      <c r="X4" s="12" t="s">
        <v>9</v>
      </c>
      <c r="Y4" s="12" t="s">
        <v>10</v>
      </c>
      <c r="Z4" s="13" t="s">
        <v>11</v>
      </c>
      <c r="AA4" s="11" t="s">
        <v>8</v>
      </c>
      <c r="AB4" s="12" t="s">
        <v>9</v>
      </c>
      <c r="AC4" s="12" t="s">
        <v>10</v>
      </c>
      <c r="AD4" s="13" t="s">
        <v>11</v>
      </c>
      <c r="AE4" s="15" t="s">
        <v>8</v>
      </c>
      <c r="AF4" s="14" t="s">
        <v>9</v>
      </c>
      <c r="AG4" s="14" t="s">
        <v>10</v>
      </c>
      <c r="AH4" s="16" t="s">
        <v>11</v>
      </c>
      <c r="AI4" s="14" t="s">
        <v>8</v>
      </c>
      <c r="AJ4" s="14" t="s">
        <v>9</v>
      </c>
      <c r="AK4" s="14" t="s">
        <v>10</v>
      </c>
      <c r="AL4" s="16" t="s">
        <v>11</v>
      </c>
      <c r="AM4" s="14" t="s">
        <v>8</v>
      </c>
      <c r="AN4" s="14" t="s">
        <v>9</v>
      </c>
      <c r="AO4" s="14" t="s">
        <v>10</v>
      </c>
      <c r="AP4" s="16" t="s">
        <v>11</v>
      </c>
      <c r="AQ4" s="14" t="s">
        <v>8</v>
      </c>
      <c r="AR4" s="14" t="s">
        <v>9</v>
      </c>
      <c r="AS4" s="14" t="s">
        <v>10</v>
      </c>
      <c r="AT4" s="16" t="s">
        <v>11</v>
      </c>
    </row>
    <row r="5" spans="1:51" s="150" customFormat="1" ht="12.75" customHeight="1">
      <c r="A5" s="17" t="s">
        <v>12</v>
      </c>
      <c r="B5" s="17" t="s">
        <v>13</v>
      </c>
      <c r="C5" s="18"/>
      <c r="D5" s="19"/>
      <c r="E5" s="20"/>
      <c r="F5" s="19"/>
      <c r="G5" s="18"/>
      <c r="H5" s="19"/>
      <c r="I5" s="20"/>
      <c r="J5" s="21"/>
      <c r="K5" s="18"/>
      <c r="L5" s="19"/>
      <c r="M5" s="20"/>
      <c r="N5" s="21"/>
      <c r="O5" s="18"/>
      <c r="P5" s="19"/>
      <c r="Q5" s="20"/>
      <c r="R5" s="21"/>
      <c r="S5" s="18"/>
      <c r="T5" s="19"/>
      <c r="U5" s="20"/>
      <c r="V5" s="21"/>
      <c r="W5" s="18"/>
      <c r="X5" s="20"/>
      <c r="Y5" s="20"/>
      <c r="Z5" s="154"/>
      <c r="AA5" s="18"/>
      <c r="AB5" s="20"/>
      <c r="AC5" s="20"/>
      <c r="AD5" s="154"/>
      <c r="AE5" s="18"/>
      <c r="AF5" s="20"/>
      <c r="AG5" s="20"/>
      <c r="AH5" s="154"/>
      <c r="AI5" s="20"/>
      <c r="AJ5" s="20"/>
      <c r="AK5" s="20"/>
      <c r="AL5" s="154"/>
      <c r="AM5" s="20"/>
      <c r="AN5" s="20"/>
      <c r="AO5" s="20"/>
      <c r="AP5" s="154"/>
      <c r="AQ5" s="20"/>
      <c r="AR5" s="20"/>
      <c r="AS5" s="20"/>
      <c r="AT5" s="154"/>
    </row>
    <row r="6" spans="1:51" s="6" customFormat="1" ht="10.8">
      <c r="A6" s="155" t="s">
        <v>119</v>
      </c>
      <c r="B6" s="155" t="s">
        <v>120</v>
      </c>
      <c r="C6" s="156">
        <f>SUM(C7:C10)</f>
        <v>14362</v>
      </c>
      <c r="D6" s="157">
        <f t="shared" ref="D6:AT6" si="0">SUM(D7:D10)</f>
        <v>15091.300000000001</v>
      </c>
      <c r="E6" s="157">
        <f t="shared" si="0"/>
        <v>15905.499999999998</v>
      </c>
      <c r="F6" s="157">
        <f t="shared" si="0"/>
        <v>16786.899999999998</v>
      </c>
      <c r="G6" s="156">
        <f t="shared" si="0"/>
        <v>18454.099999999999</v>
      </c>
      <c r="H6" s="157">
        <f t="shared" si="0"/>
        <v>19814.300000000003</v>
      </c>
      <c r="I6" s="157">
        <f t="shared" si="0"/>
        <v>22105.7</v>
      </c>
      <c r="J6" s="158">
        <f t="shared" si="0"/>
        <v>24298</v>
      </c>
      <c r="K6" s="156">
        <f t="shared" si="0"/>
        <v>25614.5</v>
      </c>
      <c r="L6" s="157">
        <f t="shared" si="0"/>
        <v>25776.7</v>
      </c>
      <c r="M6" s="157">
        <f t="shared" si="0"/>
        <v>26134</v>
      </c>
      <c r="N6" s="158">
        <f t="shared" si="0"/>
        <v>27361.399999999998</v>
      </c>
      <c r="O6" s="156">
        <f t="shared" si="0"/>
        <v>27576.400000000001</v>
      </c>
      <c r="P6" s="157">
        <f t="shared" si="0"/>
        <v>28994.400000000001</v>
      </c>
      <c r="Q6" s="157">
        <f t="shared" si="0"/>
        <v>30667.8</v>
      </c>
      <c r="R6" s="158">
        <f t="shared" si="0"/>
        <v>32178.300000000003</v>
      </c>
      <c r="S6" s="156">
        <f t="shared" si="0"/>
        <v>32988.699999999997</v>
      </c>
      <c r="T6" s="157">
        <f t="shared" si="0"/>
        <v>34754.699999999997</v>
      </c>
      <c r="U6" s="157">
        <f t="shared" si="0"/>
        <v>36919.199999999997</v>
      </c>
      <c r="V6" s="158">
        <f t="shared" si="0"/>
        <v>39466.1</v>
      </c>
      <c r="W6" s="156">
        <f t="shared" si="0"/>
        <v>45105.9</v>
      </c>
      <c r="X6" s="157">
        <f t="shared" si="0"/>
        <v>45907.599999999991</v>
      </c>
      <c r="Y6" s="157">
        <f t="shared" si="0"/>
        <v>46744.9</v>
      </c>
      <c r="Z6" s="158">
        <f t="shared" si="0"/>
        <v>46509.999999999993</v>
      </c>
      <c r="AA6" s="156">
        <f t="shared" si="0"/>
        <v>46670.400000000001</v>
      </c>
      <c r="AB6" s="157">
        <f t="shared" si="0"/>
        <v>48136.700000000004</v>
      </c>
      <c r="AC6" s="157">
        <f t="shared" si="0"/>
        <v>49764.499999999993</v>
      </c>
      <c r="AD6" s="158">
        <f t="shared" si="0"/>
        <v>49982.299999999996</v>
      </c>
      <c r="AE6" s="156">
        <f t="shared" si="0"/>
        <v>52346.200000000012</v>
      </c>
      <c r="AF6" s="157">
        <f t="shared" si="0"/>
        <v>55099.1</v>
      </c>
      <c r="AG6" s="157">
        <f t="shared" si="0"/>
        <v>57750.80000000001</v>
      </c>
      <c r="AH6" s="158">
        <f t="shared" si="0"/>
        <v>58750.499999999993</v>
      </c>
      <c r="AI6" s="157">
        <f t="shared" si="0"/>
        <v>61323.1</v>
      </c>
      <c r="AJ6" s="157">
        <f t="shared" si="0"/>
        <v>65943.7</v>
      </c>
      <c r="AK6" s="157">
        <f t="shared" si="0"/>
        <v>69046.499999999985</v>
      </c>
      <c r="AL6" s="158">
        <f t="shared" si="0"/>
        <v>70046.899999999994</v>
      </c>
      <c r="AM6" s="157">
        <f t="shared" si="0"/>
        <v>72906.999999999985</v>
      </c>
      <c r="AN6" s="157">
        <f t="shared" si="0"/>
        <v>75810.8</v>
      </c>
      <c r="AO6" s="157">
        <f>SUM(AO7:AO10)</f>
        <v>77888.3</v>
      </c>
      <c r="AP6" s="158">
        <f t="shared" si="0"/>
        <v>79447.899999999994</v>
      </c>
      <c r="AQ6" s="157">
        <f t="shared" si="0"/>
        <v>82129.999999999985</v>
      </c>
      <c r="AR6" s="157">
        <f t="shared" si="0"/>
        <v>84778.500000000015</v>
      </c>
      <c r="AS6" s="157">
        <f t="shared" si="0"/>
        <v>87895.900000000009</v>
      </c>
      <c r="AT6" s="157">
        <f t="shared" si="0"/>
        <v>89043.599999999991</v>
      </c>
    </row>
    <row r="7" spans="1:51" s="6" customFormat="1" ht="10.8">
      <c r="A7" s="159" t="s">
        <v>121</v>
      </c>
      <c r="B7" s="159" t="s">
        <v>122</v>
      </c>
      <c r="C7" s="160">
        <f>SUM(C31,C47,C55,C78)</f>
        <v>14102.2</v>
      </c>
      <c r="D7" s="161">
        <f t="shared" ref="D7:AJ7" si="1">SUM(D31,D47,D55,D78)</f>
        <v>14839.2</v>
      </c>
      <c r="E7" s="161">
        <f t="shared" si="1"/>
        <v>15680.999999999998</v>
      </c>
      <c r="F7" s="161">
        <f t="shared" si="1"/>
        <v>16642.399999999998</v>
      </c>
      <c r="G7" s="160">
        <f t="shared" si="1"/>
        <v>18307.5</v>
      </c>
      <c r="H7" s="161">
        <f t="shared" si="1"/>
        <v>19662.900000000001</v>
      </c>
      <c r="I7" s="161">
        <f t="shared" si="1"/>
        <v>21911.9</v>
      </c>
      <c r="J7" s="162">
        <f t="shared" si="1"/>
        <v>23490.5</v>
      </c>
      <c r="K7" s="160">
        <f t="shared" si="1"/>
        <v>24706.100000000002</v>
      </c>
      <c r="L7" s="161">
        <f t="shared" si="1"/>
        <v>24904.100000000002</v>
      </c>
      <c r="M7" s="161">
        <f t="shared" si="1"/>
        <v>25418.5</v>
      </c>
      <c r="N7" s="162">
        <f t="shared" si="1"/>
        <v>26540.399999999998</v>
      </c>
      <c r="O7" s="160">
        <f t="shared" si="1"/>
        <v>26775.4</v>
      </c>
      <c r="P7" s="161">
        <f t="shared" si="1"/>
        <v>28108.9</v>
      </c>
      <c r="Q7" s="161">
        <f t="shared" si="1"/>
        <v>29478.9</v>
      </c>
      <c r="R7" s="162">
        <f t="shared" si="1"/>
        <v>30875.600000000002</v>
      </c>
      <c r="S7" s="160">
        <f t="shared" si="1"/>
        <v>31757.3</v>
      </c>
      <c r="T7" s="161">
        <f t="shared" si="1"/>
        <v>33488.199999999997</v>
      </c>
      <c r="U7" s="161">
        <f t="shared" si="1"/>
        <v>35278.699999999997</v>
      </c>
      <c r="V7" s="162">
        <f t="shared" si="1"/>
        <v>37103.699999999997</v>
      </c>
      <c r="W7" s="160">
        <f t="shared" si="1"/>
        <v>37990</v>
      </c>
      <c r="X7" s="161">
        <f t="shared" si="1"/>
        <v>38680.399999999994</v>
      </c>
      <c r="Y7" s="161">
        <f t="shared" si="1"/>
        <v>39366.6</v>
      </c>
      <c r="Z7" s="162">
        <f t="shared" si="1"/>
        <v>38898.599999999991</v>
      </c>
      <c r="AA7" s="160">
        <f t="shared" si="1"/>
        <v>39620.5</v>
      </c>
      <c r="AB7" s="161">
        <f t="shared" si="1"/>
        <v>40531.500000000007</v>
      </c>
      <c r="AC7" s="161">
        <f t="shared" si="1"/>
        <v>41697.399999999994</v>
      </c>
      <c r="AD7" s="162">
        <f t="shared" si="1"/>
        <v>41690.400000000001</v>
      </c>
      <c r="AE7" s="160">
        <f t="shared" si="1"/>
        <v>43906.100000000006</v>
      </c>
      <c r="AF7" s="161">
        <f t="shared" si="1"/>
        <v>45983.3</v>
      </c>
      <c r="AG7" s="161">
        <f t="shared" si="1"/>
        <v>47661.600000000006</v>
      </c>
      <c r="AH7" s="162">
        <f t="shared" si="1"/>
        <v>48750.7</v>
      </c>
      <c r="AI7" s="161">
        <f t="shared" si="1"/>
        <v>51561.799999999996</v>
      </c>
      <c r="AJ7" s="161">
        <f t="shared" si="1"/>
        <v>55607</v>
      </c>
      <c r="AK7" s="161">
        <f>SUM(AK31,AK47,AK55,AK78)</f>
        <v>58058.7</v>
      </c>
      <c r="AL7" s="162">
        <f>SUM(AL31,AL47,AL55,AL78)</f>
        <v>58563.8</v>
      </c>
      <c r="AM7" s="161">
        <f>SUM(AM31,AM47,AM55,AM78)</f>
        <v>61492.399999999994</v>
      </c>
      <c r="AN7" s="161">
        <f>SUM(AN31,AN47,AN55,AN78)</f>
        <v>63743.5</v>
      </c>
      <c r="AO7" s="161">
        <v>65486.5</v>
      </c>
      <c r="AP7" s="162">
        <v>66783.899999999994</v>
      </c>
      <c r="AQ7" s="161">
        <v>69318.399999999994</v>
      </c>
      <c r="AR7" s="161">
        <f>SUM(AR31,AR47,AR55,AR78)</f>
        <v>71703.700000000012</v>
      </c>
      <c r="AS7" s="161">
        <f>SUM(AS31,AS47,AS55,AS78)</f>
        <v>74540.100000000006</v>
      </c>
      <c r="AT7" s="161">
        <f>SUM(AT31,AT47,AT55,AT78)</f>
        <v>75281.899999999994</v>
      </c>
    </row>
    <row r="8" spans="1:51" s="6" customFormat="1" ht="10.8">
      <c r="A8" s="163" t="s">
        <v>123</v>
      </c>
      <c r="B8" s="163" t="s">
        <v>124</v>
      </c>
      <c r="C8" s="160">
        <f>SUM(C34,C50,C58,C81)</f>
        <v>0</v>
      </c>
      <c r="D8" s="161">
        <f t="shared" ref="D8:AL9" si="2">SUM(D34,D50,D58,D81)</f>
        <v>0</v>
      </c>
      <c r="E8" s="161">
        <f t="shared" si="2"/>
        <v>0</v>
      </c>
      <c r="F8" s="161">
        <f t="shared" si="2"/>
        <v>0</v>
      </c>
      <c r="G8" s="160">
        <f t="shared" si="2"/>
        <v>0</v>
      </c>
      <c r="H8" s="161">
        <f t="shared" si="2"/>
        <v>0</v>
      </c>
      <c r="I8" s="161">
        <f t="shared" si="2"/>
        <v>0</v>
      </c>
      <c r="J8" s="162">
        <f t="shared" si="2"/>
        <v>0</v>
      </c>
      <c r="K8" s="160">
        <f t="shared" si="2"/>
        <v>0</v>
      </c>
      <c r="L8" s="161">
        <f t="shared" si="2"/>
        <v>0</v>
      </c>
      <c r="M8" s="161">
        <f t="shared" si="2"/>
        <v>0</v>
      </c>
      <c r="N8" s="162">
        <f t="shared" si="2"/>
        <v>0</v>
      </c>
      <c r="O8" s="160">
        <f t="shared" si="2"/>
        <v>0</v>
      </c>
      <c r="P8" s="161">
        <f t="shared" si="2"/>
        <v>0</v>
      </c>
      <c r="Q8" s="161">
        <f t="shared" si="2"/>
        <v>0</v>
      </c>
      <c r="R8" s="162">
        <f t="shared" si="2"/>
        <v>0</v>
      </c>
      <c r="S8" s="160">
        <f t="shared" si="2"/>
        <v>0</v>
      </c>
      <c r="T8" s="161">
        <f t="shared" si="2"/>
        <v>0</v>
      </c>
      <c r="U8" s="161">
        <f t="shared" si="2"/>
        <v>0</v>
      </c>
      <c r="V8" s="162">
        <f t="shared" si="2"/>
        <v>0</v>
      </c>
      <c r="W8" s="160">
        <f t="shared" si="2"/>
        <v>3108.2999999999997</v>
      </c>
      <c r="X8" s="161">
        <f t="shared" si="2"/>
        <v>3146.2</v>
      </c>
      <c r="Y8" s="161">
        <f t="shared" si="2"/>
        <v>3135.3999999999996</v>
      </c>
      <c r="Z8" s="162">
        <f t="shared" si="2"/>
        <v>3233.9</v>
      </c>
      <c r="AA8" s="160">
        <f t="shared" si="2"/>
        <v>3251.8</v>
      </c>
      <c r="AB8" s="161">
        <f>SUM(AB34,AB50,AB58,AB81)</f>
        <v>3382.4</v>
      </c>
      <c r="AC8" s="161">
        <f t="shared" si="2"/>
        <v>3526.6</v>
      </c>
      <c r="AD8" s="162">
        <f t="shared" si="2"/>
        <v>3650.5</v>
      </c>
      <c r="AE8" s="160">
        <f t="shared" si="2"/>
        <v>3836.9</v>
      </c>
      <c r="AF8" s="161">
        <f t="shared" si="2"/>
        <v>4226.7</v>
      </c>
      <c r="AG8" s="161">
        <f t="shared" si="2"/>
        <v>4307.8</v>
      </c>
      <c r="AH8" s="162">
        <f t="shared" si="2"/>
        <v>4397.7000000000007</v>
      </c>
      <c r="AI8" s="161">
        <f t="shared" si="2"/>
        <v>4353.2000000000007</v>
      </c>
      <c r="AJ8" s="161">
        <f t="shared" si="2"/>
        <v>4655.2000000000007</v>
      </c>
      <c r="AK8" s="161">
        <f t="shared" si="2"/>
        <v>4828</v>
      </c>
      <c r="AL8" s="162">
        <f t="shared" si="2"/>
        <v>4922.0999999999995</v>
      </c>
      <c r="AM8" s="161">
        <f>SUM(AM34,AM50,AM58,AM81)</f>
        <v>5066.3999999999996</v>
      </c>
      <c r="AN8" s="161">
        <f>SUM(AN34,AN50,AN58,AN81)</f>
        <v>5492.9</v>
      </c>
      <c r="AO8" s="161">
        <v>5555.7</v>
      </c>
      <c r="AP8" s="162">
        <v>5760.5</v>
      </c>
      <c r="AQ8" s="161">
        <v>5814.2</v>
      </c>
      <c r="AR8" s="161">
        <f t="shared" ref="AR8:AT9" si="3">SUM(AR34,AR50,AR58,AR81)</f>
        <v>6126.4</v>
      </c>
      <c r="AS8" s="161">
        <f t="shared" si="3"/>
        <v>6356.0999999999995</v>
      </c>
      <c r="AT8" s="161">
        <f t="shared" si="3"/>
        <v>6593</v>
      </c>
    </row>
    <row r="9" spans="1:51" s="6" customFormat="1" ht="10.8">
      <c r="A9" s="163" t="s">
        <v>125</v>
      </c>
      <c r="B9" s="163" t="s">
        <v>126</v>
      </c>
      <c r="C9" s="160">
        <f>SUM(C35,C51,C59,C82)</f>
        <v>151.30000000000001</v>
      </c>
      <c r="D9" s="161">
        <f t="shared" si="2"/>
        <v>150.70000000000002</v>
      </c>
      <c r="E9" s="161">
        <f t="shared" si="2"/>
        <v>127.9</v>
      </c>
      <c r="F9" s="161">
        <f t="shared" si="2"/>
        <v>131</v>
      </c>
      <c r="G9" s="160">
        <f t="shared" si="2"/>
        <v>133.1</v>
      </c>
      <c r="H9" s="161">
        <f t="shared" si="2"/>
        <v>137.9</v>
      </c>
      <c r="I9" s="161">
        <f t="shared" si="2"/>
        <v>180.3</v>
      </c>
      <c r="J9" s="162">
        <f t="shared" si="2"/>
        <v>167</v>
      </c>
      <c r="K9" s="160">
        <f t="shared" si="2"/>
        <v>273.59999999999997</v>
      </c>
      <c r="L9" s="161">
        <f t="shared" si="2"/>
        <v>255.5</v>
      </c>
      <c r="M9" s="161">
        <f t="shared" si="2"/>
        <v>178.5</v>
      </c>
      <c r="N9" s="162">
        <f t="shared" si="2"/>
        <v>175.6</v>
      </c>
      <c r="O9" s="160">
        <f t="shared" si="2"/>
        <v>144.60000000000002</v>
      </c>
      <c r="P9" s="161">
        <f t="shared" si="2"/>
        <v>173.6</v>
      </c>
      <c r="Q9" s="161">
        <f t="shared" si="2"/>
        <v>167.3</v>
      </c>
      <c r="R9" s="162">
        <f t="shared" si="2"/>
        <v>124.8</v>
      </c>
      <c r="S9" s="160">
        <f t="shared" si="2"/>
        <v>110.5</v>
      </c>
      <c r="T9" s="161">
        <f t="shared" si="2"/>
        <v>198.6</v>
      </c>
      <c r="U9" s="161">
        <f t="shared" si="2"/>
        <v>283.10000000000002</v>
      </c>
      <c r="V9" s="162">
        <f t="shared" si="2"/>
        <v>275.40000000000003</v>
      </c>
      <c r="W9" s="160">
        <f t="shared" si="2"/>
        <v>1860.1000000000001</v>
      </c>
      <c r="X9" s="161">
        <f t="shared" si="2"/>
        <v>2100.3000000000002</v>
      </c>
      <c r="Y9" s="161">
        <f t="shared" si="2"/>
        <v>2028.9</v>
      </c>
      <c r="Z9" s="162">
        <f t="shared" si="2"/>
        <v>2212.1</v>
      </c>
      <c r="AA9" s="160">
        <f t="shared" si="2"/>
        <v>1966.5</v>
      </c>
      <c r="AB9" s="161">
        <f t="shared" si="2"/>
        <v>2231.6000000000004</v>
      </c>
      <c r="AC9" s="161">
        <f t="shared" si="2"/>
        <v>2452.1999999999994</v>
      </c>
      <c r="AD9" s="162">
        <f t="shared" si="2"/>
        <v>2465.6999999999998</v>
      </c>
      <c r="AE9" s="160">
        <f t="shared" si="2"/>
        <v>2375.2999999999997</v>
      </c>
      <c r="AF9" s="161">
        <f t="shared" si="2"/>
        <v>2638.0000000000005</v>
      </c>
      <c r="AG9" s="161">
        <f t="shared" si="2"/>
        <v>2881.1</v>
      </c>
      <c r="AH9" s="162">
        <f t="shared" si="2"/>
        <v>2830.4</v>
      </c>
      <c r="AI9" s="161">
        <f t="shared" si="2"/>
        <v>2582.6000000000004</v>
      </c>
      <c r="AJ9" s="161">
        <f t="shared" si="2"/>
        <v>2836.4000000000005</v>
      </c>
      <c r="AK9" s="161">
        <f t="shared" si="2"/>
        <v>3151.4</v>
      </c>
      <c r="AL9" s="162">
        <f t="shared" si="2"/>
        <v>3402</v>
      </c>
      <c r="AM9" s="161">
        <f>SUM(AM35,AM51,AM59,AM82)</f>
        <v>3413.9</v>
      </c>
      <c r="AN9" s="161">
        <f>SUM(AN35,AN51,AN59,AN82)</f>
        <v>4047.3</v>
      </c>
      <c r="AO9" s="161">
        <v>4286</v>
      </c>
      <c r="AP9" s="162">
        <v>4373.6000000000004</v>
      </c>
      <c r="AQ9" s="161">
        <v>4536.8999999999996</v>
      </c>
      <c r="AR9" s="161">
        <f t="shared" si="3"/>
        <v>4643.0999999999995</v>
      </c>
      <c r="AS9" s="161">
        <f t="shared" si="3"/>
        <v>4743.3</v>
      </c>
      <c r="AT9" s="161">
        <f t="shared" si="3"/>
        <v>4620.3999999999996</v>
      </c>
    </row>
    <row r="10" spans="1:51" s="150" customFormat="1" ht="10.8">
      <c r="A10" s="159" t="s">
        <v>127</v>
      </c>
      <c r="B10" s="159" t="s">
        <v>128</v>
      </c>
      <c r="C10" s="160">
        <f>SUM(C52,C83)</f>
        <v>108.5</v>
      </c>
      <c r="D10" s="161">
        <f t="shared" ref="D10:AJ10" si="4">SUM(D52,D83)</f>
        <v>101.4</v>
      </c>
      <c r="E10" s="161">
        <f t="shared" si="4"/>
        <v>96.6</v>
      </c>
      <c r="F10" s="161">
        <f t="shared" si="4"/>
        <v>13.5</v>
      </c>
      <c r="G10" s="160">
        <f t="shared" si="4"/>
        <v>13.5</v>
      </c>
      <c r="H10" s="161">
        <f t="shared" si="4"/>
        <v>13.5</v>
      </c>
      <c r="I10" s="161">
        <f t="shared" si="4"/>
        <v>13.5</v>
      </c>
      <c r="J10" s="162">
        <f t="shared" si="4"/>
        <v>640.49999999999989</v>
      </c>
      <c r="K10" s="160">
        <f t="shared" si="4"/>
        <v>634.79999999999995</v>
      </c>
      <c r="L10" s="161">
        <f t="shared" si="4"/>
        <v>617.09999999999991</v>
      </c>
      <c r="M10" s="161">
        <f t="shared" si="4"/>
        <v>537</v>
      </c>
      <c r="N10" s="162">
        <f t="shared" si="4"/>
        <v>645.40000000000009</v>
      </c>
      <c r="O10" s="160">
        <f t="shared" si="4"/>
        <v>656.39999999999986</v>
      </c>
      <c r="P10" s="161">
        <f t="shared" si="4"/>
        <v>711.90000000000032</v>
      </c>
      <c r="Q10" s="161">
        <f t="shared" si="4"/>
        <v>1021.5999999999999</v>
      </c>
      <c r="R10" s="162">
        <f t="shared" si="4"/>
        <v>1177.9000000000001</v>
      </c>
      <c r="S10" s="160">
        <f t="shared" si="4"/>
        <v>1120.8999999999999</v>
      </c>
      <c r="T10" s="161">
        <f t="shared" si="4"/>
        <v>1067.9000000000001</v>
      </c>
      <c r="U10" s="161">
        <f t="shared" si="4"/>
        <v>1357.4000000000003</v>
      </c>
      <c r="V10" s="162">
        <f t="shared" si="4"/>
        <v>2087</v>
      </c>
      <c r="W10" s="160">
        <f t="shared" si="4"/>
        <v>2147.5</v>
      </c>
      <c r="X10" s="161">
        <f t="shared" si="4"/>
        <v>1980.7000000000003</v>
      </c>
      <c r="Y10" s="161">
        <f t="shared" si="4"/>
        <v>2214</v>
      </c>
      <c r="Z10" s="162">
        <f t="shared" si="4"/>
        <v>2165.4000000000005</v>
      </c>
      <c r="AA10" s="160">
        <f t="shared" si="4"/>
        <v>1831.6000000000001</v>
      </c>
      <c r="AB10" s="161">
        <f t="shared" si="4"/>
        <v>1991.1999999999998</v>
      </c>
      <c r="AC10" s="161">
        <f t="shared" si="4"/>
        <v>2088.3000000000002</v>
      </c>
      <c r="AD10" s="162">
        <f t="shared" si="4"/>
        <v>2175.6999999999998</v>
      </c>
      <c r="AE10" s="160">
        <f t="shared" si="4"/>
        <v>2227.9</v>
      </c>
      <c r="AF10" s="161">
        <f t="shared" si="4"/>
        <v>2251.1</v>
      </c>
      <c r="AG10" s="161">
        <f t="shared" si="4"/>
        <v>2900.3</v>
      </c>
      <c r="AH10" s="162">
        <f t="shared" si="4"/>
        <v>2771.7</v>
      </c>
      <c r="AI10" s="161">
        <f t="shared" si="4"/>
        <v>2825.5</v>
      </c>
      <c r="AJ10" s="161">
        <f t="shared" si="4"/>
        <v>2845.1</v>
      </c>
      <c r="AK10" s="161">
        <f>SUM(AK52,AK83)</f>
        <v>3008.4</v>
      </c>
      <c r="AL10" s="162">
        <f>SUM(AL36,AL52,AL83)</f>
        <v>3159</v>
      </c>
      <c r="AM10" s="161">
        <f>SUM(AM36,AM52,AM83)</f>
        <v>2934.3</v>
      </c>
      <c r="AN10" s="161">
        <f>SUM(AN36,AN52,AN83)</f>
        <v>2527.1</v>
      </c>
      <c r="AO10" s="161">
        <v>2560.1</v>
      </c>
      <c r="AP10" s="162">
        <v>2529.9</v>
      </c>
      <c r="AQ10" s="161">
        <v>2460.5</v>
      </c>
      <c r="AR10" s="161">
        <f>SUM(AR36,AR52,AR83)</f>
        <v>2305.3000000000002</v>
      </c>
      <c r="AS10" s="161">
        <f>SUM(AS36,AS52,AS83)</f>
        <v>2256.4</v>
      </c>
      <c r="AT10" s="161">
        <f>SUM(AT36,AT52,AT83)</f>
        <v>2548.3000000000002</v>
      </c>
    </row>
    <row r="11" spans="1:51" s="164" customFormat="1" ht="10.8">
      <c r="A11" s="155" t="s">
        <v>129</v>
      </c>
      <c r="B11" s="155" t="s">
        <v>130</v>
      </c>
      <c r="C11" s="156">
        <f>SUM(C12:C13)</f>
        <v>95.1</v>
      </c>
      <c r="D11" s="157">
        <f t="shared" ref="D11:AR11" si="5">SUM(D12:D13)</f>
        <v>103.9</v>
      </c>
      <c r="E11" s="157">
        <f t="shared" si="5"/>
        <v>101</v>
      </c>
      <c r="F11" s="157">
        <f t="shared" si="5"/>
        <v>153.6</v>
      </c>
      <c r="G11" s="156">
        <f t="shared" si="5"/>
        <v>159.1</v>
      </c>
      <c r="H11" s="157">
        <f t="shared" si="5"/>
        <v>158.5</v>
      </c>
      <c r="I11" s="157">
        <f t="shared" si="5"/>
        <v>224.10000000000002</v>
      </c>
      <c r="J11" s="158">
        <f t="shared" si="5"/>
        <v>1788.9</v>
      </c>
      <c r="K11" s="156">
        <f t="shared" si="5"/>
        <v>3930.2</v>
      </c>
      <c r="L11" s="157">
        <f t="shared" si="5"/>
        <v>3602.2999999999997</v>
      </c>
      <c r="M11" s="157">
        <f t="shared" si="5"/>
        <v>3511.2000000000003</v>
      </c>
      <c r="N11" s="158">
        <f t="shared" si="5"/>
        <v>3486</v>
      </c>
      <c r="O11" s="156">
        <f t="shared" si="5"/>
        <v>3331.7000000000003</v>
      </c>
      <c r="P11" s="157">
        <f t="shared" si="5"/>
        <v>3635.2999999999997</v>
      </c>
      <c r="Q11" s="157">
        <f t="shared" si="5"/>
        <v>3604.2999999999997</v>
      </c>
      <c r="R11" s="158">
        <f t="shared" si="5"/>
        <v>3416.1</v>
      </c>
      <c r="S11" s="156">
        <f t="shared" si="5"/>
        <v>3429.7999999999997</v>
      </c>
      <c r="T11" s="157">
        <f t="shared" si="5"/>
        <v>3401.6</v>
      </c>
      <c r="U11" s="157">
        <f t="shared" si="5"/>
        <v>3964.8999999999996</v>
      </c>
      <c r="V11" s="158">
        <f t="shared" si="5"/>
        <v>3977.6</v>
      </c>
      <c r="W11" s="156">
        <f t="shared" si="5"/>
        <v>3808.1</v>
      </c>
      <c r="X11" s="157">
        <f t="shared" si="5"/>
        <v>3874.7999999999997</v>
      </c>
      <c r="Y11" s="157">
        <f t="shared" si="5"/>
        <v>3890.1</v>
      </c>
      <c r="Z11" s="158">
        <f t="shared" si="5"/>
        <v>3904.5</v>
      </c>
      <c r="AA11" s="156">
        <f t="shared" si="5"/>
        <v>3923.1</v>
      </c>
      <c r="AB11" s="157">
        <f t="shared" si="5"/>
        <v>3910.5</v>
      </c>
      <c r="AC11" s="157">
        <f t="shared" si="5"/>
        <v>3838.7999999999997</v>
      </c>
      <c r="AD11" s="158">
        <f t="shared" si="5"/>
        <v>3815.2000000000003</v>
      </c>
      <c r="AE11" s="156">
        <f t="shared" si="5"/>
        <v>3894.7999999999997</v>
      </c>
      <c r="AF11" s="157">
        <f t="shared" si="5"/>
        <v>3837.3</v>
      </c>
      <c r="AG11" s="157">
        <f t="shared" si="5"/>
        <v>4134.8999999999996</v>
      </c>
      <c r="AH11" s="158">
        <f t="shared" si="5"/>
        <v>4029.8</v>
      </c>
      <c r="AI11" s="157">
        <f t="shared" si="5"/>
        <v>3867.7999999999997</v>
      </c>
      <c r="AJ11" s="157">
        <f t="shared" si="5"/>
        <v>3846.1</v>
      </c>
      <c r="AK11" s="157">
        <f t="shared" si="5"/>
        <v>3884.6</v>
      </c>
      <c r="AL11" s="158">
        <f t="shared" si="5"/>
        <v>4019.6</v>
      </c>
      <c r="AM11" s="157">
        <f t="shared" si="5"/>
        <v>3980.1</v>
      </c>
      <c r="AN11" s="157">
        <f t="shared" si="5"/>
        <v>3978.6</v>
      </c>
      <c r="AO11" s="157">
        <f t="shared" si="5"/>
        <v>3944</v>
      </c>
      <c r="AP11" s="158">
        <f t="shared" si="5"/>
        <v>3999.2999999999997</v>
      </c>
      <c r="AQ11" s="157">
        <f t="shared" si="5"/>
        <v>3765.8</v>
      </c>
      <c r="AR11" s="157">
        <f t="shared" si="5"/>
        <v>3659.6000000000004</v>
      </c>
      <c r="AS11" s="157">
        <f>SUM(AS12:AS13)</f>
        <v>3784.1</v>
      </c>
      <c r="AT11" s="157">
        <f>SUM(AT12:AT13)</f>
        <v>3712.3</v>
      </c>
    </row>
    <row r="12" spans="1:51" s="150" customFormat="1" ht="10.8">
      <c r="A12" s="159" t="s">
        <v>131</v>
      </c>
      <c r="B12" s="159" t="s">
        <v>132</v>
      </c>
      <c r="C12" s="160">
        <f>SUM(C84)</f>
        <v>0</v>
      </c>
      <c r="D12" s="161">
        <f t="shared" ref="D12:AJ12" si="6">SUM(D84)</f>
        <v>0</v>
      </c>
      <c r="E12" s="161">
        <f t="shared" si="6"/>
        <v>0</v>
      </c>
      <c r="F12" s="161">
        <f t="shared" si="6"/>
        <v>0</v>
      </c>
      <c r="G12" s="160">
        <f t="shared" si="6"/>
        <v>0</v>
      </c>
      <c r="H12" s="161">
        <f t="shared" si="6"/>
        <v>0</v>
      </c>
      <c r="I12" s="161">
        <f t="shared" si="6"/>
        <v>0</v>
      </c>
      <c r="J12" s="162">
        <f t="shared" si="6"/>
        <v>1654</v>
      </c>
      <c r="K12" s="160">
        <f t="shared" si="6"/>
        <v>3775.2</v>
      </c>
      <c r="L12" s="161">
        <f t="shared" si="6"/>
        <v>3439.1</v>
      </c>
      <c r="M12" s="161">
        <f t="shared" si="6"/>
        <v>3348.9</v>
      </c>
      <c r="N12" s="162">
        <f t="shared" si="6"/>
        <v>3261.9</v>
      </c>
      <c r="O12" s="160">
        <f t="shared" si="6"/>
        <v>3147.9</v>
      </c>
      <c r="P12" s="161">
        <f t="shared" si="6"/>
        <v>3447.7</v>
      </c>
      <c r="Q12" s="161">
        <f t="shared" si="6"/>
        <v>3425.1</v>
      </c>
      <c r="R12" s="162">
        <f t="shared" si="6"/>
        <v>3268.5</v>
      </c>
      <c r="S12" s="160">
        <f t="shared" si="6"/>
        <v>3215.6</v>
      </c>
      <c r="T12" s="161">
        <f t="shared" si="6"/>
        <v>3189</v>
      </c>
      <c r="U12" s="161">
        <f t="shared" si="6"/>
        <v>3786.2</v>
      </c>
      <c r="V12" s="162">
        <f t="shared" si="6"/>
        <v>3872.6</v>
      </c>
      <c r="W12" s="160">
        <f t="shared" si="6"/>
        <v>3680.7</v>
      </c>
      <c r="X12" s="161">
        <f t="shared" si="6"/>
        <v>3758.2</v>
      </c>
      <c r="Y12" s="161">
        <f t="shared" si="6"/>
        <v>3732.5</v>
      </c>
      <c r="Z12" s="162">
        <f t="shared" si="6"/>
        <v>3779.7</v>
      </c>
      <c r="AA12" s="160">
        <f t="shared" si="6"/>
        <v>3817.7</v>
      </c>
      <c r="AB12" s="161">
        <f t="shared" si="6"/>
        <v>3794.3</v>
      </c>
      <c r="AC12" s="161">
        <f t="shared" si="6"/>
        <v>3723.1</v>
      </c>
      <c r="AD12" s="162">
        <f t="shared" si="6"/>
        <v>3685.8</v>
      </c>
      <c r="AE12" s="160">
        <f t="shared" si="6"/>
        <v>3750.2</v>
      </c>
      <c r="AF12" s="161">
        <f t="shared" si="6"/>
        <v>3723.5</v>
      </c>
      <c r="AG12" s="161">
        <f t="shared" si="6"/>
        <v>3800.5</v>
      </c>
      <c r="AH12" s="162">
        <f t="shared" si="6"/>
        <v>3923.9</v>
      </c>
      <c r="AI12" s="161">
        <f t="shared" si="6"/>
        <v>3750.6</v>
      </c>
      <c r="AJ12" s="161">
        <f t="shared" si="6"/>
        <v>3711.2</v>
      </c>
      <c r="AK12" s="161">
        <f>SUM(AK84)</f>
        <v>3793.6</v>
      </c>
      <c r="AL12" s="162">
        <f>SUM(AL84)</f>
        <v>3838.6</v>
      </c>
      <c r="AM12" s="161">
        <f>SUM(AM84)</f>
        <v>3853.4</v>
      </c>
      <c r="AN12" s="161">
        <f>SUM(AN84)</f>
        <v>3909.7</v>
      </c>
      <c r="AO12" s="161">
        <v>3822.7</v>
      </c>
      <c r="AP12" s="162">
        <v>3910.7</v>
      </c>
      <c r="AQ12" s="161">
        <v>3686.5</v>
      </c>
      <c r="AR12" s="161">
        <f>SUM(AR84)</f>
        <v>3589.8</v>
      </c>
      <c r="AS12" s="161">
        <f>SUM(AS84)</f>
        <v>3674.4</v>
      </c>
      <c r="AT12" s="161">
        <f>SUM(AT84)</f>
        <v>3564.8</v>
      </c>
    </row>
    <row r="13" spans="1:51" s="164" customFormat="1" ht="10.8">
      <c r="A13" s="165" t="s">
        <v>133</v>
      </c>
      <c r="B13" s="165" t="s">
        <v>134</v>
      </c>
      <c r="C13" s="160">
        <f>SUM(C37,C53,C60,C85)</f>
        <v>95.1</v>
      </c>
      <c r="D13" s="161">
        <f t="shared" ref="D13:AJ13" si="7">SUM(D37,D53,D60,D85)</f>
        <v>103.9</v>
      </c>
      <c r="E13" s="161">
        <f t="shared" si="7"/>
        <v>101</v>
      </c>
      <c r="F13" s="161">
        <f t="shared" si="7"/>
        <v>153.6</v>
      </c>
      <c r="G13" s="160">
        <f t="shared" si="7"/>
        <v>159.1</v>
      </c>
      <c r="H13" s="161">
        <f t="shared" si="7"/>
        <v>158.5</v>
      </c>
      <c r="I13" s="161">
        <f t="shared" si="7"/>
        <v>224.10000000000002</v>
      </c>
      <c r="J13" s="162">
        <f t="shared" si="7"/>
        <v>134.9</v>
      </c>
      <c r="K13" s="160">
        <f t="shared" si="7"/>
        <v>155</v>
      </c>
      <c r="L13" s="161">
        <f t="shared" si="7"/>
        <v>163.19999999999999</v>
      </c>
      <c r="M13" s="161">
        <f t="shared" si="7"/>
        <v>162.30000000000001</v>
      </c>
      <c r="N13" s="162">
        <f t="shared" si="7"/>
        <v>224.10000000000002</v>
      </c>
      <c r="O13" s="160">
        <f t="shared" si="7"/>
        <v>183.8</v>
      </c>
      <c r="P13" s="161">
        <f t="shared" si="7"/>
        <v>187.6</v>
      </c>
      <c r="Q13" s="161">
        <f t="shared" si="7"/>
        <v>179.2</v>
      </c>
      <c r="R13" s="162">
        <f t="shared" si="7"/>
        <v>147.6</v>
      </c>
      <c r="S13" s="160">
        <f t="shared" si="7"/>
        <v>214.2</v>
      </c>
      <c r="T13" s="161">
        <f t="shared" si="7"/>
        <v>212.60000000000002</v>
      </c>
      <c r="U13" s="161">
        <f t="shared" si="7"/>
        <v>178.7</v>
      </c>
      <c r="V13" s="162">
        <f t="shared" si="7"/>
        <v>105</v>
      </c>
      <c r="W13" s="160">
        <f t="shared" si="7"/>
        <v>127.4</v>
      </c>
      <c r="X13" s="161">
        <f t="shared" si="7"/>
        <v>116.60000000000001</v>
      </c>
      <c r="Y13" s="161">
        <f t="shared" si="7"/>
        <v>157.6</v>
      </c>
      <c r="Z13" s="162">
        <f t="shared" si="7"/>
        <v>124.80000000000001</v>
      </c>
      <c r="AA13" s="160">
        <f t="shared" si="7"/>
        <v>105.39999999999999</v>
      </c>
      <c r="AB13" s="161">
        <f t="shared" si="7"/>
        <v>116.2</v>
      </c>
      <c r="AC13" s="161">
        <f t="shared" si="7"/>
        <v>115.7</v>
      </c>
      <c r="AD13" s="162">
        <f t="shared" si="7"/>
        <v>129.4</v>
      </c>
      <c r="AE13" s="160">
        <f t="shared" si="7"/>
        <v>144.60000000000002</v>
      </c>
      <c r="AF13" s="161">
        <f t="shared" si="7"/>
        <v>113.80000000000001</v>
      </c>
      <c r="AG13" s="161">
        <f t="shared" si="7"/>
        <v>334.4</v>
      </c>
      <c r="AH13" s="162">
        <f t="shared" si="7"/>
        <v>105.9</v>
      </c>
      <c r="AI13" s="161">
        <f t="shared" si="7"/>
        <v>117.2</v>
      </c>
      <c r="AJ13" s="161">
        <f t="shared" si="7"/>
        <v>134.9</v>
      </c>
      <c r="AK13" s="161">
        <f>SUM(AK37,AK53,AK60,AK85)</f>
        <v>91</v>
      </c>
      <c r="AL13" s="162">
        <f>SUM(AL37,AL53,AL60,AL85)</f>
        <v>181</v>
      </c>
      <c r="AM13" s="161">
        <f>SUM(AM37,AM53,AM60,AM85)</f>
        <v>126.69999999999999</v>
      </c>
      <c r="AN13" s="161">
        <f>SUM(AN37,AN53,AN60,AN85)</f>
        <v>68.900000000000006</v>
      </c>
      <c r="AO13" s="161">
        <v>121.3</v>
      </c>
      <c r="AP13" s="162">
        <v>88.6</v>
      </c>
      <c r="AQ13" s="161">
        <v>79.3</v>
      </c>
      <c r="AR13" s="161">
        <f>SUM(AR37,AR53,AR60,AR85)</f>
        <v>69.8</v>
      </c>
      <c r="AS13" s="161">
        <f>SUM(AS37,AS53,AS60,AS85)</f>
        <v>109.7</v>
      </c>
      <c r="AT13" s="161">
        <f>SUM(AT37,AT53,AT60,AT85)</f>
        <v>147.5</v>
      </c>
    </row>
    <row r="14" spans="1:51" s="6" customFormat="1" ht="10.8">
      <c r="A14" s="155" t="s">
        <v>135</v>
      </c>
      <c r="B14" s="155" t="s">
        <v>136</v>
      </c>
      <c r="C14" s="156">
        <f>SUM(C6,C11)</f>
        <v>14457.1</v>
      </c>
      <c r="D14" s="157">
        <f t="shared" ref="D14:AS14" si="8">SUM(D6,D11)</f>
        <v>15195.2</v>
      </c>
      <c r="E14" s="157">
        <f t="shared" si="8"/>
        <v>16006.499999999998</v>
      </c>
      <c r="F14" s="157">
        <f t="shared" si="8"/>
        <v>16940.499999999996</v>
      </c>
      <c r="G14" s="156">
        <f t="shared" si="8"/>
        <v>18613.199999999997</v>
      </c>
      <c r="H14" s="157">
        <f t="shared" si="8"/>
        <v>19972.800000000003</v>
      </c>
      <c r="I14" s="157">
        <f t="shared" si="8"/>
        <v>22329.8</v>
      </c>
      <c r="J14" s="158">
        <f t="shared" si="8"/>
        <v>26086.9</v>
      </c>
      <c r="K14" s="156">
        <f t="shared" si="8"/>
        <v>29544.7</v>
      </c>
      <c r="L14" s="157">
        <f t="shared" si="8"/>
        <v>29379</v>
      </c>
      <c r="M14" s="157">
        <f t="shared" si="8"/>
        <v>29645.200000000001</v>
      </c>
      <c r="N14" s="158">
        <f t="shared" si="8"/>
        <v>30847.399999999998</v>
      </c>
      <c r="O14" s="156">
        <f t="shared" si="8"/>
        <v>30908.100000000002</v>
      </c>
      <c r="P14" s="157">
        <f t="shared" si="8"/>
        <v>32629.7</v>
      </c>
      <c r="Q14" s="157">
        <f t="shared" si="8"/>
        <v>34272.1</v>
      </c>
      <c r="R14" s="158">
        <f t="shared" si="8"/>
        <v>35594.400000000001</v>
      </c>
      <c r="S14" s="156">
        <f t="shared" si="8"/>
        <v>36418.5</v>
      </c>
      <c r="T14" s="157">
        <f t="shared" si="8"/>
        <v>38156.299999999996</v>
      </c>
      <c r="U14" s="157">
        <f t="shared" si="8"/>
        <v>40884.1</v>
      </c>
      <c r="V14" s="158">
        <f t="shared" si="8"/>
        <v>43443.7</v>
      </c>
      <c r="W14" s="156">
        <f t="shared" si="8"/>
        <v>48914</v>
      </c>
      <c r="X14" s="157">
        <f t="shared" si="8"/>
        <v>49782.399999999994</v>
      </c>
      <c r="Y14" s="157">
        <f>SUM(Y6,Y11)</f>
        <v>50635</v>
      </c>
      <c r="Z14" s="158">
        <f t="shared" si="8"/>
        <v>50414.499999999993</v>
      </c>
      <c r="AA14" s="156">
        <f t="shared" si="8"/>
        <v>50593.5</v>
      </c>
      <c r="AB14" s="157">
        <f t="shared" si="8"/>
        <v>52047.200000000004</v>
      </c>
      <c r="AC14" s="157">
        <f t="shared" si="8"/>
        <v>53603.299999999996</v>
      </c>
      <c r="AD14" s="158">
        <f t="shared" si="8"/>
        <v>53797.499999999993</v>
      </c>
      <c r="AE14" s="156">
        <f t="shared" si="8"/>
        <v>56241.000000000015</v>
      </c>
      <c r="AF14" s="157">
        <f t="shared" si="8"/>
        <v>58936.4</v>
      </c>
      <c r="AG14" s="157">
        <f t="shared" si="8"/>
        <v>61885.700000000012</v>
      </c>
      <c r="AH14" s="158">
        <f t="shared" si="8"/>
        <v>62780.299999999996</v>
      </c>
      <c r="AI14" s="157">
        <f t="shared" si="8"/>
        <v>65190.9</v>
      </c>
      <c r="AJ14" s="157">
        <f t="shared" si="8"/>
        <v>69789.8</v>
      </c>
      <c r="AK14" s="157">
        <f t="shared" si="8"/>
        <v>72931.099999999991</v>
      </c>
      <c r="AL14" s="158">
        <f t="shared" si="8"/>
        <v>74066.5</v>
      </c>
      <c r="AM14" s="157">
        <f t="shared" si="8"/>
        <v>76887.099999999991</v>
      </c>
      <c r="AN14" s="157">
        <f t="shared" si="8"/>
        <v>79789.400000000009</v>
      </c>
      <c r="AO14" s="157">
        <f t="shared" si="8"/>
        <v>81832.3</v>
      </c>
      <c r="AP14" s="158">
        <f t="shared" si="8"/>
        <v>83447.199999999997</v>
      </c>
      <c r="AQ14" s="157">
        <f t="shared" si="8"/>
        <v>85895.799999999988</v>
      </c>
      <c r="AR14" s="157">
        <f t="shared" si="8"/>
        <v>88438.10000000002</v>
      </c>
      <c r="AS14" s="157">
        <f t="shared" si="8"/>
        <v>91680.000000000015</v>
      </c>
      <c r="AT14" s="157">
        <f>SUM(AT6,AT11)</f>
        <v>92755.9</v>
      </c>
    </row>
    <row r="15" spans="1:51" s="164" customFormat="1" ht="10.8">
      <c r="A15" s="159" t="s">
        <v>137</v>
      </c>
      <c r="B15" s="159" t="s">
        <v>138</v>
      </c>
      <c r="C15" s="160">
        <f>SUM(C16,C21)</f>
        <v>-674.50000000000011</v>
      </c>
      <c r="D15" s="161">
        <f t="shared" ref="D15:AQ15" si="9">SUM(D16,D21)</f>
        <v>-628.00000000000011</v>
      </c>
      <c r="E15" s="161">
        <f t="shared" si="9"/>
        <v>-557.09999999999991</v>
      </c>
      <c r="F15" s="161">
        <f t="shared" si="9"/>
        <v>-561.40000000000009</v>
      </c>
      <c r="G15" s="160">
        <f t="shared" si="9"/>
        <v>-573.29999999999995</v>
      </c>
      <c r="H15" s="161">
        <f t="shared" si="9"/>
        <v>-403.4</v>
      </c>
      <c r="I15" s="161">
        <f t="shared" si="9"/>
        <v>-414.00000000000006</v>
      </c>
      <c r="J15" s="162">
        <f t="shared" si="9"/>
        <v>-502.2</v>
      </c>
      <c r="K15" s="160">
        <f t="shared" si="9"/>
        <v>-673.40000000000009</v>
      </c>
      <c r="L15" s="161">
        <f t="shared" si="9"/>
        <v>-765.09999999999991</v>
      </c>
      <c r="M15" s="161">
        <f t="shared" si="9"/>
        <v>-810</v>
      </c>
      <c r="N15" s="162">
        <f t="shared" si="9"/>
        <v>-881.3</v>
      </c>
      <c r="O15" s="160">
        <f t="shared" si="9"/>
        <v>-934.80000000000007</v>
      </c>
      <c r="P15" s="161">
        <f t="shared" si="9"/>
        <v>-976.60000000000014</v>
      </c>
      <c r="Q15" s="161">
        <f t="shared" si="9"/>
        <v>-1042.3</v>
      </c>
      <c r="R15" s="162">
        <f t="shared" si="9"/>
        <v>-1085.4000000000001</v>
      </c>
      <c r="S15" s="160">
        <f t="shared" si="9"/>
        <v>-1125.5999999999999</v>
      </c>
      <c r="T15" s="161">
        <f t="shared" si="9"/>
        <v>-1142.2</v>
      </c>
      <c r="U15" s="161">
        <f t="shared" si="9"/>
        <v>-1184.5</v>
      </c>
      <c r="V15" s="162">
        <f t="shared" si="9"/>
        <v>-1114</v>
      </c>
      <c r="W15" s="160">
        <f t="shared" si="9"/>
        <v>-1196.7</v>
      </c>
      <c r="X15" s="161">
        <f t="shared" si="9"/>
        <v>-1291.8</v>
      </c>
      <c r="Y15" s="161">
        <f t="shared" si="9"/>
        <v>-1359.9</v>
      </c>
      <c r="Z15" s="162">
        <f t="shared" si="9"/>
        <v>-1429.2000000000003</v>
      </c>
      <c r="AA15" s="160">
        <f t="shared" si="9"/>
        <v>-1474.2000000000003</v>
      </c>
      <c r="AB15" s="161">
        <f t="shared" si="9"/>
        <v>-1574.6999999999998</v>
      </c>
      <c r="AC15" s="161">
        <f t="shared" si="9"/>
        <v>-1498.1000000000001</v>
      </c>
      <c r="AD15" s="162">
        <f t="shared" si="9"/>
        <v>-1559.6</v>
      </c>
      <c r="AE15" s="160">
        <f t="shared" si="9"/>
        <v>-1643.8999999999994</v>
      </c>
      <c r="AF15" s="161">
        <f t="shared" si="9"/>
        <v>-1617.3999999999999</v>
      </c>
      <c r="AG15" s="161">
        <f t="shared" si="9"/>
        <v>-1666.7</v>
      </c>
      <c r="AH15" s="162">
        <f t="shared" si="9"/>
        <v>-1725.5</v>
      </c>
      <c r="AI15" s="161">
        <f t="shared" si="9"/>
        <v>-1791.9</v>
      </c>
      <c r="AJ15" s="161">
        <f t="shared" si="9"/>
        <v>-1662.6</v>
      </c>
      <c r="AK15" s="161">
        <f t="shared" si="9"/>
        <v>-1505.9000000000003</v>
      </c>
      <c r="AL15" s="162">
        <f t="shared" si="9"/>
        <v>-1546.9</v>
      </c>
      <c r="AM15" s="161">
        <f t="shared" si="9"/>
        <v>-1557.1</v>
      </c>
      <c r="AN15" s="161">
        <f t="shared" si="9"/>
        <v>-1480.7999999999997</v>
      </c>
      <c r="AO15" s="161">
        <f t="shared" si="9"/>
        <v>-1454.9</v>
      </c>
      <c r="AP15" s="162">
        <f t="shared" si="9"/>
        <v>-1467.7</v>
      </c>
      <c r="AQ15" s="161">
        <f t="shared" si="9"/>
        <v>-1516.2</v>
      </c>
      <c r="AR15" s="161">
        <f>SUM(AR16,AR21)</f>
        <v>-1535.8</v>
      </c>
      <c r="AS15" s="161">
        <f>SUM(AS16,AS21)</f>
        <v>-1592.6999999999998</v>
      </c>
      <c r="AT15" s="161">
        <f>SUM(AT16,AT21)</f>
        <v>-1667.5999999999997</v>
      </c>
    </row>
    <row r="16" spans="1:51" s="164" customFormat="1" ht="10.8">
      <c r="A16" s="159" t="s">
        <v>139</v>
      </c>
      <c r="B16" s="159" t="s">
        <v>140</v>
      </c>
      <c r="C16" s="160">
        <f>SUM(C17:C20)</f>
        <v>-665.90000000000009</v>
      </c>
      <c r="D16" s="161">
        <f t="shared" ref="D16:AQ16" si="10">SUM(D17:D20)</f>
        <v>-619.40000000000009</v>
      </c>
      <c r="E16" s="161">
        <f t="shared" si="10"/>
        <v>-548.49999999999989</v>
      </c>
      <c r="F16" s="161">
        <f t="shared" si="10"/>
        <v>-552.80000000000007</v>
      </c>
      <c r="G16" s="160">
        <f t="shared" si="10"/>
        <v>-564.69999999999993</v>
      </c>
      <c r="H16" s="161">
        <f t="shared" si="10"/>
        <v>-394.79999999999995</v>
      </c>
      <c r="I16" s="161">
        <f t="shared" si="10"/>
        <v>-405.40000000000003</v>
      </c>
      <c r="J16" s="162">
        <f t="shared" si="10"/>
        <v>-493.59999999999997</v>
      </c>
      <c r="K16" s="160">
        <f t="shared" si="10"/>
        <v>-664.80000000000007</v>
      </c>
      <c r="L16" s="161">
        <f t="shared" si="10"/>
        <v>-756.49999999999989</v>
      </c>
      <c r="M16" s="161">
        <f t="shared" si="10"/>
        <v>-801.4</v>
      </c>
      <c r="N16" s="162">
        <f t="shared" si="10"/>
        <v>-872.69999999999993</v>
      </c>
      <c r="O16" s="160">
        <f t="shared" si="10"/>
        <v>-926.2</v>
      </c>
      <c r="P16" s="161">
        <f t="shared" si="10"/>
        <v>-968.00000000000011</v>
      </c>
      <c r="Q16" s="161">
        <f t="shared" si="10"/>
        <v>-1037.0999999999999</v>
      </c>
      <c r="R16" s="162">
        <f t="shared" si="10"/>
        <v>-1080.2</v>
      </c>
      <c r="S16" s="160">
        <f t="shared" si="10"/>
        <v>-1120.3999999999999</v>
      </c>
      <c r="T16" s="161">
        <f t="shared" si="10"/>
        <v>-1137</v>
      </c>
      <c r="U16" s="161">
        <f t="shared" si="10"/>
        <v>-1179.3</v>
      </c>
      <c r="V16" s="162">
        <f t="shared" si="10"/>
        <v>-1108.8</v>
      </c>
      <c r="W16" s="160">
        <f t="shared" si="10"/>
        <v>-1191.6000000000001</v>
      </c>
      <c r="X16" s="161">
        <f t="shared" si="10"/>
        <v>-1286.5999999999999</v>
      </c>
      <c r="Y16" s="161">
        <f t="shared" si="10"/>
        <v>-1354.7</v>
      </c>
      <c r="Z16" s="162">
        <f t="shared" si="10"/>
        <v>-1424.0000000000002</v>
      </c>
      <c r="AA16" s="160">
        <f t="shared" si="10"/>
        <v>-1469.0000000000002</v>
      </c>
      <c r="AB16" s="161">
        <f t="shared" si="10"/>
        <v>-1569.3999999999999</v>
      </c>
      <c r="AC16" s="161">
        <f t="shared" si="10"/>
        <v>-1492.8000000000002</v>
      </c>
      <c r="AD16" s="162">
        <f t="shared" si="10"/>
        <v>-1554</v>
      </c>
      <c r="AE16" s="160">
        <f t="shared" si="10"/>
        <v>-1638.2999999999995</v>
      </c>
      <c r="AF16" s="161">
        <f t="shared" si="10"/>
        <v>-1611.8</v>
      </c>
      <c r="AG16" s="161">
        <f t="shared" si="10"/>
        <v>-1661.1000000000001</v>
      </c>
      <c r="AH16" s="162">
        <f t="shared" si="10"/>
        <v>-1719.8</v>
      </c>
      <c r="AI16" s="161">
        <f t="shared" si="10"/>
        <v>-1791</v>
      </c>
      <c r="AJ16" s="161">
        <f t="shared" si="10"/>
        <v>-1661.6999999999998</v>
      </c>
      <c r="AK16" s="161">
        <f t="shared" si="10"/>
        <v>-1504.9000000000003</v>
      </c>
      <c r="AL16" s="162">
        <f t="shared" si="10"/>
        <v>-1545.9</v>
      </c>
      <c r="AM16" s="161">
        <f t="shared" si="10"/>
        <v>-1555.8999999999999</v>
      </c>
      <c r="AN16" s="161">
        <f t="shared" si="10"/>
        <v>-1479.5999999999997</v>
      </c>
      <c r="AO16" s="161">
        <f t="shared" si="10"/>
        <v>-1453.7</v>
      </c>
      <c r="AP16" s="162">
        <f t="shared" si="10"/>
        <v>-1467</v>
      </c>
      <c r="AQ16" s="161">
        <f t="shared" si="10"/>
        <v>-1515.5</v>
      </c>
      <c r="AR16" s="161">
        <f>SUM(AR17:AR20)</f>
        <v>-1535.1</v>
      </c>
      <c r="AS16" s="161">
        <f>SUM(AS17:AS20)</f>
        <v>-1591.9999999999998</v>
      </c>
      <c r="AT16" s="161">
        <f>SUM(AT17:AT20)</f>
        <v>-1666.8999999999996</v>
      </c>
    </row>
    <row r="17" spans="1:46" s="170" customFormat="1" ht="10.8">
      <c r="A17" s="166" t="s">
        <v>141</v>
      </c>
      <c r="B17" s="166" t="s">
        <v>142</v>
      </c>
      <c r="C17" s="167">
        <f>SUM(C40,C64,C70,C88)</f>
        <v>-648.30000000000007</v>
      </c>
      <c r="D17" s="168">
        <f t="shared" ref="D17:AJ17" si="11">SUM(D40,D64,D70,D88)</f>
        <v>-602.30000000000007</v>
      </c>
      <c r="E17" s="168">
        <f t="shared" si="11"/>
        <v>-532.19999999999993</v>
      </c>
      <c r="F17" s="168">
        <f t="shared" si="11"/>
        <v>-536.90000000000009</v>
      </c>
      <c r="G17" s="167">
        <f t="shared" si="11"/>
        <v>-548.59999999999991</v>
      </c>
      <c r="H17" s="168">
        <f t="shared" si="11"/>
        <v>-392.79999999999995</v>
      </c>
      <c r="I17" s="168">
        <f t="shared" si="11"/>
        <v>-403.3</v>
      </c>
      <c r="J17" s="169">
        <f t="shared" si="11"/>
        <v>-491.2</v>
      </c>
      <c r="K17" s="167">
        <f t="shared" si="11"/>
        <v>-661.30000000000007</v>
      </c>
      <c r="L17" s="168">
        <f t="shared" si="11"/>
        <v>-753.19999999999993</v>
      </c>
      <c r="M17" s="168">
        <f t="shared" si="11"/>
        <v>-797.6</v>
      </c>
      <c r="N17" s="169">
        <f t="shared" si="11"/>
        <v>-868.19999999999993</v>
      </c>
      <c r="O17" s="167">
        <f t="shared" si="11"/>
        <v>-920.7</v>
      </c>
      <c r="P17" s="168">
        <f t="shared" si="11"/>
        <v>-962.20000000000016</v>
      </c>
      <c r="Q17" s="168">
        <f t="shared" si="11"/>
        <v>-1031.7</v>
      </c>
      <c r="R17" s="169">
        <f t="shared" si="11"/>
        <v>-1077.9000000000001</v>
      </c>
      <c r="S17" s="167">
        <f t="shared" si="11"/>
        <v>-1118.0999999999999</v>
      </c>
      <c r="T17" s="168">
        <f t="shared" si="11"/>
        <v>-1134.5</v>
      </c>
      <c r="U17" s="168">
        <f t="shared" si="11"/>
        <v>-1175.8</v>
      </c>
      <c r="V17" s="169">
        <f t="shared" si="11"/>
        <v>-1105.5999999999999</v>
      </c>
      <c r="W17" s="167">
        <f t="shared" si="11"/>
        <v>-1121.1000000000001</v>
      </c>
      <c r="X17" s="168">
        <f t="shared" si="11"/>
        <v>-1186.4000000000001</v>
      </c>
      <c r="Y17" s="168">
        <f t="shared" si="11"/>
        <v>-1233.7</v>
      </c>
      <c r="Z17" s="169">
        <f t="shared" si="11"/>
        <v>-1287.4000000000001</v>
      </c>
      <c r="AA17" s="167">
        <f t="shared" si="11"/>
        <v>-1338.4</v>
      </c>
      <c r="AB17" s="168">
        <f t="shared" si="11"/>
        <v>-1437</v>
      </c>
      <c r="AC17" s="168">
        <f t="shared" si="11"/>
        <v>-1360</v>
      </c>
      <c r="AD17" s="169">
        <f t="shared" si="11"/>
        <v>-1481.6</v>
      </c>
      <c r="AE17" s="167">
        <f t="shared" si="11"/>
        <v>-1560.4999999999998</v>
      </c>
      <c r="AF17" s="168">
        <f t="shared" si="11"/>
        <v>-1529.2</v>
      </c>
      <c r="AG17" s="168">
        <f t="shared" si="11"/>
        <v>-1583.8</v>
      </c>
      <c r="AH17" s="169">
        <f t="shared" si="11"/>
        <v>-1638.2</v>
      </c>
      <c r="AI17" s="168">
        <f t="shared" si="11"/>
        <v>-1679.4</v>
      </c>
      <c r="AJ17" s="168">
        <f t="shared" si="11"/>
        <v>-1542.1</v>
      </c>
      <c r="AK17" s="168">
        <f>SUM(AK40,AK64,AK70,AK88)</f>
        <v>-1376.6000000000001</v>
      </c>
      <c r="AL17" s="169">
        <f>SUM(AL40,AL64,AL70,AL88)</f>
        <v>-1390.7</v>
      </c>
      <c r="AM17" s="168">
        <f>SUM(AM40,AM64,AM70,AM88)</f>
        <v>-1365.7</v>
      </c>
      <c r="AN17" s="168">
        <f>SUM(AN40,AN64,AN70,AN88)</f>
        <v>-1409.8999999999999</v>
      </c>
      <c r="AO17" s="168">
        <v>-1384.6</v>
      </c>
      <c r="AP17" s="169">
        <v>-1376.7</v>
      </c>
      <c r="AQ17" s="168">
        <v>-1435.1</v>
      </c>
      <c r="AR17" s="168">
        <f>SUM(AR40,AR64,AR70,AR88)</f>
        <v>-1470.2</v>
      </c>
      <c r="AS17" s="168">
        <f>SUM(AS40,AS64,AS70,AS88)</f>
        <v>-1519.6</v>
      </c>
      <c r="AT17" s="168">
        <f>SUM(AT40,AT64,AT70,AT88)</f>
        <v>-1587.1</v>
      </c>
    </row>
    <row r="18" spans="1:46" s="170" customFormat="1" ht="10.8">
      <c r="A18" s="166" t="s">
        <v>143</v>
      </c>
      <c r="B18" s="166" t="s">
        <v>144</v>
      </c>
      <c r="C18" s="167">
        <f>SUM(C65,C71)</f>
        <v>0</v>
      </c>
      <c r="D18" s="168">
        <f t="shared" ref="D18:AJ18" si="12">SUM(D65,D71)</f>
        <v>0</v>
      </c>
      <c r="E18" s="168">
        <f t="shared" si="12"/>
        <v>0</v>
      </c>
      <c r="F18" s="168">
        <f t="shared" si="12"/>
        <v>0</v>
      </c>
      <c r="G18" s="167">
        <f t="shared" si="12"/>
        <v>0</v>
      </c>
      <c r="H18" s="168">
        <f t="shared" si="12"/>
        <v>0</v>
      </c>
      <c r="I18" s="168">
        <f t="shared" si="12"/>
        <v>0</v>
      </c>
      <c r="J18" s="169">
        <f t="shared" si="12"/>
        <v>0</v>
      </c>
      <c r="K18" s="167">
        <f t="shared" si="12"/>
        <v>0</v>
      </c>
      <c r="L18" s="168">
        <f t="shared" si="12"/>
        <v>0</v>
      </c>
      <c r="M18" s="168">
        <f t="shared" si="12"/>
        <v>0</v>
      </c>
      <c r="N18" s="169">
        <f t="shared" si="12"/>
        <v>0</v>
      </c>
      <c r="O18" s="167">
        <f t="shared" si="12"/>
        <v>0</v>
      </c>
      <c r="P18" s="168">
        <f t="shared" si="12"/>
        <v>0</v>
      </c>
      <c r="Q18" s="168">
        <f t="shared" si="12"/>
        <v>0</v>
      </c>
      <c r="R18" s="169">
        <f t="shared" si="12"/>
        <v>0</v>
      </c>
      <c r="S18" s="167">
        <f t="shared" si="12"/>
        <v>0</v>
      </c>
      <c r="T18" s="168">
        <f t="shared" si="12"/>
        <v>0</v>
      </c>
      <c r="U18" s="168">
        <f t="shared" si="12"/>
        <v>0</v>
      </c>
      <c r="V18" s="169">
        <f t="shared" si="12"/>
        <v>0</v>
      </c>
      <c r="W18" s="167">
        <f t="shared" si="12"/>
        <v>-62.7</v>
      </c>
      <c r="X18" s="168">
        <f t="shared" si="12"/>
        <v>-61.800000000000004</v>
      </c>
      <c r="Y18" s="168">
        <f t="shared" si="12"/>
        <v>-68.2</v>
      </c>
      <c r="Z18" s="169">
        <f t="shared" si="12"/>
        <v>-69.399999999999991</v>
      </c>
      <c r="AA18" s="167">
        <f t="shared" si="12"/>
        <v>-63.400000000000006</v>
      </c>
      <c r="AB18" s="168">
        <f t="shared" si="12"/>
        <v>-60</v>
      </c>
      <c r="AC18" s="168">
        <f t="shared" si="12"/>
        <v>-54.4</v>
      </c>
      <c r="AD18" s="169">
        <f t="shared" si="12"/>
        <v>-59.7</v>
      </c>
      <c r="AE18" s="167">
        <f t="shared" si="12"/>
        <v>-62.6</v>
      </c>
      <c r="AF18" s="168">
        <f t="shared" si="12"/>
        <v>-64.599999999999994</v>
      </c>
      <c r="AG18" s="168">
        <f t="shared" si="12"/>
        <v>-63.7</v>
      </c>
      <c r="AH18" s="169">
        <f t="shared" si="12"/>
        <v>-62.099999999999994</v>
      </c>
      <c r="AI18" s="168">
        <f t="shared" si="12"/>
        <v>-51.999999999999993</v>
      </c>
      <c r="AJ18" s="168">
        <f t="shared" si="12"/>
        <v>-43.6</v>
      </c>
      <c r="AK18" s="168">
        <f>SUM(AK65,AK71)</f>
        <v>-38.4</v>
      </c>
      <c r="AL18" s="169">
        <f>SUM(AL65,AL71)</f>
        <v>-39.4</v>
      </c>
      <c r="AM18" s="168">
        <f>SUM(AM65,AM71)</f>
        <v>-43.099999999999994</v>
      </c>
      <c r="AN18" s="168">
        <f>SUM(AN65,AN71)</f>
        <v>-48.8</v>
      </c>
      <c r="AO18" s="168">
        <v>-46.4</v>
      </c>
      <c r="AP18" s="169">
        <v>-50.4</v>
      </c>
      <c r="AQ18" s="168">
        <v>-40.9</v>
      </c>
      <c r="AR18" s="168">
        <f>SUM(AR65,AR71)</f>
        <v>-28.8</v>
      </c>
      <c r="AS18" s="168">
        <f>SUM(AS65,AS71)</f>
        <v>-29.5</v>
      </c>
      <c r="AT18" s="168">
        <f>SUM(AT65,AT71)</f>
        <v>-33.6</v>
      </c>
    </row>
    <row r="19" spans="1:46" s="170" customFormat="1" ht="10.8">
      <c r="A19" s="166" t="s">
        <v>145</v>
      </c>
      <c r="B19" s="166" t="s">
        <v>146</v>
      </c>
      <c r="C19" s="167">
        <f>SUM(C66,C72,C89)</f>
        <v>-2.5999999999999996</v>
      </c>
      <c r="D19" s="168">
        <f t="shared" ref="D19:AJ19" si="13">SUM(D66,D72,D89)</f>
        <v>-2.5999999999999996</v>
      </c>
      <c r="E19" s="168">
        <f t="shared" si="13"/>
        <v>-2.4</v>
      </c>
      <c r="F19" s="168">
        <f t="shared" si="13"/>
        <v>-2.4000000000000004</v>
      </c>
      <c r="G19" s="167">
        <f t="shared" si="13"/>
        <v>-2.6</v>
      </c>
      <c r="H19" s="168">
        <f t="shared" si="13"/>
        <v>-1.9</v>
      </c>
      <c r="I19" s="168">
        <f t="shared" si="13"/>
        <v>-2.1</v>
      </c>
      <c r="J19" s="169">
        <f t="shared" si="13"/>
        <v>-2.4</v>
      </c>
      <c r="K19" s="167">
        <f t="shared" si="13"/>
        <v>-3.5</v>
      </c>
      <c r="L19" s="168">
        <f t="shared" si="13"/>
        <v>-2.8</v>
      </c>
      <c r="M19" s="168">
        <f t="shared" si="13"/>
        <v>-2.9</v>
      </c>
      <c r="N19" s="169">
        <f t="shared" si="13"/>
        <v>-2.5</v>
      </c>
      <c r="O19" s="167">
        <f t="shared" si="13"/>
        <v>-2.2000000000000002</v>
      </c>
      <c r="P19" s="168">
        <f t="shared" si="13"/>
        <v>-2.5</v>
      </c>
      <c r="Q19" s="168">
        <f t="shared" si="13"/>
        <v>-2.2999999999999998</v>
      </c>
      <c r="R19" s="169">
        <f t="shared" si="13"/>
        <v>-2.1</v>
      </c>
      <c r="S19" s="167">
        <f t="shared" si="13"/>
        <v>-2.1</v>
      </c>
      <c r="T19" s="168">
        <f t="shared" si="13"/>
        <v>-2.2999999999999998</v>
      </c>
      <c r="U19" s="168">
        <f t="shared" si="13"/>
        <v>-3.2</v>
      </c>
      <c r="V19" s="169">
        <f t="shared" si="13"/>
        <v>-3</v>
      </c>
      <c r="W19" s="167">
        <f t="shared" si="13"/>
        <v>-7.6</v>
      </c>
      <c r="X19" s="168">
        <f t="shared" si="13"/>
        <v>-6.1000000000000005</v>
      </c>
      <c r="Y19" s="168">
        <f t="shared" si="13"/>
        <v>-6.2999999999999989</v>
      </c>
      <c r="Z19" s="169">
        <f t="shared" si="13"/>
        <v>-9.4</v>
      </c>
      <c r="AA19" s="167">
        <f t="shared" si="13"/>
        <v>-8.1999999999999993</v>
      </c>
      <c r="AB19" s="168">
        <f t="shared" si="13"/>
        <v>-8.6000000000000014</v>
      </c>
      <c r="AC19" s="168">
        <f t="shared" si="13"/>
        <v>-9.4</v>
      </c>
      <c r="AD19" s="169">
        <f t="shared" si="13"/>
        <v>-11.899999999999999</v>
      </c>
      <c r="AE19" s="167">
        <f t="shared" si="13"/>
        <v>-14.099999999999998</v>
      </c>
      <c r="AF19" s="168">
        <f t="shared" si="13"/>
        <v>-17.000000000000004</v>
      </c>
      <c r="AG19" s="168">
        <f t="shared" si="13"/>
        <v>-12.399999999999999</v>
      </c>
      <c r="AH19" s="169">
        <f t="shared" si="13"/>
        <v>-13.9</v>
      </c>
      <c r="AI19" s="168">
        <f t="shared" si="13"/>
        <v>-15</v>
      </c>
      <c r="AJ19" s="168">
        <f t="shared" si="13"/>
        <v>-14</v>
      </c>
      <c r="AK19" s="168">
        <f>SUM(AK66,AK72,AK89)</f>
        <v>-12</v>
      </c>
      <c r="AL19" s="169">
        <f>SUM(AL66,AL72,AL89)</f>
        <v>-12.3</v>
      </c>
      <c r="AM19" s="168">
        <f>SUM(AM66,AM72,AM89)</f>
        <v>-17.100000000000001</v>
      </c>
      <c r="AN19" s="168">
        <f>SUM(AN66,AN72,AN89)</f>
        <v>-19.8</v>
      </c>
      <c r="AO19" s="168">
        <v>-21.3</v>
      </c>
      <c r="AP19" s="169">
        <v>-22.8</v>
      </c>
      <c r="AQ19" s="168">
        <v>-23.1</v>
      </c>
      <c r="AR19" s="168">
        <f>SUM(AR66,AR72,AR89)</f>
        <v>-20</v>
      </c>
      <c r="AS19" s="168">
        <f>SUM(AS66,AS72,AS89)</f>
        <v>-26.800000000000004</v>
      </c>
      <c r="AT19" s="168">
        <f>SUM(AT66,AT72,AT89)</f>
        <v>-30.1</v>
      </c>
    </row>
    <row r="20" spans="1:46" s="170" customFormat="1" ht="10.8">
      <c r="A20" s="166" t="s">
        <v>147</v>
      </c>
      <c r="B20" s="166" t="s">
        <v>148</v>
      </c>
      <c r="C20" s="167">
        <f t="shared" ref="C20:AH20" si="14">SUM(C67,C90)</f>
        <v>-15</v>
      </c>
      <c r="D20" s="168">
        <f t="shared" si="14"/>
        <v>-14.5</v>
      </c>
      <c r="E20" s="168">
        <f t="shared" si="14"/>
        <v>-13.9</v>
      </c>
      <c r="F20" s="168">
        <f t="shared" si="14"/>
        <v>-13.5</v>
      </c>
      <c r="G20" s="167">
        <f t="shared" si="14"/>
        <v>-13.5</v>
      </c>
      <c r="H20" s="168">
        <f t="shared" si="14"/>
        <v>-0.1</v>
      </c>
      <c r="I20" s="168">
        <f t="shared" si="14"/>
        <v>0</v>
      </c>
      <c r="J20" s="169">
        <f t="shared" si="14"/>
        <v>0</v>
      </c>
      <c r="K20" s="167">
        <f t="shared" si="14"/>
        <v>0</v>
      </c>
      <c r="L20" s="168">
        <f t="shared" si="14"/>
        <v>-0.5</v>
      </c>
      <c r="M20" s="168">
        <f t="shared" si="14"/>
        <v>-0.9</v>
      </c>
      <c r="N20" s="169">
        <f t="shared" si="14"/>
        <v>-2</v>
      </c>
      <c r="O20" s="167">
        <f t="shared" si="14"/>
        <v>-3.3</v>
      </c>
      <c r="P20" s="168">
        <f t="shared" si="14"/>
        <v>-3.3</v>
      </c>
      <c r="Q20" s="168">
        <f t="shared" si="14"/>
        <v>-3.1</v>
      </c>
      <c r="R20" s="169">
        <f t="shared" si="14"/>
        <v>-0.2</v>
      </c>
      <c r="S20" s="167">
        <f t="shared" si="14"/>
        <v>-0.2</v>
      </c>
      <c r="T20" s="168">
        <f t="shared" si="14"/>
        <v>-0.2</v>
      </c>
      <c r="U20" s="168">
        <f t="shared" si="14"/>
        <v>-0.3</v>
      </c>
      <c r="V20" s="169">
        <f t="shared" si="14"/>
        <v>-0.2</v>
      </c>
      <c r="W20" s="167">
        <f t="shared" si="14"/>
        <v>-0.2</v>
      </c>
      <c r="X20" s="168">
        <f t="shared" si="14"/>
        <v>-32.299999999999997</v>
      </c>
      <c r="Y20" s="168">
        <f t="shared" si="14"/>
        <v>-46.5</v>
      </c>
      <c r="Z20" s="169">
        <f t="shared" si="14"/>
        <v>-57.8</v>
      </c>
      <c r="AA20" s="167">
        <f t="shared" si="14"/>
        <v>-59</v>
      </c>
      <c r="AB20" s="168">
        <f t="shared" si="14"/>
        <v>-63.800000000000004</v>
      </c>
      <c r="AC20" s="168">
        <f t="shared" si="14"/>
        <v>-69</v>
      </c>
      <c r="AD20" s="169">
        <f t="shared" si="14"/>
        <v>-0.8</v>
      </c>
      <c r="AE20" s="167">
        <f t="shared" si="14"/>
        <v>-1.1000000000000001</v>
      </c>
      <c r="AF20" s="168">
        <f t="shared" si="14"/>
        <v>-1</v>
      </c>
      <c r="AG20" s="168">
        <f t="shared" si="14"/>
        <v>-1.2</v>
      </c>
      <c r="AH20" s="169">
        <f t="shared" si="14"/>
        <v>-5.6</v>
      </c>
      <c r="AI20" s="168">
        <f>SUM(AI67,AI90)</f>
        <v>-44.600000000000009</v>
      </c>
      <c r="AJ20" s="168">
        <f>SUM(AJ67,AJ90)</f>
        <v>-62</v>
      </c>
      <c r="AK20" s="168">
        <f>SUM(AK67,AK90)</f>
        <v>-77.900000000000006</v>
      </c>
      <c r="AL20" s="169">
        <f>SUM(AL41,AL67,AL90)</f>
        <v>-103.49999999999999</v>
      </c>
      <c r="AM20" s="168">
        <f>SUM(AM41,AM67,AM90)</f>
        <v>-129.99999999999997</v>
      </c>
      <c r="AN20" s="168">
        <f>SUM(AN41,AN67,AN90)</f>
        <v>-1.0999999999999999</v>
      </c>
      <c r="AO20" s="168">
        <v>-1.4</v>
      </c>
      <c r="AP20" s="169">
        <v>-17.100000000000001</v>
      </c>
      <c r="AQ20" s="168">
        <v>-16.399999999999999</v>
      </c>
      <c r="AR20" s="168">
        <f>SUM(AR41,AR67,AR90)</f>
        <v>-16.099999999999998</v>
      </c>
      <c r="AS20" s="168">
        <f>SUM(AS41,AS67,AS90)</f>
        <v>-16.099999999999998</v>
      </c>
      <c r="AT20" s="168">
        <f>SUM(AT41,AT67,AT90)</f>
        <v>-16.099999999999998</v>
      </c>
    </row>
    <row r="21" spans="1:46" s="164" customFormat="1" ht="10.8">
      <c r="A21" s="171" t="s">
        <v>149</v>
      </c>
      <c r="B21" s="171" t="s">
        <v>150</v>
      </c>
      <c r="C21" s="160">
        <f>SUM(C22:C23)</f>
        <v>-8.6</v>
      </c>
      <c r="D21" s="161">
        <f t="shared" ref="D21:AQ21" si="15">SUM(D22:D23)</f>
        <v>-8.6</v>
      </c>
      <c r="E21" s="161">
        <f t="shared" si="15"/>
        <v>-8.6</v>
      </c>
      <c r="F21" s="161">
        <f t="shared" si="15"/>
        <v>-8.6</v>
      </c>
      <c r="G21" s="160">
        <f t="shared" si="15"/>
        <v>-8.6</v>
      </c>
      <c r="H21" s="161">
        <f t="shared" si="15"/>
        <v>-8.6</v>
      </c>
      <c r="I21" s="161">
        <f t="shared" si="15"/>
        <v>-8.6</v>
      </c>
      <c r="J21" s="162">
        <f t="shared" si="15"/>
        <v>-8.6</v>
      </c>
      <c r="K21" s="160">
        <f t="shared" si="15"/>
        <v>-8.6</v>
      </c>
      <c r="L21" s="161">
        <f t="shared" si="15"/>
        <v>-8.6</v>
      </c>
      <c r="M21" s="161">
        <f t="shared" si="15"/>
        <v>-8.6</v>
      </c>
      <c r="N21" s="162">
        <f t="shared" si="15"/>
        <v>-8.6</v>
      </c>
      <c r="O21" s="160">
        <f t="shared" si="15"/>
        <v>-8.6</v>
      </c>
      <c r="P21" s="161">
        <f t="shared" si="15"/>
        <v>-8.6</v>
      </c>
      <c r="Q21" s="161">
        <f t="shared" si="15"/>
        <v>-5.2</v>
      </c>
      <c r="R21" s="162">
        <f t="shared" si="15"/>
        <v>-5.2</v>
      </c>
      <c r="S21" s="160">
        <f t="shared" si="15"/>
        <v>-5.2</v>
      </c>
      <c r="T21" s="161">
        <f t="shared" si="15"/>
        <v>-5.2</v>
      </c>
      <c r="U21" s="161">
        <f t="shared" si="15"/>
        <v>-5.2</v>
      </c>
      <c r="V21" s="162">
        <f t="shared" si="15"/>
        <v>-5.2</v>
      </c>
      <c r="W21" s="160">
        <f t="shared" si="15"/>
        <v>-5.0999999999999996</v>
      </c>
      <c r="X21" s="161">
        <f t="shared" si="15"/>
        <v>-5.2</v>
      </c>
      <c r="Y21" s="161">
        <f t="shared" si="15"/>
        <v>-5.2</v>
      </c>
      <c r="Z21" s="162">
        <f t="shared" si="15"/>
        <v>-5.2</v>
      </c>
      <c r="AA21" s="160">
        <f t="shared" si="15"/>
        <v>-5.2</v>
      </c>
      <c r="AB21" s="161">
        <f t="shared" si="15"/>
        <v>-5.3</v>
      </c>
      <c r="AC21" s="161">
        <f t="shared" si="15"/>
        <v>-5.3</v>
      </c>
      <c r="AD21" s="162">
        <f t="shared" si="15"/>
        <v>-5.6000000000000005</v>
      </c>
      <c r="AE21" s="160">
        <f t="shared" si="15"/>
        <v>-5.6000000000000005</v>
      </c>
      <c r="AF21" s="161">
        <f t="shared" si="15"/>
        <v>-5.6000000000000005</v>
      </c>
      <c r="AG21" s="161">
        <f t="shared" si="15"/>
        <v>-5.6000000000000005</v>
      </c>
      <c r="AH21" s="162">
        <f t="shared" si="15"/>
        <v>-5.7</v>
      </c>
      <c r="AI21" s="161">
        <f t="shared" si="15"/>
        <v>-0.9</v>
      </c>
      <c r="AJ21" s="161">
        <f t="shared" si="15"/>
        <v>-0.9</v>
      </c>
      <c r="AK21" s="161">
        <f t="shared" si="15"/>
        <v>-1</v>
      </c>
      <c r="AL21" s="162">
        <f t="shared" si="15"/>
        <v>-1</v>
      </c>
      <c r="AM21" s="161">
        <f t="shared" si="15"/>
        <v>-1.2</v>
      </c>
      <c r="AN21" s="161">
        <f>SUM(AN22:AN23)</f>
        <v>-1.2</v>
      </c>
      <c r="AO21" s="161">
        <f>SUM(AO22:AO23)</f>
        <v>-1.2</v>
      </c>
      <c r="AP21" s="162">
        <f t="shared" si="15"/>
        <v>-0.7</v>
      </c>
      <c r="AQ21" s="161">
        <f t="shared" si="15"/>
        <v>-0.7</v>
      </c>
      <c r="AR21" s="161">
        <f>SUM(AR22:AR23)</f>
        <v>-0.7</v>
      </c>
      <c r="AS21" s="161">
        <f>SUM(AS22:AS23)</f>
        <v>-0.7</v>
      </c>
      <c r="AT21" s="161">
        <f>SUM(AT22:AT23)</f>
        <v>-0.7</v>
      </c>
    </row>
    <row r="22" spans="1:46" s="164" customFormat="1" ht="10.8">
      <c r="A22" s="166" t="s">
        <v>151</v>
      </c>
      <c r="B22" s="166" t="s">
        <v>152</v>
      </c>
      <c r="C22" s="160">
        <f t="shared" ref="C22:AQ22" si="16">C91</f>
        <v>0</v>
      </c>
      <c r="D22" s="161">
        <f t="shared" si="16"/>
        <v>0</v>
      </c>
      <c r="E22" s="161">
        <f t="shared" si="16"/>
        <v>0</v>
      </c>
      <c r="F22" s="161">
        <f t="shared" si="16"/>
        <v>0</v>
      </c>
      <c r="G22" s="160">
        <f t="shared" si="16"/>
        <v>0</v>
      </c>
      <c r="H22" s="161">
        <f t="shared" si="16"/>
        <v>0</v>
      </c>
      <c r="I22" s="161">
        <f t="shared" si="16"/>
        <v>0</v>
      </c>
      <c r="J22" s="162">
        <f t="shared" si="16"/>
        <v>0</v>
      </c>
      <c r="K22" s="160">
        <f t="shared" si="16"/>
        <v>0</v>
      </c>
      <c r="L22" s="161">
        <f t="shared" si="16"/>
        <v>0</v>
      </c>
      <c r="M22" s="161">
        <f t="shared" si="16"/>
        <v>0</v>
      </c>
      <c r="N22" s="162">
        <f t="shared" si="16"/>
        <v>0</v>
      </c>
      <c r="O22" s="160">
        <f t="shared" si="16"/>
        <v>0</v>
      </c>
      <c r="P22" s="161">
        <f t="shared" si="16"/>
        <v>0</v>
      </c>
      <c r="Q22" s="161">
        <f t="shared" si="16"/>
        <v>0</v>
      </c>
      <c r="R22" s="162">
        <f t="shared" si="16"/>
        <v>0</v>
      </c>
      <c r="S22" s="160">
        <f t="shared" si="16"/>
        <v>0</v>
      </c>
      <c r="T22" s="161">
        <f t="shared" si="16"/>
        <v>0</v>
      </c>
      <c r="U22" s="161">
        <f t="shared" si="16"/>
        <v>0</v>
      </c>
      <c r="V22" s="162">
        <f t="shared" si="16"/>
        <v>0</v>
      </c>
      <c r="W22" s="160">
        <f t="shared" si="16"/>
        <v>0</v>
      </c>
      <c r="X22" s="161">
        <f t="shared" si="16"/>
        <v>0</v>
      </c>
      <c r="Y22" s="161">
        <f t="shared" si="16"/>
        <v>0</v>
      </c>
      <c r="Z22" s="162">
        <f t="shared" si="16"/>
        <v>0</v>
      </c>
      <c r="AA22" s="160">
        <f t="shared" si="16"/>
        <v>0</v>
      </c>
      <c r="AB22" s="161">
        <f t="shared" si="16"/>
        <v>-0.1</v>
      </c>
      <c r="AC22" s="161">
        <f t="shared" si="16"/>
        <v>-0.1</v>
      </c>
      <c r="AD22" s="162">
        <f t="shared" si="16"/>
        <v>-0.4</v>
      </c>
      <c r="AE22" s="160">
        <f t="shared" si="16"/>
        <v>-0.4</v>
      </c>
      <c r="AF22" s="161">
        <f t="shared" si="16"/>
        <v>-0.4</v>
      </c>
      <c r="AG22" s="161">
        <f t="shared" si="16"/>
        <v>-0.4</v>
      </c>
      <c r="AH22" s="162">
        <f t="shared" si="16"/>
        <v>-0.5</v>
      </c>
      <c r="AI22" s="161">
        <f t="shared" si="16"/>
        <v>-0.4</v>
      </c>
      <c r="AJ22" s="161">
        <f t="shared" si="16"/>
        <v>-0.4</v>
      </c>
      <c r="AK22" s="161">
        <f t="shared" si="16"/>
        <v>-0.5</v>
      </c>
      <c r="AL22" s="162">
        <f t="shared" si="16"/>
        <v>-0.5</v>
      </c>
      <c r="AM22" s="161">
        <f t="shared" si="16"/>
        <v>-0.7</v>
      </c>
      <c r="AN22" s="161">
        <f t="shared" si="16"/>
        <v>-0.7</v>
      </c>
      <c r="AO22" s="161">
        <f t="shared" si="16"/>
        <v>-0.7</v>
      </c>
      <c r="AP22" s="162">
        <f t="shared" si="16"/>
        <v>-0.7</v>
      </c>
      <c r="AQ22" s="161">
        <f t="shared" si="16"/>
        <v>-0.7</v>
      </c>
      <c r="AR22" s="161">
        <f>AR91</f>
        <v>-0.7</v>
      </c>
      <c r="AS22" s="161">
        <f>AS91</f>
        <v>-0.7</v>
      </c>
      <c r="AT22" s="161">
        <f>AT91</f>
        <v>-0.7</v>
      </c>
    </row>
    <row r="23" spans="1:46" s="164" customFormat="1" ht="10.8">
      <c r="A23" s="166" t="s">
        <v>153</v>
      </c>
      <c r="B23" s="166" t="s">
        <v>154</v>
      </c>
      <c r="C23" s="160">
        <f t="shared" ref="C23:AM23" si="17">SUM(C68,C73)</f>
        <v>-8.6</v>
      </c>
      <c r="D23" s="161">
        <f t="shared" si="17"/>
        <v>-8.6</v>
      </c>
      <c r="E23" s="161">
        <f t="shared" si="17"/>
        <v>-8.6</v>
      </c>
      <c r="F23" s="161">
        <f t="shared" si="17"/>
        <v>-8.6</v>
      </c>
      <c r="G23" s="160">
        <f t="shared" si="17"/>
        <v>-8.6</v>
      </c>
      <c r="H23" s="161">
        <f t="shared" si="17"/>
        <v>-8.6</v>
      </c>
      <c r="I23" s="161">
        <f t="shared" si="17"/>
        <v>-8.6</v>
      </c>
      <c r="J23" s="162">
        <f t="shared" si="17"/>
        <v>-8.6</v>
      </c>
      <c r="K23" s="160">
        <f t="shared" si="17"/>
        <v>-8.6</v>
      </c>
      <c r="L23" s="161">
        <f t="shared" si="17"/>
        <v>-8.6</v>
      </c>
      <c r="M23" s="161">
        <f t="shared" si="17"/>
        <v>-8.6</v>
      </c>
      <c r="N23" s="162">
        <f t="shared" si="17"/>
        <v>-8.6</v>
      </c>
      <c r="O23" s="160">
        <f t="shared" si="17"/>
        <v>-8.6</v>
      </c>
      <c r="P23" s="161">
        <f t="shared" si="17"/>
        <v>-8.6</v>
      </c>
      <c r="Q23" s="161">
        <f t="shared" si="17"/>
        <v>-5.2</v>
      </c>
      <c r="R23" s="162">
        <f t="shared" si="17"/>
        <v>-5.2</v>
      </c>
      <c r="S23" s="160">
        <f t="shared" si="17"/>
        <v>-5.2</v>
      </c>
      <c r="T23" s="161">
        <f t="shared" si="17"/>
        <v>-5.2</v>
      </c>
      <c r="U23" s="161">
        <f t="shared" si="17"/>
        <v>-5.2</v>
      </c>
      <c r="V23" s="162">
        <f t="shared" si="17"/>
        <v>-5.2</v>
      </c>
      <c r="W23" s="160">
        <f t="shared" si="17"/>
        <v>-5.0999999999999996</v>
      </c>
      <c r="X23" s="161">
        <f t="shared" si="17"/>
        <v>-5.2</v>
      </c>
      <c r="Y23" s="161">
        <f t="shared" si="17"/>
        <v>-5.2</v>
      </c>
      <c r="Z23" s="162">
        <f t="shared" si="17"/>
        <v>-5.2</v>
      </c>
      <c r="AA23" s="160">
        <f t="shared" si="17"/>
        <v>-5.2</v>
      </c>
      <c r="AB23" s="161">
        <f t="shared" si="17"/>
        <v>-5.2</v>
      </c>
      <c r="AC23" s="161">
        <f t="shared" si="17"/>
        <v>-5.2</v>
      </c>
      <c r="AD23" s="162">
        <f t="shared" si="17"/>
        <v>-5.2</v>
      </c>
      <c r="AE23" s="160">
        <f t="shared" si="17"/>
        <v>-5.2</v>
      </c>
      <c r="AF23" s="161">
        <f t="shared" si="17"/>
        <v>-5.2</v>
      </c>
      <c r="AG23" s="161">
        <f t="shared" si="17"/>
        <v>-5.2</v>
      </c>
      <c r="AH23" s="162">
        <f t="shared" si="17"/>
        <v>-5.2</v>
      </c>
      <c r="AI23" s="161">
        <f t="shared" si="17"/>
        <v>-0.5</v>
      </c>
      <c r="AJ23" s="161">
        <f t="shared" si="17"/>
        <v>-0.5</v>
      </c>
      <c r="AK23" s="161">
        <f t="shared" si="17"/>
        <v>-0.5</v>
      </c>
      <c r="AL23" s="162">
        <f t="shared" si="17"/>
        <v>-0.5</v>
      </c>
      <c r="AM23" s="161">
        <f t="shared" si="17"/>
        <v>-0.5</v>
      </c>
      <c r="AN23" s="161">
        <f>SUM(AN68,AN73)</f>
        <v>-0.5</v>
      </c>
      <c r="AO23" s="161">
        <f>SUM(AO68,AO73)</f>
        <v>-0.5</v>
      </c>
      <c r="AP23" s="162">
        <f>SUM(AP68,AP73)</f>
        <v>0</v>
      </c>
      <c r="AQ23" s="161">
        <v>0</v>
      </c>
      <c r="AR23" s="161">
        <f>SUM(AR68,AR73)</f>
        <v>0</v>
      </c>
      <c r="AS23" s="161">
        <f>SUM(AS68,AS73)</f>
        <v>0</v>
      </c>
      <c r="AT23" s="161">
        <f>SUM(AT68,AT73)</f>
        <v>0</v>
      </c>
    </row>
    <row r="24" spans="1:46" s="164" customFormat="1" ht="21.6" customHeight="1">
      <c r="A24" s="143" t="s">
        <v>155</v>
      </c>
      <c r="B24" s="143" t="s">
        <v>156</v>
      </c>
      <c r="C24" s="172">
        <f>C14+C15</f>
        <v>13782.6</v>
      </c>
      <c r="D24" s="173">
        <f t="shared" ref="D24:AT24" si="18">D14+D15</f>
        <v>14567.2</v>
      </c>
      <c r="E24" s="173">
        <f t="shared" si="18"/>
        <v>15449.399999999998</v>
      </c>
      <c r="F24" s="173">
        <f t="shared" si="18"/>
        <v>16379.099999999997</v>
      </c>
      <c r="G24" s="172">
        <f t="shared" si="18"/>
        <v>18039.899999999998</v>
      </c>
      <c r="H24" s="173">
        <f t="shared" si="18"/>
        <v>19569.400000000001</v>
      </c>
      <c r="I24" s="173">
        <f t="shared" si="18"/>
        <v>21915.8</v>
      </c>
      <c r="J24" s="174">
        <f t="shared" si="18"/>
        <v>25584.7</v>
      </c>
      <c r="K24" s="172">
        <f t="shared" si="18"/>
        <v>28871.3</v>
      </c>
      <c r="L24" s="173">
        <f t="shared" si="18"/>
        <v>28613.9</v>
      </c>
      <c r="M24" s="173">
        <f t="shared" si="18"/>
        <v>28835.200000000001</v>
      </c>
      <c r="N24" s="174">
        <f t="shared" si="18"/>
        <v>29966.1</v>
      </c>
      <c r="O24" s="172">
        <f t="shared" si="18"/>
        <v>29973.300000000003</v>
      </c>
      <c r="P24" s="173">
        <f t="shared" si="18"/>
        <v>31653.100000000002</v>
      </c>
      <c r="Q24" s="173">
        <f t="shared" si="18"/>
        <v>33229.799999999996</v>
      </c>
      <c r="R24" s="174">
        <f t="shared" si="18"/>
        <v>34509</v>
      </c>
      <c r="S24" s="172">
        <f t="shared" si="18"/>
        <v>35292.9</v>
      </c>
      <c r="T24" s="173">
        <f t="shared" si="18"/>
        <v>37014.1</v>
      </c>
      <c r="U24" s="173">
        <f t="shared" si="18"/>
        <v>39699.599999999999</v>
      </c>
      <c r="V24" s="174">
        <f t="shared" si="18"/>
        <v>42329.7</v>
      </c>
      <c r="W24" s="172">
        <f t="shared" si="18"/>
        <v>47717.3</v>
      </c>
      <c r="X24" s="173">
        <f t="shared" si="18"/>
        <v>48490.599999999991</v>
      </c>
      <c r="Y24" s="173">
        <f t="shared" si="18"/>
        <v>49275.1</v>
      </c>
      <c r="Z24" s="174">
        <f t="shared" si="18"/>
        <v>48985.299999999996</v>
      </c>
      <c r="AA24" s="172">
        <f t="shared" si="18"/>
        <v>49119.3</v>
      </c>
      <c r="AB24" s="173">
        <f t="shared" si="18"/>
        <v>50472.500000000007</v>
      </c>
      <c r="AC24" s="173">
        <f t="shared" si="18"/>
        <v>52105.2</v>
      </c>
      <c r="AD24" s="174">
        <f t="shared" si="18"/>
        <v>52237.899999999994</v>
      </c>
      <c r="AE24" s="172">
        <f t="shared" si="18"/>
        <v>54597.100000000013</v>
      </c>
      <c r="AF24" s="173">
        <f t="shared" si="18"/>
        <v>57319</v>
      </c>
      <c r="AG24" s="173">
        <f t="shared" si="18"/>
        <v>60219.000000000015</v>
      </c>
      <c r="AH24" s="174">
        <f t="shared" si="18"/>
        <v>61054.799999999996</v>
      </c>
      <c r="AI24" s="173">
        <f t="shared" si="18"/>
        <v>63399</v>
      </c>
      <c r="AJ24" s="173">
        <f t="shared" si="18"/>
        <v>68127.199999999997</v>
      </c>
      <c r="AK24" s="173">
        <f t="shared" si="18"/>
        <v>71425.2</v>
      </c>
      <c r="AL24" s="174">
        <f t="shared" si="18"/>
        <v>72519.600000000006</v>
      </c>
      <c r="AM24" s="173">
        <f t="shared" si="18"/>
        <v>75329.999999999985</v>
      </c>
      <c r="AN24" s="173">
        <f t="shared" si="18"/>
        <v>78308.600000000006</v>
      </c>
      <c r="AO24" s="173">
        <f t="shared" si="18"/>
        <v>80377.400000000009</v>
      </c>
      <c r="AP24" s="174">
        <f t="shared" si="18"/>
        <v>81979.5</v>
      </c>
      <c r="AQ24" s="173">
        <f>AQ14+AQ15</f>
        <v>84379.599999999991</v>
      </c>
      <c r="AR24" s="173">
        <f t="shared" si="18"/>
        <v>86902.300000000017</v>
      </c>
      <c r="AS24" s="173">
        <f t="shared" si="18"/>
        <v>90087.300000000017</v>
      </c>
      <c r="AT24" s="173">
        <f t="shared" si="18"/>
        <v>91088.299999999988</v>
      </c>
    </row>
    <row r="25" spans="1:46" s="150" customFormat="1" ht="21.6">
      <c r="A25" s="165" t="s">
        <v>157</v>
      </c>
      <c r="B25" s="165" t="s">
        <v>158</v>
      </c>
      <c r="C25" s="160">
        <f>SUM(C42)</f>
        <v>2250.1000000000004</v>
      </c>
      <c r="D25" s="161">
        <f t="shared" ref="D25:AJ25" si="19">SUM(D42)</f>
        <v>2122.5</v>
      </c>
      <c r="E25" s="161">
        <f t="shared" si="19"/>
        <v>2125.6999999999998</v>
      </c>
      <c r="F25" s="161">
        <f t="shared" si="19"/>
        <v>2336.7999999999997</v>
      </c>
      <c r="G25" s="160">
        <f t="shared" si="19"/>
        <v>2551.2000000000003</v>
      </c>
      <c r="H25" s="161">
        <f t="shared" si="19"/>
        <v>2702.2</v>
      </c>
      <c r="I25" s="161">
        <f t="shared" si="19"/>
        <v>3069.0000000000005</v>
      </c>
      <c r="J25" s="162">
        <f t="shared" si="19"/>
        <v>3021.2999999999997</v>
      </c>
      <c r="K25" s="160">
        <f t="shared" si="19"/>
        <v>2968.2000000000003</v>
      </c>
      <c r="L25" s="161">
        <f t="shared" si="19"/>
        <v>2833.2999999999997</v>
      </c>
      <c r="M25" s="161">
        <f t="shared" si="19"/>
        <v>2809.5000000000005</v>
      </c>
      <c r="N25" s="162">
        <f t="shared" si="19"/>
        <v>2695.2</v>
      </c>
      <c r="O25" s="160">
        <f t="shared" si="19"/>
        <v>2513</v>
      </c>
      <c r="P25" s="161">
        <f t="shared" si="19"/>
        <v>2547.9</v>
      </c>
      <c r="Q25" s="161">
        <f t="shared" si="19"/>
        <v>2580.1</v>
      </c>
      <c r="R25" s="162">
        <f t="shared" si="19"/>
        <v>2666.2999999999997</v>
      </c>
      <c r="S25" s="160">
        <f t="shared" si="19"/>
        <v>2664.8999999999996</v>
      </c>
      <c r="T25" s="161">
        <f t="shared" si="19"/>
        <v>2868.7000000000003</v>
      </c>
      <c r="U25" s="161">
        <f t="shared" si="19"/>
        <v>2873.2</v>
      </c>
      <c r="V25" s="162">
        <f t="shared" si="19"/>
        <v>2908.8999999999996</v>
      </c>
      <c r="W25" s="160">
        <f t="shared" si="19"/>
        <v>1248.9000000000001</v>
      </c>
      <c r="X25" s="161">
        <f t="shared" si="19"/>
        <v>1377.1000000000001</v>
      </c>
      <c r="Y25" s="161">
        <f t="shared" si="19"/>
        <v>1525.4999999999995</v>
      </c>
      <c r="Z25" s="162">
        <f t="shared" si="19"/>
        <v>1645.3999999999999</v>
      </c>
      <c r="AA25" s="160">
        <f t="shared" si="19"/>
        <v>1405.8999999999996</v>
      </c>
      <c r="AB25" s="161">
        <f t="shared" si="19"/>
        <v>1421.8000000000002</v>
      </c>
      <c r="AC25" s="161">
        <f t="shared" si="19"/>
        <v>1531</v>
      </c>
      <c r="AD25" s="162">
        <f t="shared" si="19"/>
        <v>1568.1</v>
      </c>
      <c r="AE25" s="160">
        <f t="shared" si="19"/>
        <v>1544.0999999999997</v>
      </c>
      <c r="AF25" s="161">
        <f t="shared" si="19"/>
        <v>1733.2</v>
      </c>
      <c r="AG25" s="161">
        <f t="shared" si="19"/>
        <v>1780.4</v>
      </c>
      <c r="AH25" s="162">
        <f t="shared" si="19"/>
        <v>1869.0999999999997</v>
      </c>
      <c r="AI25" s="161">
        <f t="shared" si="19"/>
        <v>1750.6999999999998</v>
      </c>
      <c r="AJ25" s="161">
        <f t="shared" si="19"/>
        <v>2197.4</v>
      </c>
      <c r="AK25" s="161">
        <f>SUM(AK42)</f>
        <v>2017.2</v>
      </c>
      <c r="AL25" s="162">
        <f>SUM(AL42)</f>
        <v>2510</v>
      </c>
      <c r="AM25" s="161">
        <f>SUM(AM42)</f>
        <v>2306.6</v>
      </c>
      <c r="AN25" s="161">
        <f>SUM(AN42)</f>
        <v>2335.8000000000002</v>
      </c>
      <c r="AO25" s="161">
        <v>2065.4</v>
      </c>
      <c r="AP25" s="162">
        <v>2347.3000000000002</v>
      </c>
      <c r="AQ25" s="161">
        <v>2373.6</v>
      </c>
      <c r="AR25" s="161">
        <f>SUM(AR42)</f>
        <v>2525.3999999999996</v>
      </c>
      <c r="AS25" s="161">
        <f>SUM(AS42)</f>
        <v>2448.1999999999998</v>
      </c>
      <c r="AT25" s="161">
        <f>SUM(AT42)</f>
        <v>2935</v>
      </c>
    </row>
    <row r="26" spans="1:46" s="150" customFormat="1" ht="10.8">
      <c r="A26" s="165" t="s">
        <v>159</v>
      </c>
      <c r="B26" s="165" t="s">
        <v>160</v>
      </c>
      <c r="C26" s="160">
        <f>SUM(C74)</f>
        <v>10936.4</v>
      </c>
      <c r="D26" s="161">
        <f t="shared" ref="D26:AJ26" si="20">SUM(D74)</f>
        <v>11871.600000000002</v>
      </c>
      <c r="E26" s="161">
        <f t="shared" si="20"/>
        <v>12740.500000000002</v>
      </c>
      <c r="F26" s="161">
        <f t="shared" si="20"/>
        <v>13374.599999999999</v>
      </c>
      <c r="G26" s="160">
        <f t="shared" si="20"/>
        <v>14847.1</v>
      </c>
      <c r="H26" s="161">
        <f t="shared" si="20"/>
        <v>16219.1</v>
      </c>
      <c r="I26" s="161">
        <f t="shared" si="20"/>
        <v>18175.900000000001</v>
      </c>
      <c r="J26" s="162">
        <f t="shared" si="20"/>
        <v>19872.3</v>
      </c>
      <c r="K26" s="160">
        <f t="shared" si="20"/>
        <v>21133</v>
      </c>
      <c r="L26" s="161">
        <f t="shared" si="20"/>
        <v>21306.3</v>
      </c>
      <c r="M26" s="161">
        <f t="shared" si="20"/>
        <v>21405.799999999996</v>
      </c>
      <c r="N26" s="162">
        <f t="shared" si="20"/>
        <v>21370.2</v>
      </c>
      <c r="O26" s="160">
        <f t="shared" si="20"/>
        <v>21705.399999999998</v>
      </c>
      <c r="P26" s="161">
        <f t="shared" si="20"/>
        <v>22864.799999999999</v>
      </c>
      <c r="Q26" s="161">
        <f t="shared" si="20"/>
        <v>24292.400000000001</v>
      </c>
      <c r="R26" s="162">
        <f t="shared" si="20"/>
        <v>25223.8</v>
      </c>
      <c r="S26" s="160">
        <f t="shared" si="20"/>
        <v>26088.6</v>
      </c>
      <c r="T26" s="161">
        <f t="shared" si="20"/>
        <v>27686.6</v>
      </c>
      <c r="U26" s="161">
        <f t="shared" si="20"/>
        <v>29593.499999999996</v>
      </c>
      <c r="V26" s="162">
        <f t="shared" si="20"/>
        <v>31635.8</v>
      </c>
      <c r="W26" s="160">
        <f t="shared" si="20"/>
        <v>38737.599999999999</v>
      </c>
      <c r="X26" s="161">
        <f t="shared" si="20"/>
        <v>39331.9</v>
      </c>
      <c r="Y26" s="161">
        <f t="shared" si="20"/>
        <v>40103.599999999999</v>
      </c>
      <c r="Z26" s="162">
        <f t="shared" si="20"/>
        <v>39645</v>
      </c>
      <c r="AA26" s="160">
        <f t="shared" si="20"/>
        <v>40060</v>
      </c>
      <c r="AB26" s="161">
        <f t="shared" si="20"/>
        <v>41569.4</v>
      </c>
      <c r="AC26" s="161">
        <f t="shared" si="20"/>
        <v>43262.099999999991</v>
      </c>
      <c r="AD26" s="162">
        <f t="shared" si="20"/>
        <v>43409.099999999991</v>
      </c>
      <c r="AE26" s="160">
        <f t="shared" si="20"/>
        <v>45744.6</v>
      </c>
      <c r="AF26" s="161">
        <f t="shared" si="20"/>
        <v>48332.400000000009</v>
      </c>
      <c r="AG26" s="161">
        <f t="shared" si="20"/>
        <v>51030.6</v>
      </c>
      <c r="AH26" s="162">
        <f t="shared" si="20"/>
        <v>51461.1</v>
      </c>
      <c r="AI26" s="161">
        <f t="shared" si="20"/>
        <v>54115.900000000009</v>
      </c>
      <c r="AJ26" s="161">
        <f t="shared" si="20"/>
        <v>58468.7</v>
      </c>
      <c r="AK26" s="161">
        <f>SUM(AK74)</f>
        <v>61918.399999999994</v>
      </c>
      <c r="AL26" s="162">
        <f>SUM(AL74)</f>
        <v>62285.600000000006</v>
      </c>
      <c r="AM26" s="161">
        <f>SUM(AM74)</f>
        <v>65329.900000000016</v>
      </c>
      <c r="AN26" s="161">
        <f>SUM(AN74)</f>
        <v>68319.400000000009</v>
      </c>
      <c r="AO26" s="161">
        <v>70845.100000000006</v>
      </c>
      <c r="AP26" s="162">
        <v>72306.2</v>
      </c>
      <c r="AQ26" s="161">
        <v>74940.800000000003</v>
      </c>
      <c r="AR26" s="161">
        <f>SUM(AR74)</f>
        <v>77554.600000000006</v>
      </c>
      <c r="AS26" s="161">
        <f>SUM(AS74)</f>
        <v>80899.999999999985</v>
      </c>
      <c r="AT26" s="161">
        <f>SUM(AT74)</f>
        <v>81741.900000000009</v>
      </c>
    </row>
    <row r="27" spans="1:46" s="150" customFormat="1" ht="21.6">
      <c r="A27" s="165" t="s">
        <v>161</v>
      </c>
      <c r="B27" s="165" t="s">
        <v>162</v>
      </c>
      <c r="C27" s="160">
        <f>SUM(C92)</f>
        <v>596.1</v>
      </c>
      <c r="D27" s="161">
        <f t="shared" ref="D27:AJ27" si="21">SUM(D92)</f>
        <v>573.1</v>
      </c>
      <c r="E27" s="161">
        <f t="shared" si="21"/>
        <v>583.20000000000005</v>
      </c>
      <c r="F27" s="161">
        <f t="shared" si="21"/>
        <v>667.69999999999993</v>
      </c>
      <c r="G27" s="160">
        <f t="shared" si="21"/>
        <v>641.6</v>
      </c>
      <c r="H27" s="161">
        <f t="shared" si="21"/>
        <v>648.1</v>
      </c>
      <c r="I27" s="161">
        <f t="shared" si="21"/>
        <v>670.9</v>
      </c>
      <c r="J27" s="162">
        <f t="shared" si="21"/>
        <v>2691.1</v>
      </c>
      <c r="K27" s="160">
        <f t="shared" si="21"/>
        <v>4770.1000000000004</v>
      </c>
      <c r="L27" s="161">
        <f t="shared" si="21"/>
        <v>4474.2999999999993</v>
      </c>
      <c r="M27" s="161">
        <f t="shared" si="21"/>
        <v>4619.9000000000005</v>
      </c>
      <c r="N27" s="162">
        <f t="shared" si="21"/>
        <v>5900.7000000000007</v>
      </c>
      <c r="O27" s="160">
        <f t="shared" si="21"/>
        <v>5754.9000000000005</v>
      </c>
      <c r="P27" s="161">
        <f t="shared" si="21"/>
        <v>6240.4000000000005</v>
      </c>
      <c r="Q27" s="161">
        <f t="shared" si="21"/>
        <v>6357.2999999999993</v>
      </c>
      <c r="R27" s="162">
        <f t="shared" si="21"/>
        <v>6618.9</v>
      </c>
      <c r="S27" s="160">
        <f t="shared" si="21"/>
        <v>6539.4</v>
      </c>
      <c r="T27" s="161">
        <f t="shared" si="21"/>
        <v>6458.8</v>
      </c>
      <c r="U27" s="161">
        <f t="shared" si="21"/>
        <v>7232.9</v>
      </c>
      <c r="V27" s="162">
        <f t="shared" si="21"/>
        <v>7785</v>
      </c>
      <c r="W27" s="160">
        <f t="shared" si="21"/>
        <v>7730.8</v>
      </c>
      <c r="X27" s="161">
        <f t="shared" si="21"/>
        <v>7781.6</v>
      </c>
      <c r="Y27" s="161">
        <f t="shared" si="21"/>
        <v>7646</v>
      </c>
      <c r="Z27" s="162">
        <f t="shared" si="21"/>
        <v>7694.9000000000005</v>
      </c>
      <c r="AA27" s="160">
        <f t="shared" si="21"/>
        <v>7653.4000000000005</v>
      </c>
      <c r="AB27" s="161">
        <f t="shared" si="21"/>
        <v>7481.2999999999993</v>
      </c>
      <c r="AC27" s="161">
        <f t="shared" si="21"/>
        <v>7312.0999999999995</v>
      </c>
      <c r="AD27" s="162">
        <f t="shared" si="21"/>
        <v>7260.6999999999989</v>
      </c>
      <c r="AE27" s="160">
        <f t="shared" si="21"/>
        <v>7308.4</v>
      </c>
      <c r="AF27" s="161">
        <f t="shared" si="21"/>
        <v>7253.4000000000005</v>
      </c>
      <c r="AG27" s="161">
        <f t="shared" si="21"/>
        <v>7408</v>
      </c>
      <c r="AH27" s="162">
        <f t="shared" si="21"/>
        <v>7724.6</v>
      </c>
      <c r="AI27" s="161">
        <f t="shared" si="21"/>
        <v>7532.4000000000005</v>
      </c>
      <c r="AJ27" s="161">
        <f t="shared" si="21"/>
        <v>7461.1</v>
      </c>
      <c r="AK27" s="161">
        <f>SUM(AK92)</f>
        <v>7489.6</v>
      </c>
      <c r="AL27" s="162">
        <f>SUM(AL92)</f>
        <v>7724</v>
      </c>
      <c r="AM27" s="161">
        <f>SUM(AM92)</f>
        <v>7693.5</v>
      </c>
      <c r="AN27" s="161">
        <f>SUM(AN92)</f>
        <v>7653.4000000000005</v>
      </c>
      <c r="AO27" s="161">
        <v>7466.9</v>
      </c>
      <c r="AP27" s="162">
        <v>7326</v>
      </c>
      <c r="AQ27" s="161">
        <v>7065.2</v>
      </c>
      <c r="AR27" s="161">
        <f>SUM(AR92)</f>
        <v>6822.3</v>
      </c>
      <c r="AS27" s="161">
        <f>SUM(AS92)</f>
        <v>6739.1</v>
      </c>
      <c r="AT27" s="161">
        <f>SUM(AT92)</f>
        <v>6411.4000000000005</v>
      </c>
    </row>
    <row r="28" spans="1:46" s="150" customFormat="1" ht="10.8">
      <c r="A28" s="165"/>
      <c r="B28" s="165"/>
      <c r="C28" s="160"/>
      <c r="D28" s="161"/>
      <c r="E28" s="161"/>
      <c r="F28" s="161"/>
      <c r="G28" s="160"/>
      <c r="H28" s="161"/>
      <c r="I28" s="161"/>
      <c r="J28" s="162"/>
      <c r="K28" s="160"/>
      <c r="L28" s="161"/>
      <c r="M28" s="161"/>
      <c r="N28" s="162"/>
      <c r="O28" s="160"/>
      <c r="P28" s="161"/>
      <c r="Q28" s="161"/>
      <c r="R28" s="162"/>
      <c r="S28" s="160"/>
      <c r="T28" s="161"/>
      <c r="U28" s="161"/>
      <c r="V28" s="162"/>
      <c r="W28" s="160"/>
      <c r="X28" s="161"/>
      <c r="Y28" s="161"/>
      <c r="Z28" s="162"/>
      <c r="AA28" s="160"/>
      <c r="AB28" s="161"/>
      <c r="AC28" s="161"/>
      <c r="AD28" s="162"/>
      <c r="AE28" s="160"/>
      <c r="AF28" s="161"/>
      <c r="AG28" s="161"/>
      <c r="AH28" s="162"/>
      <c r="AI28" s="161"/>
      <c r="AJ28" s="161"/>
      <c r="AK28" s="161"/>
      <c r="AL28" s="162"/>
      <c r="AM28" s="161"/>
      <c r="AN28" s="161"/>
      <c r="AO28" s="161"/>
      <c r="AP28" s="162"/>
      <c r="AQ28" s="161"/>
      <c r="AR28" s="161"/>
      <c r="AS28" s="161"/>
      <c r="AT28" s="162"/>
    </row>
    <row r="29" spans="1:46" s="150" customFormat="1" ht="10.8">
      <c r="A29" s="175" t="s">
        <v>163</v>
      </c>
      <c r="B29" s="175" t="s">
        <v>164</v>
      </c>
      <c r="C29" s="160"/>
      <c r="D29" s="161"/>
      <c r="E29" s="161"/>
      <c r="F29" s="161"/>
      <c r="G29" s="160"/>
      <c r="H29" s="161"/>
      <c r="I29" s="161"/>
      <c r="J29" s="162"/>
      <c r="K29" s="160"/>
      <c r="L29" s="161"/>
      <c r="M29" s="161"/>
      <c r="N29" s="162"/>
      <c r="O29" s="160"/>
      <c r="P29" s="161"/>
      <c r="Q29" s="161"/>
      <c r="R29" s="162"/>
      <c r="S29" s="160"/>
      <c r="T29" s="161"/>
      <c r="U29" s="161"/>
      <c r="V29" s="162"/>
      <c r="W29" s="160"/>
      <c r="X29" s="161"/>
      <c r="Y29" s="161"/>
      <c r="Z29" s="162"/>
      <c r="AA29" s="160"/>
      <c r="AB29" s="161"/>
      <c r="AC29" s="161"/>
      <c r="AD29" s="162"/>
      <c r="AE29" s="160"/>
      <c r="AF29" s="161"/>
      <c r="AG29" s="161"/>
      <c r="AH29" s="162"/>
      <c r="AI29" s="161"/>
      <c r="AJ29" s="161"/>
      <c r="AK29" s="161"/>
      <c r="AL29" s="162"/>
      <c r="AM29" s="161"/>
      <c r="AN29" s="161"/>
      <c r="AO29" s="161"/>
      <c r="AP29" s="162"/>
      <c r="AQ29" s="161"/>
      <c r="AR29" s="161"/>
      <c r="AS29" s="161"/>
      <c r="AT29" s="162"/>
    </row>
    <row r="30" spans="1:46" s="150" customFormat="1" ht="10.8">
      <c r="A30" s="163"/>
      <c r="B30" s="163"/>
      <c r="C30" s="160"/>
      <c r="D30" s="161"/>
      <c r="E30" s="161"/>
      <c r="F30" s="161"/>
      <c r="G30" s="160"/>
      <c r="H30" s="161"/>
      <c r="I30" s="161"/>
      <c r="J30" s="162"/>
      <c r="K30" s="160"/>
      <c r="L30" s="161"/>
      <c r="M30" s="161"/>
      <c r="N30" s="162"/>
      <c r="O30" s="160"/>
      <c r="P30" s="161"/>
      <c r="Q30" s="161"/>
      <c r="R30" s="162"/>
      <c r="S30" s="160"/>
      <c r="T30" s="161"/>
      <c r="U30" s="161"/>
      <c r="V30" s="162"/>
      <c r="W30" s="160"/>
      <c r="X30" s="161"/>
      <c r="Y30" s="161"/>
      <c r="Z30" s="162"/>
      <c r="AA30" s="160"/>
      <c r="AB30" s="161"/>
      <c r="AC30" s="161"/>
      <c r="AD30" s="162"/>
      <c r="AE30" s="160"/>
      <c r="AF30" s="161"/>
      <c r="AG30" s="161"/>
      <c r="AH30" s="162"/>
      <c r="AI30" s="161"/>
      <c r="AJ30" s="161"/>
      <c r="AK30" s="161"/>
      <c r="AL30" s="162"/>
      <c r="AM30" s="161"/>
      <c r="AN30" s="161"/>
      <c r="AO30" s="161"/>
      <c r="AP30" s="162"/>
      <c r="AQ30" s="161"/>
      <c r="AR30" s="161"/>
      <c r="AS30" s="161"/>
      <c r="AT30" s="162"/>
    </row>
    <row r="31" spans="1:46" s="150" customFormat="1" ht="10.8">
      <c r="A31" s="163" t="s">
        <v>165</v>
      </c>
      <c r="B31" s="163" t="s">
        <v>166</v>
      </c>
      <c r="C31" s="160">
        <f>SUM(C32:C33)</f>
        <v>2175.8000000000002</v>
      </c>
      <c r="D31" s="161">
        <f t="shared" ref="D31:AT31" si="22">SUM(D32:D33)</f>
        <v>2057.5</v>
      </c>
      <c r="E31" s="161">
        <f t="shared" si="22"/>
        <v>2061.8999999999996</v>
      </c>
      <c r="F31" s="161">
        <f t="shared" si="22"/>
        <v>2232.6</v>
      </c>
      <c r="G31" s="160">
        <f>SUM(G32:G33)</f>
        <v>2461.8000000000002</v>
      </c>
      <c r="H31" s="161">
        <f t="shared" si="22"/>
        <v>2602.6999999999998</v>
      </c>
      <c r="I31" s="161">
        <f t="shared" si="22"/>
        <v>2918.7000000000003</v>
      </c>
      <c r="J31" s="162">
        <f t="shared" si="22"/>
        <v>2925.1</v>
      </c>
      <c r="K31" s="160">
        <f t="shared" si="22"/>
        <v>2866.4</v>
      </c>
      <c r="L31" s="161">
        <f t="shared" si="22"/>
        <v>2714.5</v>
      </c>
      <c r="M31" s="161">
        <f t="shared" si="22"/>
        <v>2673.4</v>
      </c>
      <c r="N31" s="162">
        <f t="shared" si="22"/>
        <v>2545.6</v>
      </c>
      <c r="O31" s="160">
        <f t="shared" si="22"/>
        <v>2369.1</v>
      </c>
      <c r="P31" s="161">
        <f t="shared" si="22"/>
        <v>2420</v>
      </c>
      <c r="Q31" s="161">
        <f t="shared" si="22"/>
        <v>2428.5</v>
      </c>
      <c r="R31" s="162">
        <f t="shared" si="22"/>
        <v>2585</v>
      </c>
      <c r="S31" s="160">
        <f t="shared" si="22"/>
        <v>2491.1999999999998</v>
      </c>
      <c r="T31" s="161">
        <f t="shared" si="22"/>
        <v>2714.1</v>
      </c>
      <c r="U31" s="161">
        <f t="shared" si="22"/>
        <v>2733.3</v>
      </c>
      <c r="V31" s="162">
        <f t="shared" si="22"/>
        <v>2821.7999999999997</v>
      </c>
      <c r="W31" s="160">
        <f t="shared" si="22"/>
        <v>1140.5000000000002</v>
      </c>
      <c r="X31" s="161">
        <f t="shared" si="22"/>
        <v>1276.1000000000001</v>
      </c>
      <c r="Y31" s="161">
        <f t="shared" si="22"/>
        <v>1408.9999999999998</v>
      </c>
      <c r="Z31" s="162">
        <f t="shared" si="22"/>
        <v>1533.8</v>
      </c>
      <c r="AA31" s="160">
        <f t="shared" si="22"/>
        <v>1310.3999999999996</v>
      </c>
      <c r="AB31" s="161">
        <f t="shared" si="22"/>
        <v>1334.3000000000002</v>
      </c>
      <c r="AC31" s="161">
        <f t="shared" si="22"/>
        <v>1432.6000000000001</v>
      </c>
      <c r="AD31" s="162">
        <f t="shared" si="22"/>
        <v>1457.8999999999999</v>
      </c>
      <c r="AE31" s="160">
        <f t="shared" si="22"/>
        <v>1417.9999999999998</v>
      </c>
      <c r="AF31" s="161">
        <f t="shared" si="22"/>
        <v>1641.8</v>
      </c>
      <c r="AG31" s="161">
        <f t="shared" si="22"/>
        <v>1679.9</v>
      </c>
      <c r="AH31" s="162">
        <f t="shared" si="22"/>
        <v>1778.6999999999998</v>
      </c>
      <c r="AI31" s="161">
        <f t="shared" si="22"/>
        <v>1660.3999999999999</v>
      </c>
      <c r="AJ31" s="161">
        <f t="shared" si="22"/>
        <v>2070.1999999999998</v>
      </c>
      <c r="AK31" s="161">
        <f t="shared" si="22"/>
        <v>1921.3</v>
      </c>
      <c r="AL31" s="162">
        <f t="shared" si="22"/>
        <v>1936.1</v>
      </c>
      <c r="AM31" s="161">
        <f t="shared" si="22"/>
        <v>1787.1000000000001</v>
      </c>
      <c r="AN31" s="161">
        <f t="shared" si="22"/>
        <v>1866</v>
      </c>
      <c r="AO31" s="161">
        <f t="shared" si="22"/>
        <v>1563.5</v>
      </c>
      <c r="AP31" s="162">
        <f t="shared" si="22"/>
        <v>1879</v>
      </c>
      <c r="AQ31" s="161">
        <f t="shared" si="22"/>
        <v>1917.8</v>
      </c>
      <c r="AR31" s="161">
        <f t="shared" si="22"/>
        <v>2076.4</v>
      </c>
      <c r="AS31" s="161">
        <f t="shared" si="22"/>
        <v>1913.7</v>
      </c>
      <c r="AT31" s="161">
        <f t="shared" si="22"/>
        <v>1954.7</v>
      </c>
    </row>
    <row r="32" spans="1:46" s="6" customFormat="1" ht="10.8">
      <c r="A32" s="176" t="s">
        <v>167</v>
      </c>
      <c r="B32" s="176" t="s">
        <v>168</v>
      </c>
      <c r="C32" s="167">
        <v>454.3</v>
      </c>
      <c r="D32" s="168">
        <v>436.3</v>
      </c>
      <c r="E32" s="168">
        <v>432</v>
      </c>
      <c r="F32" s="168">
        <v>379</v>
      </c>
      <c r="G32" s="167">
        <v>452.4</v>
      </c>
      <c r="H32" s="168">
        <v>520</v>
      </c>
      <c r="I32" s="168">
        <v>399.4</v>
      </c>
      <c r="J32" s="169">
        <v>382.7</v>
      </c>
      <c r="K32" s="167">
        <v>369.1</v>
      </c>
      <c r="L32" s="168">
        <v>354.5</v>
      </c>
      <c r="M32" s="168">
        <v>414.3</v>
      </c>
      <c r="N32" s="169">
        <v>381.1</v>
      </c>
      <c r="O32" s="167">
        <v>332.8</v>
      </c>
      <c r="P32" s="168">
        <v>369</v>
      </c>
      <c r="Q32" s="168">
        <v>408.6</v>
      </c>
      <c r="R32" s="169">
        <v>434.8</v>
      </c>
      <c r="S32" s="167">
        <v>438.1</v>
      </c>
      <c r="T32" s="168">
        <v>501.9</v>
      </c>
      <c r="U32" s="168">
        <v>548.20000000000005</v>
      </c>
      <c r="V32" s="169">
        <v>4.7</v>
      </c>
      <c r="W32" s="167">
        <v>18.700000000000045</v>
      </c>
      <c r="X32" s="168">
        <v>32.700000000000045</v>
      </c>
      <c r="Y32" s="168">
        <v>46.299999999999955</v>
      </c>
      <c r="Z32" s="169">
        <v>127.90000000000009</v>
      </c>
      <c r="AA32" s="167">
        <v>40.800000000000068</v>
      </c>
      <c r="AB32" s="168">
        <v>32</v>
      </c>
      <c r="AC32" s="168">
        <v>110.20000000000005</v>
      </c>
      <c r="AD32" s="169">
        <v>66.799999999999955</v>
      </c>
      <c r="AE32" s="167">
        <v>46.7</v>
      </c>
      <c r="AF32" s="168">
        <v>60.700000000000045</v>
      </c>
      <c r="AG32" s="168">
        <v>71.599999999999909</v>
      </c>
      <c r="AH32" s="169">
        <v>584.59999999999991</v>
      </c>
      <c r="AI32" s="168">
        <v>63.899999999999864</v>
      </c>
      <c r="AJ32" s="168">
        <v>219.9</v>
      </c>
      <c r="AK32" s="168">
        <v>164.1</v>
      </c>
      <c r="AL32" s="169">
        <v>157.30000000000001</v>
      </c>
      <c r="AM32" s="168">
        <v>166.7</v>
      </c>
      <c r="AN32" s="168">
        <v>392.5</v>
      </c>
      <c r="AO32" s="168">
        <v>258.39999999999998</v>
      </c>
      <c r="AP32" s="169">
        <v>376.3</v>
      </c>
      <c r="AQ32" s="168">
        <v>592</v>
      </c>
      <c r="AR32" s="168">
        <v>674.6</v>
      </c>
      <c r="AS32" s="168">
        <v>594.5</v>
      </c>
      <c r="AT32" s="169">
        <v>696.3</v>
      </c>
    </row>
    <row r="33" spans="1:46" s="6" customFormat="1" ht="10.8">
      <c r="A33" s="176" t="s">
        <v>169</v>
      </c>
      <c r="B33" s="176" t="s">
        <v>170</v>
      </c>
      <c r="C33" s="167">
        <f>1716.3+5.2</f>
        <v>1721.5</v>
      </c>
      <c r="D33" s="168">
        <f>1617.2+4</f>
        <v>1621.2</v>
      </c>
      <c r="E33" s="168">
        <f>1625.6+4.3</f>
        <v>1629.8999999999999</v>
      </c>
      <c r="F33" s="168">
        <v>1853.6</v>
      </c>
      <c r="G33" s="167">
        <v>2009.4</v>
      </c>
      <c r="H33" s="168">
        <v>2082.6999999999998</v>
      </c>
      <c r="I33" s="168">
        <v>2519.3000000000002</v>
      </c>
      <c r="J33" s="169">
        <v>2542.4</v>
      </c>
      <c r="K33" s="167">
        <v>2497.3000000000002</v>
      </c>
      <c r="L33" s="168">
        <v>2360</v>
      </c>
      <c r="M33" s="168">
        <v>2259.1</v>
      </c>
      <c r="N33" s="169">
        <v>2164.5</v>
      </c>
      <c r="O33" s="167">
        <v>2036.3</v>
      </c>
      <c r="P33" s="168">
        <v>2051</v>
      </c>
      <c r="Q33" s="168">
        <v>2019.9</v>
      </c>
      <c r="R33" s="169">
        <v>2150.1999999999998</v>
      </c>
      <c r="S33" s="167">
        <v>2053.1</v>
      </c>
      <c r="T33" s="168">
        <v>2212.1999999999998</v>
      </c>
      <c r="U33" s="168">
        <v>2185.1</v>
      </c>
      <c r="V33" s="169">
        <v>2817.1</v>
      </c>
      <c r="W33" s="167">
        <v>1121.8000000000002</v>
      </c>
      <c r="X33" s="168">
        <v>1243.4000000000001</v>
      </c>
      <c r="Y33" s="168">
        <v>1362.6999999999998</v>
      </c>
      <c r="Z33" s="169">
        <v>1405.8999999999999</v>
      </c>
      <c r="AA33" s="167">
        <v>1269.5999999999997</v>
      </c>
      <c r="AB33" s="168">
        <v>1302.3000000000002</v>
      </c>
      <c r="AC33" s="168">
        <v>1322.4</v>
      </c>
      <c r="AD33" s="169">
        <v>1391.1</v>
      </c>
      <c r="AE33" s="167">
        <v>1371.2999999999997</v>
      </c>
      <c r="AF33" s="168">
        <v>1581.1</v>
      </c>
      <c r="AG33" s="168">
        <v>1608.3000000000002</v>
      </c>
      <c r="AH33" s="169">
        <v>1194.0999999999999</v>
      </c>
      <c r="AI33" s="168">
        <v>1596.5</v>
      </c>
      <c r="AJ33" s="168">
        <v>1850.3</v>
      </c>
      <c r="AK33" s="168">
        <v>1757.2</v>
      </c>
      <c r="AL33" s="169">
        <v>1778.8</v>
      </c>
      <c r="AM33" s="168">
        <v>1620.4</v>
      </c>
      <c r="AN33" s="168">
        <v>1473.5</v>
      </c>
      <c r="AO33" s="168">
        <v>1305.0999999999999</v>
      </c>
      <c r="AP33" s="169">
        <v>1502.7</v>
      </c>
      <c r="AQ33" s="168">
        <v>1325.8</v>
      </c>
      <c r="AR33" s="168">
        <v>1401.8</v>
      </c>
      <c r="AS33" s="168">
        <v>1319.2</v>
      </c>
      <c r="AT33" s="169">
        <v>1258.4000000000001</v>
      </c>
    </row>
    <row r="34" spans="1:46" s="150" customFormat="1" ht="10.8">
      <c r="A34" s="163" t="s">
        <v>171</v>
      </c>
      <c r="B34" s="163" t="s">
        <v>172</v>
      </c>
      <c r="C34" s="160">
        <v>0</v>
      </c>
      <c r="D34" s="161">
        <v>0</v>
      </c>
      <c r="E34" s="161">
        <v>0</v>
      </c>
      <c r="F34" s="161">
        <v>0</v>
      </c>
      <c r="G34" s="160">
        <v>0</v>
      </c>
      <c r="H34" s="161">
        <v>0</v>
      </c>
      <c r="I34" s="161">
        <v>0</v>
      </c>
      <c r="J34" s="162">
        <v>0</v>
      </c>
      <c r="K34" s="160">
        <v>0</v>
      </c>
      <c r="L34" s="161">
        <v>0</v>
      </c>
      <c r="M34" s="161">
        <v>0</v>
      </c>
      <c r="N34" s="162">
        <v>0</v>
      </c>
      <c r="O34" s="160">
        <v>0</v>
      </c>
      <c r="P34" s="161">
        <v>0</v>
      </c>
      <c r="Q34" s="161">
        <v>0</v>
      </c>
      <c r="R34" s="162">
        <v>0</v>
      </c>
      <c r="S34" s="160">
        <v>0</v>
      </c>
      <c r="T34" s="161">
        <v>0</v>
      </c>
      <c r="U34" s="161">
        <v>0</v>
      </c>
      <c r="V34" s="162">
        <v>0</v>
      </c>
      <c r="W34" s="160">
        <v>0.1</v>
      </c>
      <c r="X34" s="161">
        <v>0</v>
      </c>
      <c r="Y34" s="161">
        <v>0.6</v>
      </c>
      <c r="Z34" s="162">
        <v>0.6</v>
      </c>
      <c r="AA34" s="160">
        <v>0.4</v>
      </c>
      <c r="AB34" s="161">
        <v>0.6</v>
      </c>
      <c r="AC34" s="161">
        <v>0.6</v>
      </c>
      <c r="AD34" s="162">
        <v>0.4</v>
      </c>
      <c r="AE34" s="160">
        <v>0.6</v>
      </c>
      <c r="AF34" s="161">
        <v>0.5</v>
      </c>
      <c r="AG34" s="161">
        <v>0.5</v>
      </c>
      <c r="AH34" s="162">
        <v>0.8</v>
      </c>
      <c r="AI34" s="161">
        <v>0.7</v>
      </c>
      <c r="AJ34" s="161">
        <v>0.8</v>
      </c>
      <c r="AK34" s="161">
        <v>11</v>
      </c>
      <c r="AL34" s="162">
        <v>0.7</v>
      </c>
      <c r="AM34" s="161">
        <v>0.6</v>
      </c>
      <c r="AN34" s="161">
        <v>0.4</v>
      </c>
      <c r="AO34" s="161">
        <v>0.6</v>
      </c>
      <c r="AP34" s="162">
        <v>0.6</v>
      </c>
      <c r="AQ34" s="161">
        <v>0.6</v>
      </c>
      <c r="AR34" s="161">
        <v>0.5</v>
      </c>
      <c r="AS34" s="161">
        <v>0.2</v>
      </c>
      <c r="AT34" s="162">
        <v>0.2</v>
      </c>
    </row>
    <row r="35" spans="1:46" s="150" customFormat="1" ht="10.8">
      <c r="A35" s="163" t="s">
        <v>173</v>
      </c>
      <c r="B35" s="163" t="s">
        <v>174</v>
      </c>
      <c r="C35" s="160">
        <v>0</v>
      </c>
      <c r="D35" s="161">
        <v>0</v>
      </c>
      <c r="E35" s="161">
        <v>0</v>
      </c>
      <c r="F35" s="161">
        <v>0</v>
      </c>
      <c r="G35" s="160">
        <v>0</v>
      </c>
      <c r="H35" s="161">
        <v>0</v>
      </c>
      <c r="I35" s="161">
        <v>0</v>
      </c>
      <c r="J35" s="162">
        <v>0</v>
      </c>
      <c r="K35" s="160">
        <v>0</v>
      </c>
      <c r="L35" s="161">
        <v>0</v>
      </c>
      <c r="M35" s="161">
        <v>0</v>
      </c>
      <c r="N35" s="162">
        <v>0</v>
      </c>
      <c r="O35" s="160">
        <v>0</v>
      </c>
      <c r="P35" s="161">
        <v>0</v>
      </c>
      <c r="Q35" s="161">
        <v>0</v>
      </c>
      <c r="R35" s="162">
        <v>0</v>
      </c>
      <c r="S35" s="160">
        <v>0</v>
      </c>
      <c r="T35" s="161">
        <v>0</v>
      </c>
      <c r="U35" s="161">
        <v>0</v>
      </c>
      <c r="V35" s="162">
        <v>0</v>
      </c>
      <c r="W35" s="160">
        <v>0</v>
      </c>
      <c r="X35" s="161">
        <v>0</v>
      </c>
      <c r="Y35" s="161">
        <v>3.5</v>
      </c>
      <c r="Z35" s="162">
        <v>0</v>
      </c>
      <c r="AA35" s="160">
        <v>4.5</v>
      </c>
      <c r="AB35" s="161">
        <v>0</v>
      </c>
      <c r="AC35" s="161">
        <v>0</v>
      </c>
      <c r="AD35" s="162">
        <v>0</v>
      </c>
      <c r="AE35" s="160">
        <v>0</v>
      </c>
      <c r="AF35" s="161">
        <v>0</v>
      </c>
      <c r="AG35" s="161">
        <v>0</v>
      </c>
      <c r="AH35" s="162">
        <v>0</v>
      </c>
      <c r="AI35" s="161">
        <v>0</v>
      </c>
      <c r="AJ35" s="161">
        <v>4</v>
      </c>
      <c r="AK35" s="161">
        <v>7.5</v>
      </c>
      <c r="AL35" s="162">
        <v>21.1</v>
      </c>
      <c r="AM35" s="161">
        <v>20.399999999999999</v>
      </c>
      <c r="AN35" s="161">
        <v>20.399999999999999</v>
      </c>
      <c r="AO35" s="161">
        <v>0.5</v>
      </c>
      <c r="AP35" s="162">
        <v>0.5</v>
      </c>
      <c r="AQ35" s="161">
        <v>0.1</v>
      </c>
      <c r="AR35" s="161">
        <v>0</v>
      </c>
      <c r="AS35" s="161">
        <v>50.3</v>
      </c>
      <c r="AT35" s="162">
        <v>85.9</v>
      </c>
    </row>
    <row r="36" spans="1:46" s="150" customFormat="1" ht="10.8">
      <c r="A36" s="163" t="s">
        <v>175</v>
      </c>
      <c r="B36" s="163" t="s">
        <v>176</v>
      </c>
      <c r="C36" s="160">
        <v>0</v>
      </c>
      <c r="D36" s="161">
        <v>0</v>
      </c>
      <c r="E36" s="161">
        <v>0</v>
      </c>
      <c r="F36" s="161">
        <v>0</v>
      </c>
      <c r="G36" s="160">
        <v>0</v>
      </c>
      <c r="H36" s="161">
        <v>0</v>
      </c>
      <c r="I36" s="161">
        <v>0</v>
      </c>
      <c r="J36" s="162">
        <v>0</v>
      </c>
      <c r="K36" s="160">
        <v>0</v>
      </c>
      <c r="L36" s="161">
        <v>0</v>
      </c>
      <c r="M36" s="161">
        <v>0</v>
      </c>
      <c r="N36" s="162">
        <v>0</v>
      </c>
      <c r="O36" s="160">
        <v>0</v>
      </c>
      <c r="P36" s="161">
        <v>0</v>
      </c>
      <c r="Q36" s="161">
        <v>0</v>
      </c>
      <c r="R36" s="162">
        <v>0</v>
      </c>
      <c r="S36" s="160">
        <v>0</v>
      </c>
      <c r="T36" s="161">
        <v>0</v>
      </c>
      <c r="U36" s="161">
        <v>0</v>
      </c>
      <c r="V36" s="162">
        <v>0</v>
      </c>
      <c r="W36" s="160">
        <v>0</v>
      </c>
      <c r="X36" s="161">
        <v>0</v>
      </c>
      <c r="Y36" s="161">
        <v>0</v>
      </c>
      <c r="Z36" s="162">
        <v>0</v>
      </c>
      <c r="AA36" s="160">
        <v>0</v>
      </c>
      <c r="AB36" s="161">
        <v>0</v>
      </c>
      <c r="AC36" s="161">
        <v>0</v>
      </c>
      <c r="AD36" s="162">
        <v>0</v>
      </c>
      <c r="AE36" s="160">
        <v>0</v>
      </c>
      <c r="AF36" s="161">
        <v>0</v>
      </c>
      <c r="AG36" s="161">
        <v>0</v>
      </c>
      <c r="AH36" s="162">
        <v>0</v>
      </c>
      <c r="AI36" s="161">
        <v>0</v>
      </c>
      <c r="AJ36" s="161">
        <v>0</v>
      </c>
      <c r="AK36" s="161">
        <v>0</v>
      </c>
      <c r="AL36" s="162">
        <v>384.5</v>
      </c>
      <c r="AM36" s="161">
        <v>386.5</v>
      </c>
      <c r="AN36" s="161">
        <v>386.5</v>
      </c>
      <c r="AO36" s="161">
        <v>386.5</v>
      </c>
      <c r="AP36" s="162">
        <v>386.6</v>
      </c>
      <c r="AQ36" s="161">
        <v>386.5</v>
      </c>
      <c r="AR36" s="161">
        <v>386.6</v>
      </c>
      <c r="AS36" s="161">
        <v>386.6</v>
      </c>
      <c r="AT36" s="162">
        <v>759.1</v>
      </c>
    </row>
    <row r="37" spans="1:46" s="150" customFormat="1" ht="10.8">
      <c r="A37" s="163" t="s">
        <v>177</v>
      </c>
      <c r="B37" s="163" t="s">
        <v>178</v>
      </c>
      <c r="C37" s="160">
        <v>81.900000000000006</v>
      </c>
      <c r="D37" s="161">
        <f>69.7</f>
        <v>69.7</v>
      </c>
      <c r="E37" s="161">
        <f>68.3</f>
        <v>68.3</v>
      </c>
      <c r="F37" s="161">
        <v>110</v>
      </c>
      <c r="G37" s="160">
        <v>95.1</v>
      </c>
      <c r="H37" s="161">
        <v>103.1</v>
      </c>
      <c r="I37" s="161">
        <v>153.5</v>
      </c>
      <c r="J37" s="162">
        <v>98.2</v>
      </c>
      <c r="K37" s="160">
        <v>103.9</v>
      </c>
      <c r="L37" s="161">
        <v>120.6</v>
      </c>
      <c r="M37" s="161">
        <v>138.30000000000001</v>
      </c>
      <c r="N37" s="162">
        <v>151.4</v>
      </c>
      <c r="O37" s="160">
        <v>145.6</v>
      </c>
      <c r="P37" s="161">
        <v>129.6</v>
      </c>
      <c r="Q37" s="161">
        <v>153.69999999999999</v>
      </c>
      <c r="R37" s="162">
        <v>83.2</v>
      </c>
      <c r="S37" s="160">
        <v>175.1</v>
      </c>
      <c r="T37" s="161">
        <v>154.80000000000001</v>
      </c>
      <c r="U37" s="161">
        <v>140.19999999999999</v>
      </c>
      <c r="V37" s="162">
        <v>87.4</v>
      </c>
      <c r="W37" s="160">
        <v>108.7</v>
      </c>
      <c r="X37" s="161">
        <v>101.7</v>
      </c>
      <c r="Y37" s="161">
        <v>112.80000000000001</v>
      </c>
      <c r="Z37" s="162">
        <v>111.60000000000001</v>
      </c>
      <c r="AA37" s="160">
        <v>90.8</v>
      </c>
      <c r="AB37" s="161">
        <v>87.2</v>
      </c>
      <c r="AC37" s="161">
        <v>98</v>
      </c>
      <c r="AD37" s="162">
        <v>110.60000000000001</v>
      </c>
      <c r="AE37" s="160">
        <v>127.80000000000001</v>
      </c>
      <c r="AF37" s="161">
        <v>92.4</v>
      </c>
      <c r="AG37" s="161">
        <v>100.89999999999999</v>
      </c>
      <c r="AH37" s="162">
        <v>90.8</v>
      </c>
      <c r="AI37" s="161">
        <v>90.3</v>
      </c>
      <c r="AJ37" s="161">
        <v>123.3</v>
      </c>
      <c r="AK37" s="161">
        <v>78</v>
      </c>
      <c r="AL37" s="162">
        <v>168.3</v>
      </c>
      <c r="AM37" s="161">
        <v>113.1</v>
      </c>
      <c r="AN37" s="161">
        <v>63.1</v>
      </c>
      <c r="AO37" s="161">
        <v>115.2</v>
      </c>
      <c r="AP37" s="162">
        <v>81.599999999999994</v>
      </c>
      <c r="AQ37" s="161">
        <v>69.400000000000006</v>
      </c>
      <c r="AR37" s="161">
        <v>62.7</v>
      </c>
      <c r="AS37" s="161">
        <v>98.3</v>
      </c>
      <c r="AT37" s="162">
        <v>136.1</v>
      </c>
    </row>
    <row r="38" spans="1:46" s="150" customFormat="1" ht="10.8">
      <c r="A38" s="177" t="s">
        <v>179</v>
      </c>
      <c r="B38" s="177" t="s">
        <v>136</v>
      </c>
      <c r="C38" s="156">
        <f t="shared" ref="C38:AH38" si="23">C31+C34+C35+C37</f>
        <v>2257.7000000000003</v>
      </c>
      <c r="D38" s="157">
        <f t="shared" si="23"/>
        <v>2127.1999999999998</v>
      </c>
      <c r="E38" s="157">
        <f t="shared" si="23"/>
        <v>2130.1999999999998</v>
      </c>
      <c r="F38" s="157">
        <f t="shared" si="23"/>
        <v>2342.6</v>
      </c>
      <c r="G38" s="156">
        <f t="shared" si="23"/>
        <v>2556.9</v>
      </c>
      <c r="H38" s="157">
        <f t="shared" si="23"/>
        <v>2705.7999999999997</v>
      </c>
      <c r="I38" s="157">
        <f t="shared" si="23"/>
        <v>3072.2000000000003</v>
      </c>
      <c r="J38" s="158">
        <f t="shared" si="23"/>
        <v>3023.2999999999997</v>
      </c>
      <c r="K38" s="156">
        <f t="shared" si="23"/>
        <v>2970.3</v>
      </c>
      <c r="L38" s="157">
        <f t="shared" si="23"/>
        <v>2835.1</v>
      </c>
      <c r="M38" s="157">
        <f t="shared" si="23"/>
        <v>2811.7000000000003</v>
      </c>
      <c r="N38" s="158">
        <f t="shared" si="23"/>
        <v>2697</v>
      </c>
      <c r="O38" s="156">
        <f t="shared" si="23"/>
        <v>2514.6999999999998</v>
      </c>
      <c r="P38" s="157">
        <f t="shared" si="23"/>
        <v>2549.6</v>
      </c>
      <c r="Q38" s="157">
        <f t="shared" si="23"/>
        <v>2582.1999999999998</v>
      </c>
      <c r="R38" s="158">
        <f t="shared" si="23"/>
        <v>2668.2</v>
      </c>
      <c r="S38" s="156">
        <f t="shared" si="23"/>
        <v>2666.2999999999997</v>
      </c>
      <c r="T38" s="157">
        <f t="shared" si="23"/>
        <v>2868.9</v>
      </c>
      <c r="U38" s="157">
        <f t="shared" si="23"/>
        <v>2873.5</v>
      </c>
      <c r="V38" s="158">
        <f t="shared" si="23"/>
        <v>2909.2</v>
      </c>
      <c r="W38" s="156">
        <f t="shared" si="23"/>
        <v>1249.3000000000002</v>
      </c>
      <c r="X38" s="157">
        <f t="shared" si="23"/>
        <v>1377.8000000000002</v>
      </c>
      <c r="Y38" s="157">
        <f t="shared" si="23"/>
        <v>1525.8999999999996</v>
      </c>
      <c r="Z38" s="158">
        <f t="shared" si="23"/>
        <v>1645.9999999999998</v>
      </c>
      <c r="AA38" s="156">
        <f t="shared" si="23"/>
        <v>1406.0999999999997</v>
      </c>
      <c r="AB38" s="157">
        <f t="shared" si="23"/>
        <v>1422.1000000000001</v>
      </c>
      <c r="AC38" s="157">
        <f t="shared" si="23"/>
        <v>1531.2</v>
      </c>
      <c r="AD38" s="158">
        <f t="shared" si="23"/>
        <v>1568.8999999999999</v>
      </c>
      <c r="AE38" s="156">
        <f t="shared" si="23"/>
        <v>1546.3999999999996</v>
      </c>
      <c r="AF38" s="157">
        <f t="shared" si="23"/>
        <v>1734.7</v>
      </c>
      <c r="AG38" s="157">
        <f t="shared" si="23"/>
        <v>1781.3000000000002</v>
      </c>
      <c r="AH38" s="158">
        <f t="shared" si="23"/>
        <v>1870.2999999999997</v>
      </c>
      <c r="AI38" s="157">
        <f>AI31+AI34+AI35+AI37</f>
        <v>1751.3999999999999</v>
      </c>
      <c r="AJ38" s="157">
        <f>AJ31+AJ34+AJ35+AJ37</f>
        <v>2198.3000000000002</v>
      </c>
      <c r="AK38" s="157">
        <f>AK31+AK34+AK35+AK37</f>
        <v>2017.8</v>
      </c>
      <c r="AL38" s="158">
        <f t="shared" ref="AL38:AT38" si="24">AL31+AL34+AL35+AL37+AL36</f>
        <v>2510.6999999999998</v>
      </c>
      <c r="AM38" s="157">
        <f t="shared" si="24"/>
        <v>2307.6999999999998</v>
      </c>
      <c r="AN38" s="157">
        <f t="shared" si="24"/>
        <v>2336.4</v>
      </c>
      <c r="AO38" s="157">
        <f t="shared" si="24"/>
        <v>2066.3000000000002</v>
      </c>
      <c r="AP38" s="158">
        <f t="shared" si="24"/>
        <v>2348.2999999999997</v>
      </c>
      <c r="AQ38" s="157">
        <f t="shared" si="24"/>
        <v>2374.3999999999996</v>
      </c>
      <c r="AR38" s="157">
        <f t="shared" si="24"/>
        <v>2526.1999999999998</v>
      </c>
      <c r="AS38" s="157">
        <f t="shared" si="24"/>
        <v>2449.1</v>
      </c>
      <c r="AT38" s="157">
        <f t="shared" si="24"/>
        <v>2936</v>
      </c>
    </row>
    <row r="39" spans="1:46" s="150" customFormat="1" ht="10.8">
      <c r="A39" s="163" t="s">
        <v>137</v>
      </c>
      <c r="B39" s="163" t="s">
        <v>138</v>
      </c>
      <c r="C39" s="160">
        <f t="shared" ref="C39:X39" si="25">SUM(C40:C41)</f>
        <v>-7.6</v>
      </c>
      <c r="D39" s="161">
        <f t="shared" si="25"/>
        <v>-4.7</v>
      </c>
      <c r="E39" s="161">
        <f t="shared" si="25"/>
        <v>-4.5</v>
      </c>
      <c r="F39" s="161">
        <f t="shared" si="25"/>
        <v>-5.8</v>
      </c>
      <c r="G39" s="160">
        <f t="shared" si="25"/>
        <v>-5.7</v>
      </c>
      <c r="H39" s="161">
        <f t="shared" si="25"/>
        <v>-3.6</v>
      </c>
      <c r="I39" s="161">
        <f t="shared" si="25"/>
        <v>-3.2</v>
      </c>
      <c r="J39" s="162">
        <f t="shared" si="25"/>
        <v>-2</v>
      </c>
      <c r="K39" s="160">
        <f t="shared" si="25"/>
        <v>-2.1</v>
      </c>
      <c r="L39" s="161">
        <f t="shared" si="25"/>
        <v>-1.8</v>
      </c>
      <c r="M39" s="161">
        <f t="shared" si="25"/>
        <v>-2.2000000000000002</v>
      </c>
      <c r="N39" s="162">
        <f t="shared" si="25"/>
        <v>-1.8</v>
      </c>
      <c r="O39" s="160">
        <f t="shared" si="25"/>
        <v>-1.7</v>
      </c>
      <c r="P39" s="161">
        <f t="shared" si="25"/>
        <v>-1.7</v>
      </c>
      <c r="Q39" s="161">
        <f t="shared" si="25"/>
        <v>-2.1</v>
      </c>
      <c r="R39" s="162">
        <f t="shared" si="25"/>
        <v>-1.9</v>
      </c>
      <c r="S39" s="160">
        <f t="shared" si="25"/>
        <v>-1.4</v>
      </c>
      <c r="T39" s="161">
        <f t="shared" si="25"/>
        <v>-0.2</v>
      </c>
      <c r="U39" s="161">
        <f t="shared" si="25"/>
        <v>-0.3</v>
      </c>
      <c r="V39" s="162">
        <f t="shared" si="25"/>
        <v>-0.3</v>
      </c>
      <c r="W39" s="160">
        <f t="shared" si="25"/>
        <v>-0.4</v>
      </c>
      <c r="X39" s="161">
        <f t="shared" si="25"/>
        <v>-0.7</v>
      </c>
      <c r="Y39" s="161">
        <f t="shared" ref="Y39:AT39" si="26">SUM(Y40:Y41)</f>
        <v>-0.4</v>
      </c>
      <c r="Z39" s="162">
        <f t="shared" si="26"/>
        <v>-0.6</v>
      </c>
      <c r="AA39" s="160">
        <f t="shared" si="26"/>
        <v>-0.2</v>
      </c>
      <c r="AB39" s="161">
        <f t="shared" si="26"/>
        <v>-0.3</v>
      </c>
      <c r="AC39" s="161">
        <f t="shared" si="26"/>
        <v>-0.2</v>
      </c>
      <c r="AD39" s="162">
        <f t="shared" si="26"/>
        <v>-0.8</v>
      </c>
      <c r="AE39" s="160">
        <f t="shared" si="26"/>
        <v>-2.2999999999999998</v>
      </c>
      <c r="AF39" s="161">
        <f t="shared" si="26"/>
        <v>-1.5</v>
      </c>
      <c r="AG39" s="161">
        <f t="shared" si="26"/>
        <v>-0.9</v>
      </c>
      <c r="AH39" s="162">
        <f t="shared" si="26"/>
        <v>-1.2000000000000002</v>
      </c>
      <c r="AI39" s="161">
        <f t="shared" si="26"/>
        <v>-0.7</v>
      </c>
      <c r="AJ39" s="161">
        <f t="shared" si="26"/>
        <v>-0.9</v>
      </c>
      <c r="AK39" s="161">
        <f t="shared" si="26"/>
        <v>-0.6</v>
      </c>
      <c r="AL39" s="162">
        <f t="shared" si="26"/>
        <v>-0.7</v>
      </c>
      <c r="AM39" s="161">
        <f t="shared" si="26"/>
        <v>-1.1000000000000001</v>
      </c>
      <c r="AN39" s="161">
        <f t="shared" si="26"/>
        <v>-0.6</v>
      </c>
      <c r="AO39" s="161">
        <f t="shared" si="26"/>
        <v>-0.9</v>
      </c>
      <c r="AP39" s="162">
        <f t="shared" si="26"/>
        <v>-1</v>
      </c>
      <c r="AQ39" s="161">
        <f t="shared" si="26"/>
        <v>-0.79999999999999993</v>
      </c>
      <c r="AR39" s="161">
        <f t="shared" si="26"/>
        <v>-0.79999999999999993</v>
      </c>
      <c r="AS39" s="161">
        <f t="shared" si="26"/>
        <v>-0.9</v>
      </c>
      <c r="AT39" s="161">
        <f t="shared" si="26"/>
        <v>-1</v>
      </c>
    </row>
    <row r="40" spans="1:46" s="6" customFormat="1" ht="10.8">
      <c r="A40" s="178" t="s">
        <v>180</v>
      </c>
      <c r="B40" s="178" t="s">
        <v>181</v>
      </c>
      <c r="C40" s="167">
        <v>-7.6</v>
      </c>
      <c r="D40" s="168">
        <v>-4.7</v>
      </c>
      <c r="E40" s="168">
        <v>-4.5</v>
      </c>
      <c r="F40" s="168">
        <v>-5.8</v>
      </c>
      <c r="G40" s="167">
        <v>-5.7</v>
      </c>
      <c r="H40" s="168">
        <v>-3.6</v>
      </c>
      <c r="I40" s="168">
        <v>-3.2</v>
      </c>
      <c r="J40" s="169">
        <v>-2</v>
      </c>
      <c r="K40" s="167">
        <v>-2.1</v>
      </c>
      <c r="L40" s="168">
        <v>-1.8</v>
      </c>
      <c r="M40" s="168">
        <v>-2.2000000000000002</v>
      </c>
      <c r="N40" s="169">
        <v>-1.8</v>
      </c>
      <c r="O40" s="167">
        <v>-1.7</v>
      </c>
      <c r="P40" s="168">
        <v>-1.7</v>
      </c>
      <c r="Q40" s="168">
        <v>-2.1</v>
      </c>
      <c r="R40" s="169">
        <v>-1.9</v>
      </c>
      <c r="S40" s="167">
        <v>-1.4</v>
      </c>
      <c r="T40" s="168">
        <v>-0.2</v>
      </c>
      <c r="U40" s="168">
        <v>-0.3</v>
      </c>
      <c r="V40" s="169">
        <v>-0.3</v>
      </c>
      <c r="W40" s="167">
        <v>-0.4</v>
      </c>
      <c r="X40" s="168">
        <v>-0.7</v>
      </c>
      <c r="Y40" s="168">
        <v>-0.4</v>
      </c>
      <c r="Z40" s="169">
        <v>-0.6</v>
      </c>
      <c r="AA40" s="167">
        <v>-0.2</v>
      </c>
      <c r="AB40" s="168">
        <v>-0.3</v>
      </c>
      <c r="AC40" s="168">
        <v>-0.2</v>
      </c>
      <c r="AD40" s="169">
        <v>-0.8</v>
      </c>
      <c r="AE40" s="167">
        <v>-2.2999999999999998</v>
      </c>
      <c r="AF40" s="168">
        <v>-1.5</v>
      </c>
      <c r="AG40" s="168">
        <v>-0.9</v>
      </c>
      <c r="AH40" s="169">
        <v>-1.2000000000000002</v>
      </c>
      <c r="AI40" s="168">
        <v>-0.7</v>
      </c>
      <c r="AJ40" s="168">
        <v>-0.9</v>
      </c>
      <c r="AK40" s="168">
        <v>-0.6</v>
      </c>
      <c r="AL40" s="169">
        <v>-0.6</v>
      </c>
      <c r="AM40" s="168">
        <v>-1</v>
      </c>
      <c r="AN40" s="168">
        <v>-0.5</v>
      </c>
      <c r="AO40" s="168">
        <v>-0.8</v>
      </c>
      <c r="AP40" s="169">
        <v>-0.9</v>
      </c>
      <c r="AQ40" s="168">
        <v>-0.7</v>
      </c>
      <c r="AR40" s="168">
        <v>-0.7</v>
      </c>
      <c r="AS40" s="168">
        <v>-0.8</v>
      </c>
      <c r="AT40" s="169">
        <v>-0.9</v>
      </c>
    </row>
    <row r="41" spans="1:46" s="6" customFormat="1" ht="10.8">
      <c r="A41" s="178" t="s">
        <v>182</v>
      </c>
      <c r="B41" s="178" t="s">
        <v>183</v>
      </c>
      <c r="C41" s="167">
        <v>0</v>
      </c>
      <c r="D41" s="168">
        <v>0</v>
      </c>
      <c r="E41" s="168">
        <v>0</v>
      </c>
      <c r="F41" s="168">
        <v>0</v>
      </c>
      <c r="G41" s="167">
        <v>0</v>
      </c>
      <c r="H41" s="168">
        <v>0</v>
      </c>
      <c r="I41" s="168">
        <v>0</v>
      </c>
      <c r="J41" s="169">
        <v>0</v>
      </c>
      <c r="K41" s="167">
        <v>0</v>
      </c>
      <c r="L41" s="168">
        <v>0</v>
      </c>
      <c r="M41" s="168">
        <v>0</v>
      </c>
      <c r="N41" s="169">
        <v>0</v>
      </c>
      <c r="O41" s="167">
        <v>0</v>
      </c>
      <c r="P41" s="168">
        <v>0</v>
      </c>
      <c r="Q41" s="168">
        <v>0</v>
      </c>
      <c r="R41" s="169">
        <v>0</v>
      </c>
      <c r="S41" s="167">
        <v>0</v>
      </c>
      <c r="T41" s="168">
        <v>0</v>
      </c>
      <c r="U41" s="168">
        <v>0</v>
      </c>
      <c r="V41" s="169">
        <v>0</v>
      </c>
      <c r="W41" s="167">
        <v>0</v>
      </c>
      <c r="X41" s="168">
        <v>0</v>
      </c>
      <c r="Y41" s="168">
        <v>0</v>
      </c>
      <c r="Z41" s="169">
        <v>0</v>
      </c>
      <c r="AA41" s="167">
        <v>0</v>
      </c>
      <c r="AB41" s="168">
        <v>0</v>
      </c>
      <c r="AC41" s="168">
        <v>0</v>
      </c>
      <c r="AD41" s="169">
        <v>0</v>
      </c>
      <c r="AE41" s="167">
        <v>0</v>
      </c>
      <c r="AF41" s="168">
        <v>0</v>
      </c>
      <c r="AG41" s="168">
        <v>0</v>
      </c>
      <c r="AH41" s="169">
        <v>0</v>
      </c>
      <c r="AI41" s="168">
        <v>0</v>
      </c>
      <c r="AJ41" s="168">
        <v>0</v>
      </c>
      <c r="AK41" s="168">
        <v>0</v>
      </c>
      <c r="AL41" s="169">
        <v>-0.1</v>
      </c>
      <c r="AM41" s="168">
        <v>-0.1</v>
      </c>
      <c r="AN41" s="168">
        <v>-0.1</v>
      </c>
      <c r="AO41" s="168">
        <v>-0.1</v>
      </c>
      <c r="AP41" s="169">
        <v>-0.1</v>
      </c>
      <c r="AQ41" s="168">
        <v>-0.1</v>
      </c>
      <c r="AR41" s="168">
        <v>-0.1</v>
      </c>
      <c r="AS41" s="168">
        <v>-0.1</v>
      </c>
      <c r="AT41" s="169">
        <v>-0.1</v>
      </c>
    </row>
    <row r="42" spans="1:46" s="164" customFormat="1" ht="10.8">
      <c r="A42" s="143" t="s">
        <v>184</v>
      </c>
      <c r="B42" s="143" t="s">
        <v>185</v>
      </c>
      <c r="C42" s="172">
        <f t="shared" ref="C42:AT42" si="27">C38+C39</f>
        <v>2250.1000000000004</v>
      </c>
      <c r="D42" s="173">
        <f t="shared" si="27"/>
        <v>2122.5</v>
      </c>
      <c r="E42" s="173">
        <f t="shared" si="27"/>
        <v>2125.6999999999998</v>
      </c>
      <c r="F42" s="173">
        <f t="shared" si="27"/>
        <v>2336.7999999999997</v>
      </c>
      <c r="G42" s="172">
        <f t="shared" si="27"/>
        <v>2551.2000000000003</v>
      </c>
      <c r="H42" s="173">
        <f t="shared" si="27"/>
        <v>2702.2</v>
      </c>
      <c r="I42" s="173">
        <f t="shared" si="27"/>
        <v>3069.0000000000005</v>
      </c>
      <c r="J42" s="174">
        <f t="shared" si="27"/>
        <v>3021.2999999999997</v>
      </c>
      <c r="K42" s="172">
        <f t="shared" si="27"/>
        <v>2968.2000000000003</v>
      </c>
      <c r="L42" s="173">
        <f t="shared" si="27"/>
        <v>2833.2999999999997</v>
      </c>
      <c r="M42" s="173">
        <f t="shared" si="27"/>
        <v>2809.5000000000005</v>
      </c>
      <c r="N42" s="174">
        <f t="shared" si="27"/>
        <v>2695.2</v>
      </c>
      <c r="O42" s="172">
        <f t="shared" si="27"/>
        <v>2513</v>
      </c>
      <c r="P42" s="173">
        <f t="shared" si="27"/>
        <v>2547.9</v>
      </c>
      <c r="Q42" s="173">
        <f t="shared" si="27"/>
        <v>2580.1</v>
      </c>
      <c r="R42" s="174">
        <f t="shared" si="27"/>
        <v>2666.2999999999997</v>
      </c>
      <c r="S42" s="172">
        <f t="shared" si="27"/>
        <v>2664.8999999999996</v>
      </c>
      <c r="T42" s="173">
        <f t="shared" si="27"/>
        <v>2868.7000000000003</v>
      </c>
      <c r="U42" s="173">
        <f t="shared" si="27"/>
        <v>2873.2</v>
      </c>
      <c r="V42" s="174">
        <f t="shared" si="27"/>
        <v>2908.8999999999996</v>
      </c>
      <c r="W42" s="172">
        <f t="shared" si="27"/>
        <v>1248.9000000000001</v>
      </c>
      <c r="X42" s="173">
        <f t="shared" si="27"/>
        <v>1377.1000000000001</v>
      </c>
      <c r="Y42" s="173">
        <f t="shared" si="27"/>
        <v>1525.4999999999995</v>
      </c>
      <c r="Z42" s="174">
        <f t="shared" si="27"/>
        <v>1645.3999999999999</v>
      </c>
      <c r="AA42" s="172">
        <f t="shared" si="27"/>
        <v>1405.8999999999996</v>
      </c>
      <c r="AB42" s="173">
        <f t="shared" si="27"/>
        <v>1421.8000000000002</v>
      </c>
      <c r="AC42" s="173">
        <f t="shared" si="27"/>
        <v>1531</v>
      </c>
      <c r="AD42" s="174">
        <f t="shared" si="27"/>
        <v>1568.1</v>
      </c>
      <c r="AE42" s="172">
        <f t="shared" si="27"/>
        <v>1544.0999999999997</v>
      </c>
      <c r="AF42" s="173">
        <f t="shared" si="27"/>
        <v>1733.2</v>
      </c>
      <c r="AG42" s="173">
        <f t="shared" si="27"/>
        <v>1780.4</v>
      </c>
      <c r="AH42" s="174">
        <f t="shared" si="27"/>
        <v>1869.0999999999997</v>
      </c>
      <c r="AI42" s="173">
        <f t="shared" si="27"/>
        <v>1750.6999999999998</v>
      </c>
      <c r="AJ42" s="173">
        <f t="shared" si="27"/>
        <v>2197.4</v>
      </c>
      <c r="AK42" s="173">
        <f t="shared" si="27"/>
        <v>2017.2</v>
      </c>
      <c r="AL42" s="174">
        <f t="shared" si="27"/>
        <v>2510</v>
      </c>
      <c r="AM42" s="173">
        <f t="shared" si="27"/>
        <v>2306.6</v>
      </c>
      <c r="AN42" s="173">
        <f t="shared" si="27"/>
        <v>2335.8000000000002</v>
      </c>
      <c r="AO42" s="173">
        <f t="shared" si="27"/>
        <v>2065.4</v>
      </c>
      <c r="AP42" s="174">
        <f t="shared" si="27"/>
        <v>2347.2999999999997</v>
      </c>
      <c r="AQ42" s="173">
        <f t="shared" si="27"/>
        <v>2373.5999999999995</v>
      </c>
      <c r="AR42" s="173">
        <f t="shared" si="27"/>
        <v>2525.3999999999996</v>
      </c>
      <c r="AS42" s="173">
        <f t="shared" si="27"/>
        <v>2448.1999999999998</v>
      </c>
      <c r="AT42" s="173">
        <f t="shared" si="27"/>
        <v>2935</v>
      </c>
    </row>
    <row r="43" spans="1:46" s="150" customFormat="1" ht="10.8">
      <c r="A43" s="179"/>
      <c r="B43" s="179"/>
      <c r="C43" s="160"/>
      <c r="D43" s="161"/>
      <c r="E43" s="161"/>
      <c r="F43" s="161"/>
      <c r="G43" s="160"/>
      <c r="H43" s="161"/>
      <c r="I43" s="161"/>
      <c r="J43" s="162"/>
      <c r="K43" s="160"/>
      <c r="L43" s="161"/>
      <c r="M43" s="161"/>
      <c r="N43" s="162"/>
      <c r="O43" s="160"/>
      <c r="P43" s="161"/>
      <c r="Q43" s="161"/>
      <c r="R43" s="162"/>
      <c r="S43" s="160"/>
      <c r="T43" s="161"/>
      <c r="U43" s="161"/>
      <c r="V43" s="162"/>
      <c r="W43" s="160"/>
      <c r="X43" s="161"/>
      <c r="Y43" s="161"/>
      <c r="Z43" s="162"/>
      <c r="AA43" s="160"/>
      <c r="AB43" s="161"/>
      <c r="AC43" s="161"/>
      <c r="AD43" s="162"/>
      <c r="AE43" s="160"/>
      <c r="AF43" s="161"/>
      <c r="AG43" s="161"/>
      <c r="AH43" s="162"/>
      <c r="AI43" s="161"/>
      <c r="AJ43" s="161"/>
      <c r="AK43" s="161"/>
      <c r="AL43" s="162"/>
      <c r="AM43" s="161"/>
      <c r="AN43" s="161"/>
      <c r="AO43" s="161"/>
      <c r="AP43" s="162"/>
      <c r="AQ43" s="161"/>
      <c r="AR43" s="161"/>
      <c r="AS43" s="161"/>
      <c r="AT43" s="162"/>
    </row>
    <row r="44" spans="1:46" s="150" customFormat="1" ht="10.8">
      <c r="A44" s="175" t="s">
        <v>186</v>
      </c>
      <c r="B44" s="175" t="s">
        <v>187</v>
      </c>
      <c r="C44" s="160"/>
      <c r="D44" s="161"/>
      <c r="E44" s="161"/>
      <c r="F44" s="161"/>
      <c r="G44" s="160"/>
      <c r="H44" s="161"/>
      <c r="I44" s="161"/>
      <c r="J44" s="162"/>
      <c r="K44" s="160"/>
      <c r="L44" s="161"/>
      <c r="M44" s="161"/>
      <c r="N44" s="162"/>
      <c r="O44" s="160"/>
      <c r="P44" s="161"/>
      <c r="Q44" s="161"/>
      <c r="R44" s="162"/>
      <c r="S44" s="160"/>
      <c r="T44" s="161"/>
      <c r="U44" s="161"/>
      <c r="V44" s="162"/>
      <c r="W44" s="160"/>
      <c r="X44" s="161"/>
      <c r="Y44" s="161"/>
      <c r="Z44" s="162"/>
      <c r="AA44" s="160"/>
      <c r="AB44" s="161"/>
      <c r="AC44" s="161"/>
      <c r="AD44" s="162"/>
      <c r="AE44" s="160"/>
      <c r="AF44" s="161"/>
      <c r="AG44" s="161"/>
      <c r="AH44" s="162"/>
      <c r="AI44" s="161"/>
      <c r="AJ44" s="161"/>
      <c r="AK44" s="161"/>
      <c r="AL44" s="162"/>
      <c r="AM44" s="161"/>
      <c r="AN44" s="161"/>
      <c r="AO44" s="161"/>
      <c r="AP44" s="162"/>
      <c r="AQ44" s="161"/>
      <c r="AR44" s="161"/>
      <c r="AS44" s="161"/>
      <c r="AT44" s="162"/>
    </row>
    <row r="45" spans="1:46" s="150" customFormat="1" ht="10.8">
      <c r="A45" s="163"/>
      <c r="B45" s="163"/>
      <c r="C45" s="160"/>
      <c r="D45" s="161"/>
      <c r="E45" s="161"/>
      <c r="F45" s="161"/>
      <c r="G45" s="160"/>
      <c r="H45" s="161"/>
      <c r="I45" s="161"/>
      <c r="J45" s="162"/>
      <c r="K45" s="160"/>
      <c r="L45" s="161"/>
      <c r="M45" s="161"/>
      <c r="N45" s="162"/>
      <c r="O45" s="160"/>
      <c r="P45" s="161"/>
      <c r="Q45" s="161"/>
      <c r="R45" s="162"/>
      <c r="S45" s="160"/>
      <c r="T45" s="161"/>
      <c r="U45" s="161"/>
      <c r="V45" s="162"/>
      <c r="W45" s="160"/>
      <c r="X45" s="161"/>
      <c r="Y45" s="161"/>
      <c r="Z45" s="162"/>
      <c r="AA45" s="160"/>
      <c r="AB45" s="161"/>
      <c r="AC45" s="161"/>
      <c r="AD45" s="162"/>
      <c r="AE45" s="160"/>
      <c r="AF45" s="161"/>
      <c r="AG45" s="161"/>
      <c r="AH45" s="162"/>
      <c r="AI45" s="161"/>
      <c r="AJ45" s="161"/>
      <c r="AK45" s="161"/>
      <c r="AL45" s="162"/>
      <c r="AM45" s="161"/>
      <c r="AN45" s="161"/>
      <c r="AO45" s="161"/>
      <c r="AP45" s="162"/>
      <c r="AQ45" s="161"/>
      <c r="AR45" s="161"/>
      <c r="AS45" s="161"/>
      <c r="AT45" s="162"/>
    </row>
    <row r="46" spans="1:46" s="164" customFormat="1" ht="10.8">
      <c r="A46" s="177" t="s">
        <v>188</v>
      </c>
      <c r="B46" s="177" t="s">
        <v>189</v>
      </c>
      <c r="C46" s="180">
        <f>SUM(C47,C50:C53)</f>
        <v>7760.7000000000007</v>
      </c>
      <c r="D46" s="181">
        <f t="shared" ref="D46:AT46" si="28">SUM(D47,D50:D53)</f>
        <v>8279.4000000000015</v>
      </c>
      <c r="E46" s="181">
        <f t="shared" si="28"/>
        <v>8634.4000000000015</v>
      </c>
      <c r="F46" s="181">
        <f t="shared" si="28"/>
        <v>8962.7999999999993</v>
      </c>
      <c r="G46" s="180">
        <f t="shared" si="28"/>
        <v>10012.800000000001</v>
      </c>
      <c r="H46" s="181">
        <f t="shared" si="28"/>
        <v>10660.499999999998</v>
      </c>
      <c r="I46" s="181">
        <f t="shared" si="28"/>
        <v>11965.9</v>
      </c>
      <c r="J46" s="182">
        <f t="shared" si="28"/>
        <v>12908.1</v>
      </c>
      <c r="K46" s="180">
        <f t="shared" si="28"/>
        <v>13534</v>
      </c>
      <c r="L46" s="181">
        <f t="shared" si="28"/>
        <v>13234.2</v>
      </c>
      <c r="M46" s="181">
        <f t="shared" si="28"/>
        <v>12873.8</v>
      </c>
      <c r="N46" s="182">
        <f t="shared" si="28"/>
        <v>12421.5</v>
      </c>
      <c r="O46" s="180">
        <f t="shared" si="28"/>
        <v>12353.699999999999</v>
      </c>
      <c r="P46" s="181">
        <f t="shared" si="28"/>
        <v>12726.800000000001</v>
      </c>
      <c r="Q46" s="181">
        <f t="shared" si="28"/>
        <v>13683</v>
      </c>
      <c r="R46" s="182">
        <f t="shared" si="28"/>
        <v>13674.5</v>
      </c>
      <c r="S46" s="180">
        <f t="shared" si="28"/>
        <v>13933.3</v>
      </c>
      <c r="T46" s="181">
        <f t="shared" si="28"/>
        <v>14792.199999999999</v>
      </c>
      <c r="U46" s="181">
        <f t="shared" si="28"/>
        <v>15971.399999999998</v>
      </c>
      <c r="V46" s="182">
        <f t="shared" si="28"/>
        <v>17432.399999999998</v>
      </c>
      <c r="W46" s="180">
        <f t="shared" si="28"/>
        <v>24312.6</v>
      </c>
      <c r="X46" s="181">
        <f t="shared" si="28"/>
        <v>24402.6</v>
      </c>
      <c r="Y46" s="181">
        <f t="shared" si="28"/>
        <v>24740.799999999996</v>
      </c>
      <c r="Z46" s="182">
        <f t="shared" si="28"/>
        <v>24052.9</v>
      </c>
      <c r="AA46" s="180">
        <f t="shared" si="28"/>
        <v>24203.5</v>
      </c>
      <c r="AB46" s="181">
        <f t="shared" si="28"/>
        <v>25026.400000000001</v>
      </c>
      <c r="AC46" s="181">
        <f t="shared" si="28"/>
        <v>25993.399999999998</v>
      </c>
      <c r="AD46" s="182">
        <f t="shared" si="28"/>
        <v>25951</v>
      </c>
      <c r="AE46" s="180">
        <f t="shared" si="28"/>
        <v>27636.400000000001</v>
      </c>
      <c r="AF46" s="181">
        <f t="shared" si="28"/>
        <v>29345.300000000007</v>
      </c>
      <c r="AG46" s="181">
        <f t="shared" si="28"/>
        <v>30902.3</v>
      </c>
      <c r="AH46" s="182">
        <f t="shared" si="28"/>
        <v>30267.999999999996</v>
      </c>
      <c r="AI46" s="181">
        <f t="shared" si="28"/>
        <v>31630.500000000007</v>
      </c>
      <c r="AJ46" s="181">
        <f t="shared" si="28"/>
        <v>34327.199999999997</v>
      </c>
      <c r="AK46" s="181">
        <f t="shared" si="28"/>
        <v>36599.199999999997</v>
      </c>
      <c r="AL46" s="182">
        <f t="shared" si="28"/>
        <v>35998.300000000003</v>
      </c>
      <c r="AM46" s="181">
        <f t="shared" si="28"/>
        <v>37657.400000000009</v>
      </c>
      <c r="AN46" s="181">
        <f t="shared" si="28"/>
        <v>38686.9</v>
      </c>
      <c r="AO46" s="181">
        <f t="shared" si="28"/>
        <v>39999.4</v>
      </c>
      <c r="AP46" s="182">
        <f t="shared" si="28"/>
        <v>40321</v>
      </c>
      <c r="AQ46" s="181">
        <f t="shared" si="28"/>
        <v>41779.100000000006</v>
      </c>
      <c r="AR46" s="181">
        <f t="shared" si="28"/>
        <v>42851.6</v>
      </c>
      <c r="AS46" s="181">
        <f t="shared" si="28"/>
        <v>44443.299999999996</v>
      </c>
      <c r="AT46" s="181">
        <f t="shared" si="28"/>
        <v>43651.1</v>
      </c>
    </row>
    <row r="47" spans="1:46" s="150" customFormat="1" ht="10.8">
      <c r="A47" s="163" t="s">
        <v>190</v>
      </c>
      <c r="B47" s="163" t="s">
        <v>191</v>
      </c>
      <c r="C47" s="183">
        <f>SUM(C48:C49)</f>
        <v>7497.0000000000009</v>
      </c>
      <c r="D47" s="184">
        <f t="shared" ref="D47:AJ47" si="29">SUM(D48:D49)</f>
        <v>8001</v>
      </c>
      <c r="E47" s="184">
        <f t="shared" si="29"/>
        <v>8387.9</v>
      </c>
      <c r="F47" s="184">
        <f t="shared" si="29"/>
        <v>8783.0999999999985</v>
      </c>
      <c r="G47" s="183">
        <f t="shared" si="29"/>
        <v>9812.4000000000015</v>
      </c>
      <c r="H47" s="184">
        <f t="shared" si="29"/>
        <v>10462.799999999999</v>
      </c>
      <c r="I47" s="184">
        <f t="shared" si="29"/>
        <v>11713</v>
      </c>
      <c r="J47" s="185">
        <f t="shared" si="29"/>
        <v>12153.3</v>
      </c>
      <c r="K47" s="183">
        <f t="shared" si="29"/>
        <v>12665.2</v>
      </c>
      <c r="L47" s="184">
        <f t="shared" si="29"/>
        <v>12407.6</v>
      </c>
      <c r="M47" s="184">
        <f t="shared" si="29"/>
        <v>12236.599999999999</v>
      </c>
      <c r="N47" s="185">
        <f t="shared" si="29"/>
        <v>11871.9</v>
      </c>
      <c r="O47" s="183">
        <f t="shared" si="29"/>
        <v>11873.9</v>
      </c>
      <c r="P47" s="184">
        <f t="shared" si="29"/>
        <v>12198</v>
      </c>
      <c r="Q47" s="184">
        <f t="shared" si="29"/>
        <v>12939.7</v>
      </c>
      <c r="R47" s="185">
        <f t="shared" si="29"/>
        <v>12851.2</v>
      </c>
      <c r="S47" s="183">
        <f t="shared" si="29"/>
        <v>13210.5</v>
      </c>
      <c r="T47" s="184">
        <f t="shared" si="29"/>
        <v>14014.4</v>
      </c>
      <c r="U47" s="184">
        <f t="shared" si="29"/>
        <v>14868.3</v>
      </c>
      <c r="V47" s="185">
        <f t="shared" si="29"/>
        <v>15714.1</v>
      </c>
      <c r="W47" s="183">
        <f t="shared" si="29"/>
        <v>18068.3</v>
      </c>
      <c r="X47" s="184">
        <f t="shared" si="29"/>
        <v>18113.099999999999</v>
      </c>
      <c r="Y47" s="184">
        <f t="shared" si="29"/>
        <v>18187.899999999998</v>
      </c>
      <c r="Z47" s="185">
        <f t="shared" si="29"/>
        <v>17364</v>
      </c>
      <c r="AA47" s="183">
        <f t="shared" si="29"/>
        <v>18067.599999999999</v>
      </c>
      <c r="AB47" s="184">
        <f t="shared" si="29"/>
        <v>18288.400000000001</v>
      </c>
      <c r="AC47" s="184">
        <f t="shared" si="29"/>
        <v>18870.2</v>
      </c>
      <c r="AD47" s="185">
        <f t="shared" si="29"/>
        <v>18761.5</v>
      </c>
      <c r="AE47" s="183">
        <f t="shared" si="29"/>
        <v>20498.800000000003</v>
      </c>
      <c r="AF47" s="184">
        <f t="shared" si="29"/>
        <v>21596.300000000003</v>
      </c>
      <c r="AG47" s="184">
        <f t="shared" si="29"/>
        <v>22086</v>
      </c>
      <c r="AH47" s="185">
        <f t="shared" si="29"/>
        <v>21870.5</v>
      </c>
      <c r="AI47" s="184">
        <f t="shared" si="29"/>
        <v>23515.800000000003</v>
      </c>
      <c r="AJ47" s="184">
        <f t="shared" si="29"/>
        <v>25748.699999999997</v>
      </c>
      <c r="AK47" s="184">
        <f>SUM(AK48:AK49)</f>
        <v>27429.3</v>
      </c>
      <c r="AL47" s="185">
        <f>SUM(AL48:AL49)</f>
        <v>26884.800000000003</v>
      </c>
      <c r="AM47" s="184">
        <f>SUM(AM48:AM49)</f>
        <v>28659.800000000003</v>
      </c>
      <c r="AN47" s="184">
        <f>SUM(AN48:AN49)</f>
        <v>29117.7</v>
      </c>
      <c r="AO47" s="184">
        <v>30118.1</v>
      </c>
      <c r="AP47" s="185">
        <v>30245.8</v>
      </c>
      <c r="AQ47" s="184">
        <v>31553.4</v>
      </c>
      <c r="AR47" s="184">
        <v>32424.5</v>
      </c>
      <c r="AS47" s="184">
        <v>33983.1</v>
      </c>
      <c r="AT47" s="185">
        <v>33161</v>
      </c>
    </row>
    <row r="48" spans="1:46" s="6" customFormat="1" ht="10.8">
      <c r="A48" s="176" t="s">
        <v>192</v>
      </c>
      <c r="B48" s="176" t="s">
        <v>168</v>
      </c>
      <c r="C48" s="186">
        <v>2902.5</v>
      </c>
      <c r="D48" s="187">
        <v>3044.2</v>
      </c>
      <c r="E48" s="187">
        <v>3151.5</v>
      </c>
      <c r="F48" s="187">
        <v>3104.3</v>
      </c>
      <c r="G48" s="186">
        <v>3716</v>
      </c>
      <c r="H48" s="187">
        <v>4006.5</v>
      </c>
      <c r="I48" s="187">
        <v>4328.8999999999996</v>
      </c>
      <c r="J48" s="188">
        <v>3931.5</v>
      </c>
      <c r="K48" s="186">
        <v>4269</v>
      </c>
      <c r="L48" s="187">
        <v>4301</v>
      </c>
      <c r="M48" s="187">
        <v>4001.9</v>
      </c>
      <c r="N48" s="188">
        <v>3504.5</v>
      </c>
      <c r="O48" s="186">
        <v>3713.8</v>
      </c>
      <c r="P48" s="187">
        <v>3930.5</v>
      </c>
      <c r="Q48" s="187">
        <v>4036.5</v>
      </c>
      <c r="R48" s="188">
        <v>3724.3</v>
      </c>
      <c r="S48" s="186">
        <v>4031.2</v>
      </c>
      <c r="T48" s="187">
        <v>4490.6000000000004</v>
      </c>
      <c r="U48" s="187">
        <v>4624</v>
      </c>
      <c r="V48" s="188">
        <v>4316.1000000000004</v>
      </c>
      <c r="W48" s="186">
        <v>5179.3</v>
      </c>
      <c r="X48" s="187">
        <v>5409.3</v>
      </c>
      <c r="Y48" s="187">
        <v>5440.7</v>
      </c>
      <c r="Z48" s="188">
        <v>4978.3</v>
      </c>
      <c r="AA48" s="186">
        <v>5169.5</v>
      </c>
      <c r="AB48" s="187">
        <v>5223</v>
      </c>
      <c r="AC48" s="187">
        <v>5612.6</v>
      </c>
      <c r="AD48" s="188">
        <v>5223</v>
      </c>
      <c r="AE48" s="186">
        <v>6031.1</v>
      </c>
      <c r="AF48" s="187">
        <v>6192.6</v>
      </c>
      <c r="AG48" s="187">
        <v>6139.8</v>
      </c>
      <c r="AH48" s="188">
        <v>5724.2</v>
      </c>
      <c r="AI48" s="187">
        <v>6596.1</v>
      </c>
      <c r="AJ48" s="187">
        <v>7085.4</v>
      </c>
      <c r="AK48" s="187">
        <v>7564.3</v>
      </c>
      <c r="AL48" s="188">
        <v>6999.9</v>
      </c>
      <c r="AM48" s="187">
        <v>7764.9</v>
      </c>
      <c r="AN48" s="187">
        <v>7844.8</v>
      </c>
      <c r="AO48" s="187">
        <v>7765.9</v>
      </c>
      <c r="AP48" s="188">
        <v>6964.2</v>
      </c>
      <c r="AQ48" s="187">
        <v>8521.7999999999993</v>
      </c>
      <c r="AR48" s="187">
        <v>8689.5</v>
      </c>
      <c r="AS48" s="187">
        <v>9116.1</v>
      </c>
      <c r="AT48" s="188">
        <v>8455.6</v>
      </c>
    </row>
    <row r="49" spans="1:46" s="6" customFormat="1" ht="10.8">
      <c r="A49" s="176" t="s">
        <v>193</v>
      </c>
      <c r="B49" s="176" t="s">
        <v>170</v>
      </c>
      <c r="C49" s="186">
        <f>4736.6+24.1-24.2-142</f>
        <v>4594.5000000000009</v>
      </c>
      <c r="D49" s="187">
        <f>5101.5+19-20.9-142.8</f>
        <v>4956.8</v>
      </c>
      <c r="E49" s="187">
        <f>5353.9+24.4-24.7-117.2</f>
        <v>5236.3999999999996</v>
      </c>
      <c r="F49" s="187">
        <f>5801.4-122.6</f>
        <v>5678.7999999999993</v>
      </c>
      <c r="G49" s="186">
        <f>6219.3-122.9</f>
        <v>6096.4000000000005</v>
      </c>
      <c r="H49" s="187">
        <f>6585.1-128.8</f>
        <v>6456.3</v>
      </c>
      <c r="I49" s="187">
        <f>7552.9-168.8</f>
        <v>7384.0999999999995</v>
      </c>
      <c r="J49" s="188">
        <f>8380.5-158.7</f>
        <v>8221.7999999999993</v>
      </c>
      <c r="K49" s="186">
        <f>8661.6-265.4</f>
        <v>8396.2000000000007</v>
      </c>
      <c r="L49" s="187">
        <f>8356.6-250</f>
        <v>8106.6</v>
      </c>
      <c r="M49" s="187">
        <f>8407.4-172.7</f>
        <v>8234.6999999999989</v>
      </c>
      <c r="N49" s="188">
        <f>8537.8-170.4</f>
        <v>8367.4</v>
      </c>
      <c r="O49" s="186">
        <f>8297.4-137.3</f>
        <v>8160.0999999999995</v>
      </c>
      <c r="P49" s="187">
        <f>8432.1-164.6</f>
        <v>8267.5</v>
      </c>
      <c r="Q49" s="187">
        <f>9055-151.8</f>
        <v>8903.2000000000007</v>
      </c>
      <c r="R49" s="188">
        <f>9126.9</f>
        <v>9126.9</v>
      </c>
      <c r="S49" s="186">
        <v>9179.3000000000011</v>
      </c>
      <c r="T49" s="187">
        <v>9523.7999999999993</v>
      </c>
      <c r="U49" s="187">
        <v>10244.299999999999</v>
      </c>
      <c r="V49" s="188">
        <v>11398</v>
      </c>
      <c r="W49" s="186">
        <v>12889</v>
      </c>
      <c r="X49" s="187">
        <v>12703.8</v>
      </c>
      <c r="Y49" s="187">
        <v>12747.199999999999</v>
      </c>
      <c r="Z49" s="188">
        <v>12385.7</v>
      </c>
      <c r="AA49" s="186">
        <v>12898.099999999999</v>
      </c>
      <c r="AB49" s="187">
        <v>13065.4</v>
      </c>
      <c r="AC49" s="187">
        <v>13257.6</v>
      </c>
      <c r="AD49" s="188">
        <v>13538.499999999998</v>
      </c>
      <c r="AE49" s="186">
        <v>14467.7</v>
      </c>
      <c r="AF49" s="187">
        <v>15403.7</v>
      </c>
      <c r="AG49" s="187">
        <v>15946.2</v>
      </c>
      <c r="AH49" s="188">
        <v>16146.300000000001</v>
      </c>
      <c r="AI49" s="187">
        <v>16919.7</v>
      </c>
      <c r="AJ49" s="187">
        <v>18663.3</v>
      </c>
      <c r="AK49" s="187">
        <v>19865</v>
      </c>
      <c r="AL49" s="188">
        <v>19884.900000000001</v>
      </c>
      <c r="AM49" s="187">
        <v>20894.900000000001</v>
      </c>
      <c r="AN49" s="187">
        <v>21272.9</v>
      </c>
      <c r="AO49" s="187">
        <v>22352.2</v>
      </c>
      <c r="AP49" s="188">
        <v>23281.599999999999</v>
      </c>
      <c r="AQ49" s="187">
        <v>23031.599999999999</v>
      </c>
      <c r="AR49" s="187">
        <v>23735</v>
      </c>
      <c r="AS49" s="187">
        <v>24867</v>
      </c>
      <c r="AT49" s="188">
        <v>24705.4</v>
      </c>
    </row>
    <row r="50" spans="1:46" s="150" customFormat="1" ht="10.8">
      <c r="A50" s="163" t="s">
        <v>123</v>
      </c>
      <c r="B50" s="163" t="s">
        <v>124</v>
      </c>
      <c r="C50" s="183">
        <v>0</v>
      </c>
      <c r="D50" s="184">
        <v>0</v>
      </c>
      <c r="E50" s="184">
        <v>0</v>
      </c>
      <c r="F50" s="184">
        <v>0</v>
      </c>
      <c r="G50" s="183">
        <v>0</v>
      </c>
      <c r="H50" s="184">
        <v>0</v>
      </c>
      <c r="I50" s="184">
        <v>0</v>
      </c>
      <c r="J50" s="185">
        <v>0</v>
      </c>
      <c r="K50" s="183">
        <v>0</v>
      </c>
      <c r="L50" s="184">
        <v>0</v>
      </c>
      <c r="M50" s="184">
        <v>0</v>
      </c>
      <c r="N50" s="185">
        <v>0</v>
      </c>
      <c r="O50" s="183">
        <v>0</v>
      </c>
      <c r="P50" s="184">
        <v>0</v>
      </c>
      <c r="Q50" s="184">
        <v>0</v>
      </c>
      <c r="R50" s="185">
        <v>0</v>
      </c>
      <c r="S50" s="183">
        <v>0</v>
      </c>
      <c r="T50" s="184">
        <v>0</v>
      </c>
      <c r="U50" s="184">
        <v>0</v>
      </c>
      <c r="V50" s="185">
        <v>0</v>
      </c>
      <c r="W50" s="183">
        <v>2898.1</v>
      </c>
      <c r="X50" s="184">
        <v>2922.1</v>
      </c>
      <c r="Y50" s="184">
        <v>3054.7999999999997</v>
      </c>
      <c r="Z50" s="185">
        <v>3132.8</v>
      </c>
      <c r="AA50" s="183">
        <v>3151.4</v>
      </c>
      <c r="AB50" s="184">
        <v>3276.4</v>
      </c>
      <c r="AC50" s="184">
        <v>3395</v>
      </c>
      <c r="AD50" s="185">
        <v>3509.9</v>
      </c>
      <c r="AE50" s="183">
        <v>3537.3</v>
      </c>
      <c r="AF50" s="184">
        <v>3886.4</v>
      </c>
      <c r="AG50" s="184">
        <v>3932.2</v>
      </c>
      <c r="AH50" s="185">
        <v>3972.8</v>
      </c>
      <c r="AI50" s="184">
        <v>3907.9</v>
      </c>
      <c r="AJ50" s="184">
        <v>4154.8</v>
      </c>
      <c r="AK50" s="184">
        <v>4270.7</v>
      </c>
      <c r="AL50" s="185">
        <v>4319.5</v>
      </c>
      <c r="AM50" s="184">
        <v>4399.3999999999996</v>
      </c>
      <c r="AN50" s="184">
        <v>4759.6000000000004</v>
      </c>
      <c r="AO50" s="184">
        <v>4772.5</v>
      </c>
      <c r="AP50" s="185">
        <v>4903.3999999999996</v>
      </c>
      <c r="AQ50" s="184">
        <v>4925.1000000000004</v>
      </c>
      <c r="AR50" s="184">
        <v>5169.5</v>
      </c>
      <c r="AS50" s="184">
        <v>5329.9</v>
      </c>
      <c r="AT50" s="185">
        <v>5476.5</v>
      </c>
    </row>
    <row r="51" spans="1:46" s="150" customFormat="1" ht="10.8">
      <c r="A51" s="163" t="s">
        <v>125</v>
      </c>
      <c r="B51" s="163" t="s">
        <v>126</v>
      </c>
      <c r="C51" s="183">
        <v>142</v>
      </c>
      <c r="D51" s="184">
        <v>142.80000000000001</v>
      </c>
      <c r="E51" s="184">
        <v>117.2</v>
      </c>
      <c r="F51" s="184">
        <v>122.6</v>
      </c>
      <c r="G51" s="183">
        <v>122.9</v>
      </c>
      <c r="H51" s="184">
        <v>128.80000000000001</v>
      </c>
      <c r="I51" s="184">
        <v>168.8</v>
      </c>
      <c r="J51" s="185">
        <v>158.69999999999999</v>
      </c>
      <c r="K51" s="183">
        <v>265.39999999999998</v>
      </c>
      <c r="L51" s="184">
        <v>250</v>
      </c>
      <c r="M51" s="184">
        <v>172.7</v>
      </c>
      <c r="N51" s="185">
        <v>170.4</v>
      </c>
      <c r="O51" s="183">
        <v>137.30000000000001</v>
      </c>
      <c r="P51" s="184">
        <v>164.6</v>
      </c>
      <c r="Q51" s="184">
        <v>151.80000000000001</v>
      </c>
      <c r="R51" s="185">
        <v>112.8</v>
      </c>
      <c r="S51" s="183">
        <v>99.4</v>
      </c>
      <c r="T51" s="184">
        <v>183</v>
      </c>
      <c r="U51" s="184">
        <v>264.3</v>
      </c>
      <c r="V51" s="185">
        <v>255.1</v>
      </c>
      <c r="W51" s="183">
        <v>1837.5</v>
      </c>
      <c r="X51" s="184">
        <v>2063.1</v>
      </c>
      <c r="Y51" s="184">
        <v>1982</v>
      </c>
      <c r="Z51" s="185">
        <v>2168.1999999999998</v>
      </c>
      <c r="AA51" s="183">
        <v>1928.4</v>
      </c>
      <c r="AB51" s="184">
        <v>2194.6000000000004</v>
      </c>
      <c r="AC51" s="184">
        <v>2408.3999999999996</v>
      </c>
      <c r="AD51" s="185">
        <v>2416.5</v>
      </c>
      <c r="AE51" s="183">
        <v>2314.5</v>
      </c>
      <c r="AF51" s="184">
        <v>2565.0000000000005</v>
      </c>
      <c r="AG51" s="184">
        <v>2811.1</v>
      </c>
      <c r="AH51" s="185">
        <v>2746</v>
      </c>
      <c r="AI51" s="184">
        <v>2484.5000000000005</v>
      </c>
      <c r="AJ51" s="184">
        <v>2733.3</v>
      </c>
      <c r="AK51" s="184">
        <v>3047.7</v>
      </c>
      <c r="AL51" s="185">
        <v>3279.8</v>
      </c>
      <c r="AM51" s="184">
        <v>3297.3</v>
      </c>
      <c r="AN51" s="184">
        <v>3916.7</v>
      </c>
      <c r="AO51" s="184">
        <v>4163.3999999999996</v>
      </c>
      <c r="AP51" s="185">
        <v>4208.5</v>
      </c>
      <c r="AQ51" s="184">
        <v>4401.3</v>
      </c>
      <c r="AR51" s="184">
        <v>4497.8999999999996</v>
      </c>
      <c r="AS51" s="184">
        <v>4353.7</v>
      </c>
      <c r="AT51" s="185">
        <v>4239.7</v>
      </c>
    </row>
    <row r="52" spans="1:46" s="150" customFormat="1" ht="10.8">
      <c r="A52" s="163" t="s">
        <v>194</v>
      </c>
      <c r="B52" s="189" t="s">
        <v>195</v>
      </c>
      <c r="C52" s="183">
        <v>108.5</v>
      </c>
      <c r="D52" s="184">
        <f>101.4</f>
        <v>101.4</v>
      </c>
      <c r="E52" s="184">
        <v>96.6</v>
      </c>
      <c r="F52" s="184">
        <v>13.5</v>
      </c>
      <c r="G52" s="183">
        <v>13.5</v>
      </c>
      <c r="H52" s="184">
        <v>13.5</v>
      </c>
      <c r="I52" s="184">
        <v>13.5</v>
      </c>
      <c r="J52" s="185">
        <v>559.4</v>
      </c>
      <c r="K52" s="183">
        <v>552.29999999999995</v>
      </c>
      <c r="L52" s="184">
        <v>534</v>
      </c>
      <c r="M52" s="184">
        <v>440.5</v>
      </c>
      <c r="N52" s="185">
        <v>306.5</v>
      </c>
      <c r="O52" s="183">
        <v>304.3</v>
      </c>
      <c r="P52" s="184">
        <v>306.7</v>
      </c>
      <c r="Q52" s="184">
        <v>566.5</v>
      </c>
      <c r="R52" s="185">
        <v>646.6</v>
      </c>
      <c r="S52" s="183">
        <v>584.79999999999995</v>
      </c>
      <c r="T52" s="184">
        <v>537.5</v>
      </c>
      <c r="U52" s="184">
        <v>800.8</v>
      </c>
      <c r="V52" s="185">
        <v>1446.1</v>
      </c>
      <c r="W52" s="183">
        <v>1493</v>
      </c>
      <c r="X52" s="184">
        <v>1289.9000000000001</v>
      </c>
      <c r="Y52" s="184">
        <v>1472.5</v>
      </c>
      <c r="Z52" s="185">
        <v>1376</v>
      </c>
      <c r="AA52" s="183">
        <v>1042.3</v>
      </c>
      <c r="AB52" s="184">
        <v>1238.5</v>
      </c>
      <c r="AC52" s="184">
        <v>1302.5999999999999</v>
      </c>
      <c r="AD52" s="185">
        <v>1244.8</v>
      </c>
      <c r="AE52" s="183">
        <v>1269.5</v>
      </c>
      <c r="AF52" s="184">
        <v>1276.7</v>
      </c>
      <c r="AG52" s="184">
        <v>1840</v>
      </c>
      <c r="AH52" s="185">
        <v>1664.1</v>
      </c>
      <c r="AI52" s="184">
        <v>1695.9</v>
      </c>
      <c r="AJ52" s="184">
        <v>1679.3</v>
      </c>
      <c r="AK52" s="184">
        <v>1839</v>
      </c>
      <c r="AL52" s="185">
        <v>1502</v>
      </c>
      <c r="AM52" s="184">
        <v>1287.8</v>
      </c>
      <c r="AN52" s="184">
        <v>887.6</v>
      </c>
      <c r="AO52" s="184">
        <v>939.8</v>
      </c>
      <c r="AP52" s="185">
        <v>956.3</v>
      </c>
      <c r="AQ52" s="184">
        <v>889.4</v>
      </c>
      <c r="AR52" s="184">
        <v>752.6</v>
      </c>
      <c r="AS52" s="184">
        <v>765.2</v>
      </c>
      <c r="AT52" s="185">
        <v>762.5</v>
      </c>
    </row>
    <row r="53" spans="1:46" s="150" customFormat="1" ht="10.8">
      <c r="A53" s="163" t="s">
        <v>196</v>
      </c>
      <c r="B53" s="163" t="s">
        <v>134</v>
      </c>
      <c r="C53" s="183">
        <v>13.199999999999989</v>
      </c>
      <c r="D53" s="184">
        <v>34.200000000000003</v>
      </c>
      <c r="E53" s="184">
        <v>32.700000000000003</v>
      </c>
      <c r="F53" s="184">
        <v>43.6</v>
      </c>
      <c r="G53" s="183">
        <v>64</v>
      </c>
      <c r="H53" s="184">
        <v>55.4</v>
      </c>
      <c r="I53" s="184">
        <v>70.600000000000009</v>
      </c>
      <c r="J53" s="185">
        <v>36.700000000000003</v>
      </c>
      <c r="K53" s="183">
        <v>51.1</v>
      </c>
      <c r="L53" s="184">
        <v>42.599999999999994</v>
      </c>
      <c r="M53" s="184">
        <v>24</v>
      </c>
      <c r="N53" s="185">
        <v>72.7</v>
      </c>
      <c r="O53" s="183">
        <v>38.200000000000003</v>
      </c>
      <c r="P53" s="184">
        <v>57.5</v>
      </c>
      <c r="Q53" s="184">
        <v>25</v>
      </c>
      <c r="R53" s="185">
        <v>63.9</v>
      </c>
      <c r="S53" s="183">
        <v>38.599999999999994</v>
      </c>
      <c r="T53" s="184">
        <v>57.300000000000004</v>
      </c>
      <c r="U53" s="184">
        <v>38</v>
      </c>
      <c r="V53" s="185">
        <v>17.100000000000001</v>
      </c>
      <c r="W53" s="183">
        <v>15.7</v>
      </c>
      <c r="X53" s="184">
        <v>14.4</v>
      </c>
      <c r="Y53" s="184">
        <v>43.599999999999994</v>
      </c>
      <c r="Z53" s="185">
        <v>11.9</v>
      </c>
      <c r="AA53" s="183">
        <v>13.8</v>
      </c>
      <c r="AB53" s="184">
        <v>28.5</v>
      </c>
      <c r="AC53" s="184">
        <v>17.200000000000003</v>
      </c>
      <c r="AD53" s="185">
        <v>18.299999999999997</v>
      </c>
      <c r="AE53" s="183">
        <v>16.3</v>
      </c>
      <c r="AF53" s="184">
        <v>20.9</v>
      </c>
      <c r="AG53" s="184">
        <v>233</v>
      </c>
      <c r="AH53" s="185">
        <v>14.600000000000001</v>
      </c>
      <c r="AI53" s="184">
        <v>26.400000000000002</v>
      </c>
      <c r="AJ53" s="184">
        <v>11.1</v>
      </c>
      <c r="AK53" s="184">
        <v>12.5</v>
      </c>
      <c r="AL53" s="185">
        <v>12.2</v>
      </c>
      <c r="AM53" s="184">
        <v>13.1</v>
      </c>
      <c r="AN53" s="184">
        <v>5.3</v>
      </c>
      <c r="AO53" s="184">
        <v>5.6</v>
      </c>
      <c r="AP53" s="185">
        <v>7</v>
      </c>
      <c r="AQ53" s="184">
        <v>9.9</v>
      </c>
      <c r="AR53" s="184">
        <v>7.1</v>
      </c>
      <c r="AS53" s="184">
        <v>11.4</v>
      </c>
      <c r="AT53" s="185">
        <v>11.4</v>
      </c>
    </row>
    <row r="54" spans="1:46" s="164" customFormat="1" ht="10.8">
      <c r="A54" s="177" t="s">
        <v>197</v>
      </c>
      <c r="B54" s="177" t="s">
        <v>198</v>
      </c>
      <c r="C54" s="180">
        <f>SUM(C55,C58:C60)</f>
        <v>3807.8999999999996</v>
      </c>
      <c r="D54" s="181">
        <f t="shared" ref="D54:AT54" si="30">SUM(D55,D58:D60)</f>
        <v>4182.9000000000005</v>
      </c>
      <c r="E54" s="181">
        <f t="shared" si="30"/>
        <v>4627.8999999999996</v>
      </c>
      <c r="F54" s="181">
        <f t="shared" si="30"/>
        <v>4937.8999999999996</v>
      </c>
      <c r="G54" s="180">
        <f t="shared" si="30"/>
        <v>5373.5</v>
      </c>
      <c r="H54" s="181">
        <f t="shared" si="30"/>
        <v>5931.5</v>
      </c>
      <c r="I54" s="181">
        <f t="shared" si="30"/>
        <v>6603.6</v>
      </c>
      <c r="J54" s="182">
        <f t="shared" si="30"/>
        <v>7446.4999999999991</v>
      </c>
      <c r="K54" s="180">
        <f t="shared" si="30"/>
        <v>8253.1</v>
      </c>
      <c r="L54" s="181">
        <f t="shared" si="30"/>
        <v>8827.9</v>
      </c>
      <c r="M54" s="181">
        <f t="shared" si="30"/>
        <v>9336.9</v>
      </c>
      <c r="N54" s="182">
        <f t="shared" si="30"/>
        <v>9822.7999999999993</v>
      </c>
      <c r="O54" s="180">
        <f t="shared" si="30"/>
        <v>10282.6</v>
      </c>
      <c r="P54" s="181">
        <f t="shared" si="30"/>
        <v>11110.7</v>
      </c>
      <c r="Q54" s="181">
        <f t="shared" si="30"/>
        <v>11647.300000000001</v>
      </c>
      <c r="R54" s="182">
        <f t="shared" si="30"/>
        <v>12631.3</v>
      </c>
      <c r="S54" s="180">
        <f t="shared" si="30"/>
        <v>13278</v>
      </c>
      <c r="T54" s="181">
        <f t="shared" si="30"/>
        <v>14035</v>
      </c>
      <c r="U54" s="181">
        <f t="shared" si="30"/>
        <v>14804.8</v>
      </c>
      <c r="V54" s="182">
        <f t="shared" si="30"/>
        <v>15315.699999999999</v>
      </c>
      <c r="W54" s="180">
        <f t="shared" si="30"/>
        <v>15619.9</v>
      </c>
      <c r="X54" s="181">
        <f t="shared" si="30"/>
        <v>16218.9</v>
      </c>
      <c r="Y54" s="181">
        <f t="shared" si="30"/>
        <v>16721.5</v>
      </c>
      <c r="Z54" s="182">
        <f t="shared" si="30"/>
        <v>17019.899999999998</v>
      </c>
      <c r="AA54" s="180">
        <f t="shared" si="30"/>
        <v>17329.699999999997</v>
      </c>
      <c r="AB54" s="181">
        <f t="shared" si="30"/>
        <v>18116.800000000003</v>
      </c>
      <c r="AC54" s="181">
        <f t="shared" si="30"/>
        <v>18766</v>
      </c>
      <c r="AD54" s="182">
        <f t="shared" si="30"/>
        <v>19015.899999999998</v>
      </c>
      <c r="AE54" s="180">
        <f t="shared" si="30"/>
        <v>19748.599999999999</v>
      </c>
      <c r="AF54" s="181">
        <f t="shared" si="30"/>
        <v>20601.800000000003</v>
      </c>
      <c r="AG54" s="181">
        <f t="shared" si="30"/>
        <v>21792.899999999998</v>
      </c>
      <c r="AH54" s="182">
        <f t="shared" si="30"/>
        <v>22916.199999999997</v>
      </c>
      <c r="AI54" s="181">
        <f t="shared" si="30"/>
        <v>24274.899999999998</v>
      </c>
      <c r="AJ54" s="181">
        <f t="shared" si="30"/>
        <v>25801.7</v>
      </c>
      <c r="AK54" s="181">
        <f t="shared" si="30"/>
        <v>26823</v>
      </c>
      <c r="AL54" s="182">
        <f t="shared" si="30"/>
        <v>27832</v>
      </c>
      <c r="AM54" s="181">
        <f t="shared" si="30"/>
        <v>29226.9</v>
      </c>
      <c r="AN54" s="181">
        <f t="shared" si="30"/>
        <v>31110.9</v>
      </c>
      <c r="AO54" s="181">
        <f t="shared" si="30"/>
        <v>32297.799999999996</v>
      </c>
      <c r="AP54" s="182">
        <f t="shared" si="30"/>
        <v>33450</v>
      </c>
      <c r="AQ54" s="181">
        <f t="shared" si="30"/>
        <v>34675.199999999997</v>
      </c>
      <c r="AR54" s="181">
        <f t="shared" si="30"/>
        <v>36236.000000000007</v>
      </c>
      <c r="AS54" s="181">
        <f t="shared" si="30"/>
        <v>38046.5</v>
      </c>
      <c r="AT54" s="181">
        <f t="shared" si="30"/>
        <v>39755.5</v>
      </c>
    </row>
    <row r="55" spans="1:46" s="150" customFormat="1" ht="10.8">
      <c r="A55" s="163" t="s">
        <v>190</v>
      </c>
      <c r="B55" s="163" t="s">
        <v>191</v>
      </c>
      <c r="C55" s="183">
        <f>SUM(C56:C57)</f>
        <v>3801.8999999999996</v>
      </c>
      <c r="D55" s="184">
        <f t="shared" ref="D55:AJ55" si="31">SUM(D56:D57)</f>
        <v>4176.4000000000005</v>
      </c>
      <c r="E55" s="184">
        <f t="shared" si="31"/>
        <v>4618.5999999999995</v>
      </c>
      <c r="F55" s="184">
        <f t="shared" si="31"/>
        <v>4930.8999999999996</v>
      </c>
      <c r="G55" s="183">
        <f t="shared" si="31"/>
        <v>5364.5</v>
      </c>
      <c r="H55" s="184">
        <f t="shared" si="31"/>
        <v>5925.4</v>
      </c>
      <c r="I55" s="184">
        <f t="shared" si="31"/>
        <v>6595.5</v>
      </c>
      <c r="J55" s="185">
        <f t="shared" si="31"/>
        <v>7441.1999999999989</v>
      </c>
      <c r="K55" s="183">
        <f t="shared" si="31"/>
        <v>8247.7000000000007</v>
      </c>
      <c r="L55" s="184">
        <f t="shared" si="31"/>
        <v>8823.1</v>
      </c>
      <c r="M55" s="184">
        <f t="shared" si="31"/>
        <v>9331.1</v>
      </c>
      <c r="N55" s="185">
        <f t="shared" si="31"/>
        <v>9817.5999999999985</v>
      </c>
      <c r="O55" s="183">
        <f t="shared" si="31"/>
        <v>10275.300000000001</v>
      </c>
      <c r="P55" s="184">
        <f t="shared" si="31"/>
        <v>11101.800000000001</v>
      </c>
      <c r="Q55" s="184">
        <f t="shared" si="31"/>
        <v>11637.7</v>
      </c>
      <c r="R55" s="185">
        <f t="shared" si="31"/>
        <v>12623.199999999999</v>
      </c>
      <c r="S55" s="183">
        <f t="shared" si="31"/>
        <v>13270.4</v>
      </c>
      <c r="T55" s="184">
        <f t="shared" si="31"/>
        <v>14019.5</v>
      </c>
      <c r="U55" s="184">
        <f t="shared" si="31"/>
        <v>14786.3</v>
      </c>
      <c r="V55" s="185">
        <f t="shared" si="31"/>
        <v>15297.199999999999</v>
      </c>
      <c r="W55" s="183">
        <f t="shared" si="31"/>
        <v>15567.4</v>
      </c>
      <c r="X55" s="184">
        <f t="shared" si="31"/>
        <v>16148.6</v>
      </c>
      <c r="Y55" s="184">
        <f t="shared" si="31"/>
        <v>16632.399999999998</v>
      </c>
      <c r="Z55" s="185">
        <f t="shared" si="31"/>
        <v>16910.099999999999</v>
      </c>
      <c r="AA55" s="183">
        <f t="shared" si="31"/>
        <v>17219</v>
      </c>
      <c r="AB55" s="184">
        <f t="shared" si="31"/>
        <v>17985.400000000001</v>
      </c>
      <c r="AC55" s="184">
        <f t="shared" si="31"/>
        <v>18601.900000000001</v>
      </c>
      <c r="AD55" s="185">
        <f t="shared" si="31"/>
        <v>18842.599999999999</v>
      </c>
      <c r="AE55" s="183">
        <f t="shared" si="31"/>
        <v>19410</v>
      </c>
      <c r="AF55" s="184">
        <f t="shared" si="31"/>
        <v>20220.600000000002</v>
      </c>
      <c r="AG55" s="184">
        <f t="shared" si="31"/>
        <v>21377.399999999998</v>
      </c>
      <c r="AH55" s="185">
        <f t="shared" si="31"/>
        <v>22441</v>
      </c>
      <c r="AI55" s="184">
        <f t="shared" si="31"/>
        <v>23772.999999999996</v>
      </c>
      <c r="AJ55" s="184">
        <f t="shared" si="31"/>
        <v>25241.800000000003</v>
      </c>
      <c r="AK55" s="184">
        <f>SUM(AK56:AK57)</f>
        <v>26218.799999999999</v>
      </c>
      <c r="AL55" s="185">
        <f>SUM(AL56:AL57)</f>
        <v>27173.5</v>
      </c>
      <c r="AM55" s="184">
        <f>SUM(AM56:AM57)</f>
        <v>28514.799999999999</v>
      </c>
      <c r="AN55" s="184">
        <f>SUM(AN56:AN57)</f>
        <v>30328.1</v>
      </c>
      <c r="AO55" s="184">
        <v>31464.6</v>
      </c>
      <c r="AP55" s="185">
        <v>32513.5</v>
      </c>
      <c r="AQ55" s="184">
        <v>33747</v>
      </c>
      <c r="AR55" s="184">
        <v>35233.300000000003</v>
      </c>
      <c r="AS55" s="184">
        <v>36767.699999999997</v>
      </c>
      <c r="AT55" s="185">
        <v>38430.300000000003</v>
      </c>
    </row>
    <row r="56" spans="1:46" s="6" customFormat="1" ht="10.8">
      <c r="A56" s="176" t="s">
        <v>192</v>
      </c>
      <c r="B56" s="176" t="s">
        <v>168</v>
      </c>
      <c r="C56" s="186">
        <v>951.1</v>
      </c>
      <c r="D56" s="187">
        <v>997.6</v>
      </c>
      <c r="E56" s="187">
        <v>1014.1</v>
      </c>
      <c r="F56" s="187">
        <v>968.5</v>
      </c>
      <c r="G56" s="186">
        <v>1028.5</v>
      </c>
      <c r="H56" s="187">
        <v>1102.8</v>
      </c>
      <c r="I56" s="187">
        <v>1144.9000000000001</v>
      </c>
      <c r="J56" s="188">
        <v>1091.5999999999999</v>
      </c>
      <c r="K56" s="186">
        <v>1187.5</v>
      </c>
      <c r="L56" s="187">
        <v>1238.7</v>
      </c>
      <c r="M56" s="187">
        <v>1266.0999999999999</v>
      </c>
      <c r="N56" s="188">
        <v>1227</v>
      </c>
      <c r="O56" s="186">
        <v>1316.1</v>
      </c>
      <c r="P56" s="187">
        <v>1308</v>
      </c>
      <c r="Q56" s="187">
        <v>1354.2</v>
      </c>
      <c r="R56" s="188">
        <v>1255.8</v>
      </c>
      <c r="S56" s="186">
        <v>1341.8</v>
      </c>
      <c r="T56" s="187">
        <v>1356.8</v>
      </c>
      <c r="U56" s="187">
        <v>1341.5</v>
      </c>
      <c r="V56" s="188">
        <v>1311.3</v>
      </c>
      <c r="W56" s="186">
        <v>1367.8</v>
      </c>
      <c r="X56" s="187">
        <v>1410.3999999999999</v>
      </c>
      <c r="Y56" s="187">
        <v>1401.6</v>
      </c>
      <c r="Z56" s="188">
        <v>1379</v>
      </c>
      <c r="AA56" s="186">
        <v>1380.6</v>
      </c>
      <c r="AB56" s="187">
        <v>1414.4</v>
      </c>
      <c r="AC56" s="187">
        <v>1456.9</v>
      </c>
      <c r="AD56" s="188">
        <v>1435.5</v>
      </c>
      <c r="AE56" s="186">
        <v>1511.7</v>
      </c>
      <c r="AF56" s="187">
        <v>1549.4</v>
      </c>
      <c r="AG56" s="187">
        <v>1569.1999999999998</v>
      </c>
      <c r="AH56" s="188">
        <v>1542.6</v>
      </c>
      <c r="AI56" s="187">
        <v>1620.6</v>
      </c>
      <c r="AJ56" s="187">
        <v>1670.4</v>
      </c>
      <c r="AK56" s="187">
        <v>1682.6</v>
      </c>
      <c r="AL56" s="188">
        <v>1632.9</v>
      </c>
      <c r="AM56" s="187">
        <v>1753.6</v>
      </c>
      <c r="AN56" s="187">
        <v>1767</v>
      </c>
      <c r="AO56" s="187">
        <v>1792.9</v>
      </c>
      <c r="AP56" s="188">
        <v>1762.7</v>
      </c>
      <c r="AQ56" s="187">
        <v>1855</v>
      </c>
      <c r="AR56" s="187">
        <v>1925.8</v>
      </c>
      <c r="AS56" s="187">
        <v>2016</v>
      </c>
      <c r="AT56" s="188">
        <v>1948.8</v>
      </c>
    </row>
    <row r="57" spans="1:46" s="6" customFormat="1" ht="10.8">
      <c r="A57" s="176" t="s">
        <v>193</v>
      </c>
      <c r="B57" s="176" t="s">
        <v>170</v>
      </c>
      <c r="C57" s="186">
        <f>2832.6+24.2-6</f>
        <v>2850.7999999999997</v>
      </c>
      <c r="D57" s="187">
        <f>3164.4+20.9-6.5</f>
        <v>3178.8</v>
      </c>
      <c r="E57" s="187">
        <f>3589.1+24.7-9.3</f>
        <v>3604.4999999999995</v>
      </c>
      <c r="F57" s="187">
        <f>3969.4-7</f>
        <v>3962.4</v>
      </c>
      <c r="G57" s="186">
        <f>4345-9</f>
        <v>4336</v>
      </c>
      <c r="H57" s="187">
        <f>4828.7-6.1</f>
        <v>4822.5999999999995</v>
      </c>
      <c r="I57" s="187">
        <f>5458.7-8.1</f>
        <v>5450.5999999999995</v>
      </c>
      <c r="J57" s="188">
        <f>6354.9-5.3</f>
        <v>6349.5999999999995</v>
      </c>
      <c r="K57" s="186">
        <f>7065.6-5.4</f>
        <v>7060.2000000000007</v>
      </c>
      <c r="L57" s="187">
        <f>7589.2-4.8</f>
        <v>7584.4</v>
      </c>
      <c r="M57" s="187">
        <f>8070.8-5.8</f>
        <v>8065</v>
      </c>
      <c r="N57" s="188">
        <f>8595.8-5.2</f>
        <v>8590.5999999999985</v>
      </c>
      <c r="O57" s="186">
        <f>8966.5-7.3</f>
        <v>8959.2000000000007</v>
      </c>
      <c r="P57" s="187">
        <f>9802.2-8.4</f>
        <v>9793.8000000000011</v>
      </c>
      <c r="Q57" s="187">
        <f>10292.6-9.1</f>
        <v>10283.5</v>
      </c>
      <c r="R57" s="188">
        <v>11367.4</v>
      </c>
      <c r="S57" s="186">
        <v>11928.6</v>
      </c>
      <c r="T57" s="187">
        <v>12662.7</v>
      </c>
      <c r="U57" s="187">
        <v>13444.8</v>
      </c>
      <c r="V57" s="188">
        <v>13985.9</v>
      </c>
      <c r="W57" s="186">
        <v>14199.6</v>
      </c>
      <c r="X57" s="187">
        <v>14738.2</v>
      </c>
      <c r="Y57" s="187">
        <v>15230.8</v>
      </c>
      <c r="Z57" s="188">
        <v>15531.1</v>
      </c>
      <c r="AA57" s="186">
        <v>15838.4</v>
      </c>
      <c r="AB57" s="187">
        <v>16571</v>
      </c>
      <c r="AC57" s="187">
        <v>17145</v>
      </c>
      <c r="AD57" s="188">
        <v>17407.099999999999</v>
      </c>
      <c r="AE57" s="186">
        <v>17898.3</v>
      </c>
      <c r="AF57" s="187">
        <v>18671.2</v>
      </c>
      <c r="AG57" s="187">
        <v>19808.199999999997</v>
      </c>
      <c r="AH57" s="188">
        <v>20898.400000000001</v>
      </c>
      <c r="AI57" s="187">
        <v>22152.399999999998</v>
      </c>
      <c r="AJ57" s="187">
        <v>23571.4</v>
      </c>
      <c r="AK57" s="187">
        <v>24536.2</v>
      </c>
      <c r="AL57" s="188">
        <v>25540.6</v>
      </c>
      <c r="AM57" s="187">
        <v>26761.200000000001</v>
      </c>
      <c r="AN57" s="187">
        <v>28561.1</v>
      </c>
      <c r="AO57" s="187">
        <v>29671.7</v>
      </c>
      <c r="AP57" s="188">
        <v>30750.799999999999</v>
      </c>
      <c r="AQ57" s="187">
        <v>31892</v>
      </c>
      <c r="AR57" s="187">
        <v>33307.5</v>
      </c>
      <c r="AS57" s="187">
        <v>34751.699999999997</v>
      </c>
      <c r="AT57" s="188">
        <v>36481.5</v>
      </c>
    </row>
    <row r="58" spans="1:46" s="150" customFormat="1" ht="10.8">
      <c r="A58" s="163" t="s">
        <v>123</v>
      </c>
      <c r="B58" s="163" t="s">
        <v>124</v>
      </c>
      <c r="C58" s="183">
        <v>0</v>
      </c>
      <c r="D58" s="184">
        <v>0</v>
      </c>
      <c r="E58" s="184">
        <v>0</v>
      </c>
      <c r="F58" s="184">
        <v>0</v>
      </c>
      <c r="G58" s="183">
        <v>0</v>
      </c>
      <c r="H58" s="184">
        <v>0</v>
      </c>
      <c r="I58" s="184">
        <v>0</v>
      </c>
      <c r="J58" s="185">
        <v>0</v>
      </c>
      <c r="K58" s="183">
        <v>0</v>
      </c>
      <c r="L58" s="184">
        <v>0</v>
      </c>
      <c r="M58" s="184">
        <v>0</v>
      </c>
      <c r="N58" s="185">
        <v>0</v>
      </c>
      <c r="O58" s="183">
        <v>0</v>
      </c>
      <c r="P58" s="184">
        <v>0</v>
      </c>
      <c r="Q58" s="184">
        <v>0</v>
      </c>
      <c r="R58" s="185">
        <v>0</v>
      </c>
      <c r="S58" s="183">
        <v>0</v>
      </c>
      <c r="T58" s="184">
        <v>0</v>
      </c>
      <c r="U58" s="184">
        <v>0</v>
      </c>
      <c r="V58" s="185">
        <v>0</v>
      </c>
      <c r="W58" s="183">
        <v>32.6</v>
      </c>
      <c r="X58" s="184">
        <v>51.5</v>
      </c>
      <c r="Y58" s="184">
        <v>68.900000000000006</v>
      </c>
      <c r="Z58" s="185">
        <v>87.9</v>
      </c>
      <c r="AA58" s="183">
        <v>88.1</v>
      </c>
      <c r="AB58" s="184">
        <v>105.4</v>
      </c>
      <c r="AC58" s="184">
        <v>131</v>
      </c>
      <c r="AD58" s="185">
        <v>140.19999999999999</v>
      </c>
      <c r="AE58" s="183">
        <v>299</v>
      </c>
      <c r="AF58" s="184">
        <v>339.8</v>
      </c>
      <c r="AG58" s="184">
        <v>375.1</v>
      </c>
      <c r="AH58" s="185">
        <v>424.1</v>
      </c>
      <c r="AI58" s="184">
        <v>444.5</v>
      </c>
      <c r="AJ58" s="184">
        <v>499.6</v>
      </c>
      <c r="AK58" s="184">
        <v>546.29999999999995</v>
      </c>
      <c r="AL58" s="185">
        <v>601.9</v>
      </c>
      <c r="AM58" s="184">
        <v>666.4</v>
      </c>
      <c r="AN58" s="184">
        <v>732.9</v>
      </c>
      <c r="AO58" s="184">
        <v>782.6</v>
      </c>
      <c r="AP58" s="185">
        <v>856.5</v>
      </c>
      <c r="AQ58" s="184">
        <v>888.5</v>
      </c>
      <c r="AR58" s="184">
        <v>956.4</v>
      </c>
      <c r="AS58" s="184">
        <v>1025.8</v>
      </c>
      <c r="AT58" s="185">
        <v>1116.2</v>
      </c>
    </row>
    <row r="59" spans="1:46" s="150" customFormat="1" ht="10.8">
      <c r="A59" s="163" t="s">
        <v>125</v>
      </c>
      <c r="B59" s="163" t="s">
        <v>126</v>
      </c>
      <c r="C59" s="183">
        <v>6</v>
      </c>
      <c r="D59" s="184">
        <v>6.5</v>
      </c>
      <c r="E59" s="184">
        <v>9.3000000000000007</v>
      </c>
      <c r="F59" s="184">
        <v>7</v>
      </c>
      <c r="G59" s="183">
        <v>9</v>
      </c>
      <c r="H59" s="184">
        <v>6.1</v>
      </c>
      <c r="I59" s="184">
        <v>8.1</v>
      </c>
      <c r="J59" s="185">
        <v>5.3</v>
      </c>
      <c r="K59" s="183">
        <v>5.4</v>
      </c>
      <c r="L59" s="184">
        <v>4.8</v>
      </c>
      <c r="M59" s="184">
        <v>5.8</v>
      </c>
      <c r="N59" s="185">
        <v>5.2</v>
      </c>
      <c r="O59" s="183">
        <v>7.3</v>
      </c>
      <c r="P59" s="184">
        <v>8.4</v>
      </c>
      <c r="Q59" s="184">
        <v>9.1</v>
      </c>
      <c r="R59" s="185">
        <v>7.6</v>
      </c>
      <c r="S59" s="183">
        <v>7.1</v>
      </c>
      <c r="T59" s="184">
        <v>15</v>
      </c>
      <c r="U59" s="184">
        <v>18</v>
      </c>
      <c r="V59" s="185">
        <v>18</v>
      </c>
      <c r="W59" s="183">
        <v>16.899999999999999</v>
      </c>
      <c r="X59" s="184">
        <v>18.3</v>
      </c>
      <c r="Y59" s="184">
        <v>19</v>
      </c>
      <c r="Z59" s="185">
        <v>20.6</v>
      </c>
      <c r="AA59" s="183">
        <v>21.8</v>
      </c>
      <c r="AB59" s="184">
        <v>25.5</v>
      </c>
      <c r="AC59" s="184">
        <v>32.6</v>
      </c>
      <c r="AD59" s="185">
        <v>32.6</v>
      </c>
      <c r="AE59" s="183">
        <v>39.1</v>
      </c>
      <c r="AF59" s="184">
        <v>40.900000000000006</v>
      </c>
      <c r="AG59" s="184">
        <v>39.9</v>
      </c>
      <c r="AH59" s="185">
        <v>50.6</v>
      </c>
      <c r="AI59" s="184">
        <v>56.9</v>
      </c>
      <c r="AJ59" s="184">
        <v>59.8</v>
      </c>
      <c r="AK59" s="184">
        <v>57.4</v>
      </c>
      <c r="AL59" s="185">
        <v>56.1</v>
      </c>
      <c r="AM59" s="184">
        <v>45.2</v>
      </c>
      <c r="AN59" s="184">
        <v>49.4</v>
      </c>
      <c r="AO59" s="184">
        <v>50.1</v>
      </c>
      <c r="AP59" s="185">
        <v>80</v>
      </c>
      <c r="AQ59" s="184">
        <v>39.700000000000003</v>
      </c>
      <c r="AR59" s="184">
        <v>46.3</v>
      </c>
      <c r="AS59" s="184">
        <v>253</v>
      </c>
      <c r="AT59" s="185">
        <v>209</v>
      </c>
    </row>
    <row r="60" spans="1:46" s="150" customFormat="1" ht="10.8">
      <c r="A60" s="163" t="s">
        <v>196</v>
      </c>
      <c r="B60" s="163" t="s">
        <v>134</v>
      </c>
      <c r="C60" s="183">
        <v>0</v>
      </c>
      <c r="D60" s="184">
        <v>0</v>
      </c>
      <c r="E60" s="184">
        <v>0</v>
      </c>
      <c r="F60" s="184">
        <v>0</v>
      </c>
      <c r="G60" s="183">
        <v>0</v>
      </c>
      <c r="H60" s="184">
        <v>0</v>
      </c>
      <c r="I60" s="184">
        <v>0</v>
      </c>
      <c r="J60" s="185">
        <v>0</v>
      </c>
      <c r="K60" s="183">
        <v>0</v>
      </c>
      <c r="L60" s="184">
        <v>0</v>
      </c>
      <c r="M60" s="184">
        <v>0</v>
      </c>
      <c r="N60" s="185">
        <v>0</v>
      </c>
      <c r="O60" s="183">
        <v>0</v>
      </c>
      <c r="P60" s="184">
        <v>0.5</v>
      </c>
      <c r="Q60" s="184">
        <v>0.5</v>
      </c>
      <c r="R60" s="185">
        <v>0.5</v>
      </c>
      <c r="S60" s="183">
        <v>0.5</v>
      </c>
      <c r="T60" s="184">
        <v>0.5</v>
      </c>
      <c r="U60" s="184">
        <v>0.5</v>
      </c>
      <c r="V60" s="185">
        <v>0.5</v>
      </c>
      <c r="W60" s="183">
        <v>3</v>
      </c>
      <c r="X60" s="184">
        <v>0.5</v>
      </c>
      <c r="Y60" s="184">
        <v>1.2</v>
      </c>
      <c r="Z60" s="185">
        <v>1.3</v>
      </c>
      <c r="AA60" s="183">
        <v>0.8</v>
      </c>
      <c r="AB60" s="184">
        <v>0.5</v>
      </c>
      <c r="AC60" s="184">
        <v>0.5</v>
      </c>
      <c r="AD60" s="185">
        <v>0.5</v>
      </c>
      <c r="AE60" s="183">
        <v>0.5</v>
      </c>
      <c r="AF60" s="184">
        <v>0.5</v>
      </c>
      <c r="AG60" s="184">
        <v>0.5</v>
      </c>
      <c r="AH60" s="185">
        <v>0.5</v>
      </c>
      <c r="AI60" s="184">
        <v>0.5</v>
      </c>
      <c r="AJ60" s="184">
        <v>0.5</v>
      </c>
      <c r="AK60" s="184">
        <v>0.5</v>
      </c>
      <c r="AL60" s="185">
        <v>0.5</v>
      </c>
      <c r="AM60" s="184">
        <v>0.5</v>
      </c>
      <c r="AN60" s="184">
        <v>0.5</v>
      </c>
      <c r="AO60" s="184">
        <v>0.5</v>
      </c>
      <c r="AP60" s="185">
        <v>0</v>
      </c>
      <c r="AQ60" s="184">
        <v>0</v>
      </c>
      <c r="AR60" s="184">
        <v>0</v>
      </c>
      <c r="AS60" s="184">
        <v>0</v>
      </c>
      <c r="AT60" s="185">
        <v>0</v>
      </c>
    </row>
    <row r="61" spans="1:46" s="150" customFormat="1" ht="10.8">
      <c r="A61" s="177" t="s">
        <v>179</v>
      </c>
      <c r="B61" s="177" t="s">
        <v>136</v>
      </c>
      <c r="C61" s="180">
        <f>SUM(C46,C54)</f>
        <v>11568.6</v>
      </c>
      <c r="D61" s="181">
        <f t="shared" ref="D61:AT61" si="32">SUM(D46,D54)</f>
        <v>12462.300000000003</v>
      </c>
      <c r="E61" s="181">
        <f t="shared" si="32"/>
        <v>13262.300000000001</v>
      </c>
      <c r="F61" s="181">
        <f t="shared" si="32"/>
        <v>13900.699999999999</v>
      </c>
      <c r="G61" s="180">
        <f t="shared" si="32"/>
        <v>15386.300000000001</v>
      </c>
      <c r="H61" s="181">
        <f t="shared" si="32"/>
        <v>16592</v>
      </c>
      <c r="I61" s="181">
        <f t="shared" si="32"/>
        <v>18569.5</v>
      </c>
      <c r="J61" s="182">
        <f t="shared" si="32"/>
        <v>20354.599999999999</v>
      </c>
      <c r="K61" s="180">
        <f t="shared" si="32"/>
        <v>21787.1</v>
      </c>
      <c r="L61" s="181">
        <f t="shared" si="32"/>
        <v>22062.1</v>
      </c>
      <c r="M61" s="181">
        <f t="shared" si="32"/>
        <v>22210.699999999997</v>
      </c>
      <c r="N61" s="182">
        <f t="shared" si="32"/>
        <v>22244.3</v>
      </c>
      <c r="O61" s="180">
        <f t="shared" si="32"/>
        <v>22636.3</v>
      </c>
      <c r="P61" s="181">
        <f t="shared" si="32"/>
        <v>23837.5</v>
      </c>
      <c r="Q61" s="181">
        <f t="shared" si="32"/>
        <v>25330.300000000003</v>
      </c>
      <c r="R61" s="182">
        <f t="shared" si="32"/>
        <v>26305.8</v>
      </c>
      <c r="S61" s="180">
        <f t="shared" si="32"/>
        <v>27211.3</v>
      </c>
      <c r="T61" s="181">
        <f t="shared" si="32"/>
        <v>28827.199999999997</v>
      </c>
      <c r="U61" s="181">
        <f t="shared" si="32"/>
        <v>30776.199999999997</v>
      </c>
      <c r="V61" s="182">
        <f t="shared" si="32"/>
        <v>32748.1</v>
      </c>
      <c r="W61" s="180">
        <f t="shared" si="32"/>
        <v>39932.5</v>
      </c>
      <c r="X61" s="181">
        <f t="shared" si="32"/>
        <v>40621.5</v>
      </c>
      <c r="Y61" s="181">
        <f t="shared" si="32"/>
        <v>41462.299999999996</v>
      </c>
      <c r="Z61" s="182">
        <f t="shared" si="32"/>
        <v>41072.800000000003</v>
      </c>
      <c r="AA61" s="180">
        <f t="shared" si="32"/>
        <v>41533.199999999997</v>
      </c>
      <c r="AB61" s="181">
        <f t="shared" si="32"/>
        <v>43143.200000000004</v>
      </c>
      <c r="AC61" s="181">
        <f t="shared" si="32"/>
        <v>44759.399999999994</v>
      </c>
      <c r="AD61" s="182">
        <f t="shared" si="32"/>
        <v>44966.899999999994</v>
      </c>
      <c r="AE61" s="180">
        <f t="shared" si="32"/>
        <v>47385</v>
      </c>
      <c r="AF61" s="181">
        <f t="shared" si="32"/>
        <v>49947.100000000006</v>
      </c>
      <c r="AG61" s="181">
        <f t="shared" si="32"/>
        <v>52695.199999999997</v>
      </c>
      <c r="AH61" s="182">
        <f t="shared" si="32"/>
        <v>53184.2</v>
      </c>
      <c r="AI61" s="181">
        <f t="shared" si="32"/>
        <v>55905.400000000009</v>
      </c>
      <c r="AJ61" s="181">
        <f t="shared" si="32"/>
        <v>60128.899999999994</v>
      </c>
      <c r="AK61" s="181">
        <f t="shared" si="32"/>
        <v>63422.2</v>
      </c>
      <c r="AL61" s="182">
        <f t="shared" si="32"/>
        <v>63830.3</v>
      </c>
      <c r="AM61" s="181">
        <f t="shared" si="32"/>
        <v>66884.300000000017</v>
      </c>
      <c r="AN61" s="181">
        <f t="shared" si="32"/>
        <v>69797.8</v>
      </c>
      <c r="AO61" s="181">
        <f t="shared" si="32"/>
        <v>72297.2</v>
      </c>
      <c r="AP61" s="182">
        <f t="shared" si="32"/>
        <v>73771</v>
      </c>
      <c r="AQ61" s="181">
        <f t="shared" si="32"/>
        <v>76454.3</v>
      </c>
      <c r="AR61" s="181">
        <f t="shared" si="32"/>
        <v>79087.600000000006</v>
      </c>
      <c r="AS61" s="181">
        <f t="shared" si="32"/>
        <v>82489.799999999988</v>
      </c>
      <c r="AT61" s="181">
        <f t="shared" si="32"/>
        <v>83406.600000000006</v>
      </c>
    </row>
    <row r="62" spans="1:46" s="150" customFormat="1" ht="10.8">
      <c r="A62" s="163" t="s">
        <v>137</v>
      </c>
      <c r="B62" s="163" t="s">
        <v>138</v>
      </c>
      <c r="C62" s="183">
        <f>SUM(C63,C69)</f>
        <v>-632.20000000000005</v>
      </c>
      <c r="D62" s="184">
        <f t="shared" ref="D62:AT62" si="33">SUM(D63,D69)</f>
        <v>-590.69999999999993</v>
      </c>
      <c r="E62" s="184">
        <f t="shared" si="33"/>
        <v>-521.79999999999995</v>
      </c>
      <c r="F62" s="184">
        <f t="shared" si="33"/>
        <v>-526.1</v>
      </c>
      <c r="G62" s="183">
        <f t="shared" si="33"/>
        <v>-539.20000000000005</v>
      </c>
      <c r="H62" s="184">
        <f t="shared" si="33"/>
        <v>-372.9</v>
      </c>
      <c r="I62" s="184">
        <f t="shared" si="33"/>
        <v>-393.6</v>
      </c>
      <c r="J62" s="185">
        <f t="shared" si="33"/>
        <v>-482.29999999999995</v>
      </c>
      <c r="K62" s="183">
        <f t="shared" si="33"/>
        <v>-654.1</v>
      </c>
      <c r="L62" s="184">
        <f t="shared" si="33"/>
        <v>-755.8</v>
      </c>
      <c r="M62" s="184">
        <f t="shared" si="33"/>
        <v>-804.9</v>
      </c>
      <c r="N62" s="185">
        <f t="shared" si="33"/>
        <v>-874.1</v>
      </c>
      <c r="O62" s="183">
        <f t="shared" si="33"/>
        <v>-930.90000000000009</v>
      </c>
      <c r="P62" s="184">
        <f t="shared" si="33"/>
        <v>-972.7</v>
      </c>
      <c r="Q62" s="184">
        <f t="shared" si="33"/>
        <v>-1037.9000000000001</v>
      </c>
      <c r="R62" s="185">
        <f t="shared" si="33"/>
        <v>-1082</v>
      </c>
      <c r="S62" s="183">
        <f t="shared" si="33"/>
        <v>-1122.7000000000003</v>
      </c>
      <c r="T62" s="184">
        <f t="shared" si="33"/>
        <v>-1140.6000000000001</v>
      </c>
      <c r="U62" s="184">
        <f t="shared" si="33"/>
        <v>-1182.7</v>
      </c>
      <c r="V62" s="185">
        <f t="shared" si="33"/>
        <v>-1112.3</v>
      </c>
      <c r="W62" s="183">
        <f t="shared" si="33"/>
        <v>-1194.9000000000001</v>
      </c>
      <c r="X62" s="184">
        <f t="shared" si="33"/>
        <v>-1289.6000000000001</v>
      </c>
      <c r="Y62" s="184">
        <f t="shared" si="33"/>
        <v>-1358.7</v>
      </c>
      <c r="Z62" s="185">
        <f t="shared" si="33"/>
        <v>-1427.8000000000002</v>
      </c>
      <c r="AA62" s="183">
        <f t="shared" si="33"/>
        <v>-1473.2000000000003</v>
      </c>
      <c r="AB62" s="184">
        <f t="shared" si="33"/>
        <v>-1573.8</v>
      </c>
      <c r="AC62" s="184">
        <f t="shared" si="33"/>
        <v>-1497.3000000000002</v>
      </c>
      <c r="AD62" s="185">
        <f t="shared" si="33"/>
        <v>-1557.8</v>
      </c>
      <c r="AE62" s="183">
        <f t="shared" si="33"/>
        <v>-1640.3999999999999</v>
      </c>
      <c r="AF62" s="184">
        <f t="shared" si="33"/>
        <v>-1614.7000000000003</v>
      </c>
      <c r="AG62" s="184">
        <f t="shared" si="33"/>
        <v>-1664.6000000000004</v>
      </c>
      <c r="AH62" s="185">
        <f t="shared" si="33"/>
        <v>-1723.1</v>
      </c>
      <c r="AI62" s="184">
        <f t="shared" si="33"/>
        <v>-1789.5000000000005</v>
      </c>
      <c r="AJ62" s="184">
        <f t="shared" si="33"/>
        <v>-1660.1999999999998</v>
      </c>
      <c r="AK62" s="184">
        <f t="shared" si="33"/>
        <v>-1503.8000000000002</v>
      </c>
      <c r="AL62" s="185">
        <f t="shared" si="33"/>
        <v>-1544.7</v>
      </c>
      <c r="AM62" s="184">
        <f t="shared" si="33"/>
        <v>-1554.4</v>
      </c>
      <c r="AN62" s="184">
        <f t="shared" si="33"/>
        <v>-1478.4</v>
      </c>
      <c r="AO62" s="184">
        <f t="shared" si="33"/>
        <v>-1452.1</v>
      </c>
      <c r="AP62" s="185">
        <f t="shared" si="33"/>
        <v>-1464.8</v>
      </c>
      <c r="AQ62" s="184">
        <f t="shared" si="33"/>
        <v>-1513.5</v>
      </c>
      <c r="AR62" s="184">
        <f t="shared" si="33"/>
        <v>-1533</v>
      </c>
      <c r="AS62" s="184">
        <f t="shared" si="33"/>
        <v>-1589.8000000000002</v>
      </c>
      <c r="AT62" s="184">
        <f t="shared" si="33"/>
        <v>-1664.7</v>
      </c>
    </row>
    <row r="63" spans="1:46" s="164" customFormat="1" ht="10.8">
      <c r="A63" s="177" t="s">
        <v>199</v>
      </c>
      <c r="B63" s="177" t="s">
        <v>200</v>
      </c>
      <c r="C63" s="180">
        <f>SUM(C64:C68)</f>
        <v>-366.09999999999997</v>
      </c>
      <c r="D63" s="181">
        <f t="shared" ref="D63:AT63" si="34">SUM(D64:D68)</f>
        <v>-363.59999999999997</v>
      </c>
      <c r="E63" s="181">
        <f t="shared" si="34"/>
        <v>-304.79999999999995</v>
      </c>
      <c r="F63" s="181">
        <f t="shared" si="34"/>
        <v>-299.90000000000003</v>
      </c>
      <c r="G63" s="180">
        <f t="shared" si="34"/>
        <v>-308.7</v>
      </c>
      <c r="H63" s="181">
        <f t="shared" si="34"/>
        <v>-228.49999999999997</v>
      </c>
      <c r="I63" s="181">
        <f t="shared" si="34"/>
        <v>-244.60000000000002</v>
      </c>
      <c r="J63" s="182">
        <f t="shared" si="34"/>
        <v>-296</v>
      </c>
      <c r="K63" s="180">
        <f t="shared" si="34"/>
        <v>-453.7</v>
      </c>
      <c r="L63" s="181">
        <f t="shared" si="34"/>
        <v>-545.09999999999991</v>
      </c>
      <c r="M63" s="181">
        <f t="shared" si="34"/>
        <v>-569.6</v>
      </c>
      <c r="N63" s="182">
        <f t="shared" si="34"/>
        <v>-617.1</v>
      </c>
      <c r="O63" s="180">
        <f t="shared" si="34"/>
        <v>-655.1</v>
      </c>
      <c r="P63" s="181">
        <f t="shared" si="34"/>
        <v>-684.6</v>
      </c>
      <c r="Q63" s="181">
        <f t="shared" si="34"/>
        <v>-736.80000000000007</v>
      </c>
      <c r="R63" s="182">
        <f t="shared" si="34"/>
        <v>-762.00000000000011</v>
      </c>
      <c r="S63" s="180">
        <f t="shared" si="34"/>
        <v>-771.50000000000011</v>
      </c>
      <c r="T63" s="181">
        <f t="shared" si="34"/>
        <v>-792.2</v>
      </c>
      <c r="U63" s="181">
        <f t="shared" si="34"/>
        <v>-816.2</v>
      </c>
      <c r="V63" s="182">
        <f t="shared" si="34"/>
        <v>-734.8</v>
      </c>
      <c r="W63" s="180">
        <f t="shared" si="34"/>
        <v>-799.10000000000014</v>
      </c>
      <c r="X63" s="181">
        <f t="shared" si="34"/>
        <v>-864.90000000000009</v>
      </c>
      <c r="Y63" s="181">
        <f t="shared" si="34"/>
        <v>-912.3</v>
      </c>
      <c r="Z63" s="182">
        <f t="shared" si="34"/>
        <v>-960.6</v>
      </c>
      <c r="AA63" s="180">
        <f t="shared" si="34"/>
        <v>-969.4000000000002</v>
      </c>
      <c r="AB63" s="181">
        <f t="shared" si="34"/>
        <v>-1008.5999999999999</v>
      </c>
      <c r="AC63" s="181">
        <f t="shared" si="34"/>
        <v>-1018.8000000000001</v>
      </c>
      <c r="AD63" s="182">
        <f t="shared" si="34"/>
        <v>-1062.3</v>
      </c>
      <c r="AE63" s="180">
        <f t="shared" si="34"/>
        <v>-1104.3999999999999</v>
      </c>
      <c r="AF63" s="181">
        <f t="shared" si="34"/>
        <v>-1065.5000000000002</v>
      </c>
      <c r="AG63" s="181">
        <f t="shared" si="34"/>
        <v>-1093.9000000000001</v>
      </c>
      <c r="AH63" s="182">
        <f t="shared" si="34"/>
        <v>-1125.3999999999999</v>
      </c>
      <c r="AI63" s="181">
        <f t="shared" si="34"/>
        <v>-1158.2000000000003</v>
      </c>
      <c r="AJ63" s="181">
        <f t="shared" si="34"/>
        <v>-1015.3</v>
      </c>
      <c r="AK63" s="181">
        <f t="shared" si="34"/>
        <v>-957</v>
      </c>
      <c r="AL63" s="182">
        <f t="shared" si="34"/>
        <v>-989.30000000000007</v>
      </c>
      <c r="AM63" s="181">
        <f t="shared" si="34"/>
        <v>-1022.5</v>
      </c>
      <c r="AN63" s="181">
        <f t="shared" si="34"/>
        <v>-918.1</v>
      </c>
      <c r="AO63" s="181">
        <f t="shared" si="34"/>
        <v>-935.69999999999993</v>
      </c>
      <c r="AP63" s="182">
        <f t="shared" si="34"/>
        <v>-880.19999999999993</v>
      </c>
      <c r="AQ63" s="181">
        <f t="shared" si="34"/>
        <v>-890.19999999999993</v>
      </c>
      <c r="AR63" s="181">
        <f t="shared" si="34"/>
        <v>-873.7</v>
      </c>
      <c r="AS63" s="181">
        <f t="shared" si="34"/>
        <v>-925.2</v>
      </c>
      <c r="AT63" s="181">
        <f t="shared" si="34"/>
        <v>-969.1</v>
      </c>
    </row>
    <row r="64" spans="1:46" s="6" customFormat="1" ht="10.8">
      <c r="A64" s="190" t="s">
        <v>201</v>
      </c>
      <c r="B64" s="190" t="s">
        <v>181</v>
      </c>
      <c r="C64" s="186">
        <v>-341.7</v>
      </c>
      <c r="D64" s="187">
        <v>-339.7</v>
      </c>
      <c r="E64" s="187">
        <v>-281.7</v>
      </c>
      <c r="F64" s="187">
        <v>-277.3</v>
      </c>
      <c r="G64" s="186">
        <v>-285.89999999999998</v>
      </c>
      <c r="H64" s="187">
        <v>-219.49999999999997</v>
      </c>
      <c r="I64" s="187">
        <v>-235.50000000000003</v>
      </c>
      <c r="J64" s="188">
        <v>-286.60000000000002</v>
      </c>
      <c r="K64" s="186">
        <v>-443.2</v>
      </c>
      <c r="L64" s="187">
        <v>-534.79999999999995</v>
      </c>
      <c r="M64" s="187">
        <v>-558.80000000000007</v>
      </c>
      <c r="N64" s="188">
        <v>-605.6</v>
      </c>
      <c r="O64" s="186">
        <v>-642.6</v>
      </c>
      <c r="P64" s="187">
        <v>-671.80000000000007</v>
      </c>
      <c r="Q64" s="187">
        <v>-727.80000000000007</v>
      </c>
      <c r="R64" s="188">
        <v>-756.1</v>
      </c>
      <c r="S64" s="186">
        <v>-765.7</v>
      </c>
      <c r="T64" s="187">
        <v>-786.09999999999991</v>
      </c>
      <c r="U64" s="187">
        <v>-809.2</v>
      </c>
      <c r="V64" s="188">
        <v>-728.09999999999991</v>
      </c>
      <c r="W64" s="186">
        <v>-725.30000000000007</v>
      </c>
      <c r="X64" s="187">
        <v>-761.40000000000009</v>
      </c>
      <c r="Y64" s="187">
        <v>-788.09999999999991</v>
      </c>
      <c r="Z64" s="188">
        <v>-820.2</v>
      </c>
      <c r="AA64" s="186">
        <v>-834.80000000000007</v>
      </c>
      <c r="AB64" s="187">
        <v>-872.5</v>
      </c>
      <c r="AC64" s="187">
        <v>-881.8</v>
      </c>
      <c r="AD64" s="188">
        <v>-985.6</v>
      </c>
      <c r="AE64" s="186">
        <v>-1022.5</v>
      </c>
      <c r="AF64" s="187">
        <v>-979.1</v>
      </c>
      <c r="AG64" s="187">
        <v>-1012.8</v>
      </c>
      <c r="AH64" s="188">
        <v>-1040</v>
      </c>
      <c r="AI64" s="187">
        <v>-1047.7</v>
      </c>
      <c r="AJ64" s="187">
        <v>-896.9</v>
      </c>
      <c r="AK64" s="187">
        <v>-831</v>
      </c>
      <c r="AL64" s="188">
        <v>-836.1</v>
      </c>
      <c r="AM64" s="187">
        <v>-834.5</v>
      </c>
      <c r="AN64" s="187">
        <v>-851.3</v>
      </c>
      <c r="AO64" s="187">
        <v>-869.3</v>
      </c>
      <c r="AP64" s="188">
        <v>-792.9</v>
      </c>
      <c r="AQ64" s="187">
        <v>-813.3</v>
      </c>
      <c r="AR64" s="187">
        <v>-813</v>
      </c>
      <c r="AS64" s="187">
        <v>-859.4</v>
      </c>
      <c r="AT64" s="188">
        <v>-895.6</v>
      </c>
    </row>
    <row r="65" spans="1:46" s="6" customFormat="1" ht="10.8">
      <c r="A65" s="190" t="s">
        <v>202</v>
      </c>
      <c r="B65" s="190" t="s">
        <v>203</v>
      </c>
      <c r="C65" s="186">
        <v>0</v>
      </c>
      <c r="D65" s="187">
        <v>0</v>
      </c>
      <c r="E65" s="187">
        <v>0</v>
      </c>
      <c r="F65" s="187">
        <v>0</v>
      </c>
      <c r="G65" s="186">
        <v>0</v>
      </c>
      <c r="H65" s="187">
        <v>0</v>
      </c>
      <c r="I65" s="187">
        <v>0</v>
      </c>
      <c r="J65" s="188">
        <v>0</v>
      </c>
      <c r="K65" s="186">
        <v>0</v>
      </c>
      <c r="L65" s="187">
        <v>0</v>
      </c>
      <c r="M65" s="187">
        <v>0</v>
      </c>
      <c r="N65" s="188">
        <v>0</v>
      </c>
      <c r="O65" s="186">
        <v>0</v>
      </c>
      <c r="P65" s="187">
        <v>0</v>
      </c>
      <c r="Q65" s="187">
        <v>0</v>
      </c>
      <c r="R65" s="188">
        <v>0</v>
      </c>
      <c r="S65" s="186">
        <v>0</v>
      </c>
      <c r="T65" s="187">
        <v>0</v>
      </c>
      <c r="U65" s="187">
        <v>0</v>
      </c>
      <c r="V65" s="188">
        <v>0</v>
      </c>
      <c r="W65" s="186">
        <v>-62.5</v>
      </c>
      <c r="X65" s="187">
        <v>-61.6</v>
      </c>
      <c r="Y65" s="187">
        <v>-67.900000000000006</v>
      </c>
      <c r="Z65" s="188">
        <v>-69.099999999999994</v>
      </c>
      <c r="AA65" s="186">
        <v>-63.2</v>
      </c>
      <c r="AB65" s="187">
        <v>-59.8</v>
      </c>
      <c r="AC65" s="187">
        <v>-54.199999999999996</v>
      </c>
      <c r="AD65" s="188">
        <v>-59.5</v>
      </c>
      <c r="AE65" s="186">
        <v>-62</v>
      </c>
      <c r="AF65" s="187">
        <v>-63.8</v>
      </c>
      <c r="AG65" s="187">
        <v>-63</v>
      </c>
      <c r="AH65" s="188">
        <v>-61.3</v>
      </c>
      <c r="AI65" s="187">
        <v>-51.199999999999996</v>
      </c>
      <c r="AJ65" s="187">
        <v>-42.7</v>
      </c>
      <c r="AK65" s="187">
        <v>-36.4</v>
      </c>
      <c r="AL65" s="188">
        <v>-37.9</v>
      </c>
      <c r="AM65" s="187">
        <v>-41.3</v>
      </c>
      <c r="AN65" s="187">
        <v>-46.9</v>
      </c>
      <c r="AO65" s="187">
        <v>-44.9</v>
      </c>
      <c r="AP65" s="188">
        <v>-48.8</v>
      </c>
      <c r="AQ65" s="187">
        <v>-38.9</v>
      </c>
      <c r="AR65" s="187">
        <v>-26.6</v>
      </c>
      <c r="AS65" s="187">
        <v>-26.6</v>
      </c>
      <c r="AT65" s="188">
        <v>-30.9</v>
      </c>
    </row>
    <row r="66" spans="1:46" s="6" customFormat="1" ht="10.8">
      <c r="A66" s="190" t="s">
        <v>204</v>
      </c>
      <c r="B66" s="190" t="s">
        <v>205</v>
      </c>
      <c r="C66" s="186">
        <v>-1.4</v>
      </c>
      <c r="D66" s="187">
        <v>-1.4</v>
      </c>
      <c r="E66" s="187">
        <v>-1.2</v>
      </c>
      <c r="F66" s="187">
        <v>-1.1000000000000001</v>
      </c>
      <c r="G66" s="186">
        <v>-1.3</v>
      </c>
      <c r="H66" s="187">
        <v>-0.9</v>
      </c>
      <c r="I66" s="187">
        <v>-1.1000000000000001</v>
      </c>
      <c r="J66" s="188">
        <v>-1.4</v>
      </c>
      <c r="K66" s="186">
        <v>-2.5</v>
      </c>
      <c r="L66" s="187">
        <v>-1.8</v>
      </c>
      <c r="M66" s="187">
        <v>-1.9</v>
      </c>
      <c r="N66" s="188">
        <v>-1.5</v>
      </c>
      <c r="O66" s="186">
        <v>-1.2</v>
      </c>
      <c r="P66" s="187">
        <v>-1.5</v>
      </c>
      <c r="Q66" s="187">
        <v>-1.3</v>
      </c>
      <c r="R66" s="188">
        <v>-1.1000000000000001</v>
      </c>
      <c r="S66" s="186">
        <v>-1</v>
      </c>
      <c r="T66" s="187">
        <v>-1.2</v>
      </c>
      <c r="U66" s="187">
        <v>-2</v>
      </c>
      <c r="V66" s="188">
        <v>-1.9</v>
      </c>
      <c r="W66" s="186">
        <v>-6.4999999999999991</v>
      </c>
      <c r="X66" s="187">
        <v>-4.9000000000000004</v>
      </c>
      <c r="Y66" s="187">
        <v>-5.0999999999999996</v>
      </c>
      <c r="Z66" s="188">
        <v>-8.8000000000000007</v>
      </c>
      <c r="AA66" s="186">
        <v>-7.6999999999999993</v>
      </c>
      <c r="AB66" s="187">
        <v>-7.8000000000000007</v>
      </c>
      <c r="AC66" s="187">
        <v>-9.1</v>
      </c>
      <c r="AD66" s="188">
        <v>-11.7</v>
      </c>
      <c r="AE66" s="186">
        <v>-14.099999999999998</v>
      </c>
      <c r="AF66" s="187">
        <v>-16.900000000000002</v>
      </c>
      <c r="AG66" s="187">
        <v>-12.2</v>
      </c>
      <c r="AH66" s="188">
        <v>-13.8</v>
      </c>
      <c r="AI66" s="187">
        <v>-14.9</v>
      </c>
      <c r="AJ66" s="187">
        <v>-13.9</v>
      </c>
      <c r="AK66" s="187">
        <v>-11.9</v>
      </c>
      <c r="AL66" s="188">
        <v>-12.200000000000001</v>
      </c>
      <c r="AM66" s="187">
        <v>-17</v>
      </c>
      <c r="AN66" s="187">
        <v>-19.2</v>
      </c>
      <c r="AO66" s="187">
        <v>-20.6</v>
      </c>
      <c r="AP66" s="188">
        <v>-21.9</v>
      </c>
      <c r="AQ66" s="187">
        <v>-22.1</v>
      </c>
      <c r="AR66" s="187">
        <v>-18.5</v>
      </c>
      <c r="AS66" s="187">
        <v>-23.6</v>
      </c>
      <c r="AT66" s="188">
        <v>-26.9</v>
      </c>
    </row>
    <row r="67" spans="1:46" s="6" customFormat="1" ht="10.8">
      <c r="A67" s="190" t="s">
        <v>206</v>
      </c>
      <c r="B67" s="191" t="s">
        <v>183</v>
      </c>
      <c r="C67" s="186">
        <v>-15</v>
      </c>
      <c r="D67" s="187">
        <v>-14.5</v>
      </c>
      <c r="E67" s="187">
        <v>-13.9</v>
      </c>
      <c r="F67" s="187">
        <v>-13.5</v>
      </c>
      <c r="G67" s="186">
        <v>-13.5</v>
      </c>
      <c r="H67" s="187">
        <v>-0.1</v>
      </c>
      <c r="I67" s="187">
        <v>0</v>
      </c>
      <c r="J67" s="188">
        <v>0</v>
      </c>
      <c r="K67" s="186">
        <v>0</v>
      </c>
      <c r="L67" s="187">
        <v>-0.5</v>
      </c>
      <c r="M67" s="187">
        <v>-0.9</v>
      </c>
      <c r="N67" s="188">
        <v>-2</v>
      </c>
      <c r="O67" s="186">
        <v>-3.3</v>
      </c>
      <c r="P67" s="187">
        <v>-3.3</v>
      </c>
      <c r="Q67" s="187">
        <v>-3.1</v>
      </c>
      <c r="R67" s="188">
        <v>-0.2</v>
      </c>
      <c r="S67" s="186">
        <v>-0.2</v>
      </c>
      <c r="T67" s="187">
        <v>-0.2</v>
      </c>
      <c r="U67" s="187">
        <v>-0.3</v>
      </c>
      <c r="V67" s="188">
        <v>-0.2</v>
      </c>
      <c r="W67" s="186">
        <v>-0.2</v>
      </c>
      <c r="X67" s="187">
        <v>-32.299999999999997</v>
      </c>
      <c r="Y67" s="187">
        <v>-46.5</v>
      </c>
      <c r="Z67" s="188">
        <v>-57.8</v>
      </c>
      <c r="AA67" s="186">
        <v>-59</v>
      </c>
      <c r="AB67" s="187">
        <v>-63.800000000000004</v>
      </c>
      <c r="AC67" s="187">
        <v>-69</v>
      </c>
      <c r="AD67" s="188">
        <v>-0.8</v>
      </c>
      <c r="AE67" s="186">
        <v>-1.1000000000000001</v>
      </c>
      <c r="AF67" s="187">
        <v>-1</v>
      </c>
      <c r="AG67" s="187">
        <v>-1.2</v>
      </c>
      <c r="AH67" s="188">
        <v>-5.6</v>
      </c>
      <c r="AI67" s="187">
        <v>-44.400000000000006</v>
      </c>
      <c r="AJ67" s="187">
        <v>-61.8</v>
      </c>
      <c r="AK67" s="187">
        <v>-77.7</v>
      </c>
      <c r="AL67" s="188">
        <v>-103.1</v>
      </c>
      <c r="AM67" s="187">
        <v>-129.69999999999999</v>
      </c>
      <c r="AN67" s="187">
        <v>-0.7</v>
      </c>
      <c r="AO67" s="187">
        <v>-0.9</v>
      </c>
      <c r="AP67" s="188">
        <v>-16.600000000000001</v>
      </c>
      <c r="AQ67" s="187">
        <v>-15.9</v>
      </c>
      <c r="AR67" s="187">
        <v>-15.6</v>
      </c>
      <c r="AS67" s="187">
        <v>-15.6</v>
      </c>
      <c r="AT67" s="188">
        <v>-15.7</v>
      </c>
    </row>
    <row r="68" spans="1:46" s="6" customFormat="1" ht="10.8">
      <c r="A68" s="190" t="s">
        <v>207</v>
      </c>
      <c r="B68" s="190" t="s">
        <v>208</v>
      </c>
      <c r="C68" s="186">
        <v>-8</v>
      </c>
      <c r="D68" s="187">
        <v>-8</v>
      </c>
      <c r="E68" s="187">
        <v>-8</v>
      </c>
      <c r="F68" s="187">
        <v>-8</v>
      </c>
      <c r="G68" s="186">
        <v>-8</v>
      </c>
      <c r="H68" s="187">
        <v>-8</v>
      </c>
      <c r="I68" s="187">
        <v>-8</v>
      </c>
      <c r="J68" s="188">
        <v>-8</v>
      </c>
      <c r="K68" s="186">
        <v>-8</v>
      </c>
      <c r="L68" s="187">
        <v>-8</v>
      </c>
      <c r="M68" s="187">
        <v>-8</v>
      </c>
      <c r="N68" s="188">
        <v>-8</v>
      </c>
      <c r="O68" s="186">
        <v>-8</v>
      </c>
      <c r="P68" s="187">
        <v>-8</v>
      </c>
      <c r="Q68" s="187">
        <v>-4.5999999999999996</v>
      </c>
      <c r="R68" s="188">
        <v>-4.5999999999999996</v>
      </c>
      <c r="S68" s="186">
        <v>-4.5999999999999996</v>
      </c>
      <c r="T68" s="187">
        <v>-4.7</v>
      </c>
      <c r="U68" s="187">
        <v>-4.7</v>
      </c>
      <c r="V68" s="188">
        <v>-4.5999999999999996</v>
      </c>
      <c r="W68" s="186">
        <v>-4.5999999999999996</v>
      </c>
      <c r="X68" s="187">
        <v>-4.7</v>
      </c>
      <c r="Y68" s="187">
        <v>-4.7</v>
      </c>
      <c r="Z68" s="188">
        <v>-4.7</v>
      </c>
      <c r="AA68" s="186">
        <v>-4.7</v>
      </c>
      <c r="AB68" s="187">
        <v>-4.7</v>
      </c>
      <c r="AC68" s="187">
        <v>-4.7</v>
      </c>
      <c r="AD68" s="188">
        <v>-4.7</v>
      </c>
      <c r="AE68" s="186">
        <v>-4.7</v>
      </c>
      <c r="AF68" s="187">
        <v>-4.7</v>
      </c>
      <c r="AG68" s="187">
        <v>-4.7</v>
      </c>
      <c r="AH68" s="188">
        <v>-4.7</v>
      </c>
      <c r="AI68" s="187">
        <v>0</v>
      </c>
      <c r="AJ68" s="187">
        <v>0</v>
      </c>
      <c r="AK68" s="187">
        <v>0</v>
      </c>
      <c r="AL68" s="188">
        <v>0</v>
      </c>
      <c r="AM68" s="187">
        <v>0</v>
      </c>
      <c r="AN68" s="187">
        <v>0</v>
      </c>
      <c r="AO68" s="187">
        <v>0</v>
      </c>
      <c r="AP68" s="188">
        <v>0</v>
      </c>
      <c r="AQ68" s="187">
        <v>0</v>
      </c>
      <c r="AR68" s="187">
        <v>0</v>
      </c>
      <c r="AS68" s="187">
        <v>0</v>
      </c>
      <c r="AT68" s="188">
        <v>0</v>
      </c>
    </row>
    <row r="69" spans="1:46" s="164" customFormat="1" ht="10.8">
      <c r="A69" s="192" t="s">
        <v>209</v>
      </c>
      <c r="B69" s="192" t="s">
        <v>210</v>
      </c>
      <c r="C69" s="180">
        <f>SUM(C70:C73)</f>
        <v>-266.10000000000002</v>
      </c>
      <c r="D69" s="181">
        <f t="shared" ref="D69:AT69" si="35">SUM(D70:D73)</f>
        <v>-227.1</v>
      </c>
      <c r="E69" s="181">
        <f t="shared" si="35"/>
        <v>-216.99999999999997</v>
      </c>
      <c r="F69" s="181">
        <f t="shared" si="35"/>
        <v>-226.20000000000002</v>
      </c>
      <c r="G69" s="180">
        <f t="shared" si="35"/>
        <v>-230.5</v>
      </c>
      <c r="H69" s="181">
        <f t="shared" si="35"/>
        <v>-144.4</v>
      </c>
      <c r="I69" s="181">
        <f t="shared" si="35"/>
        <v>-149</v>
      </c>
      <c r="J69" s="182">
        <f t="shared" si="35"/>
        <v>-186.29999999999998</v>
      </c>
      <c r="K69" s="180">
        <f t="shared" si="35"/>
        <v>-200.4</v>
      </c>
      <c r="L69" s="181">
        <f t="shared" si="35"/>
        <v>-210.7</v>
      </c>
      <c r="M69" s="181">
        <f t="shared" si="35"/>
        <v>-235.29999999999998</v>
      </c>
      <c r="N69" s="182">
        <f t="shared" si="35"/>
        <v>-257</v>
      </c>
      <c r="O69" s="180">
        <f t="shared" si="35"/>
        <v>-275.8</v>
      </c>
      <c r="P69" s="181">
        <f t="shared" si="35"/>
        <v>-288.10000000000002</v>
      </c>
      <c r="Q69" s="181">
        <f t="shared" si="35"/>
        <v>-301.10000000000002</v>
      </c>
      <c r="R69" s="182">
        <f t="shared" si="35"/>
        <v>-320</v>
      </c>
      <c r="S69" s="180">
        <f t="shared" si="35"/>
        <v>-351.20000000000005</v>
      </c>
      <c r="T69" s="181">
        <f t="shared" si="35"/>
        <v>-348.40000000000003</v>
      </c>
      <c r="U69" s="181">
        <f t="shared" si="35"/>
        <v>-366.5</v>
      </c>
      <c r="V69" s="182">
        <f t="shared" si="35"/>
        <v>-377.50000000000006</v>
      </c>
      <c r="W69" s="180">
        <f t="shared" si="35"/>
        <v>-395.8</v>
      </c>
      <c r="X69" s="181">
        <f t="shared" si="35"/>
        <v>-424.7</v>
      </c>
      <c r="Y69" s="181">
        <f t="shared" si="35"/>
        <v>-446.40000000000003</v>
      </c>
      <c r="Z69" s="182">
        <f t="shared" si="35"/>
        <v>-467.20000000000005</v>
      </c>
      <c r="AA69" s="180">
        <f t="shared" si="35"/>
        <v>-503.8</v>
      </c>
      <c r="AB69" s="181">
        <f t="shared" si="35"/>
        <v>-565.20000000000005</v>
      </c>
      <c r="AC69" s="181">
        <f t="shared" si="35"/>
        <v>-478.5</v>
      </c>
      <c r="AD69" s="182">
        <f t="shared" si="35"/>
        <v>-495.5</v>
      </c>
      <c r="AE69" s="180">
        <f t="shared" si="35"/>
        <v>-536</v>
      </c>
      <c r="AF69" s="181">
        <f t="shared" si="35"/>
        <v>-549.19999999999993</v>
      </c>
      <c r="AG69" s="181">
        <f t="shared" si="35"/>
        <v>-570.70000000000016</v>
      </c>
      <c r="AH69" s="182">
        <f t="shared" si="35"/>
        <v>-597.70000000000005</v>
      </c>
      <c r="AI69" s="181">
        <f t="shared" si="35"/>
        <v>-631.30000000000007</v>
      </c>
      <c r="AJ69" s="181">
        <f t="shared" si="35"/>
        <v>-644.9</v>
      </c>
      <c r="AK69" s="181">
        <f t="shared" si="35"/>
        <v>-546.80000000000007</v>
      </c>
      <c r="AL69" s="182">
        <f t="shared" si="35"/>
        <v>-555.4</v>
      </c>
      <c r="AM69" s="181">
        <f t="shared" si="35"/>
        <v>-531.9</v>
      </c>
      <c r="AN69" s="181">
        <f t="shared" si="35"/>
        <v>-560.29999999999995</v>
      </c>
      <c r="AO69" s="181">
        <f t="shared" si="35"/>
        <v>-516.40000000000009</v>
      </c>
      <c r="AP69" s="182">
        <f t="shared" si="35"/>
        <v>-584.6</v>
      </c>
      <c r="AQ69" s="181">
        <f t="shared" si="35"/>
        <v>-623.29999999999995</v>
      </c>
      <c r="AR69" s="181">
        <f t="shared" si="35"/>
        <v>-659.30000000000007</v>
      </c>
      <c r="AS69" s="181">
        <f t="shared" si="35"/>
        <v>-664.6</v>
      </c>
      <c r="AT69" s="181">
        <f t="shared" si="35"/>
        <v>-695.6</v>
      </c>
    </row>
    <row r="70" spans="1:46" s="6" customFormat="1" ht="10.8">
      <c r="A70" s="190" t="s">
        <v>201</v>
      </c>
      <c r="B70" s="190" t="s">
        <v>181</v>
      </c>
      <c r="C70" s="186">
        <v>-264.3</v>
      </c>
      <c r="D70" s="187">
        <v>-225.3</v>
      </c>
      <c r="E70" s="187">
        <v>-215.2</v>
      </c>
      <c r="F70" s="187">
        <v>-224.3</v>
      </c>
      <c r="G70" s="186">
        <v>-228.6</v>
      </c>
      <c r="H70" s="187">
        <v>-142.80000000000001</v>
      </c>
      <c r="I70" s="187">
        <v>-147.4</v>
      </c>
      <c r="J70" s="188">
        <v>-184.7</v>
      </c>
      <c r="K70" s="186">
        <v>-198.8</v>
      </c>
      <c r="L70" s="187">
        <v>-209.1</v>
      </c>
      <c r="M70" s="187">
        <v>-233.7</v>
      </c>
      <c r="N70" s="188">
        <v>-255.4</v>
      </c>
      <c r="O70" s="186">
        <v>-274.2</v>
      </c>
      <c r="P70" s="187">
        <v>-286.5</v>
      </c>
      <c r="Q70" s="187">
        <v>-299.5</v>
      </c>
      <c r="R70" s="188">
        <v>-318.39999999999998</v>
      </c>
      <c r="S70" s="186">
        <v>-349.5</v>
      </c>
      <c r="T70" s="187">
        <v>-346.8</v>
      </c>
      <c r="U70" s="187">
        <v>-364.8</v>
      </c>
      <c r="V70" s="188">
        <v>-375.8</v>
      </c>
      <c r="W70" s="186">
        <v>-394</v>
      </c>
      <c r="X70" s="187">
        <v>-422.8</v>
      </c>
      <c r="Y70" s="187">
        <v>-444.5</v>
      </c>
      <c r="Z70" s="188">
        <v>-465.8</v>
      </c>
      <c r="AA70" s="186">
        <v>-502.6</v>
      </c>
      <c r="AB70" s="187">
        <v>-563.70000000000005</v>
      </c>
      <c r="AC70" s="187">
        <v>-477.5</v>
      </c>
      <c r="AD70" s="188">
        <v>-494.6</v>
      </c>
      <c r="AE70" s="186">
        <v>-534.9</v>
      </c>
      <c r="AF70" s="187">
        <v>-547.79999999999995</v>
      </c>
      <c r="AG70" s="187">
        <v>-569.30000000000007</v>
      </c>
      <c r="AH70" s="188">
        <v>-596.30000000000007</v>
      </c>
      <c r="AI70" s="187">
        <v>-629.90000000000009</v>
      </c>
      <c r="AJ70" s="187">
        <v>-643.4</v>
      </c>
      <c r="AK70" s="187">
        <v>-544.20000000000005</v>
      </c>
      <c r="AL70" s="188">
        <v>-553.29999999999995</v>
      </c>
      <c r="AM70" s="187">
        <v>-529.5</v>
      </c>
      <c r="AN70" s="187">
        <v>-557.29999999999995</v>
      </c>
      <c r="AO70" s="187">
        <v>-513.70000000000005</v>
      </c>
      <c r="AP70" s="188">
        <v>-582.1</v>
      </c>
      <c r="AQ70" s="187">
        <v>-620.4</v>
      </c>
      <c r="AR70" s="187">
        <v>-655.7</v>
      </c>
      <c r="AS70" s="187">
        <v>-658.6</v>
      </c>
      <c r="AT70" s="188">
        <v>-689.8</v>
      </c>
    </row>
    <row r="71" spans="1:46" s="6" customFormat="1" ht="10.8">
      <c r="A71" s="176" t="s">
        <v>202</v>
      </c>
      <c r="B71" s="176" t="s">
        <v>203</v>
      </c>
      <c r="C71" s="186">
        <v>0</v>
      </c>
      <c r="D71" s="187">
        <v>0</v>
      </c>
      <c r="E71" s="187">
        <v>0</v>
      </c>
      <c r="F71" s="187">
        <v>0</v>
      </c>
      <c r="G71" s="186">
        <v>0</v>
      </c>
      <c r="H71" s="187">
        <v>0</v>
      </c>
      <c r="I71" s="187">
        <v>0</v>
      </c>
      <c r="J71" s="188">
        <v>0</v>
      </c>
      <c r="K71" s="186">
        <v>0</v>
      </c>
      <c r="L71" s="187">
        <v>0</v>
      </c>
      <c r="M71" s="187">
        <v>0</v>
      </c>
      <c r="N71" s="188">
        <v>0</v>
      </c>
      <c r="O71" s="186">
        <v>0</v>
      </c>
      <c r="P71" s="187">
        <v>0</v>
      </c>
      <c r="Q71" s="187">
        <v>0</v>
      </c>
      <c r="R71" s="188">
        <v>0</v>
      </c>
      <c r="S71" s="186">
        <v>0</v>
      </c>
      <c r="T71" s="187">
        <v>0</v>
      </c>
      <c r="U71" s="187">
        <v>0</v>
      </c>
      <c r="V71" s="188">
        <v>0</v>
      </c>
      <c r="W71" s="186">
        <v>-0.2</v>
      </c>
      <c r="X71" s="187">
        <v>-0.2</v>
      </c>
      <c r="Y71" s="187">
        <v>-0.3</v>
      </c>
      <c r="Z71" s="188">
        <v>-0.3</v>
      </c>
      <c r="AA71" s="186">
        <v>-0.2</v>
      </c>
      <c r="AB71" s="187">
        <v>-0.2</v>
      </c>
      <c r="AC71" s="187">
        <f>-0.2</f>
        <v>-0.2</v>
      </c>
      <c r="AD71" s="188">
        <v>-0.2</v>
      </c>
      <c r="AE71" s="186">
        <v>-0.6</v>
      </c>
      <c r="AF71" s="187">
        <v>-0.8</v>
      </c>
      <c r="AG71" s="187">
        <v>-0.7</v>
      </c>
      <c r="AH71" s="188">
        <v>-0.8</v>
      </c>
      <c r="AI71" s="187">
        <v>-0.8</v>
      </c>
      <c r="AJ71" s="187">
        <v>-0.9</v>
      </c>
      <c r="AK71" s="187">
        <v>-2</v>
      </c>
      <c r="AL71" s="188">
        <v>-1.5</v>
      </c>
      <c r="AM71" s="187">
        <v>-1.8</v>
      </c>
      <c r="AN71" s="187">
        <v>-1.9</v>
      </c>
      <c r="AO71" s="187">
        <v>-1.5</v>
      </c>
      <c r="AP71" s="188">
        <v>-1.6</v>
      </c>
      <c r="AQ71" s="187">
        <v>-2</v>
      </c>
      <c r="AR71" s="187">
        <v>-2.2000000000000002</v>
      </c>
      <c r="AS71" s="187">
        <v>-2.9</v>
      </c>
      <c r="AT71" s="188">
        <v>-2.7</v>
      </c>
    </row>
    <row r="72" spans="1:46" s="6" customFormat="1" ht="10.8">
      <c r="A72" s="176" t="s">
        <v>204</v>
      </c>
      <c r="B72" s="176" t="s">
        <v>205</v>
      </c>
      <c r="C72" s="186">
        <v>-1.2</v>
      </c>
      <c r="D72" s="187">
        <v>-1.2</v>
      </c>
      <c r="E72" s="187">
        <v>-1.2</v>
      </c>
      <c r="F72" s="187">
        <v>-1.3</v>
      </c>
      <c r="G72" s="186">
        <v>-1.3</v>
      </c>
      <c r="H72" s="187">
        <v>-1</v>
      </c>
      <c r="I72" s="187">
        <v>-1</v>
      </c>
      <c r="J72" s="188">
        <v>-1</v>
      </c>
      <c r="K72" s="186">
        <v>-1</v>
      </c>
      <c r="L72" s="187">
        <v>-1</v>
      </c>
      <c r="M72" s="187">
        <v>-1</v>
      </c>
      <c r="N72" s="188">
        <v>-1</v>
      </c>
      <c r="O72" s="186">
        <v>-1</v>
      </c>
      <c r="P72" s="187">
        <v>-1</v>
      </c>
      <c r="Q72" s="187">
        <v>-1</v>
      </c>
      <c r="R72" s="188">
        <v>-1</v>
      </c>
      <c r="S72" s="186">
        <v>-1.1000000000000001</v>
      </c>
      <c r="T72" s="187">
        <v>-1.1000000000000001</v>
      </c>
      <c r="U72" s="187">
        <v>-1.2</v>
      </c>
      <c r="V72" s="188">
        <v>-1.1000000000000001</v>
      </c>
      <c r="W72" s="186">
        <v>-1.1000000000000001</v>
      </c>
      <c r="X72" s="187">
        <v>-1.2</v>
      </c>
      <c r="Y72" s="187">
        <v>-1.1000000000000001</v>
      </c>
      <c r="Z72" s="188">
        <v>-0.6</v>
      </c>
      <c r="AA72" s="186">
        <v>-0.5</v>
      </c>
      <c r="AB72" s="187">
        <v>-0.8</v>
      </c>
      <c r="AC72" s="187">
        <v>-0.3</v>
      </c>
      <c r="AD72" s="188">
        <v>-0.2</v>
      </c>
      <c r="AE72" s="186">
        <v>0</v>
      </c>
      <c r="AF72" s="187">
        <v>-0.1</v>
      </c>
      <c r="AG72" s="187">
        <v>-0.2</v>
      </c>
      <c r="AH72" s="188">
        <v>-0.1</v>
      </c>
      <c r="AI72" s="187">
        <v>-0.1</v>
      </c>
      <c r="AJ72" s="187">
        <v>-0.1</v>
      </c>
      <c r="AK72" s="187">
        <v>-0.1</v>
      </c>
      <c r="AL72" s="188">
        <v>-0.1</v>
      </c>
      <c r="AM72" s="187">
        <v>-0.1</v>
      </c>
      <c r="AN72" s="187">
        <v>-0.6</v>
      </c>
      <c r="AO72" s="187">
        <v>-0.7</v>
      </c>
      <c r="AP72" s="188">
        <v>-0.9</v>
      </c>
      <c r="AQ72" s="187">
        <v>-0.9</v>
      </c>
      <c r="AR72" s="187">
        <v>-1.4</v>
      </c>
      <c r="AS72" s="187">
        <v>-3.1</v>
      </c>
      <c r="AT72" s="188">
        <v>-3.1</v>
      </c>
    </row>
    <row r="73" spans="1:46" s="6" customFormat="1" ht="10.8">
      <c r="A73" s="178" t="s">
        <v>207</v>
      </c>
      <c r="B73" s="178" t="s">
        <v>208</v>
      </c>
      <c r="C73" s="186">
        <v>-0.59999999999999964</v>
      </c>
      <c r="D73" s="187">
        <v>-0.59999999999999964</v>
      </c>
      <c r="E73" s="187">
        <v>-0.59999999999999964</v>
      </c>
      <c r="F73" s="187">
        <v>-0.59999999999999964</v>
      </c>
      <c r="G73" s="186">
        <v>-0.59999999999999964</v>
      </c>
      <c r="H73" s="187">
        <v>-0.59999999999999964</v>
      </c>
      <c r="I73" s="187">
        <v>-0.59999999999999964</v>
      </c>
      <c r="J73" s="187">
        <v>-0.59999999999999964</v>
      </c>
      <c r="K73" s="186">
        <v>-0.59999999999999964</v>
      </c>
      <c r="L73" s="187">
        <v>-0.59999999999999964</v>
      </c>
      <c r="M73" s="187">
        <v>-0.59999999999999964</v>
      </c>
      <c r="N73" s="188">
        <v>-0.59999999999999964</v>
      </c>
      <c r="O73" s="186">
        <v>-0.59999999999999964</v>
      </c>
      <c r="P73" s="187">
        <v>-0.59999999999999964</v>
      </c>
      <c r="Q73" s="187">
        <v>-0.60000000000000053</v>
      </c>
      <c r="R73" s="188">
        <v>-0.60000000000000053</v>
      </c>
      <c r="S73" s="186">
        <v>-0.60000000000000053</v>
      </c>
      <c r="T73" s="187">
        <v>-0.5</v>
      </c>
      <c r="U73" s="187">
        <v>-0.5</v>
      </c>
      <c r="V73" s="188">
        <v>-0.60000000000000053</v>
      </c>
      <c r="W73" s="186">
        <v>-0.5</v>
      </c>
      <c r="X73" s="187">
        <v>-0.5</v>
      </c>
      <c r="Y73" s="187">
        <v>-0.5</v>
      </c>
      <c r="Z73" s="188">
        <v>-0.5</v>
      </c>
      <c r="AA73" s="186">
        <v>-0.5</v>
      </c>
      <c r="AB73" s="187">
        <v>-0.5</v>
      </c>
      <c r="AC73" s="187">
        <v>-0.5</v>
      </c>
      <c r="AD73" s="188">
        <v>-0.5</v>
      </c>
      <c r="AE73" s="186">
        <v>-0.5</v>
      </c>
      <c r="AF73" s="187">
        <v>-0.5</v>
      </c>
      <c r="AG73" s="187">
        <v>-0.5</v>
      </c>
      <c r="AH73" s="188">
        <v>-0.5</v>
      </c>
      <c r="AI73" s="187">
        <v>-0.5</v>
      </c>
      <c r="AJ73" s="187">
        <v>-0.5</v>
      </c>
      <c r="AK73" s="187">
        <v>-0.5</v>
      </c>
      <c r="AL73" s="188">
        <v>-0.5</v>
      </c>
      <c r="AM73" s="187">
        <v>-0.5</v>
      </c>
      <c r="AN73" s="187">
        <v>-0.5</v>
      </c>
      <c r="AO73" s="187">
        <v>-0.5</v>
      </c>
      <c r="AP73" s="188">
        <v>0</v>
      </c>
      <c r="AQ73" s="187">
        <v>0</v>
      </c>
      <c r="AR73" s="187">
        <v>0</v>
      </c>
      <c r="AS73" s="187">
        <v>0</v>
      </c>
      <c r="AT73" s="188">
        <v>0</v>
      </c>
    </row>
    <row r="74" spans="1:46" s="164" customFormat="1" ht="16.95" customHeight="1">
      <c r="A74" s="143" t="s">
        <v>184</v>
      </c>
      <c r="B74" s="143" t="s">
        <v>185</v>
      </c>
      <c r="C74" s="193">
        <f t="shared" ref="C74:AT74" si="36">C61+C62</f>
        <v>10936.4</v>
      </c>
      <c r="D74" s="194">
        <f t="shared" si="36"/>
        <v>11871.600000000002</v>
      </c>
      <c r="E74" s="194">
        <f t="shared" si="36"/>
        <v>12740.500000000002</v>
      </c>
      <c r="F74" s="194">
        <f t="shared" si="36"/>
        <v>13374.599999999999</v>
      </c>
      <c r="G74" s="193">
        <f t="shared" si="36"/>
        <v>14847.1</v>
      </c>
      <c r="H74" s="194">
        <f t="shared" si="36"/>
        <v>16219.1</v>
      </c>
      <c r="I74" s="194">
        <f t="shared" si="36"/>
        <v>18175.900000000001</v>
      </c>
      <c r="J74" s="195">
        <f t="shared" si="36"/>
        <v>19872.3</v>
      </c>
      <c r="K74" s="193">
        <f t="shared" si="36"/>
        <v>21133</v>
      </c>
      <c r="L74" s="194">
        <f t="shared" si="36"/>
        <v>21306.3</v>
      </c>
      <c r="M74" s="194">
        <f t="shared" si="36"/>
        <v>21405.799999999996</v>
      </c>
      <c r="N74" s="195">
        <f t="shared" si="36"/>
        <v>21370.2</v>
      </c>
      <c r="O74" s="193">
        <f t="shared" si="36"/>
        <v>21705.399999999998</v>
      </c>
      <c r="P74" s="194">
        <f t="shared" si="36"/>
        <v>22864.799999999999</v>
      </c>
      <c r="Q74" s="194">
        <f t="shared" si="36"/>
        <v>24292.400000000001</v>
      </c>
      <c r="R74" s="195">
        <f t="shared" si="36"/>
        <v>25223.8</v>
      </c>
      <c r="S74" s="193">
        <f t="shared" si="36"/>
        <v>26088.6</v>
      </c>
      <c r="T74" s="194">
        <f t="shared" si="36"/>
        <v>27686.6</v>
      </c>
      <c r="U74" s="194">
        <f t="shared" si="36"/>
        <v>29593.499999999996</v>
      </c>
      <c r="V74" s="195">
        <f t="shared" si="36"/>
        <v>31635.8</v>
      </c>
      <c r="W74" s="193">
        <f t="shared" si="36"/>
        <v>38737.599999999999</v>
      </c>
      <c r="X74" s="194">
        <f t="shared" si="36"/>
        <v>39331.9</v>
      </c>
      <c r="Y74" s="194">
        <f t="shared" si="36"/>
        <v>40103.599999999999</v>
      </c>
      <c r="Z74" s="195">
        <f t="shared" si="36"/>
        <v>39645</v>
      </c>
      <c r="AA74" s="193">
        <f t="shared" si="36"/>
        <v>40060</v>
      </c>
      <c r="AB74" s="194">
        <f t="shared" si="36"/>
        <v>41569.4</v>
      </c>
      <c r="AC74" s="194">
        <f t="shared" si="36"/>
        <v>43262.099999999991</v>
      </c>
      <c r="AD74" s="195">
        <f t="shared" si="36"/>
        <v>43409.099999999991</v>
      </c>
      <c r="AE74" s="193">
        <f t="shared" si="36"/>
        <v>45744.6</v>
      </c>
      <c r="AF74" s="194">
        <f t="shared" si="36"/>
        <v>48332.400000000009</v>
      </c>
      <c r="AG74" s="194">
        <f t="shared" si="36"/>
        <v>51030.6</v>
      </c>
      <c r="AH74" s="195">
        <f t="shared" si="36"/>
        <v>51461.1</v>
      </c>
      <c r="AI74" s="194">
        <f t="shared" si="36"/>
        <v>54115.900000000009</v>
      </c>
      <c r="AJ74" s="194">
        <f t="shared" si="36"/>
        <v>58468.7</v>
      </c>
      <c r="AK74" s="194">
        <f t="shared" si="36"/>
        <v>61918.399999999994</v>
      </c>
      <c r="AL74" s="195">
        <f t="shared" si="36"/>
        <v>62285.600000000006</v>
      </c>
      <c r="AM74" s="194">
        <f t="shared" si="36"/>
        <v>65329.900000000016</v>
      </c>
      <c r="AN74" s="194">
        <f t="shared" si="36"/>
        <v>68319.400000000009</v>
      </c>
      <c r="AO74" s="194">
        <f t="shared" si="36"/>
        <v>70845.099999999991</v>
      </c>
      <c r="AP74" s="195">
        <f t="shared" si="36"/>
        <v>72306.2</v>
      </c>
      <c r="AQ74" s="194">
        <f t="shared" si="36"/>
        <v>74940.800000000003</v>
      </c>
      <c r="AR74" s="194">
        <f t="shared" si="36"/>
        <v>77554.600000000006</v>
      </c>
      <c r="AS74" s="194">
        <f t="shared" si="36"/>
        <v>80899.999999999985</v>
      </c>
      <c r="AT74" s="194">
        <f t="shared" si="36"/>
        <v>81741.900000000009</v>
      </c>
    </row>
    <row r="75" spans="1:46" s="150" customFormat="1" ht="10.8">
      <c r="A75" s="179"/>
      <c r="B75" s="179"/>
      <c r="C75" s="160"/>
      <c r="D75" s="161"/>
      <c r="E75" s="161"/>
      <c r="F75" s="161"/>
      <c r="G75" s="160"/>
      <c r="H75" s="161"/>
      <c r="I75" s="161"/>
      <c r="J75" s="162"/>
      <c r="K75" s="160"/>
      <c r="L75" s="161"/>
      <c r="M75" s="161"/>
      <c r="N75" s="162"/>
      <c r="O75" s="160"/>
      <c r="P75" s="161"/>
      <c r="Q75" s="161"/>
      <c r="R75" s="162"/>
      <c r="S75" s="160"/>
      <c r="T75" s="161"/>
      <c r="U75" s="161"/>
      <c r="V75" s="162"/>
      <c r="W75" s="160"/>
      <c r="X75" s="161"/>
      <c r="Y75" s="161"/>
      <c r="Z75" s="162"/>
      <c r="AA75" s="160"/>
      <c r="AB75" s="161"/>
      <c r="AC75" s="161"/>
      <c r="AD75" s="162"/>
      <c r="AE75" s="160"/>
      <c r="AF75" s="161"/>
      <c r="AG75" s="161"/>
      <c r="AH75" s="162"/>
      <c r="AI75" s="161"/>
      <c r="AJ75" s="161"/>
      <c r="AK75" s="161"/>
      <c r="AL75" s="162"/>
      <c r="AM75" s="161"/>
      <c r="AN75" s="161"/>
      <c r="AO75" s="161"/>
      <c r="AP75" s="162"/>
      <c r="AQ75" s="161"/>
      <c r="AR75" s="161"/>
      <c r="AS75" s="161"/>
      <c r="AT75" s="162"/>
    </row>
    <row r="76" spans="1:46" s="150" customFormat="1" ht="10.8">
      <c r="A76" s="175" t="s">
        <v>211</v>
      </c>
      <c r="B76" s="175" t="s">
        <v>212</v>
      </c>
      <c r="C76" s="160"/>
      <c r="D76" s="161"/>
      <c r="E76" s="161"/>
      <c r="F76" s="161"/>
      <c r="G76" s="160"/>
      <c r="H76" s="161"/>
      <c r="I76" s="161"/>
      <c r="J76" s="162"/>
      <c r="K76" s="160"/>
      <c r="L76" s="161"/>
      <c r="M76" s="161"/>
      <c r="N76" s="162"/>
      <c r="O76" s="160"/>
      <c r="P76" s="161"/>
      <c r="Q76" s="161"/>
      <c r="R76" s="162"/>
      <c r="S76" s="160"/>
      <c r="T76" s="161"/>
      <c r="U76" s="161"/>
      <c r="V76" s="162"/>
      <c r="W76" s="160"/>
      <c r="X76" s="161"/>
      <c r="Y76" s="161"/>
      <c r="Z76" s="162"/>
      <c r="AA76" s="160"/>
      <c r="AB76" s="161"/>
      <c r="AC76" s="161"/>
      <c r="AD76" s="162"/>
      <c r="AE76" s="160"/>
      <c r="AF76" s="161"/>
      <c r="AG76" s="161"/>
      <c r="AH76" s="162"/>
      <c r="AI76" s="161"/>
      <c r="AJ76" s="161"/>
      <c r="AK76" s="161"/>
      <c r="AL76" s="162"/>
      <c r="AM76" s="161"/>
      <c r="AN76" s="161"/>
      <c r="AO76" s="161"/>
      <c r="AP76" s="162"/>
      <c r="AQ76" s="161"/>
      <c r="AR76" s="161"/>
      <c r="AS76" s="161"/>
      <c r="AT76" s="162"/>
    </row>
    <row r="77" spans="1:46" s="150" customFormat="1" ht="10.8">
      <c r="A77" s="163"/>
      <c r="B77" s="163"/>
      <c r="C77" s="160"/>
      <c r="D77" s="161"/>
      <c r="E77" s="161"/>
      <c r="F77" s="161"/>
      <c r="G77" s="160"/>
      <c r="H77" s="161"/>
      <c r="I77" s="161"/>
      <c r="J77" s="162"/>
      <c r="K77" s="160"/>
      <c r="L77" s="161"/>
      <c r="M77" s="161"/>
      <c r="N77" s="162"/>
      <c r="O77" s="160"/>
      <c r="P77" s="161"/>
      <c r="Q77" s="161"/>
      <c r="R77" s="162"/>
      <c r="S77" s="160"/>
      <c r="T77" s="161"/>
      <c r="U77" s="161"/>
      <c r="V77" s="162"/>
      <c r="W77" s="160"/>
      <c r="X77" s="161"/>
      <c r="Y77" s="161"/>
      <c r="Z77" s="162"/>
      <c r="AA77" s="160"/>
      <c r="AB77" s="161"/>
      <c r="AC77" s="161"/>
      <c r="AD77" s="162"/>
      <c r="AE77" s="160"/>
      <c r="AF77" s="161"/>
      <c r="AG77" s="161"/>
      <c r="AH77" s="162"/>
      <c r="AI77" s="161"/>
      <c r="AJ77" s="161"/>
      <c r="AK77" s="161"/>
      <c r="AL77" s="162"/>
      <c r="AM77" s="161"/>
      <c r="AN77" s="161"/>
      <c r="AO77" s="161"/>
      <c r="AP77" s="162"/>
      <c r="AQ77" s="161"/>
      <c r="AR77" s="161"/>
      <c r="AS77" s="161"/>
      <c r="AT77" s="162"/>
    </row>
    <row r="78" spans="1:46" s="150" customFormat="1" ht="10.8">
      <c r="A78" s="163" t="s">
        <v>165</v>
      </c>
      <c r="B78" s="163" t="s">
        <v>166</v>
      </c>
      <c r="C78" s="160">
        <f>SUM(C79:C80)</f>
        <v>627.50000000000011</v>
      </c>
      <c r="D78" s="161">
        <f t="shared" ref="D78:AT78" si="37">SUM(D79:D80)</f>
        <v>604.30000000000007</v>
      </c>
      <c r="E78" s="161">
        <f t="shared" si="37"/>
        <v>612.6</v>
      </c>
      <c r="F78" s="161">
        <f t="shared" si="37"/>
        <v>695.8</v>
      </c>
      <c r="G78" s="160">
        <f t="shared" si="37"/>
        <v>668.8</v>
      </c>
      <c r="H78" s="161">
        <f t="shared" si="37"/>
        <v>672</v>
      </c>
      <c r="I78" s="161">
        <f t="shared" si="37"/>
        <v>684.7</v>
      </c>
      <c r="J78" s="162">
        <f t="shared" si="37"/>
        <v>970.9</v>
      </c>
      <c r="K78" s="160">
        <f t="shared" si="37"/>
        <v>926.80000000000007</v>
      </c>
      <c r="L78" s="161">
        <f t="shared" si="37"/>
        <v>958.9</v>
      </c>
      <c r="M78" s="161">
        <f t="shared" si="37"/>
        <v>1177.4000000000001</v>
      </c>
      <c r="N78" s="162">
        <f t="shared" si="37"/>
        <v>2305.3000000000002</v>
      </c>
      <c r="O78" s="161">
        <f t="shared" si="37"/>
        <v>2257.1</v>
      </c>
      <c r="P78" s="161">
        <f t="shared" si="37"/>
        <v>2389.1</v>
      </c>
      <c r="Q78" s="161">
        <f t="shared" si="37"/>
        <v>2472.9999999999995</v>
      </c>
      <c r="R78" s="162">
        <f t="shared" si="37"/>
        <v>2816.2</v>
      </c>
      <c r="S78" s="161">
        <f t="shared" si="37"/>
        <v>2785.2000000000003</v>
      </c>
      <c r="T78" s="161">
        <f t="shared" si="37"/>
        <v>2740.2</v>
      </c>
      <c r="U78" s="161">
        <f t="shared" si="37"/>
        <v>2890.7999999999997</v>
      </c>
      <c r="V78" s="162">
        <f t="shared" si="37"/>
        <v>3270.6</v>
      </c>
      <c r="W78" s="161">
        <f t="shared" si="37"/>
        <v>3213.8</v>
      </c>
      <c r="X78" s="161">
        <f t="shared" si="37"/>
        <v>3142.6</v>
      </c>
      <c r="Y78" s="161">
        <f t="shared" si="37"/>
        <v>3137.3</v>
      </c>
      <c r="Z78" s="162">
        <f t="shared" si="37"/>
        <v>3090.7000000000003</v>
      </c>
      <c r="AA78" s="161">
        <f t="shared" si="37"/>
        <v>3023.5</v>
      </c>
      <c r="AB78" s="161">
        <f t="shared" si="37"/>
        <v>2923.4</v>
      </c>
      <c r="AC78" s="161">
        <f t="shared" si="37"/>
        <v>2792.7</v>
      </c>
      <c r="AD78" s="162">
        <f t="shared" si="37"/>
        <v>2628.3999999999996</v>
      </c>
      <c r="AE78" s="161">
        <f t="shared" si="37"/>
        <v>2579.2999999999997</v>
      </c>
      <c r="AF78" s="161">
        <f t="shared" si="37"/>
        <v>2524.6000000000004</v>
      </c>
      <c r="AG78" s="161">
        <f t="shared" si="37"/>
        <v>2518.2999999999997</v>
      </c>
      <c r="AH78" s="162">
        <f t="shared" si="37"/>
        <v>2660.5</v>
      </c>
      <c r="AI78" s="161">
        <f t="shared" si="37"/>
        <v>2612.6000000000004</v>
      </c>
      <c r="AJ78" s="161">
        <f t="shared" si="37"/>
        <v>2546.3000000000002</v>
      </c>
      <c r="AK78" s="161">
        <f t="shared" si="37"/>
        <v>2489.2999999999997</v>
      </c>
      <c r="AL78" s="162">
        <f t="shared" si="37"/>
        <v>2569.4</v>
      </c>
      <c r="AM78" s="161">
        <f t="shared" si="37"/>
        <v>2530.6999999999998</v>
      </c>
      <c r="AN78" s="161">
        <f t="shared" si="37"/>
        <v>2431.7000000000003</v>
      </c>
      <c r="AO78" s="161">
        <f t="shared" si="37"/>
        <v>2340.3000000000002</v>
      </c>
      <c r="AP78" s="162">
        <f t="shared" si="37"/>
        <v>2145.6</v>
      </c>
      <c r="AQ78" s="161">
        <f t="shared" si="37"/>
        <v>2100.1999999999998</v>
      </c>
      <c r="AR78" s="161">
        <f t="shared" si="37"/>
        <v>1969.5</v>
      </c>
      <c r="AS78" s="161">
        <f t="shared" si="37"/>
        <v>1875.6</v>
      </c>
      <c r="AT78" s="161">
        <f t="shared" si="37"/>
        <v>1735.9</v>
      </c>
    </row>
    <row r="79" spans="1:46" s="6" customFormat="1" ht="10.8">
      <c r="A79" s="176" t="s">
        <v>192</v>
      </c>
      <c r="B79" s="176" t="s">
        <v>168</v>
      </c>
      <c r="C79" s="167">
        <v>5.4</v>
      </c>
      <c r="D79" s="168">
        <v>10.6</v>
      </c>
      <c r="E79" s="168">
        <v>10.3</v>
      </c>
      <c r="F79" s="168">
        <v>9.9</v>
      </c>
      <c r="G79" s="167">
        <v>12</v>
      </c>
      <c r="H79" s="168">
        <v>16.3</v>
      </c>
      <c r="I79" s="168">
        <v>12.9</v>
      </c>
      <c r="J79" s="169">
        <v>11.9</v>
      </c>
      <c r="K79" s="167">
        <v>7.9</v>
      </c>
      <c r="L79" s="196">
        <f>14.8+0.1</f>
        <v>14.9</v>
      </c>
      <c r="M79" s="196">
        <f>16.8+0.1</f>
        <v>16.900000000000002</v>
      </c>
      <c r="N79" s="197">
        <v>7.5</v>
      </c>
      <c r="O79" s="196">
        <f>36.5+0.1</f>
        <v>36.6</v>
      </c>
      <c r="P79" s="196">
        <v>64</v>
      </c>
      <c r="Q79" s="196">
        <f>56+0.2</f>
        <v>56.2</v>
      </c>
      <c r="R79" s="197">
        <f>8.4+0.1</f>
        <v>8.5</v>
      </c>
      <c r="S79" s="196">
        <f>62.7+0.1</f>
        <v>62.800000000000004</v>
      </c>
      <c r="T79" s="196">
        <f>64.9+0.3</f>
        <v>65.2</v>
      </c>
      <c r="U79" s="196">
        <f>109+0.1</f>
        <v>109.1</v>
      </c>
      <c r="V79" s="197">
        <f>34.7+0.1</f>
        <v>34.800000000000004</v>
      </c>
      <c r="W79" s="196">
        <v>105.3</v>
      </c>
      <c r="X79" s="196">
        <f>114.5+0.1</f>
        <v>114.6</v>
      </c>
      <c r="Y79" s="196">
        <f>86.4+0.1</f>
        <v>86.5</v>
      </c>
      <c r="Z79" s="197">
        <f>9.5+0.3</f>
        <v>9.8000000000000007</v>
      </c>
      <c r="AA79" s="196">
        <f>64+0.2</f>
        <v>64.2</v>
      </c>
      <c r="AB79" s="196">
        <f>100.4+0.1</f>
        <v>100.5</v>
      </c>
      <c r="AC79" s="196">
        <f>132.4+0.1</f>
        <v>132.5</v>
      </c>
      <c r="AD79" s="197">
        <f>32.6+0.1</f>
        <v>32.700000000000003</v>
      </c>
      <c r="AE79" s="196">
        <f>86.5+0.1</f>
        <v>86.6</v>
      </c>
      <c r="AF79" s="196">
        <f>108.2+0.1</f>
        <v>108.3</v>
      </c>
      <c r="AG79" s="196">
        <f>93.1+0.1</f>
        <v>93.199999999999989</v>
      </c>
      <c r="AH79" s="197">
        <f>6.7+0.1</f>
        <v>6.8</v>
      </c>
      <c r="AI79" s="168">
        <v>88.8</v>
      </c>
      <c r="AJ79" s="168">
        <v>76.400000000000006</v>
      </c>
      <c r="AK79" s="168">
        <v>77.599999999999994</v>
      </c>
      <c r="AL79" s="169">
        <v>6.8</v>
      </c>
      <c r="AM79" s="168">
        <v>85.5</v>
      </c>
      <c r="AN79" s="168">
        <v>103.8</v>
      </c>
      <c r="AO79" s="168">
        <v>110.5</v>
      </c>
      <c r="AP79" s="169">
        <v>7.4</v>
      </c>
      <c r="AQ79" s="168">
        <v>88.7</v>
      </c>
      <c r="AR79" s="168">
        <v>79.3</v>
      </c>
      <c r="AS79" s="168">
        <v>85.5</v>
      </c>
      <c r="AT79" s="169">
        <v>5.5</v>
      </c>
    </row>
    <row r="80" spans="1:46" s="6" customFormat="1" ht="10.8">
      <c r="A80" s="176" t="s">
        <v>193</v>
      </c>
      <c r="B80" s="176" t="s">
        <v>170</v>
      </c>
      <c r="C80" s="167">
        <f>623.7+1.7-3.3</f>
        <v>622.10000000000014</v>
      </c>
      <c r="D80" s="168">
        <f>593.1+2-1.4</f>
        <v>593.70000000000005</v>
      </c>
      <c r="E80" s="168">
        <f>600.5+3.2-1.4</f>
        <v>602.30000000000007</v>
      </c>
      <c r="F80" s="168">
        <f>687.3-1.4</f>
        <v>685.9</v>
      </c>
      <c r="G80" s="167">
        <f>658-1.2</f>
        <v>656.8</v>
      </c>
      <c r="H80" s="168">
        <f>658.7-3</f>
        <v>655.7</v>
      </c>
      <c r="I80" s="168">
        <f>675.2-3.4</f>
        <v>671.80000000000007</v>
      </c>
      <c r="J80" s="169">
        <f>962-3</f>
        <v>959</v>
      </c>
      <c r="K80" s="167">
        <f>921.7-2.8</f>
        <v>918.90000000000009</v>
      </c>
      <c r="L80" s="168">
        <f>944.7-0.7</f>
        <v>944</v>
      </c>
      <c r="M80" s="168">
        <v>1160.5</v>
      </c>
      <c r="N80" s="169">
        <v>2297.8000000000002</v>
      </c>
      <c r="O80" s="168">
        <v>2220.5</v>
      </c>
      <c r="P80" s="168">
        <f>2325.7-0.6</f>
        <v>2325.1</v>
      </c>
      <c r="Q80" s="168">
        <f>2423.2-6.4</f>
        <v>2416.7999999999997</v>
      </c>
      <c r="R80" s="169">
        <v>2807.7</v>
      </c>
      <c r="S80" s="168">
        <v>2722.4</v>
      </c>
      <c r="T80" s="168">
        <f>-0.6+2675.6</f>
        <v>2675</v>
      </c>
      <c r="U80" s="168">
        <f>-0.8+2782.5</f>
        <v>2781.7</v>
      </c>
      <c r="V80" s="169">
        <v>3235.7999999999997</v>
      </c>
      <c r="W80" s="168">
        <v>3108.5</v>
      </c>
      <c r="X80" s="168">
        <v>3028</v>
      </c>
      <c r="Y80" s="168">
        <v>3050.8</v>
      </c>
      <c r="Z80" s="169">
        <v>3080.9</v>
      </c>
      <c r="AA80" s="168">
        <v>2959.3</v>
      </c>
      <c r="AB80" s="168">
        <v>2822.9</v>
      </c>
      <c r="AC80" s="168">
        <v>2660.2</v>
      </c>
      <c r="AD80" s="169">
        <v>2595.6999999999998</v>
      </c>
      <c r="AE80" s="168">
        <v>2492.6999999999998</v>
      </c>
      <c r="AF80" s="168">
        <v>2416.3000000000002</v>
      </c>
      <c r="AG80" s="168">
        <v>2425.1</v>
      </c>
      <c r="AH80" s="169">
        <v>2653.7</v>
      </c>
      <c r="AI80" s="168">
        <v>2523.8000000000002</v>
      </c>
      <c r="AJ80" s="168">
        <v>2469.9</v>
      </c>
      <c r="AK80" s="168">
        <v>2411.6999999999998</v>
      </c>
      <c r="AL80" s="169">
        <v>2562.6</v>
      </c>
      <c r="AM80" s="168">
        <v>2445.1999999999998</v>
      </c>
      <c r="AN80" s="168">
        <v>2327.9</v>
      </c>
      <c r="AO80" s="168">
        <v>2229.8000000000002</v>
      </c>
      <c r="AP80" s="169">
        <v>2138.1999999999998</v>
      </c>
      <c r="AQ80" s="168">
        <v>2011.5</v>
      </c>
      <c r="AR80" s="168">
        <v>1890.2</v>
      </c>
      <c r="AS80" s="168">
        <v>1790.1</v>
      </c>
      <c r="AT80" s="169">
        <v>1730.4</v>
      </c>
    </row>
    <row r="81" spans="1:46" s="150" customFormat="1" ht="10.8">
      <c r="A81" s="163" t="s">
        <v>213</v>
      </c>
      <c r="B81" s="163" t="s">
        <v>172</v>
      </c>
      <c r="C81" s="160">
        <v>0</v>
      </c>
      <c r="D81" s="161">
        <v>0</v>
      </c>
      <c r="E81" s="161">
        <v>0</v>
      </c>
      <c r="F81" s="161">
        <v>0</v>
      </c>
      <c r="G81" s="160">
        <v>0</v>
      </c>
      <c r="H81" s="161">
        <v>0</v>
      </c>
      <c r="I81" s="161">
        <v>0</v>
      </c>
      <c r="J81" s="162">
        <v>0</v>
      </c>
      <c r="K81" s="160">
        <v>0</v>
      </c>
      <c r="L81" s="161">
        <v>0</v>
      </c>
      <c r="M81" s="161">
        <v>0</v>
      </c>
      <c r="N81" s="162">
        <v>0</v>
      </c>
      <c r="O81" s="161">
        <v>0</v>
      </c>
      <c r="P81" s="161">
        <v>0</v>
      </c>
      <c r="Q81" s="161">
        <v>0</v>
      </c>
      <c r="R81" s="162">
        <v>0</v>
      </c>
      <c r="S81" s="161">
        <v>0</v>
      </c>
      <c r="T81" s="161">
        <v>0</v>
      </c>
      <c r="U81" s="161">
        <v>0</v>
      </c>
      <c r="V81" s="162">
        <v>0</v>
      </c>
      <c r="W81" s="161">
        <v>177.5</v>
      </c>
      <c r="X81" s="161">
        <v>172.6</v>
      </c>
      <c r="Y81" s="161">
        <v>11.1</v>
      </c>
      <c r="Z81" s="162">
        <v>12.6</v>
      </c>
      <c r="AA81" s="161">
        <v>11.9</v>
      </c>
      <c r="AB81" s="161">
        <v>0</v>
      </c>
      <c r="AC81" s="161">
        <v>0</v>
      </c>
      <c r="AD81" s="162">
        <v>0</v>
      </c>
      <c r="AE81" s="161">
        <v>0</v>
      </c>
      <c r="AF81" s="161">
        <v>0</v>
      </c>
      <c r="AG81" s="161">
        <v>0</v>
      </c>
      <c r="AH81" s="162">
        <v>0</v>
      </c>
      <c r="AI81" s="161">
        <v>0.1</v>
      </c>
      <c r="AJ81" s="161">
        <v>0</v>
      </c>
      <c r="AK81" s="161">
        <v>0</v>
      </c>
      <c r="AL81" s="162">
        <v>0</v>
      </c>
      <c r="AM81" s="161">
        <v>0</v>
      </c>
      <c r="AN81" s="161">
        <v>0</v>
      </c>
      <c r="AO81" s="161">
        <v>0</v>
      </c>
      <c r="AP81" s="162">
        <v>0</v>
      </c>
      <c r="AQ81" s="161">
        <v>0</v>
      </c>
      <c r="AR81" s="161">
        <v>0</v>
      </c>
      <c r="AS81" s="161">
        <v>0.2</v>
      </c>
      <c r="AT81" s="162">
        <v>0.1</v>
      </c>
    </row>
    <row r="82" spans="1:46" s="150" customFormat="1" ht="10.8">
      <c r="A82" s="163" t="s">
        <v>214</v>
      </c>
      <c r="B82" s="163" t="s">
        <v>174</v>
      </c>
      <c r="C82" s="160">
        <f>3.3</f>
        <v>3.3</v>
      </c>
      <c r="D82" s="161">
        <f>1.4</f>
        <v>1.4</v>
      </c>
      <c r="E82" s="161">
        <f>1.4</f>
        <v>1.4</v>
      </c>
      <c r="F82" s="161">
        <f>1.4</f>
        <v>1.4</v>
      </c>
      <c r="G82" s="160">
        <v>1.2</v>
      </c>
      <c r="H82" s="161">
        <v>3</v>
      </c>
      <c r="I82" s="161">
        <v>3.4</v>
      </c>
      <c r="J82" s="162">
        <v>3</v>
      </c>
      <c r="K82" s="160">
        <v>2.8</v>
      </c>
      <c r="L82" s="161">
        <v>0.7</v>
      </c>
      <c r="M82" s="161">
        <v>0</v>
      </c>
      <c r="N82" s="162">
        <v>0</v>
      </c>
      <c r="O82" s="161">
        <v>0</v>
      </c>
      <c r="P82" s="161">
        <v>0.6</v>
      </c>
      <c r="Q82" s="161">
        <v>6.4</v>
      </c>
      <c r="R82" s="162">
        <v>4.4000000000000004</v>
      </c>
      <c r="S82" s="161">
        <v>4</v>
      </c>
      <c r="T82" s="161">
        <v>0.6</v>
      </c>
      <c r="U82" s="161">
        <v>0.8</v>
      </c>
      <c r="V82" s="162">
        <v>2.2999999999999998</v>
      </c>
      <c r="W82" s="161">
        <v>5.7</v>
      </c>
      <c r="X82" s="161">
        <v>18.899999999999999</v>
      </c>
      <c r="Y82" s="161">
        <v>24.400000000000002</v>
      </c>
      <c r="Z82" s="162">
        <v>23.299999999999997</v>
      </c>
      <c r="AA82" s="161">
        <v>11.8</v>
      </c>
      <c r="AB82" s="161">
        <v>11.5</v>
      </c>
      <c r="AC82" s="161">
        <v>11.200000000000001</v>
      </c>
      <c r="AD82" s="162">
        <v>16.600000000000001</v>
      </c>
      <c r="AE82" s="161">
        <v>21.700000000000003</v>
      </c>
      <c r="AF82" s="161">
        <v>32.1</v>
      </c>
      <c r="AG82" s="161">
        <v>30.1</v>
      </c>
      <c r="AH82" s="162">
        <v>33.800000000000004</v>
      </c>
      <c r="AI82" s="161">
        <v>41.2</v>
      </c>
      <c r="AJ82" s="161">
        <v>39.299999999999997</v>
      </c>
      <c r="AK82" s="161">
        <v>38.800000000000004</v>
      </c>
      <c r="AL82" s="162">
        <v>45</v>
      </c>
      <c r="AM82" s="161">
        <v>51</v>
      </c>
      <c r="AN82" s="161">
        <v>60.800000000000004</v>
      </c>
      <c r="AO82" s="161">
        <v>72</v>
      </c>
      <c r="AP82" s="162">
        <v>84.6</v>
      </c>
      <c r="AQ82" s="161">
        <v>95.8</v>
      </c>
      <c r="AR82" s="161">
        <v>98.9</v>
      </c>
      <c r="AS82" s="161">
        <v>86.3</v>
      </c>
      <c r="AT82" s="162">
        <v>85.8</v>
      </c>
    </row>
    <row r="83" spans="1:46" s="150" customFormat="1" ht="10.8">
      <c r="A83" s="163" t="s">
        <v>215</v>
      </c>
      <c r="B83" s="189" t="s">
        <v>216</v>
      </c>
      <c r="C83" s="160">
        <v>0</v>
      </c>
      <c r="D83" s="161">
        <v>0</v>
      </c>
      <c r="E83" s="161">
        <v>0</v>
      </c>
      <c r="F83" s="161">
        <v>0</v>
      </c>
      <c r="G83" s="160">
        <v>0</v>
      </c>
      <c r="H83" s="161">
        <v>0</v>
      </c>
      <c r="I83" s="161">
        <v>0</v>
      </c>
      <c r="J83" s="162">
        <v>81.099999999999909</v>
      </c>
      <c r="K83" s="160">
        <v>82.5</v>
      </c>
      <c r="L83" s="161">
        <v>83.099999999999909</v>
      </c>
      <c r="M83" s="161">
        <v>96.5</v>
      </c>
      <c r="N83" s="162">
        <v>338.90000000000009</v>
      </c>
      <c r="O83" s="161">
        <v>352.09999999999991</v>
      </c>
      <c r="P83" s="161">
        <v>405.20000000000027</v>
      </c>
      <c r="Q83" s="161">
        <v>455.09999999999991</v>
      </c>
      <c r="R83" s="162">
        <v>531.30000000000018</v>
      </c>
      <c r="S83" s="161">
        <v>536.09999999999991</v>
      </c>
      <c r="T83" s="161">
        <v>530.40000000000009</v>
      </c>
      <c r="U83" s="161">
        <v>556.60000000000036</v>
      </c>
      <c r="V83" s="162">
        <v>640.90000000000009</v>
      </c>
      <c r="W83" s="161">
        <v>654.5</v>
      </c>
      <c r="X83" s="161">
        <v>690.80000000000018</v>
      </c>
      <c r="Y83" s="161">
        <v>741.5</v>
      </c>
      <c r="Z83" s="162">
        <v>789.40000000000055</v>
      </c>
      <c r="AA83" s="161">
        <v>789.30000000000018</v>
      </c>
      <c r="AB83" s="161">
        <v>752.69999999999982</v>
      </c>
      <c r="AC83" s="161">
        <v>785.70000000000027</v>
      </c>
      <c r="AD83" s="162">
        <v>930.89999999999964</v>
      </c>
      <c r="AE83" s="161">
        <v>958.4</v>
      </c>
      <c r="AF83" s="161">
        <v>974.4</v>
      </c>
      <c r="AG83" s="161">
        <v>1060.3</v>
      </c>
      <c r="AH83" s="162">
        <v>1107.5999999999999</v>
      </c>
      <c r="AI83" s="161">
        <v>1129.5999999999999</v>
      </c>
      <c r="AJ83" s="161">
        <v>1165.8</v>
      </c>
      <c r="AK83" s="161">
        <v>1169.4000000000001</v>
      </c>
      <c r="AL83" s="162">
        <v>1272.5</v>
      </c>
      <c r="AM83" s="161">
        <v>1260</v>
      </c>
      <c r="AN83" s="161">
        <v>1253</v>
      </c>
      <c r="AO83" s="161">
        <v>1233.8</v>
      </c>
      <c r="AP83" s="162">
        <v>1187</v>
      </c>
      <c r="AQ83" s="161">
        <v>1184.5999999999999</v>
      </c>
      <c r="AR83" s="161">
        <v>1166.0999999999999</v>
      </c>
      <c r="AS83" s="161">
        <v>1104.5999999999999</v>
      </c>
      <c r="AT83" s="162">
        <v>1026.7</v>
      </c>
    </row>
    <row r="84" spans="1:46" s="150" customFormat="1" ht="10.8">
      <c r="A84" s="163" t="s">
        <v>217</v>
      </c>
      <c r="B84" s="163" t="s">
        <v>218</v>
      </c>
      <c r="C84" s="160">
        <v>0</v>
      </c>
      <c r="D84" s="161">
        <v>0</v>
      </c>
      <c r="E84" s="161">
        <v>0</v>
      </c>
      <c r="F84" s="161">
        <v>0</v>
      </c>
      <c r="G84" s="160">
        <v>0</v>
      </c>
      <c r="H84" s="161">
        <v>0</v>
      </c>
      <c r="I84" s="161">
        <v>0</v>
      </c>
      <c r="J84" s="162">
        <v>1654</v>
      </c>
      <c r="K84" s="160">
        <v>3775.2</v>
      </c>
      <c r="L84" s="161">
        <v>3439.1</v>
      </c>
      <c r="M84" s="161">
        <v>3348.9</v>
      </c>
      <c r="N84" s="162">
        <v>3261.9</v>
      </c>
      <c r="O84" s="161">
        <v>3147.9</v>
      </c>
      <c r="P84" s="161">
        <v>3447.7</v>
      </c>
      <c r="Q84" s="161">
        <v>3425.1</v>
      </c>
      <c r="R84" s="162">
        <v>3268.5</v>
      </c>
      <c r="S84" s="161">
        <v>3215.6</v>
      </c>
      <c r="T84" s="161">
        <v>3189</v>
      </c>
      <c r="U84" s="161">
        <v>3786.2</v>
      </c>
      <c r="V84" s="162">
        <v>3872.6</v>
      </c>
      <c r="W84" s="161">
        <v>3680.7</v>
      </c>
      <c r="X84" s="161">
        <v>3758.2</v>
      </c>
      <c r="Y84" s="161">
        <v>3732.5</v>
      </c>
      <c r="Z84" s="162">
        <v>3779.7</v>
      </c>
      <c r="AA84" s="161">
        <v>3817.7</v>
      </c>
      <c r="AB84" s="161">
        <v>3794.3</v>
      </c>
      <c r="AC84" s="161">
        <v>3723.1</v>
      </c>
      <c r="AD84" s="162">
        <v>3685.8</v>
      </c>
      <c r="AE84" s="161">
        <v>3750.2</v>
      </c>
      <c r="AF84" s="161">
        <v>3723.5</v>
      </c>
      <c r="AG84" s="161">
        <v>3800.5</v>
      </c>
      <c r="AH84" s="162">
        <v>3923.9</v>
      </c>
      <c r="AI84" s="161">
        <v>3750.6</v>
      </c>
      <c r="AJ84" s="161">
        <v>3711.2</v>
      </c>
      <c r="AK84" s="161">
        <v>3793.6</v>
      </c>
      <c r="AL84" s="162">
        <v>3838.6</v>
      </c>
      <c r="AM84" s="161">
        <v>3853.4</v>
      </c>
      <c r="AN84" s="161">
        <v>3909.7</v>
      </c>
      <c r="AO84" s="161">
        <v>3822.7</v>
      </c>
      <c r="AP84" s="162">
        <v>3910.7</v>
      </c>
      <c r="AQ84" s="161">
        <v>3686.5</v>
      </c>
      <c r="AR84" s="161">
        <v>3589.8</v>
      </c>
      <c r="AS84" s="161">
        <v>3674.4</v>
      </c>
      <c r="AT84" s="162">
        <v>3564.8</v>
      </c>
    </row>
    <row r="85" spans="1:46" s="150" customFormat="1" ht="10.8">
      <c r="A85" s="163" t="s">
        <v>177</v>
      </c>
      <c r="B85" s="163" t="s">
        <v>178</v>
      </c>
      <c r="C85" s="160">
        <v>0</v>
      </c>
      <c r="D85" s="161">
        <v>0</v>
      </c>
      <c r="E85" s="161">
        <v>0</v>
      </c>
      <c r="F85" s="161">
        <v>0</v>
      </c>
      <c r="G85" s="160">
        <v>0</v>
      </c>
      <c r="H85" s="161">
        <v>0</v>
      </c>
      <c r="I85" s="161">
        <v>0</v>
      </c>
      <c r="J85" s="162">
        <v>0</v>
      </c>
      <c r="K85" s="160">
        <v>0</v>
      </c>
      <c r="L85" s="198">
        <v>0</v>
      </c>
      <c r="M85" s="198">
        <v>0</v>
      </c>
      <c r="N85" s="199">
        <v>0</v>
      </c>
      <c r="O85" s="198">
        <v>0</v>
      </c>
      <c r="P85" s="198">
        <v>0</v>
      </c>
      <c r="Q85" s="198">
        <v>0</v>
      </c>
      <c r="R85" s="199">
        <v>0</v>
      </c>
      <c r="S85" s="198">
        <v>0</v>
      </c>
      <c r="T85" s="198">
        <v>0</v>
      </c>
      <c r="U85" s="198">
        <v>0</v>
      </c>
      <c r="V85" s="199">
        <v>0</v>
      </c>
      <c r="W85" s="198">
        <v>0</v>
      </c>
      <c r="X85" s="198">
        <v>0</v>
      </c>
      <c r="Y85" s="198">
        <v>0</v>
      </c>
      <c r="Z85" s="199">
        <v>0</v>
      </c>
      <c r="AA85" s="198">
        <v>0</v>
      </c>
      <c r="AB85" s="198">
        <v>0</v>
      </c>
      <c r="AC85" s="198">
        <v>0</v>
      </c>
      <c r="AD85" s="199">
        <v>0</v>
      </c>
      <c r="AE85" s="198">
        <v>0</v>
      </c>
      <c r="AF85" s="198">
        <v>0</v>
      </c>
      <c r="AG85" s="198">
        <v>0</v>
      </c>
      <c r="AH85" s="199">
        <v>0</v>
      </c>
      <c r="AI85" s="161">
        <v>0</v>
      </c>
      <c r="AJ85" s="161">
        <v>0</v>
      </c>
      <c r="AK85" s="161">
        <v>0</v>
      </c>
      <c r="AL85" s="162">
        <v>0</v>
      </c>
      <c r="AM85" s="161">
        <v>0</v>
      </c>
      <c r="AN85" s="161">
        <v>0</v>
      </c>
      <c r="AO85" s="161">
        <v>0</v>
      </c>
      <c r="AP85" s="162">
        <v>0</v>
      </c>
      <c r="AQ85" s="161">
        <v>0</v>
      </c>
      <c r="AR85" s="161">
        <v>0</v>
      </c>
      <c r="AS85" s="161">
        <v>0</v>
      </c>
      <c r="AT85" s="162">
        <v>0</v>
      </c>
    </row>
    <row r="86" spans="1:46" s="150" customFormat="1" ht="10.8">
      <c r="A86" s="177" t="s">
        <v>179</v>
      </c>
      <c r="B86" s="177" t="s">
        <v>136</v>
      </c>
      <c r="C86" s="156">
        <f>SUM(C78,C81:C85)</f>
        <v>630.80000000000007</v>
      </c>
      <c r="D86" s="157">
        <f t="shared" ref="D86:AT86" si="38">SUM(D78,D81:D85)</f>
        <v>605.70000000000005</v>
      </c>
      <c r="E86" s="157">
        <f t="shared" si="38"/>
        <v>614</v>
      </c>
      <c r="F86" s="157">
        <f t="shared" si="38"/>
        <v>697.19999999999993</v>
      </c>
      <c r="G86" s="156">
        <f t="shared" si="38"/>
        <v>670</v>
      </c>
      <c r="H86" s="157">
        <f t="shared" si="38"/>
        <v>675</v>
      </c>
      <c r="I86" s="157">
        <f t="shared" si="38"/>
        <v>688.1</v>
      </c>
      <c r="J86" s="158">
        <f t="shared" si="38"/>
        <v>2709</v>
      </c>
      <c r="K86" s="156">
        <f t="shared" si="38"/>
        <v>4787.3</v>
      </c>
      <c r="L86" s="157">
        <f t="shared" si="38"/>
        <v>4481.7999999999993</v>
      </c>
      <c r="M86" s="157">
        <f t="shared" si="38"/>
        <v>4622.8</v>
      </c>
      <c r="N86" s="158">
        <f t="shared" si="38"/>
        <v>5906.1</v>
      </c>
      <c r="O86" s="156">
        <f t="shared" si="38"/>
        <v>5757.1</v>
      </c>
      <c r="P86" s="157">
        <f t="shared" si="38"/>
        <v>6242.6</v>
      </c>
      <c r="Q86" s="157">
        <f t="shared" si="38"/>
        <v>6359.5999999999995</v>
      </c>
      <c r="R86" s="158">
        <f t="shared" si="38"/>
        <v>6620.4</v>
      </c>
      <c r="S86" s="156">
        <f t="shared" si="38"/>
        <v>6540.9</v>
      </c>
      <c r="T86" s="157">
        <f t="shared" si="38"/>
        <v>6460.2</v>
      </c>
      <c r="U86" s="157">
        <f t="shared" si="38"/>
        <v>7234.4</v>
      </c>
      <c r="V86" s="158">
        <f t="shared" si="38"/>
        <v>7786.4</v>
      </c>
      <c r="W86" s="156">
        <f t="shared" si="38"/>
        <v>7732.2</v>
      </c>
      <c r="X86" s="157">
        <f t="shared" si="38"/>
        <v>7783.1</v>
      </c>
      <c r="Y86" s="157">
        <f t="shared" si="38"/>
        <v>7646.8</v>
      </c>
      <c r="Z86" s="158">
        <f t="shared" si="38"/>
        <v>7695.7000000000007</v>
      </c>
      <c r="AA86" s="156">
        <f t="shared" si="38"/>
        <v>7654.2000000000007</v>
      </c>
      <c r="AB86" s="157">
        <f t="shared" si="38"/>
        <v>7481.9</v>
      </c>
      <c r="AC86" s="157">
        <f t="shared" si="38"/>
        <v>7312.7</v>
      </c>
      <c r="AD86" s="158">
        <f t="shared" si="38"/>
        <v>7261.6999999999989</v>
      </c>
      <c r="AE86" s="157">
        <f t="shared" si="38"/>
        <v>7309.5999999999995</v>
      </c>
      <c r="AF86" s="157">
        <f t="shared" si="38"/>
        <v>7254.6</v>
      </c>
      <c r="AG86" s="157">
        <f t="shared" si="38"/>
        <v>7409.2</v>
      </c>
      <c r="AH86" s="158">
        <f t="shared" si="38"/>
        <v>7725.8</v>
      </c>
      <c r="AI86" s="157">
        <f t="shared" si="38"/>
        <v>7534.1</v>
      </c>
      <c r="AJ86" s="157">
        <f t="shared" si="38"/>
        <v>7462.6</v>
      </c>
      <c r="AK86" s="157">
        <f t="shared" si="38"/>
        <v>7491.1</v>
      </c>
      <c r="AL86" s="158">
        <f t="shared" si="38"/>
        <v>7725.5</v>
      </c>
      <c r="AM86" s="157">
        <f t="shared" si="38"/>
        <v>7695.1</v>
      </c>
      <c r="AN86" s="157">
        <f t="shared" si="38"/>
        <v>7655.2000000000007</v>
      </c>
      <c r="AO86" s="157">
        <f t="shared" si="38"/>
        <v>7468.8</v>
      </c>
      <c r="AP86" s="158">
        <f t="shared" si="38"/>
        <v>7327.9</v>
      </c>
      <c r="AQ86" s="157">
        <f t="shared" si="38"/>
        <v>7067.1</v>
      </c>
      <c r="AR86" s="157">
        <f t="shared" si="38"/>
        <v>6824.3</v>
      </c>
      <c r="AS86" s="157">
        <f t="shared" si="38"/>
        <v>6741.1</v>
      </c>
      <c r="AT86" s="157">
        <f t="shared" si="38"/>
        <v>6413.3</v>
      </c>
    </row>
    <row r="87" spans="1:46" s="150" customFormat="1" ht="10.8">
      <c r="A87" s="163" t="s">
        <v>137</v>
      </c>
      <c r="B87" s="163" t="s">
        <v>138</v>
      </c>
      <c r="C87" s="160">
        <f>SUM(C88:C91)</f>
        <v>-34.700000000000003</v>
      </c>
      <c r="D87" s="161">
        <f t="shared" ref="D87:AT87" si="39">SUM(D88:D91)</f>
        <v>-32.6</v>
      </c>
      <c r="E87" s="161">
        <f t="shared" si="39"/>
        <v>-30.8</v>
      </c>
      <c r="F87" s="161">
        <f t="shared" si="39"/>
        <v>-29.5</v>
      </c>
      <c r="G87" s="160">
        <f t="shared" si="39"/>
        <v>-28.4</v>
      </c>
      <c r="H87" s="161">
        <f t="shared" si="39"/>
        <v>-26.9</v>
      </c>
      <c r="I87" s="161">
        <f t="shared" si="39"/>
        <v>-17.2</v>
      </c>
      <c r="J87" s="162">
        <f t="shared" si="39"/>
        <v>-17.899999999999999</v>
      </c>
      <c r="K87" s="160">
        <f t="shared" si="39"/>
        <v>-17.2</v>
      </c>
      <c r="L87" s="161">
        <f t="shared" si="39"/>
        <v>-7.5</v>
      </c>
      <c r="M87" s="161">
        <f t="shared" si="39"/>
        <v>-2.9</v>
      </c>
      <c r="N87" s="162">
        <f t="shared" si="39"/>
        <v>-5.4</v>
      </c>
      <c r="O87" s="160">
        <f t="shared" si="39"/>
        <v>-2.2000000000000002</v>
      </c>
      <c r="P87" s="161">
        <f t="shared" si="39"/>
        <v>-2.2000000000000002</v>
      </c>
      <c r="Q87" s="161">
        <f t="shared" si="39"/>
        <v>-2.2999999999999998</v>
      </c>
      <c r="R87" s="162">
        <f t="shared" si="39"/>
        <v>-1.5</v>
      </c>
      <c r="S87" s="160">
        <f t="shared" si="39"/>
        <v>-1.5</v>
      </c>
      <c r="T87" s="161">
        <f t="shared" si="39"/>
        <v>-1.4</v>
      </c>
      <c r="U87" s="161">
        <f t="shared" si="39"/>
        <v>-1.5</v>
      </c>
      <c r="V87" s="162">
        <f t="shared" si="39"/>
        <v>-1.4</v>
      </c>
      <c r="W87" s="160">
        <f t="shared" si="39"/>
        <v>-1.4</v>
      </c>
      <c r="X87" s="161">
        <f t="shared" si="39"/>
        <v>-1.5</v>
      </c>
      <c r="Y87" s="161">
        <f t="shared" si="39"/>
        <v>-0.79999999999999993</v>
      </c>
      <c r="Z87" s="162">
        <f t="shared" si="39"/>
        <v>-0.8</v>
      </c>
      <c r="AA87" s="160">
        <f t="shared" si="39"/>
        <v>-0.8</v>
      </c>
      <c r="AB87" s="161">
        <f t="shared" si="39"/>
        <v>-0.6</v>
      </c>
      <c r="AC87" s="161">
        <f t="shared" si="39"/>
        <v>-0.6</v>
      </c>
      <c r="AD87" s="162">
        <f t="shared" si="39"/>
        <v>-1</v>
      </c>
      <c r="AE87" s="160">
        <f t="shared" si="39"/>
        <v>-1.2</v>
      </c>
      <c r="AF87" s="161">
        <f t="shared" si="39"/>
        <v>-1.2</v>
      </c>
      <c r="AG87" s="161">
        <f t="shared" si="39"/>
        <v>-1.2</v>
      </c>
      <c r="AH87" s="162">
        <f t="shared" si="39"/>
        <v>-1.2</v>
      </c>
      <c r="AI87" s="161">
        <f t="shared" si="39"/>
        <v>-1.7000000000000002</v>
      </c>
      <c r="AJ87" s="161">
        <f t="shared" si="39"/>
        <v>-1.5</v>
      </c>
      <c r="AK87" s="161">
        <f t="shared" si="39"/>
        <v>-1.5</v>
      </c>
      <c r="AL87" s="162">
        <f t="shared" si="39"/>
        <v>-1.5</v>
      </c>
      <c r="AM87" s="161">
        <f t="shared" si="39"/>
        <v>-1.5999999999999999</v>
      </c>
      <c r="AN87" s="161">
        <f t="shared" si="39"/>
        <v>-1.8</v>
      </c>
      <c r="AO87" s="161">
        <f>SUM(AO88:AO91)</f>
        <v>-1.9000000000000001</v>
      </c>
      <c r="AP87" s="162">
        <f t="shared" si="39"/>
        <v>-1.9000000000000001</v>
      </c>
      <c r="AQ87" s="161">
        <f t="shared" si="39"/>
        <v>-1.9</v>
      </c>
      <c r="AR87" s="161">
        <f t="shared" si="39"/>
        <v>-2</v>
      </c>
      <c r="AS87" s="161">
        <f t="shared" si="39"/>
        <v>-2</v>
      </c>
      <c r="AT87" s="161">
        <f t="shared" si="39"/>
        <v>-1.9</v>
      </c>
    </row>
    <row r="88" spans="1:46" s="6" customFormat="1" ht="10.8">
      <c r="A88" s="190" t="s">
        <v>201</v>
      </c>
      <c r="B88" s="178" t="s">
        <v>181</v>
      </c>
      <c r="C88" s="167">
        <v>-34.700000000000003</v>
      </c>
      <c r="D88" s="168">
        <v>-32.6</v>
      </c>
      <c r="E88" s="168">
        <v>-30.8</v>
      </c>
      <c r="F88" s="168">
        <v>-29.5</v>
      </c>
      <c r="G88" s="167">
        <v>-28.4</v>
      </c>
      <c r="H88" s="168">
        <v>-26.9</v>
      </c>
      <c r="I88" s="168">
        <v>-17.2</v>
      </c>
      <c r="J88" s="169">
        <v>-17.899999999999999</v>
      </c>
      <c r="K88" s="167">
        <v>-17.2</v>
      </c>
      <c r="L88" s="168">
        <v>-7.5</v>
      </c>
      <c r="M88" s="168">
        <v>-2.9</v>
      </c>
      <c r="N88" s="169">
        <v>-5.4</v>
      </c>
      <c r="O88" s="167">
        <v>-2.2000000000000002</v>
      </c>
      <c r="P88" s="168">
        <v>-2.2000000000000002</v>
      </c>
      <c r="Q88" s="168">
        <v>-2.2999999999999998</v>
      </c>
      <c r="R88" s="169">
        <v>-1.5</v>
      </c>
      <c r="S88" s="167">
        <v>-1.5</v>
      </c>
      <c r="T88" s="168">
        <v>-1.4</v>
      </c>
      <c r="U88" s="168">
        <v>-1.5</v>
      </c>
      <c r="V88" s="169">
        <v>-1.4</v>
      </c>
      <c r="W88" s="167">
        <v>-1.4</v>
      </c>
      <c r="X88" s="168">
        <v>-1.5</v>
      </c>
      <c r="Y88" s="168">
        <v>-0.7</v>
      </c>
      <c r="Z88" s="169">
        <v>-0.8</v>
      </c>
      <c r="AA88" s="167">
        <v>-0.8</v>
      </c>
      <c r="AB88" s="168">
        <v>-0.5</v>
      </c>
      <c r="AC88" s="168">
        <v>-0.5</v>
      </c>
      <c r="AD88" s="169">
        <v>-0.6</v>
      </c>
      <c r="AE88" s="167">
        <v>-0.79999999999999993</v>
      </c>
      <c r="AF88" s="168">
        <v>-0.79999999999999993</v>
      </c>
      <c r="AG88" s="168">
        <v>-0.79999999999999993</v>
      </c>
      <c r="AH88" s="169">
        <v>-0.7</v>
      </c>
      <c r="AI88" s="168">
        <v>-1.1000000000000001</v>
      </c>
      <c r="AJ88" s="168">
        <v>-0.9</v>
      </c>
      <c r="AK88" s="168">
        <v>-0.8</v>
      </c>
      <c r="AL88" s="169">
        <v>-0.7</v>
      </c>
      <c r="AM88" s="168">
        <v>-0.7</v>
      </c>
      <c r="AN88" s="168">
        <v>-0.8</v>
      </c>
      <c r="AO88" s="168">
        <v>-0.8</v>
      </c>
      <c r="AP88" s="169">
        <v>-0.8</v>
      </c>
      <c r="AQ88" s="168">
        <v>-0.7</v>
      </c>
      <c r="AR88" s="168">
        <v>-0.8</v>
      </c>
      <c r="AS88" s="168">
        <v>-0.8</v>
      </c>
      <c r="AT88" s="169">
        <v>-0.8</v>
      </c>
    </row>
    <row r="89" spans="1:46" s="6" customFormat="1" ht="10.8">
      <c r="A89" s="176" t="s">
        <v>204</v>
      </c>
      <c r="B89" s="176" t="s">
        <v>205</v>
      </c>
      <c r="C89" s="167">
        <v>0</v>
      </c>
      <c r="D89" s="168">
        <v>0</v>
      </c>
      <c r="E89" s="168">
        <v>0</v>
      </c>
      <c r="F89" s="168">
        <v>0</v>
      </c>
      <c r="G89" s="167">
        <v>0</v>
      </c>
      <c r="H89" s="168">
        <v>0</v>
      </c>
      <c r="I89" s="168">
        <v>0</v>
      </c>
      <c r="J89" s="169">
        <v>0</v>
      </c>
      <c r="K89" s="167">
        <v>0</v>
      </c>
      <c r="L89" s="168">
        <v>0</v>
      </c>
      <c r="M89" s="168">
        <v>0</v>
      </c>
      <c r="N89" s="169">
        <v>0</v>
      </c>
      <c r="O89" s="167">
        <v>0</v>
      </c>
      <c r="P89" s="168">
        <v>0</v>
      </c>
      <c r="Q89" s="168">
        <v>0</v>
      </c>
      <c r="R89" s="169">
        <v>0</v>
      </c>
      <c r="S89" s="167">
        <v>0</v>
      </c>
      <c r="T89" s="168">
        <v>0</v>
      </c>
      <c r="U89" s="168">
        <v>0</v>
      </c>
      <c r="V89" s="169">
        <v>0</v>
      </c>
      <c r="W89" s="167">
        <v>0</v>
      </c>
      <c r="X89" s="168">
        <v>0</v>
      </c>
      <c r="Y89" s="168">
        <v>-0.1</v>
      </c>
      <c r="Z89" s="169">
        <v>0</v>
      </c>
      <c r="AA89" s="167">
        <v>0</v>
      </c>
      <c r="AB89" s="168">
        <v>0</v>
      </c>
      <c r="AC89" s="168">
        <v>0</v>
      </c>
      <c r="AD89" s="169">
        <v>0</v>
      </c>
      <c r="AE89" s="167">
        <v>0</v>
      </c>
      <c r="AF89" s="168">
        <v>0</v>
      </c>
      <c r="AG89" s="168">
        <v>0</v>
      </c>
      <c r="AH89" s="169">
        <v>0</v>
      </c>
      <c r="AI89" s="168">
        <v>0</v>
      </c>
      <c r="AJ89" s="168">
        <v>0</v>
      </c>
      <c r="AK89" s="168">
        <v>0</v>
      </c>
      <c r="AL89" s="169">
        <v>0</v>
      </c>
      <c r="AM89" s="168">
        <v>0</v>
      </c>
      <c r="AN89" s="168">
        <v>0</v>
      </c>
      <c r="AO89" s="168">
        <v>0</v>
      </c>
      <c r="AP89" s="169">
        <v>0</v>
      </c>
      <c r="AQ89" s="168">
        <v>-0.1</v>
      </c>
      <c r="AR89" s="168">
        <v>-0.1</v>
      </c>
      <c r="AS89" s="168">
        <v>-0.1</v>
      </c>
      <c r="AT89" s="169">
        <v>-0.1</v>
      </c>
    </row>
    <row r="90" spans="1:46" s="6" customFormat="1" ht="10.8">
      <c r="A90" s="176" t="s">
        <v>219</v>
      </c>
      <c r="B90" s="200" t="s">
        <v>220</v>
      </c>
      <c r="C90" s="167">
        <v>0</v>
      </c>
      <c r="D90" s="168">
        <v>0</v>
      </c>
      <c r="E90" s="168">
        <v>0</v>
      </c>
      <c r="F90" s="168">
        <v>0</v>
      </c>
      <c r="G90" s="167">
        <v>0</v>
      </c>
      <c r="H90" s="168">
        <v>0</v>
      </c>
      <c r="I90" s="168">
        <v>0</v>
      </c>
      <c r="J90" s="169">
        <v>0</v>
      </c>
      <c r="K90" s="167">
        <v>0</v>
      </c>
      <c r="L90" s="168">
        <v>0</v>
      </c>
      <c r="M90" s="168">
        <v>0</v>
      </c>
      <c r="N90" s="169">
        <v>0</v>
      </c>
      <c r="O90" s="167">
        <v>0</v>
      </c>
      <c r="P90" s="168">
        <v>0</v>
      </c>
      <c r="Q90" s="168">
        <v>0</v>
      </c>
      <c r="R90" s="169">
        <v>0</v>
      </c>
      <c r="S90" s="167">
        <v>0</v>
      </c>
      <c r="T90" s="168">
        <v>0</v>
      </c>
      <c r="U90" s="168">
        <v>0</v>
      </c>
      <c r="V90" s="169">
        <v>0</v>
      </c>
      <c r="W90" s="167">
        <v>0</v>
      </c>
      <c r="X90" s="168">
        <v>0</v>
      </c>
      <c r="Y90" s="168">
        <v>0</v>
      </c>
      <c r="Z90" s="169">
        <v>0</v>
      </c>
      <c r="AA90" s="167">
        <v>0</v>
      </c>
      <c r="AB90" s="168">
        <v>0</v>
      </c>
      <c r="AC90" s="168">
        <v>0</v>
      </c>
      <c r="AD90" s="169">
        <v>0</v>
      </c>
      <c r="AE90" s="167">
        <v>0</v>
      </c>
      <c r="AF90" s="168">
        <v>0</v>
      </c>
      <c r="AG90" s="168">
        <v>0</v>
      </c>
      <c r="AH90" s="169">
        <v>0</v>
      </c>
      <c r="AI90" s="168">
        <v>-0.2</v>
      </c>
      <c r="AJ90" s="168">
        <v>-0.2</v>
      </c>
      <c r="AK90" s="168">
        <v>-0.2</v>
      </c>
      <c r="AL90" s="169">
        <v>-0.3</v>
      </c>
      <c r="AM90" s="168">
        <v>-0.19999999999999998</v>
      </c>
      <c r="AN90" s="168">
        <v>-0.3</v>
      </c>
      <c r="AO90" s="168">
        <v>-0.4</v>
      </c>
      <c r="AP90" s="169">
        <v>-0.4</v>
      </c>
      <c r="AQ90" s="168">
        <v>-0.4</v>
      </c>
      <c r="AR90" s="168">
        <v>-0.4</v>
      </c>
      <c r="AS90" s="168">
        <v>-0.4</v>
      </c>
      <c r="AT90" s="169">
        <v>-0.3</v>
      </c>
    </row>
    <row r="91" spans="1:46" s="6" customFormat="1" ht="10.8">
      <c r="A91" s="176" t="s">
        <v>221</v>
      </c>
      <c r="B91" s="176" t="s">
        <v>222</v>
      </c>
      <c r="C91" s="167">
        <v>0</v>
      </c>
      <c r="D91" s="168">
        <v>0</v>
      </c>
      <c r="E91" s="168">
        <v>0</v>
      </c>
      <c r="F91" s="168">
        <v>0</v>
      </c>
      <c r="G91" s="167">
        <v>0</v>
      </c>
      <c r="H91" s="168">
        <v>0</v>
      </c>
      <c r="I91" s="168">
        <v>0</v>
      </c>
      <c r="J91" s="169">
        <v>0</v>
      </c>
      <c r="K91" s="167">
        <v>0</v>
      </c>
      <c r="L91" s="168">
        <v>0</v>
      </c>
      <c r="M91" s="168">
        <v>0</v>
      </c>
      <c r="N91" s="169">
        <v>0</v>
      </c>
      <c r="O91" s="167">
        <v>0</v>
      </c>
      <c r="P91" s="168">
        <v>0</v>
      </c>
      <c r="Q91" s="168">
        <v>0</v>
      </c>
      <c r="R91" s="169">
        <v>0</v>
      </c>
      <c r="S91" s="167">
        <v>0</v>
      </c>
      <c r="T91" s="168">
        <v>0</v>
      </c>
      <c r="U91" s="168">
        <v>0</v>
      </c>
      <c r="V91" s="169">
        <v>0</v>
      </c>
      <c r="W91" s="167">
        <v>0</v>
      </c>
      <c r="X91" s="168">
        <v>0</v>
      </c>
      <c r="Y91" s="168">
        <v>0</v>
      </c>
      <c r="Z91" s="169">
        <v>0</v>
      </c>
      <c r="AA91" s="167">
        <v>0</v>
      </c>
      <c r="AB91" s="168">
        <v>-0.1</v>
      </c>
      <c r="AC91" s="168">
        <v>-0.1</v>
      </c>
      <c r="AD91" s="169">
        <v>-0.4</v>
      </c>
      <c r="AE91" s="167">
        <v>-0.4</v>
      </c>
      <c r="AF91" s="168">
        <v>-0.4</v>
      </c>
      <c r="AG91" s="168">
        <v>-0.4</v>
      </c>
      <c r="AH91" s="169">
        <v>-0.5</v>
      </c>
      <c r="AI91" s="168">
        <v>-0.4</v>
      </c>
      <c r="AJ91" s="168">
        <v>-0.4</v>
      </c>
      <c r="AK91" s="168">
        <v>-0.5</v>
      </c>
      <c r="AL91" s="169">
        <v>-0.5</v>
      </c>
      <c r="AM91" s="168">
        <v>-0.7</v>
      </c>
      <c r="AN91" s="168">
        <v>-0.7</v>
      </c>
      <c r="AO91" s="168">
        <v>-0.7</v>
      </c>
      <c r="AP91" s="169">
        <v>-0.7</v>
      </c>
      <c r="AQ91" s="168">
        <v>-0.7</v>
      </c>
      <c r="AR91" s="168">
        <v>-0.7</v>
      </c>
      <c r="AS91" s="168">
        <v>-0.7</v>
      </c>
      <c r="AT91" s="169">
        <v>-0.7</v>
      </c>
    </row>
    <row r="92" spans="1:46" s="164" customFormat="1" ht="18.600000000000001" customHeight="1">
      <c r="A92" s="143" t="s">
        <v>184</v>
      </c>
      <c r="B92" s="143" t="s">
        <v>185</v>
      </c>
      <c r="C92" s="172">
        <f>C86+C87</f>
        <v>596.1</v>
      </c>
      <c r="D92" s="173">
        <f t="shared" ref="D92:AT92" si="40">D86+D87</f>
        <v>573.1</v>
      </c>
      <c r="E92" s="173">
        <f t="shared" si="40"/>
        <v>583.20000000000005</v>
      </c>
      <c r="F92" s="173">
        <f t="shared" si="40"/>
        <v>667.69999999999993</v>
      </c>
      <c r="G92" s="172">
        <f t="shared" si="40"/>
        <v>641.6</v>
      </c>
      <c r="H92" s="173">
        <f t="shared" si="40"/>
        <v>648.1</v>
      </c>
      <c r="I92" s="173">
        <f t="shared" si="40"/>
        <v>670.9</v>
      </c>
      <c r="J92" s="174">
        <f t="shared" si="40"/>
        <v>2691.1</v>
      </c>
      <c r="K92" s="172">
        <f t="shared" si="40"/>
        <v>4770.1000000000004</v>
      </c>
      <c r="L92" s="173">
        <f t="shared" si="40"/>
        <v>4474.2999999999993</v>
      </c>
      <c r="M92" s="173">
        <f t="shared" si="40"/>
        <v>4619.9000000000005</v>
      </c>
      <c r="N92" s="174">
        <f t="shared" si="40"/>
        <v>5900.7000000000007</v>
      </c>
      <c r="O92" s="172">
        <f t="shared" si="40"/>
        <v>5754.9000000000005</v>
      </c>
      <c r="P92" s="173">
        <f t="shared" si="40"/>
        <v>6240.4000000000005</v>
      </c>
      <c r="Q92" s="173">
        <f t="shared" si="40"/>
        <v>6357.2999999999993</v>
      </c>
      <c r="R92" s="174">
        <f t="shared" si="40"/>
        <v>6618.9</v>
      </c>
      <c r="S92" s="172">
        <f t="shared" si="40"/>
        <v>6539.4</v>
      </c>
      <c r="T92" s="173">
        <f t="shared" si="40"/>
        <v>6458.8</v>
      </c>
      <c r="U92" s="173">
        <f t="shared" si="40"/>
        <v>7232.9</v>
      </c>
      <c r="V92" s="174">
        <f t="shared" si="40"/>
        <v>7785</v>
      </c>
      <c r="W92" s="172">
        <f t="shared" si="40"/>
        <v>7730.8</v>
      </c>
      <c r="X92" s="173">
        <f t="shared" si="40"/>
        <v>7781.6</v>
      </c>
      <c r="Y92" s="173">
        <f t="shared" si="40"/>
        <v>7646</v>
      </c>
      <c r="Z92" s="174">
        <f t="shared" si="40"/>
        <v>7694.9000000000005</v>
      </c>
      <c r="AA92" s="172">
        <f t="shared" si="40"/>
        <v>7653.4000000000005</v>
      </c>
      <c r="AB92" s="173">
        <f t="shared" si="40"/>
        <v>7481.2999999999993</v>
      </c>
      <c r="AC92" s="173">
        <f t="shared" si="40"/>
        <v>7312.0999999999995</v>
      </c>
      <c r="AD92" s="174">
        <f t="shared" si="40"/>
        <v>7260.6999999999989</v>
      </c>
      <c r="AE92" s="172">
        <f t="shared" si="40"/>
        <v>7308.4</v>
      </c>
      <c r="AF92" s="173">
        <f t="shared" si="40"/>
        <v>7253.4000000000005</v>
      </c>
      <c r="AG92" s="173">
        <f t="shared" si="40"/>
        <v>7408</v>
      </c>
      <c r="AH92" s="174">
        <f t="shared" si="40"/>
        <v>7724.6</v>
      </c>
      <c r="AI92" s="173">
        <f t="shared" si="40"/>
        <v>7532.4000000000005</v>
      </c>
      <c r="AJ92" s="173">
        <f t="shared" si="40"/>
        <v>7461.1</v>
      </c>
      <c r="AK92" s="173">
        <f t="shared" si="40"/>
        <v>7489.6</v>
      </c>
      <c r="AL92" s="174">
        <f t="shared" si="40"/>
        <v>7724</v>
      </c>
      <c r="AM92" s="173">
        <f t="shared" si="40"/>
        <v>7693.5</v>
      </c>
      <c r="AN92" s="173">
        <f t="shared" si="40"/>
        <v>7653.4000000000005</v>
      </c>
      <c r="AO92" s="173">
        <f t="shared" si="40"/>
        <v>7466.9000000000005</v>
      </c>
      <c r="AP92" s="174">
        <f t="shared" si="40"/>
        <v>7326</v>
      </c>
      <c r="AQ92" s="173">
        <f t="shared" si="40"/>
        <v>7065.2000000000007</v>
      </c>
      <c r="AR92" s="173">
        <f t="shared" si="40"/>
        <v>6822.3</v>
      </c>
      <c r="AS92" s="173">
        <f t="shared" si="40"/>
        <v>6739.1</v>
      </c>
      <c r="AT92" s="173">
        <f t="shared" si="40"/>
        <v>6411.4000000000005</v>
      </c>
    </row>
    <row r="97" spans="3:46" hidden="1">
      <c r="C97" s="201"/>
      <c r="D97" s="201"/>
      <c r="E97" s="201"/>
      <c r="F97" s="201"/>
      <c r="G97" s="201"/>
      <c r="H97" s="201"/>
      <c r="I97" s="201"/>
      <c r="J97" s="201"/>
      <c r="K97" s="201"/>
      <c r="L97" s="201"/>
      <c r="M97" s="201"/>
      <c r="N97" s="201"/>
      <c r="O97" s="201"/>
      <c r="P97" s="201"/>
      <c r="Q97" s="201"/>
      <c r="R97" s="201"/>
      <c r="S97" s="201"/>
      <c r="T97" s="201"/>
      <c r="U97" s="201"/>
      <c r="V97" s="201"/>
      <c r="W97" s="201"/>
      <c r="X97" s="201"/>
      <c r="Y97" s="201"/>
      <c r="Z97" s="201"/>
      <c r="AA97" s="201"/>
      <c r="AB97" s="201"/>
      <c r="AC97" s="201"/>
      <c r="AD97" s="201"/>
      <c r="AE97" s="201"/>
      <c r="AF97" s="201"/>
      <c r="AG97" s="201"/>
      <c r="AH97" s="201"/>
      <c r="AI97" s="201"/>
      <c r="AJ97" s="201"/>
      <c r="AK97" s="201"/>
      <c r="AL97" s="201"/>
      <c r="AM97" s="201"/>
      <c r="AN97" s="201"/>
      <c r="AO97" s="201"/>
      <c r="AP97" s="201"/>
      <c r="AQ97" s="201"/>
      <c r="AS97" s="201"/>
      <c r="AT97" s="201"/>
    </row>
    <row r="98" spans="3:46" hidden="1">
      <c r="C98" s="201"/>
      <c r="D98" s="201"/>
      <c r="E98" s="201"/>
      <c r="F98" s="201"/>
      <c r="G98" s="201"/>
      <c r="H98" s="201"/>
      <c r="I98" s="201"/>
      <c r="J98" s="201"/>
      <c r="K98" s="201"/>
      <c r="L98" s="201"/>
      <c r="M98" s="201"/>
      <c r="N98" s="201"/>
      <c r="O98" s="201"/>
      <c r="P98" s="201"/>
      <c r="Q98" s="201"/>
      <c r="R98" s="201"/>
      <c r="S98" s="201"/>
      <c r="T98" s="201"/>
      <c r="U98" s="201"/>
      <c r="V98" s="201"/>
      <c r="W98" s="201"/>
      <c r="X98" s="201"/>
      <c r="Y98" s="201"/>
      <c r="Z98" s="201"/>
      <c r="AA98" s="201"/>
      <c r="AB98" s="201"/>
      <c r="AC98" s="201"/>
      <c r="AD98" s="201"/>
      <c r="AE98" s="201"/>
      <c r="AF98" s="201"/>
      <c r="AG98" s="201"/>
      <c r="AH98" s="201"/>
      <c r="AI98" s="201"/>
      <c r="AJ98" s="201"/>
      <c r="AK98" s="201"/>
      <c r="AL98" s="201"/>
      <c r="AM98" s="201"/>
      <c r="AN98" s="201"/>
      <c r="AO98" s="201"/>
      <c r="AP98" s="201"/>
      <c r="AQ98" s="201"/>
      <c r="AS98" s="201"/>
      <c r="AT98" s="201"/>
    </row>
  </sheetData>
  <mergeCells count="13">
    <mergeCell ref="AQ3:AT3"/>
    <mergeCell ref="S3:V3"/>
    <mergeCell ref="W3:Z3"/>
    <mergeCell ref="AA3:AD3"/>
    <mergeCell ref="AE3:AH3"/>
    <mergeCell ref="AI3:AL3"/>
    <mergeCell ref="AM3:AP3"/>
    <mergeCell ref="O3:R3"/>
    <mergeCell ref="A3:A4"/>
    <mergeCell ref="B3:B4"/>
    <mergeCell ref="C3:F3"/>
    <mergeCell ref="G3:J3"/>
    <mergeCell ref="K3:N3"/>
  </mergeCells>
  <hyperlinks>
    <hyperlink ref="A1:B1" location="'Spis tresci_Table of content'!Print_Area" display="Go back to Table of content" xr:uid="{9A0D5DF5-CCC0-474F-B747-D6CAADDD4AE9}"/>
    <hyperlink ref="A1" location="'Spis tresci_Table of content'!A1" display="Go back to Table of content" xr:uid="{1C62F95B-8D4D-4F9C-81F9-3CD005F0D4CD}"/>
    <hyperlink ref="B1" location="Kredyty_loans_old!A1" display="Powrót do spisu treści" xr:uid="{DAF57B06-0CA2-4E0A-90BA-A8D23546A83E}"/>
  </hyperlinks>
  <printOptions horizontalCentered="1"/>
  <pageMargins left="0.25" right="0.25" top="0.75" bottom="0.75" header="0.3" footer="0.3"/>
  <pageSetup paperSize="9" scale="31" orientation="landscape" r:id="rId1"/>
  <headerFooter alignWithMargins="0">
    <oddHeader xml:space="preserve">&amp;C&amp;"Times New Roman,Kursywa"&amp;12
</oddHead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1DA60-7495-4631-9FA5-E96A7D5B3272}">
  <sheetPr>
    <pageSetUpPr fitToPage="1"/>
  </sheetPr>
  <dimension ref="A1:BN74"/>
  <sheetViews>
    <sheetView showGridLines="0" zoomScaleNormal="100" zoomScaleSheetLayoutView="100" workbookViewId="0">
      <pane xSplit="2" ySplit="11" topLeftCell="C12" activePane="bottomRight" state="frozen"/>
      <selection pane="topRight" activeCell="C1" sqref="C1"/>
      <selection pane="bottomLeft" activeCell="A12" sqref="A12"/>
      <selection pane="bottomRight" activeCell="A22" sqref="A22"/>
    </sheetView>
  </sheetViews>
  <sheetFormatPr defaultColWidth="0" defaultRowHeight="13.8" zeroHeight="1" outlineLevelCol="1"/>
  <cols>
    <col min="1" max="1" width="72" style="3" customWidth="1" outlineLevel="1"/>
    <col min="2" max="2" width="79.44140625" style="3" customWidth="1"/>
    <col min="3" max="30" width="8.6640625" style="3" customWidth="1"/>
    <col min="31" max="31" width="9" style="3" customWidth="1"/>
    <col min="32" max="63" width="9.109375" style="3" customWidth="1"/>
    <col min="64" max="66" width="9.109375" style="3" hidden="1" customWidth="1"/>
    <col min="67" max="16384" width="9.109375" style="3" hidden="1"/>
  </cols>
  <sheetData>
    <row r="1" spans="1:66">
      <c r="A1" s="1" t="s">
        <v>0</v>
      </c>
      <c r="B1" s="1" t="s">
        <v>1</v>
      </c>
      <c r="C1" s="2"/>
      <c r="D1" s="2"/>
      <c r="E1" s="2"/>
      <c r="F1" s="2"/>
      <c r="G1" s="2"/>
      <c r="H1" s="2"/>
      <c r="I1" s="2"/>
      <c r="J1" s="2"/>
      <c r="K1" s="2"/>
      <c r="L1" s="2"/>
      <c r="M1" s="2"/>
      <c r="N1" s="2"/>
      <c r="O1" s="2"/>
      <c r="P1" s="2"/>
      <c r="Q1" s="2"/>
      <c r="R1" s="2"/>
      <c r="S1" s="2"/>
      <c r="T1" s="2"/>
      <c r="U1" s="2"/>
      <c r="V1" s="2"/>
      <c r="W1" s="2"/>
      <c r="X1" s="2"/>
      <c r="Y1" s="2"/>
      <c r="Z1" s="2"/>
      <c r="AA1" s="2"/>
      <c r="AB1" s="2"/>
      <c r="AC1" s="2"/>
      <c r="AD1" s="2"/>
      <c r="AE1" s="2"/>
    </row>
    <row r="2" spans="1:66">
      <c r="A2" s="4"/>
      <c r="B2" s="4"/>
      <c r="C2" s="2"/>
      <c r="D2" s="2"/>
      <c r="E2" s="2"/>
      <c r="F2" s="2"/>
      <c r="G2" s="2"/>
      <c r="H2" s="2"/>
      <c r="I2" s="2"/>
      <c r="J2" s="2"/>
      <c r="K2" s="2"/>
      <c r="L2" s="2"/>
      <c r="M2" s="2"/>
      <c r="N2" s="2"/>
      <c r="O2" s="2"/>
      <c r="P2" s="2"/>
      <c r="Q2" s="2"/>
      <c r="R2" s="2"/>
      <c r="S2" s="2"/>
      <c r="T2" s="2"/>
      <c r="U2" s="2"/>
      <c r="V2" s="2"/>
      <c r="W2" s="2"/>
      <c r="X2" s="2"/>
      <c r="Y2" s="2"/>
      <c r="Z2" s="2"/>
      <c r="AA2" s="2"/>
      <c r="AB2" s="2"/>
      <c r="AC2" s="2"/>
      <c r="AD2" s="2"/>
      <c r="AE2" s="2"/>
    </row>
    <row r="3" spans="1:66">
      <c r="A3" s="5" t="s">
        <v>2</v>
      </c>
      <c r="B3" s="5" t="s">
        <v>3</v>
      </c>
      <c r="C3" s="2"/>
      <c r="D3" s="2"/>
      <c r="E3" s="2"/>
      <c r="F3" s="2"/>
      <c r="G3" s="2"/>
      <c r="H3" s="2"/>
      <c r="I3" s="2"/>
      <c r="J3" s="2"/>
      <c r="K3" s="2"/>
      <c r="L3" s="2"/>
      <c r="M3" s="2"/>
      <c r="N3" s="2"/>
      <c r="O3" s="2"/>
      <c r="P3" s="2"/>
      <c r="Q3" s="2"/>
      <c r="R3" s="2"/>
      <c r="S3" s="2"/>
      <c r="T3" s="2"/>
      <c r="U3" s="2"/>
      <c r="V3" s="2"/>
      <c r="W3" s="2"/>
      <c r="X3" s="2"/>
      <c r="Y3" s="2"/>
      <c r="Z3" s="2"/>
      <c r="AA3" s="2"/>
      <c r="AB3" s="2"/>
      <c r="AC3" s="2"/>
      <c r="AD3" s="2"/>
      <c r="AE3" s="2"/>
    </row>
    <row r="4" spans="1:66">
      <c r="A4" s="4"/>
      <c r="B4" s="4"/>
      <c r="C4" s="2"/>
      <c r="D4" s="2"/>
      <c r="E4" s="2"/>
      <c r="F4" s="2"/>
      <c r="G4" s="2"/>
      <c r="H4" s="2"/>
      <c r="I4" s="2"/>
      <c r="J4" s="2"/>
      <c r="K4" s="2"/>
      <c r="L4" s="2"/>
      <c r="M4" s="2"/>
      <c r="N4" s="2"/>
      <c r="O4" s="2"/>
      <c r="P4" s="2"/>
      <c r="Q4" s="2"/>
      <c r="R4" s="2"/>
      <c r="S4" s="2"/>
      <c r="T4" s="2"/>
      <c r="U4" s="2"/>
      <c r="V4" s="2"/>
      <c r="W4" s="2"/>
      <c r="X4" s="2"/>
      <c r="Y4" s="2"/>
      <c r="Z4" s="2"/>
      <c r="AA4" s="2"/>
      <c r="AB4" s="2"/>
      <c r="AC4" s="2"/>
      <c r="AD4" s="2"/>
      <c r="AE4" s="2"/>
    </row>
    <row r="5" spans="1:66">
      <c r="A5" s="4"/>
      <c r="B5" s="4"/>
      <c r="C5" s="2"/>
      <c r="D5" s="2"/>
      <c r="E5" s="2"/>
      <c r="F5" s="2"/>
      <c r="G5" s="2"/>
      <c r="H5" s="2"/>
      <c r="I5" s="2"/>
      <c r="J5" s="2"/>
      <c r="K5" s="2"/>
      <c r="L5" s="2"/>
      <c r="M5" s="2"/>
      <c r="N5" s="2"/>
      <c r="O5" s="2"/>
      <c r="P5" s="2"/>
      <c r="Q5" s="2"/>
      <c r="R5" s="2"/>
      <c r="S5" s="2"/>
      <c r="T5" s="2"/>
      <c r="U5" s="2"/>
      <c r="V5" s="2"/>
      <c r="W5" s="2"/>
      <c r="X5" s="2"/>
      <c r="Y5" s="2"/>
      <c r="Z5" s="2"/>
      <c r="AA5" s="2"/>
      <c r="AB5" s="2"/>
      <c r="AC5" s="2"/>
      <c r="AD5" s="2"/>
      <c r="AE5" s="2"/>
    </row>
    <row r="6" spans="1:66">
      <c r="A6" s="4"/>
      <c r="B6" s="4"/>
      <c r="C6" s="2"/>
      <c r="D6" s="2"/>
      <c r="E6" s="2"/>
      <c r="F6" s="2"/>
      <c r="G6" s="2"/>
      <c r="H6" s="2"/>
      <c r="I6" s="2"/>
      <c r="J6" s="2"/>
      <c r="K6" s="2"/>
      <c r="L6" s="2"/>
      <c r="M6" s="2"/>
      <c r="N6" s="2"/>
      <c r="O6" s="2"/>
      <c r="P6" s="2"/>
      <c r="Q6" s="2"/>
      <c r="R6" s="2"/>
      <c r="S6" s="2"/>
      <c r="T6" s="2"/>
      <c r="U6" s="2"/>
      <c r="V6" s="2"/>
      <c r="W6" s="2"/>
      <c r="X6" s="2"/>
      <c r="Y6" s="2"/>
      <c r="Z6" s="2"/>
      <c r="AA6" s="2"/>
      <c r="AB6" s="2"/>
      <c r="AC6" s="2"/>
      <c r="AD6" s="2"/>
      <c r="AE6" s="2"/>
    </row>
    <row r="7" spans="1:66">
      <c r="A7" s="4"/>
      <c r="B7" s="4"/>
      <c r="C7" s="2"/>
      <c r="D7" s="2"/>
      <c r="E7" s="2"/>
      <c r="F7" s="2"/>
      <c r="G7" s="2"/>
      <c r="H7" s="2"/>
      <c r="I7" s="2"/>
      <c r="J7" s="2"/>
      <c r="K7" s="2"/>
      <c r="L7" s="2"/>
      <c r="M7" s="2"/>
      <c r="N7" s="2"/>
      <c r="O7" s="2"/>
      <c r="P7" s="2"/>
      <c r="Q7" s="2"/>
      <c r="R7" s="2"/>
      <c r="S7" s="2"/>
      <c r="T7" s="2"/>
      <c r="U7" s="2"/>
      <c r="V7" s="2"/>
      <c r="W7" s="2"/>
      <c r="X7" s="2"/>
      <c r="Y7" s="2"/>
      <c r="Z7" s="2"/>
      <c r="AA7" s="2"/>
      <c r="AB7" s="2"/>
      <c r="AC7" s="2"/>
      <c r="AD7" s="2"/>
      <c r="AE7" s="2"/>
    </row>
    <row r="8" spans="1:66" s="6" customFormat="1">
      <c r="A8" s="4"/>
      <c r="B8" s="4"/>
      <c r="C8" s="2"/>
      <c r="D8" s="2"/>
      <c r="E8" s="2"/>
      <c r="F8" s="2"/>
      <c r="G8" s="2"/>
      <c r="H8" s="2"/>
      <c r="I8" s="2"/>
      <c r="J8" s="2"/>
      <c r="K8" s="2"/>
      <c r="L8" s="2"/>
      <c r="M8" s="2"/>
      <c r="N8" s="2"/>
      <c r="O8" s="2"/>
      <c r="P8" s="2"/>
      <c r="Q8" s="2"/>
      <c r="R8" s="2"/>
      <c r="S8" s="2"/>
      <c r="T8" s="2"/>
      <c r="U8" s="2"/>
      <c r="V8" s="2"/>
      <c r="W8" s="2"/>
      <c r="X8" s="2"/>
      <c r="Y8" s="2"/>
      <c r="Z8" s="2"/>
      <c r="AA8" s="2"/>
      <c r="AB8" s="2"/>
      <c r="AC8" s="2"/>
      <c r="AD8" s="2"/>
      <c r="AE8" s="2"/>
    </row>
    <row r="9" spans="1:66" s="6" customFormat="1" ht="15.6">
      <c r="A9" s="7" t="s">
        <v>4</v>
      </c>
      <c r="B9" s="7" t="s">
        <v>5</v>
      </c>
      <c r="C9" s="2"/>
      <c r="D9" s="2"/>
      <c r="E9" s="2"/>
      <c r="F9" s="2"/>
      <c r="G9" s="2"/>
      <c r="H9" s="2"/>
      <c r="I9" s="2"/>
      <c r="J9" s="2"/>
      <c r="K9" s="2"/>
      <c r="L9" s="2"/>
      <c r="M9" s="2"/>
      <c r="N9" s="2"/>
      <c r="O9" s="2"/>
      <c r="P9" s="2"/>
      <c r="Q9" s="2"/>
      <c r="R9" s="2"/>
      <c r="S9" s="2"/>
      <c r="T9" s="2"/>
      <c r="U9" s="2"/>
      <c r="V9" s="2"/>
      <c r="W9" s="2"/>
      <c r="X9" s="2"/>
      <c r="Y9" s="2"/>
      <c r="Z9" s="2"/>
      <c r="AA9" s="2"/>
      <c r="AB9" s="2"/>
      <c r="AC9" s="2"/>
      <c r="AD9" s="2"/>
      <c r="AE9" s="2"/>
    </row>
    <row r="10" spans="1:66" s="6" customFormat="1" ht="11.25" customHeight="1">
      <c r="A10" s="536" t="s">
        <v>6</v>
      </c>
      <c r="B10" s="536" t="s">
        <v>7</v>
      </c>
      <c r="C10" s="533">
        <v>2007</v>
      </c>
      <c r="D10" s="534"/>
      <c r="E10" s="534"/>
      <c r="F10" s="534"/>
      <c r="G10" s="533">
        <v>2008</v>
      </c>
      <c r="H10" s="534"/>
      <c r="I10" s="534"/>
      <c r="J10" s="534"/>
      <c r="K10" s="533">
        <v>2009</v>
      </c>
      <c r="L10" s="534"/>
      <c r="M10" s="534"/>
      <c r="N10" s="534"/>
      <c r="O10" s="533">
        <v>2010</v>
      </c>
      <c r="P10" s="534"/>
      <c r="Q10" s="534"/>
      <c r="R10" s="534"/>
      <c r="S10" s="533">
        <v>2011</v>
      </c>
      <c r="T10" s="534"/>
      <c r="U10" s="534"/>
      <c r="V10" s="534"/>
      <c r="W10" s="533">
        <v>2012</v>
      </c>
      <c r="X10" s="534"/>
      <c r="Y10" s="534"/>
      <c r="Z10" s="535"/>
      <c r="AA10" s="533">
        <v>2013</v>
      </c>
      <c r="AB10" s="534"/>
      <c r="AC10" s="534"/>
      <c r="AD10" s="535"/>
      <c r="AE10" s="533">
        <v>2014</v>
      </c>
      <c r="AF10" s="534"/>
      <c r="AG10" s="534"/>
      <c r="AH10" s="535"/>
      <c r="AI10" s="540">
        <v>2015</v>
      </c>
      <c r="AJ10" s="534"/>
      <c r="AK10" s="534"/>
      <c r="AL10" s="535"/>
      <c r="AM10" s="540">
        <v>2016</v>
      </c>
      <c r="AN10" s="534"/>
      <c r="AO10" s="534"/>
      <c r="AP10" s="535"/>
      <c r="AQ10" s="594">
        <v>2017</v>
      </c>
      <c r="AR10" s="595"/>
      <c r="AS10" s="595"/>
      <c r="AT10" s="595"/>
      <c r="AU10" s="602">
        <v>2018</v>
      </c>
      <c r="AV10" s="603"/>
      <c r="AW10" s="603"/>
      <c r="AX10" s="539"/>
      <c r="AY10" s="602">
        <v>2019</v>
      </c>
      <c r="AZ10" s="603"/>
      <c r="BA10" s="603"/>
      <c r="BB10" s="539"/>
      <c r="BC10" s="602">
        <v>2020</v>
      </c>
      <c r="BD10" s="603"/>
      <c r="BE10" s="603"/>
      <c r="BF10" s="539"/>
      <c r="BG10" s="602">
        <v>2021</v>
      </c>
      <c r="BH10" s="603"/>
      <c r="BI10" s="603"/>
      <c r="BJ10" s="539"/>
      <c r="BK10" s="8">
        <v>2022</v>
      </c>
      <c r="BL10" s="9"/>
      <c r="BM10" s="9"/>
      <c r="BN10" s="10"/>
    </row>
    <row r="11" spans="1:66" s="6" customFormat="1" ht="11.25" customHeight="1">
      <c r="A11" s="537"/>
      <c r="B11" s="537"/>
      <c r="C11" s="11" t="s">
        <v>8</v>
      </c>
      <c r="D11" s="12" t="s">
        <v>9</v>
      </c>
      <c r="E11" s="12" t="s">
        <v>10</v>
      </c>
      <c r="F11" s="12" t="s">
        <v>11</v>
      </c>
      <c r="G11" s="11" t="s">
        <v>8</v>
      </c>
      <c r="H11" s="12" t="s">
        <v>9</v>
      </c>
      <c r="I11" s="12" t="s">
        <v>10</v>
      </c>
      <c r="J11" s="13" t="s">
        <v>11</v>
      </c>
      <c r="K11" s="11" t="s">
        <v>8</v>
      </c>
      <c r="L11" s="12" t="s">
        <v>9</v>
      </c>
      <c r="M11" s="12" t="s">
        <v>10</v>
      </c>
      <c r="N11" s="13" t="s">
        <v>11</v>
      </c>
      <c r="O11" s="11" t="s">
        <v>8</v>
      </c>
      <c r="P11" s="12" t="s">
        <v>9</v>
      </c>
      <c r="Q11" s="12" t="s">
        <v>10</v>
      </c>
      <c r="R11" s="13" t="s">
        <v>11</v>
      </c>
      <c r="S11" s="11" t="s">
        <v>8</v>
      </c>
      <c r="T11" s="12" t="s">
        <v>9</v>
      </c>
      <c r="U11" s="12" t="s">
        <v>10</v>
      </c>
      <c r="V11" s="13" t="s">
        <v>11</v>
      </c>
      <c r="W11" s="11" t="s">
        <v>8</v>
      </c>
      <c r="X11" s="12" t="s">
        <v>9</v>
      </c>
      <c r="Y11" s="12" t="s">
        <v>10</v>
      </c>
      <c r="Z11" s="13" t="s">
        <v>11</v>
      </c>
      <c r="AA11" s="14" t="s">
        <v>8</v>
      </c>
      <c r="AB11" s="14" t="s">
        <v>9</v>
      </c>
      <c r="AC11" s="14" t="s">
        <v>10</v>
      </c>
      <c r="AD11" s="13" t="s">
        <v>11</v>
      </c>
      <c r="AE11" s="15" t="s">
        <v>8</v>
      </c>
      <c r="AF11" s="14" t="s">
        <v>9</v>
      </c>
      <c r="AG11" s="14" t="s">
        <v>10</v>
      </c>
      <c r="AH11" s="16" t="s">
        <v>11</v>
      </c>
      <c r="AI11" s="14" t="s">
        <v>8</v>
      </c>
      <c r="AJ11" s="14" t="s">
        <v>9</v>
      </c>
      <c r="AK11" s="14" t="s">
        <v>10</v>
      </c>
      <c r="AL11" s="16" t="s">
        <v>11</v>
      </c>
      <c r="AM11" s="14" t="s">
        <v>8</v>
      </c>
      <c r="AN11" s="14" t="s">
        <v>9</v>
      </c>
      <c r="AO11" s="14" t="s">
        <v>10</v>
      </c>
      <c r="AP11" s="16" t="s">
        <v>11</v>
      </c>
      <c r="AQ11" s="15" t="s">
        <v>8</v>
      </c>
      <c r="AR11" s="14" t="s">
        <v>9</v>
      </c>
      <c r="AS11" s="14" t="s">
        <v>10</v>
      </c>
      <c r="AT11" s="14" t="s">
        <v>11</v>
      </c>
      <c r="AU11" s="15" t="s">
        <v>8</v>
      </c>
      <c r="AV11" s="14" t="s">
        <v>9</v>
      </c>
      <c r="AW11" s="14" t="s">
        <v>10</v>
      </c>
      <c r="AX11" s="14" t="s">
        <v>11</v>
      </c>
      <c r="AY11" s="15" t="s">
        <v>8</v>
      </c>
      <c r="AZ11" s="14" t="s">
        <v>9</v>
      </c>
      <c r="BA11" s="14" t="s">
        <v>10</v>
      </c>
      <c r="BB11" s="14" t="s">
        <v>11</v>
      </c>
      <c r="BC11" s="15" t="s">
        <v>8</v>
      </c>
      <c r="BD11" s="14" t="s">
        <v>9</v>
      </c>
      <c r="BE11" s="14" t="s">
        <v>10</v>
      </c>
      <c r="BF11" s="14" t="s">
        <v>11</v>
      </c>
      <c r="BG11" s="15" t="s">
        <v>8</v>
      </c>
      <c r="BH11" s="14" t="s">
        <v>9</v>
      </c>
      <c r="BI11" s="14" t="s">
        <v>10</v>
      </c>
      <c r="BJ11" s="14" t="s">
        <v>11</v>
      </c>
      <c r="BK11" s="15" t="s">
        <v>8</v>
      </c>
      <c r="BL11" s="14" t="s">
        <v>9</v>
      </c>
      <c r="BM11" s="14" t="s">
        <v>10</v>
      </c>
      <c r="BN11" s="14" t="s">
        <v>11</v>
      </c>
    </row>
    <row r="12" spans="1:66" s="6" customFormat="1" ht="12.75" customHeight="1">
      <c r="A12" s="17" t="s">
        <v>12</v>
      </c>
      <c r="B12" s="17" t="s">
        <v>13</v>
      </c>
      <c r="C12" s="18"/>
      <c r="D12" s="19"/>
      <c r="E12" s="20"/>
      <c r="F12" s="19"/>
      <c r="G12" s="18"/>
      <c r="H12" s="19"/>
      <c r="I12" s="20"/>
      <c r="J12" s="21"/>
      <c r="K12" s="18"/>
      <c r="L12" s="19"/>
      <c r="M12" s="20"/>
      <c r="N12" s="21"/>
      <c r="O12" s="18"/>
      <c r="P12" s="19"/>
      <c r="Q12" s="20"/>
      <c r="R12" s="21"/>
      <c r="S12" s="22"/>
      <c r="T12" s="23"/>
      <c r="U12" s="17"/>
      <c r="V12" s="24"/>
      <c r="W12" s="22"/>
      <c r="X12" s="17"/>
      <c r="Y12" s="17"/>
      <c r="Z12" s="25"/>
      <c r="AA12" s="17"/>
      <c r="AB12" s="17"/>
      <c r="AC12" s="17"/>
      <c r="AD12" s="25"/>
      <c r="AE12" s="22"/>
      <c r="AF12" s="17"/>
      <c r="AG12" s="17"/>
      <c r="AH12" s="25"/>
      <c r="AI12" s="17"/>
      <c r="AJ12" s="17"/>
      <c r="AK12" s="17"/>
      <c r="AL12" s="25"/>
      <c r="AM12" s="17"/>
      <c r="AN12" s="17"/>
      <c r="AO12" s="17"/>
      <c r="AP12" s="25"/>
      <c r="AQ12" s="22"/>
      <c r="AR12" s="17"/>
      <c r="AS12" s="17"/>
      <c r="AT12" s="17"/>
      <c r="AU12" s="22"/>
      <c r="AV12" s="17"/>
      <c r="AW12" s="17"/>
      <c r="AX12" s="17"/>
      <c r="AY12" s="22"/>
      <c r="AZ12" s="17"/>
      <c r="BA12" s="17"/>
      <c r="BB12" s="17"/>
      <c r="BC12" s="22"/>
      <c r="BD12" s="17"/>
      <c r="BE12" s="17"/>
      <c r="BF12" s="17"/>
      <c r="BG12" s="22"/>
      <c r="BH12" s="17"/>
      <c r="BI12" s="17"/>
      <c r="BJ12" s="17"/>
      <c r="BK12" s="22"/>
      <c r="BL12" s="17"/>
      <c r="BM12" s="17"/>
      <c r="BN12" s="17"/>
    </row>
    <row r="13" spans="1:66" s="33" customFormat="1" ht="10.8">
      <c r="A13" s="26" t="s">
        <v>14</v>
      </c>
      <c r="B13" s="26" t="s">
        <v>15</v>
      </c>
      <c r="C13" s="27"/>
      <c r="D13" s="28"/>
      <c r="E13" s="28"/>
      <c r="F13" s="29"/>
      <c r="G13" s="27"/>
      <c r="H13" s="28"/>
      <c r="I13" s="28"/>
      <c r="J13" s="29"/>
      <c r="K13" s="28"/>
      <c r="L13" s="28"/>
      <c r="M13" s="28"/>
      <c r="N13" s="28"/>
      <c r="O13" s="27"/>
      <c r="P13" s="28"/>
      <c r="Q13" s="28"/>
      <c r="R13" s="29"/>
      <c r="S13" s="30"/>
      <c r="T13" s="30"/>
      <c r="U13" s="30"/>
      <c r="V13" s="30"/>
      <c r="W13" s="31"/>
      <c r="X13" s="30"/>
      <c r="Y13" s="30"/>
      <c r="Z13" s="32"/>
      <c r="AA13" s="30"/>
      <c r="AB13" s="30"/>
      <c r="AC13" s="30"/>
      <c r="AD13" s="25"/>
      <c r="AE13" s="22"/>
      <c r="AF13" s="17"/>
      <c r="AG13" s="17"/>
      <c r="AH13" s="25"/>
      <c r="AI13" s="17"/>
      <c r="AJ13" s="17"/>
      <c r="AK13" s="17"/>
      <c r="AL13" s="25"/>
      <c r="AM13" s="17"/>
      <c r="AN13" s="17"/>
      <c r="AO13" s="17"/>
      <c r="AP13" s="25"/>
      <c r="AQ13" s="22"/>
      <c r="AR13" s="17"/>
      <c r="AS13" s="17"/>
      <c r="AT13" s="17"/>
      <c r="AU13" s="22"/>
      <c r="AV13" s="17"/>
      <c r="AW13" s="17"/>
      <c r="AX13" s="17"/>
      <c r="AY13" s="22"/>
      <c r="AZ13" s="17"/>
      <c r="BA13" s="17"/>
      <c r="BB13" s="17"/>
      <c r="BC13" s="22"/>
      <c r="BD13" s="17"/>
      <c r="BE13" s="17"/>
      <c r="BF13" s="17"/>
      <c r="BG13" s="22"/>
      <c r="BH13" s="17"/>
      <c r="BI13" s="17"/>
      <c r="BJ13" s="17"/>
      <c r="BK13" s="22"/>
      <c r="BL13" s="17"/>
      <c r="BM13" s="17"/>
      <c r="BN13" s="17"/>
    </row>
    <row r="14" spans="1:66" s="41" customFormat="1" ht="10.8">
      <c r="A14" s="34" t="s">
        <v>16</v>
      </c>
      <c r="B14" s="34" t="s">
        <v>17</v>
      </c>
      <c r="C14" s="35">
        <f t="shared" ref="C14:BK14" si="0">C15+C16</f>
        <v>3928.2000000000003</v>
      </c>
      <c r="D14" s="36">
        <f t="shared" si="0"/>
        <v>3650.9</v>
      </c>
      <c r="E14" s="36">
        <f t="shared" si="0"/>
        <v>3822.1</v>
      </c>
      <c r="F14" s="37">
        <f t="shared" si="0"/>
        <v>3840.5</v>
      </c>
      <c r="G14" s="35">
        <f t="shared" si="0"/>
        <v>4015.3999999999992</v>
      </c>
      <c r="H14" s="36">
        <f t="shared" si="0"/>
        <v>3979.2999999999993</v>
      </c>
      <c r="I14" s="36">
        <f t="shared" si="0"/>
        <v>4279.7</v>
      </c>
      <c r="J14" s="37">
        <f t="shared" si="0"/>
        <v>4224.4999999999991</v>
      </c>
      <c r="K14" s="36">
        <f t="shared" si="0"/>
        <v>4283.1999999999989</v>
      </c>
      <c r="L14" s="38">
        <f t="shared" si="0"/>
        <v>4516.8999999999996</v>
      </c>
      <c r="M14" s="38">
        <f t="shared" si="0"/>
        <v>4744.4000000000005</v>
      </c>
      <c r="N14" s="38">
        <f t="shared" si="0"/>
        <v>4886.7</v>
      </c>
      <c r="O14" s="39">
        <f t="shared" si="0"/>
        <v>5134</v>
      </c>
      <c r="P14" s="38">
        <f t="shared" si="0"/>
        <v>5282.4000000000005</v>
      </c>
      <c r="Q14" s="38">
        <f t="shared" si="0"/>
        <v>5531.9</v>
      </c>
      <c r="R14" s="40">
        <f t="shared" si="0"/>
        <v>5653.0999999999995</v>
      </c>
      <c r="S14" s="38">
        <f t="shared" si="0"/>
        <v>5784.2999999999993</v>
      </c>
      <c r="T14" s="38">
        <f t="shared" si="0"/>
        <v>5953.8</v>
      </c>
      <c r="U14" s="38">
        <f t="shared" si="0"/>
        <v>6196.8999999999987</v>
      </c>
      <c r="V14" s="38">
        <f t="shared" si="0"/>
        <v>6416</v>
      </c>
      <c r="W14" s="39">
        <f t="shared" si="0"/>
        <v>6753.4000000000005</v>
      </c>
      <c r="X14" s="38">
        <f t="shared" si="0"/>
        <v>6981.1</v>
      </c>
      <c r="Y14" s="38">
        <f t="shared" si="0"/>
        <v>7427.1999999999989</v>
      </c>
      <c r="Z14" s="40">
        <f t="shared" si="0"/>
        <v>8136.1</v>
      </c>
      <c r="AA14" s="38">
        <f t="shared" si="0"/>
        <v>8238.7999999999993</v>
      </c>
      <c r="AB14" s="38">
        <f t="shared" si="0"/>
        <v>8133.4999999999991</v>
      </c>
      <c r="AC14" s="38">
        <f t="shared" si="0"/>
        <v>8271.5</v>
      </c>
      <c r="AD14" s="40">
        <f t="shared" si="0"/>
        <v>8628.5999999999985</v>
      </c>
      <c r="AE14" s="39">
        <f t="shared" si="0"/>
        <v>8887.9</v>
      </c>
      <c r="AF14" s="38">
        <f t="shared" si="0"/>
        <v>9161.1</v>
      </c>
      <c r="AG14" s="38">
        <f t="shared" si="0"/>
        <v>9934.2000000000007</v>
      </c>
      <c r="AH14" s="40">
        <f t="shared" si="0"/>
        <v>10456.6</v>
      </c>
      <c r="AI14" s="38">
        <f t="shared" si="0"/>
        <v>10232.1</v>
      </c>
      <c r="AJ14" s="38">
        <f t="shared" si="0"/>
        <v>9558.6999999999989</v>
      </c>
      <c r="AK14" s="38">
        <f t="shared" si="0"/>
        <v>10304.399999999998</v>
      </c>
      <c r="AL14" s="40">
        <f t="shared" si="0"/>
        <v>10680.499999999998</v>
      </c>
      <c r="AM14" s="38">
        <f t="shared" si="0"/>
        <v>10670.100000000002</v>
      </c>
      <c r="AN14" s="38">
        <f t="shared" si="0"/>
        <v>10812.6</v>
      </c>
      <c r="AO14" s="38">
        <f t="shared" si="0"/>
        <v>10979</v>
      </c>
      <c r="AP14" s="40">
        <f t="shared" si="0"/>
        <v>10477.200000000001</v>
      </c>
      <c r="AQ14" s="39">
        <f t="shared" si="0"/>
        <v>10789.4</v>
      </c>
      <c r="AR14" s="38">
        <f t="shared" si="0"/>
        <v>11154.1</v>
      </c>
      <c r="AS14" s="38">
        <f t="shared" si="0"/>
        <v>11486.2</v>
      </c>
      <c r="AT14" s="38">
        <f t="shared" si="0"/>
        <v>11794.8</v>
      </c>
      <c r="AU14" s="39">
        <f t="shared" si="0"/>
        <v>12058.899999999998</v>
      </c>
      <c r="AV14" s="38">
        <f t="shared" si="0"/>
        <v>11889.499999999998</v>
      </c>
      <c r="AW14" s="38">
        <f t="shared" si="0"/>
        <v>12161.900000000001</v>
      </c>
      <c r="AX14" s="38">
        <f t="shared" si="0"/>
        <v>13321.500000000002</v>
      </c>
      <c r="AY14" s="39">
        <f t="shared" si="0"/>
        <v>13428.9</v>
      </c>
      <c r="AZ14" s="38">
        <f t="shared" si="0"/>
        <v>14236.599999999999</v>
      </c>
      <c r="BA14" s="38">
        <f t="shared" si="0"/>
        <v>15262.7</v>
      </c>
      <c r="BB14" s="38">
        <f t="shared" si="0"/>
        <v>15223.3</v>
      </c>
      <c r="BC14" s="39">
        <f t="shared" si="0"/>
        <v>17341</v>
      </c>
      <c r="BD14" s="38">
        <f t="shared" si="0"/>
        <v>18235.5</v>
      </c>
      <c r="BE14" s="38">
        <f t="shared" si="0"/>
        <v>18595.8</v>
      </c>
      <c r="BF14" s="38">
        <f t="shared" si="0"/>
        <v>18618.300000000003</v>
      </c>
      <c r="BG14" s="39">
        <f t="shared" si="0"/>
        <v>17560.300000000003</v>
      </c>
      <c r="BH14" s="38">
        <f t="shared" si="0"/>
        <v>17857.599999999999</v>
      </c>
      <c r="BI14" s="38">
        <f t="shared" si="0"/>
        <v>17440.599999999999</v>
      </c>
      <c r="BJ14" s="38">
        <f t="shared" si="0"/>
        <v>13531.4</v>
      </c>
      <c r="BK14" s="39">
        <f t="shared" si="0"/>
        <v>11155.8</v>
      </c>
      <c r="BL14" s="38"/>
      <c r="BM14" s="38"/>
      <c r="BN14" s="38"/>
    </row>
    <row r="15" spans="1:66" s="41" customFormat="1" ht="10.8">
      <c r="A15" s="42" t="s">
        <v>18</v>
      </c>
      <c r="B15" s="43" t="s">
        <v>19</v>
      </c>
      <c r="C15" s="44">
        <v>3171.4</v>
      </c>
      <c r="D15" s="45">
        <v>3315.7</v>
      </c>
      <c r="E15" s="45">
        <v>3288.8999999999996</v>
      </c>
      <c r="F15" s="46">
        <v>3209.7999999999997</v>
      </c>
      <c r="G15" s="44">
        <v>3580.3999999999992</v>
      </c>
      <c r="H15" s="45">
        <v>3540.6999999999994</v>
      </c>
      <c r="I15" s="45">
        <v>4058</v>
      </c>
      <c r="J15" s="46">
        <v>4088.0999999999995</v>
      </c>
      <c r="K15" s="45">
        <v>4105.5999999999995</v>
      </c>
      <c r="L15" s="47">
        <v>4179.7</v>
      </c>
      <c r="M15" s="47">
        <v>4467.7000000000007</v>
      </c>
      <c r="N15" s="47">
        <v>4488.2000000000007</v>
      </c>
      <c r="O15" s="48">
        <v>4825.1000000000004</v>
      </c>
      <c r="P15" s="47">
        <v>4818.5000000000009</v>
      </c>
      <c r="Q15" s="47">
        <v>5223.2999999999993</v>
      </c>
      <c r="R15" s="49">
        <v>5199.5999999999995</v>
      </c>
      <c r="S15" s="47">
        <v>5336.2999999999993</v>
      </c>
      <c r="T15" s="47">
        <v>5427.9000000000005</v>
      </c>
      <c r="U15" s="47">
        <v>5836.2999999999993</v>
      </c>
      <c r="V15" s="47">
        <v>5850.5</v>
      </c>
      <c r="W15" s="48">
        <v>6359.9000000000005</v>
      </c>
      <c r="X15" s="47">
        <v>6655.6</v>
      </c>
      <c r="Y15" s="47">
        <v>6989.2999999999993</v>
      </c>
      <c r="Z15" s="49">
        <v>7285.3</v>
      </c>
      <c r="AA15" s="47">
        <v>7511.8</v>
      </c>
      <c r="AB15" s="47">
        <v>7339.1999999999989</v>
      </c>
      <c r="AC15" s="47">
        <v>7756.3</v>
      </c>
      <c r="AD15" s="49">
        <v>7755.7999999999993</v>
      </c>
      <c r="AE15" s="48">
        <v>7046.2999999999993</v>
      </c>
      <c r="AF15" s="47">
        <v>7453.3</v>
      </c>
      <c r="AG15" s="47">
        <v>7492.4</v>
      </c>
      <c r="AH15" s="49">
        <v>7491.5</v>
      </c>
      <c r="AI15" s="47">
        <v>8192.6</v>
      </c>
      <c r="AJ15" s="47">
        <v>8125.6999999999989</v>
      </c>
      <c r="AK15" s="47">
        <v>8385.9999999999982</v>
      </c>
      <c r="AL15" s="49">
        <v>8479.0999999999985</v>
      </c>
      <c r="AM15" s="47">
        <v>8893.1000000000022</v>
      </c>
      <c r="AN15" s="47">
        <v>8845.5</v>
      </c>
      <c r="AO15" s="47">
        <v>9150.1</v>
      </c>
      <c r="AP15" s="49">
        <v>9069.9000000000015</v>
      </c>
      <c r="AQ15" s="48">
        <v>9127.4</v>
      </c>
      <c r="AR15" s="47">
        <v>10115.1</v>
      </c>
      <c r="AS15" s="47">
        <v>10146.1</v>
      </c>
      <c r="AT15" s="47">
        <v>10843.4</v>
      </c>
      <c r="AU15" s="48">
        <v>10681.599999999999</v>
      </c>
      <c r="AV15" s="47">
        <v>10970.099999999999</v>
      </c>
      <c r="AW15" s="47">
        <v>11450.2</v>
      </c>
      <c r="AX15" s="47">
        <v>11697.600000000002</v>
      </c>
      <c r="AY15" s="48">
        <v>11969.1</v>
      </c>
      <c r="AZ15" s="47">
        <v>12058.999999999998</v>
      </c>
      <c r="BA15" s="47">
        <v>12617.1</v>
      </c>
      <c r="BB15" s="47">
        <v>12879.3</v>
      </c>
      <c r="BC15" s="48">
        <v>12616.699999999999</v>
      </c>
      <c r="BD15" s="47">
        <v>14071.695588469194</v>
      </c>
      <c r="BE15" s="47">
        <v>14122.495588469195</v>
      </c>
      <c r="BF15" s="47">
        <v>15138.300000000001</v>
      </c>
      <c r="BG15" s="48">
        <v>15261.400000000001</v>
      </c>
      <c r="BH15" s="47">
        <v>15634.3</v>
      </c>
      <c r="BI15" s="47">
        <v>15685.8</v>
      </c>
      <c r="BJ15" s="47">
        <v>15836.3</v>
      </c>
      <c r="BK15" s="48">
        <v>15575.8</v>
      </c>
      <c r="BL15" s="47"/>
      <c r="BM15" s="47"/>
      <c r="BN15" s="47"/>
    </row>
    <row r="16" spans="1:66" s="41" customFormat="1" ht="10.8">
      <c r="A16" s="50" t="s">
        <v>20</v>
      </c>
      <c r="B16" s="50" t="s">
        <v>21</v>
      </c>
      <c r="C16" s="51">
        <v>756.80000000000007</v>
      </c>
      <c r="D16" s="52">
        <v>335.20000000000039</v>
      </c>
      <c r="E16" s="52">
        <v>533.20000000000027</v>
      </c>
      <c r="F16" s="53">
        <v>630.70000000000027</v>
      </c>
      <c r="G16" s="51">
        <v>435</v>
      </c>
      <c r="H16" s="52">
        <v>438.59999999999991</v>
      </c>
      <c r="I16" s="52">
        <v>221.69999999999987</v>
      </c>
      <c r="J16" s="53">
        <v>136.39999999999981</v>
      </c>
      <c r="K16" s="52">
        <v>177.5999999999998</v>
      </c>
      <c r="L16" s="54">
        <v>337.19999999999976</v>
      </c>
      <c r="M16" s="54">
        <v>276.6999999999997</v>
      </c>
      <c r="N16" s="54">
        <v>398.49999999999943</v>
      </c>
      <c r="O16" s="55">
        <v>308.89999999999998</v>
      </c>
      <c r="P16" s="54">
        <v>463.9</v>
      </c>
      <c r="Q16" s="54">
        <v>308.59999999999991</v>
      </c>
      <c r="R16" s="56">
        <v>453.49999999999989</v>
      </c>
      <c r="S16" s="54">
        <v>447.99999999999989</v>
      </c>
      <c r="T16" s="54">
        <v>525.89999999999986</v>
      </c>
      <c r="U16" s="54">
        <v>360.59999999999968</v>
      </c>
      <c r="V16" s="54">
        <v>565.49999999999966</v>
      </c>
      <c r="W16" s="55">
        <v>393.50000000000006</v>
      </c>
      <c r="X16" s="54">
        <v>325.5</v>
      </c>
      <c r="Y16" s="54">
        <v>437.89999999999986</v>
      </c>
      <c r="Z16" s="56">
        <v>850.8</v>
      </c>
      <c r="AA16" s="54">
        <v>727</v>
      </c>
      <c r="AB16" s="54">
        <v>794.3</v>
      </c>
      <c r="AC16" s="54">
        <v>515.20000000000005</v>
      </c>
      <c r="AD16" s="56">
        <v>872.8</v>
      </c>
      <c r="AE16" s="55">
        <v>1841.6</v>
      </c>
      <c r="AF16" s="54">
        <v>1707.8</v>
      </c>
      <c r="AG16" s="54">
        <v>2441.8000000000002</v>
      </c>
      <c r="AH16" s="56">
        <v>2965.1</v>
      </c>
      <c r="AI16" s="54">
        <v>2039.5</v>
      </c>
      <c r="AJ16" s="54">
        <v>1433</v>
      </c>
      <c r="AK16" s="54">
        <v>1918.4</v>
      </c>
      <c r="AL16" s="56">
        <v>2201.4</v>
      </c>
      <c r="AM16" s="54">
        <v>1777</v>
      </c>
      <c r="AN16" s="54">
        <v>1967.1000000000004</v>
      </c>
      <c r="AO16" s="54">
        <v>1828.9</v>
      </c>
      <c r="AP16" s="49">
        <v>1407.3</v>
      </c>
      <c r="AQ16" s="55">
        <v>1662</v>
      </c>
      <c r="AR16" s="54">
        <v>1039</v>
      </c>
      <c r="AS16" s="54">
        <v>1340.1</v>
      </c>
      <c r="AT16" s="54">
        <v>951.39999999999986</v>
      </c>
      <c r="AU16" s="55">
        <v>1377.2999999999997</v>
      </c>
      <c r="AV16" s="54">
        <v>919.39999999999986</v>
      </c>
      <c r="AW16" s="54">
        <v>711.7</v>
      </c>
      <c r="AX16" s="54">
        <v>1623.9</v>
      </c>
      <c r="AY16" s="55">
        <v>1459.7999999999997</v>
      </c>
      <c r="AZ16" s="54">
        <v>2177.6</v>
      </c>
      <c r="BA16" s="54">
        <v>2645.6000000000004</v>
      </c>
      <c r="BB16" s="54">
        <v>2344</v>
      </c>
      <c r="BC16" s="55">
        <v>4724.3</v>
      </c>
      <c r="BD16" s="54">
        <v>4163.8044115308048</v>
      </c>
      <c r="BE16" s="54">
        <v>4473.3044115308048</v>
      </c>
      <c r="BF16" s="54">
        <v>3480</v>
      </c>
      <c r="BG16" s="55">
        <v>2298.8999999999996</v>
      </c>
      <c r="BH16" s="47">
        <v>2223.2999999999997</v>
      </c>
      <c r="BI16" s="47">
        <v>1754.8</v>
      </c>
      <c r="BJ16" s="47">
        <v>-2304.8999999999996</v>
      </c>
      <c r="BK16" s="55">
        <v>-4420</v>
      </c>
      <c r="BL16" s="47"/>
      <c r="BM16" s="47"/>
      <c r="BN16" s="47"/>
    </row>
    <row r="17" spans="1:66" s="41" customFormat="1" ht="10.8">
      <c r="A17" s="57" t="s">
        <v>22</v>
      </c>
      <c r="B17" s="57" t="s">
        <v>23</v>
      </c>
      <c r="C17" s="35">
        <f t="shared" ref="C17:BK17" si="1">SUM(C18,C28,C29)</f>
        <v>-287.59999999999997</v>
      </c>
      <c r="D17" s="36">
        <f t="shared" si="1"/>
        <v>-310.3</v>
      </c>
      <c r="E17" s="36">
        <f t="shared" si="1"/>
        <v>-177.8</v>
      </c>
      <c r="F17" s="37">
        <f t="shared" si="1"/>
        <v>-227</v>
      </c>
      <c r="G17" s="35">
        <f t="shared" si="1"/>
        <v>-325.10000000000002</v>
      </c>
      <c r="H17" s="36">
        <f t="shared" si="1"/>
        <v>-292.60000000000002</v>
      </c>
      <c r="I17" s="36">
        <f t="shared" si="1"/>
        <v>-259.60000000000002</v>
      </c>
      <c r="J17" s="37">
        <f t="shared" si="1"/>
        <v>-276.5</v>
      </c>
      <c r="K17" s="36">
        <f t="shared" si="1"/>
        <v>-353.5</v>
      </c>
      <c r="L17" s="36">
        <f t="shared" si="1"/>
        <v>-294.3</v>
      </c>
      <c r="M17" s="36">
        <f t="shared" si="1"/>
        <v>-301.59999999999997</v>
      </c>
      <c r="N17" s="36">
        <f t="shared" si="1"/>
        <v>-301.8</v>
      </c>
      <c r="O17" s="35">
        <f t="shared" si="1"/>
        <v>-307.5</v>
      </c>
      <c r="P17" s="36">
        <f t="shared" si="1"/>
        <v>-327</v>
      </c>
      <c r="Q17" s="36">
        <f t="shared" si="1"/>
        <v>-333.6</v>
      </c>
      <c r="R17" s="37">
        <f t="shared" si="1"/>
        <v>-355.7</v>
      </c>
      <c r="S17" s="38">
        <f t="shared" si="1"/>
        <v>-319.89999999999998</v>
      </c>
      <c r="T17" s="38">
        <f t="shared" si="1"/>
        <v>-338</v>
      </c>
      <c r="U17" s="38">
        <f t="shared" si="1"/>
        <v>-355.20000000000005</v>
      </c>
      <c r="V17" s="38">
        <f t="shared" si="1"/>
        <v>-523.99999999999989</v>
      </c>
      <c r="W17" s="39">
        <f t="shared" si="1"/>
        <v>-514.19999999999993</v>
      </c>
      <c r="X17" s="38">
        <f t="shared" si="1"/>
        <v>-498.1</v>
      </c>
      <c r="Y17" s="38">
        <f t="shared" si="1"/>
        <v>-503.70000000000005</v>
      </c>
      <c r="Z17" s="40">
        <f t="shared" si="1"/>
        <v>-488.1</v>
      </c>
      <c r="AA17" s="38">
        <f t="shared" si="1"/>
        <v>-494.9</v>
      </c>
      <c r="AB17" s="38">
        <f t="shared" si="1"/>
        <v>-486.00000000000011</v>
      </c>
      <c r="AC17" s="38">
        <f t="shared" si="1"/>
        <v>-477.20000000000016</v>
      </c>
      <c r="AD17" s="40">
        <f t="shared" si="1"/>
        <v>-469.80000000000007</v>
      </c>
      <c r="AE17" s="39">
        <f t="shared" si="1"/>
        <v>-480.6</v>
      </c>
      <c r="AF17" s="38">
        <f t="shared" si="1"/>
        <v>-488</v>
      </c>
      <c r="AG17" s="38">
        <f t="shared" si="1"/>
        <v>-514.09999999999991</v>
      </c>
      <c r="AH17" s="40">
        <f t="shared" si="1"/>
        <v>-508.09999999999997</v>
      </c>
      <c r="AI17" s="38">
        <f t="shared" si="1"/>
        <v>-545.39999999999986</v>
      </c>
      <c r="AJ17" s="38">
        <f t="shared" si="1"/>
        <v>-484.3</v>
      </c>
      <c r="AK17" s="38">
        <f t="shared" si="1"/>
        <v>-543.79999999999995</v>
      </c>
      <c r="AL17" s="40">
        <f t="shared" si="1"/>
        <v>-559</v>
      </c>
      <c r="AM17" s="38">
        <f t="shared" si="1"/>
        <v>-546.70000000000005</v>
      </c>
      <c r="AN17" s="38">
        <f t="shared" si="1"/>
        <v>107.09999999999994</v>
      </c>
      <c r="AO17" s="38">
        <f t="shared" si="1"/>
        <v>82.199999999999932</v>
      </c>
      <c r="AP17" s="40">
        <f t="shared" si="1"/>
        <v>123.7</v>
      </c>
      <c r="AQ17" s="39">
        <f t="shared" si="1"/>
        <v>99.999999999999986</v>
      </c>
      <c r="AR17" s="38">
        <f t="shared" si="1"/>
        <v>69.300000000000011</v>
      </c>
      <c r="AS17" s="38">
        <f t="shared" si="1"/>
        <v>71.499999999999957</v>
      </c>
      <c r="AT17" s="38">
        <f t="shared" si="1"/>
        <v>67.800000000000011</v>
      </c>
      <c r="AU17" s="39">
        <f t="shared" si="1"/>
        <v>301.19999999999993</v>
      </c>
      <c r="AV17" s="38">
        <f t="shared" si="1"/>
        <v>245.20000000000002</v>
      </c>
      <c r="AW17" s="38">
        <f t="shared" si="1"/>
        <v>291.5</v>
      </c>
      <c r="AX17" s="38">
        <f t="shared" si="1"/>
        <v>236.2</v>
      </c>
      <c r="AY17" s="39">
        <f t="shared" si="1"/>
        <v>762.89999999999986</v>
      </c>
      <c r="AZ17" s="38">
        <f t="shared" si="1"/>
        <v>752.2</v>
      </c>
      <c r="BA17" s="38">
        <f t="shared" si="1"/>
        <v>699.10000000000014</v>
      </c>
      <c r="BB17" s="38">
        <f t="shared" si="1"/>
        <v>1712.4</v>
      </c>
      <c r="BC17" s="39">
        <f t="shared" si="1"/>
        <v>1711.7999999999997</v>
      </c>
      <c r="BD17" s="38">
        <f t="shared" si="1"/>
        <v>2065.1610160564483</v>
      </c>
      <c r="BE17" s="38">
        <f t="shared" si="1"/>
        <v>2093.9</v>
      </c>
      <c r="BF17" s="38">
        <f t="shared" si="1"/>
        <v>2082</v>
      </c>
      <c r="BG17" s="39">
        <f t="shared" si="1"/>
        <v>2006.9999999999998</v>
      </c>
      <c r="BH17" s="38">
        <f t="shared" si="1"/>
        <v>1902.2999999999997</v>
      </c>
      <c r="BI17" s="38">
        <f t="shared" si="1"/>
        <v>1904.3</v>
      </c>
      <c r="BJ17" s="38">
        <f t="shared" si="1"/>
        <v>1010.2999999999998</v>
      </c>
      <c r="BK17" s="39">
        <f t="shared" si="1"/>
        <v>681.30000000000007</v>
      </c>
      <c r="BL17" s="38"/>
      <c r="BM17" s="38"/>
      <c r="BN17" s="38"/>
    </row>
    <row r="18" spans="1:66" s="41" customFormat="1" ht="10.8">
      <c r="A18" s="57" t="s">
        <v>24</v>
      </c>
      <c r="B18" s="57" t="s">
        <v>25</v>
      </c>
      <c r="C18" s="35">
        <f t="shared" ref="C18:Q18" si="2">SUM(C20:C22)</f>
        <v>-325.7</v>
      </c>
      <c r="D18" s="36">
        <f t="shared" si="2"/>
        <v>-319.3</v>
      </c>
      <c r="E18" s="36">
        <f t="shared" si="2"/>
        <v>-319</v>
      </c>
      <c r="F18" s="37">
        <f t="shared" si="2"/>
        <v>-318.8</v>
      </c>
      <c r="G18" s="35">
        <f t="shared" si="2"/>
        <v>-346.1</v>
      </c>
      <c r="H18" s="36">
        <f t="shared" si="2"/>
        <v>-350.1</v>
      </c>
      <c r="I18" s="36">
        <f t="shared" si="2"/>
        <v>-345.6</v>
      </c>
      <c r="J18" s="37">
        <f t="shared" si="2"/>
        <v>-351.5</v>
      </c>
      <c r="K18" s="36">
        <f t="shared" si="2"/>
        <v>-350.1</v>
      </c>
      <c r="L18" s="36">
        <f t="shared" si="2"/>
        <v>-356</v>
      </c>
      <c r="M18" s="36">
        <f t="shared" si="2"/>
        <v>-354.59999999999997</v>
      </c>
      <c r="N18" s="36">
        <f t="shared" si="2"/>
        <v>-364.5</v>
      </c>
      <c r="O18" s="35">
        <f t="shared" si="2"/>
        <v>-360.2</v>
      </c>
      <c r="P18" s="36">
        <f t="shared" si="2"/>
        <v>-365.9</v>
      </c>
      <c r="Q18" s="36">
        <f t="shared" si="2"/>
        <v>-345.8</v>
      </c>
      <c r="R18" s="37">
        <f>SUM(R20:R22)</f>
        <v>-374.09999999999997</v>
      </c>
      <c r="S18" s="38">
        <f>SUM(S20:S22)</f>
        <v>-378.2</v>
      </c>
      <c r="T18" s="38">
        <f>SUM(T20:T22)</f>
        <v>-377.8</v>
      </c>
      <c r="U18" s="38">
        <f>SUM(U20:U22)</f>
        <v>-378.8</v>
      </c>
      <c r="V18" s="38">
        <f>SUM(V20:V22)</f>
        <v>-523.4</v>
      </c>
      <c r="W18" s="39">
        <f t="shared" ref="W18:AH18" si="3">SUM(W20:W22)</f>
        <v>-458.09999999999997</v>
      </c>
      <c r="X18" s="38">
        <f t="shared" si="3"/>
        <v>-449.5</v>
      </c>
      <c r="Y18" s="38">
        <f t="shared" si="3"/>
        <v>-452.6</v>
      </c>
      <c r="Z18" s="40">
        <f t="shared" si="3"/>
        <v>-447.09999999999997</v>
      </c>
      <c r="AA18" s="38">
        <f t="shared" si="3"/>
        <v>-443.1</v>
      </c>
      <c r="AB18" s="38">
        <f t="shared" si="3"/>
        <v>-445.2000000000001</v>
      </c>
      <c r="AC18" s="38">
        <f t="shared" si="3"/>
        <v>-434.10000000000014</v>
      </c>
      <c r="AD18" s="40">
        <f t="shared" si="3"/>
        <v>-435.20000000000005</v>
      </c>
      <c r="AE18" s="39">
        <f t="shared" si="3"/>
        <v>-480.6</v>
      </c>
      <c r="AF18" s="38">
        <f t="shared" si="3"/>
        <v>-488</v>
      </c>
      <c r="AG18" s="38">
        <f t="shared" si="3"/>
        <v>-514.09999999999991</v>
      </c>
      <c r="AH18" s="40">
        <f t="shared" si="3"/>
        <v>-508.09999999999997</v>
      </c>
      <c r="AI18" s="38">
        <f>SUM(AI20:AI22)</f>
        <v>-545.39999999999986</v>
      </c>
      <c r="AJ18" s="38">
        <f>SUM(AJ20:AJ22)</f>
        <v>-484.3</v>
      </c>
      <c r="AK18" s="38">
        <f>SUM(AK20:AK22)</f>
        <v>-543.79999999999995</v>
      </c>
      <c r="AL18" s="40">
        <f>SUM(AL20:AL22)</f>
        <v>-559</v>
      </c>
      <c r="AM18" s="38">
        <f>SUM(AM20:AM22)</f>
        <v>-546.70000000000005</v>
      </c>
      <c r="AN18" s="38">
        <f>SUM(AN19:AN22)</f>
        <v>107.09999999999994</v>
      </c>
      <c r="AO18" s="38">
        <f>SUM(AO19:AO22)</f>
        <v>82.199999999999932</v>
      </c>
      <c r="AP18" s="40">
        <f>SUM(AP19:AP27)</f>
        <v>123.7</v>
      </c>
      <c r="AQ18" s="39">
        <f t="shared" ref="AQ18:BK18" si="4">SUM(AQ19:AQ27)</f>
        <v>99.999999999999986</v>
      </c>
      <c r="AR18" s="38">
        <f t="shared" si="4"/>
        <v>69.300000000000011</v>
      </c>
      <c r="AS18" s="38">
        <f t="shared" si="4"/>
        <v>71.499999999999957</v>
      </c>
      <c r="AT18" s="38">
        <f t="shared" si="4"/>
        <v>67.800000000000011</v>
      </c>
      <c r="AU18" s="39">
        <f t="shared" si="4"/>
        <v>301.19999999999993</v>
      </c>
      <c r="AV18" s="38">
        <f t="shared" si="4"/>
        <v>245.20000000000002</v>
      </c>
      <c r="AW18" s="38">
        <f t="shared" si="4"/>
        <v>291.5</v>
      </c>
      <c r="AX18" s="38">
        <f t="shared" si="4"/>
        <v>236.2</v>
      </c>
      <c r="AY18" s="39">
        <f t="shared" si="4"/>
        <v>762.89999999999986</v>
      </c>
      <c r="AZ18" s="38">
        <f t="shared" si="4"/>
        <v>752.2</v>
      </c>
      <c r="BA18" s="38">
        <f t="shared" si="4"/>
        <v>699.10000000000014</v>
      </c>
      <c r="BB18" s="38">
        <f t="shared" si="4"/>
        <v>1712.4</v>
      </c>
      <c r="BC18" s="39">
        <f t="shared" si="4"/>
        <v>1711.7999999999997</v>
      </c>
      <c r="BD18" s="38">
        <f t="shared" si="4"/>
        <v>2065.1610160564483</v>
      </c>
      <c r="BE18" s="38">
        <f t="shared" si="4"/>
        <v>2093.9</v>
      </c>
      <c r="BF18" s="38">
        <f t="shared" si="4"/>
        <v>2082</v>
      </c>
      <c r="BG18" s="39">
        <f t="shared" si="4"/>
        <v>2006.9999999999998</v>
      </c>
      <c r="BH18" s="38">
        <f t="shared" si="4"/>
        <v>1902.2999999999997</v>
      </c>
      <c r="BI18" s="38">
        <f t="shared" si="4"/>
        <v>1904.3</v>
      </c>
      <c r="BJ18" s="38">
        <f t="shared" si="4"/>
        <v>1010.2999999999998</v>
      </c>
      <c r="BK18" s="39">
        <f t="shared" si="4"/>
        <v>681.30000000000007</v>
      </c>
      <c r="BL18" s="38"/>
      <c r="BM18" s="38"/>
      <c r="BN18" s="38"/>
    </row>
    <row r="19" spans="1:66" s="41" customFormat="1" ht="10.8">
      <c r="A19" s="50" t="s">
        <v>26</v>
      </c>
      <c r="B19" s="58" t="s">
        <v>27</v>
      </c>
      <c r="C19" s="55" t="s">
        <v>28</v>
      </c>
      <c r="D19" s="54" t="s">
        <v>28</v>
      </c>
      <c r="E19" s="54" t="s">
        <v>28</v>
      </c>
      <c r="F19" s="56" t="s">
        <v>28</v>
      </c>
      <c r="G19" s="55" t="s">
        <v>28</v>
      </c>
      <c r="H19" s="54" t="s">
        <v>28</v>
      </c>
      <c r="I19" s="54" t="s">
        <v>28</v>
      </c>
      <c r="J19" s="56" t="s">
        <v>28</v>
      </c>
      <c r="K19" s="54" t="s">
        <v>28</v>
      </c>
      <c r="L19" s="54" t="s">
        <v>28</v>
      </c>
      <c r="M19" s="54" t="s">
        <v>28</v>
      </c>
      <c r="N19" s="54" t="s">
        <v>28</v>
      </c>
      <c r="O19" s="55" t="s">
        <v>28</v>
      </c>
      <c r="P19" s="54" t="s">
        <v>28</v>
      </c>
      <c r="Q19" s="54" t="s">
        <v>28</v>
      </c>
      <c r="R19" s="56" t="s">
        <v>28</v>
      </c>
      <c r="S19" s="54" t="s">
        <v>28</v>
      </c>
      <c r="T19" s="54" t="s">
        <v>28</v>
      </c>
      <c r="U19" s="54" t="s">
        <v>28</v>
      </c>
      <c r="V19" s="54" t="s">
        <v>28</v>
      </c>
      <c r="W19" s="55" t="s">
        <v>28</v>
      </c>
      <c r="X19" s="54" t="s">
        <v>28</v>
      </c>
      <c r="Y19" s="54" t="s">
        <v>28</v>
      </c>
      <c r="Z19" s="56" t="s">
        <v>28</v>
      </c>
      <c r="AA19" s="54" t="s">
        <v>28</v>
      </c>
      <c r="AB19" s="54" t="s">
        <v>28</v>
      </c>
      <c r="AC19" s="54" t="s">
        <v>28</v>
      </c>
      <c r="AD19" s="56" t="s">
        <v>28</v>
      </c>
      <c r="AE19" s="55" t="s">
        <v>28</v>
      </c>
      <c r="AF19" s="54" t="s">
        <v>28</v>
      </c>
      <c r="AG19" s="54" t="s">
        <v>28</v>
      </c>
      <c r="AH19" s="56" t="s">
        <v>28</v>
      </c>
      <c r="AI19" s="54" t="s">
        <v>28</v>
      </c>
      <c r="AJ19" s="54" t="s">
        <v>28</v>
      </c>
      <c r="AK19" s="54" t="s">
        <v>28</v>
      </c>
      <c r="AL19" s="56" t="s">
        <v>28</v>
      </c>
      <c r="AM19" s="54" t="s">
        <v>28</v>
      </c>
      <c r="AN19" s="54">
        <v>663.8</v>
      </c>
      <c r="AO19" s="54">
        <v>646.79999999999995</v>
      </c>
      <c r="AP19" s="56">
        <v>663.6</v>
      </c>
      <c r="AQ19" s="55">
        <v>632.9</v>
      </c>
      <c r="AR19" s="54">
        <v>633.9</v>
      </c>
      <c r="AS19" s="54">
        <v>646.4</v>
      </c>
      <c r="AT19" s="54">
        <v>625.6</v>
      </c>
      <c r="AU19" s="55">
        <v>631.29999999999995</v>
      </c>
      <c r="AV19" s="54">
        <v>654.20000000000005</v>
      </c>
      <c r="AW19" s="54">
        <v>640.70000000000005</v>
      </c>
      <c r="AX19" s="54">
        <v>645</v>
      </c>
      <c r="AY19" s="55">
        <v>1075</v>
      </c>
      <c r="AZ19" s="54">
        <v>1063</v>
      </c>
      <c r="BA19" s="54">
        <v>1093.4000000000001</v>
      </c>
      <c r="BB19" s="54">
        <v>2129.3000000000002</v>
      </c>
      <c r="BC19" s="55">
        <v>2276.1999999999998</v>
      </c>
      <c r="BD19" s="54">
        <v>2233</v>
      </c>
      <c r="BE19" s="54">
        <v>2263.4</v>
      </c>
      <c r="BF19" s="54">
        <v>2307.4</v>
      </c>
      <c r="BG19" s="55">
        <v>2316.6999999999998</v>
      </c>
      <c r="BH19" s="54">
        <v>2213.6</v>
      </c>
      <c r="BI19" s="54">
        <v>2233.5</v>
      </c>
      <c r="BJ19" s="54">
        <v>1609.8</v>
      </c>
      <c r="BK19" s="55">
        <v>1628.4</v>
      </c>
      <c r="BL19" s="54"/>
      <c r="BM19" s="54"/>
      <c r="BN19" s="54"/>
    </row>
    <row r="20" spans="1:66" s="41" customFormat="1" ht="10.8">
      <c r="A20" s="50" t="s">
        <v>29</v>
      </c>
      <c r="B20" s="50" t="s">
        <v>30</v>
      </c>
      <c r="C20" s="51">
        <v>-325.7</v>
      </c>
      <c r="D20" s="52">
        <v>-319.3</v>
      </c>
      <c r="E20" s="52">
        <v>-319</v>
      </c>
      <c r="F20" s="53">
        <v>-318.8</v>
      </c>
      <c r="G20" s="51">
        <v>-315.8</v>
      </c>
      <c r="H20" s="52">
        <v>-311</v>
      </c>
      <c r="I20" s="52">
        <v>-309.5</v>
      </c>
      <c r="J20" s="53">
        <v>-316.2</v>
      </c>
      <c r="K20" s="52">
        <v>-313.5</v>
      </c>
      <c r="L20" s="52">
        <v>-317.8</v>
      </c>
      <c r="M20" s="52">
        <v>-316.39999999999998</v>
      </c>
      <c r="N20" s="52">
        <v>-327.3</v>
      </c>
      <c r="O20" s="51">
        <v>-322.89999999999998</v>
      </c>
      <c r="P20" s="52">
        <v>-325.89999999999998</v>
      </c>
      <c r="Q20" s="52">
        <v>-325.8</v>
      </c>
      <c r="R20" s="53">
        <v>-342.2</v>
      </c>
      <c r="S20" s="54">
        <v>-342</v>
      </c>
      <c r="T20" s="54">
        <v>-357.8</v>
      </c>
      <c r="U20" s="54">
        <v>-355.6</v>
      </c>
      <c r="V20" s="54">
        <v>-362</v>
      </c>
      <c r="W20" s="55">
        <v>-360.4</v>
      </c>
      <c r="X20" s="54">
        <v>-358.8</v>
      </c>
      <c r="Y20" s="54">
        <v>-361.1</v>
      </c>
      <c r="Z20" s="56">
        <v>-361.59999999999997</v>
      </c>
      <c r="AA20" s="54">
        <v>-353.6</v>
      </c>
      <c r="AB20" s="54">
        <v>-353.10000000000008</v>
      </c>
      <c r="AC20" s="54">
        <v>-352.00000000000011</v>
      </c>
      <c r="AD20" s="56">
        <v>-365.90000000000003</v>
      </c>
      <c r="AE20" s="55">
        <v>-355.5</v>
      </c>
      <c r="AF20" s="54">
        <v>-354.1</v>
      </c>
      <c r="AG20" s="54">
        <v>-355.89999999999992</v>
      </c>
      <c r="AH20" s="56">
        <v>-371.4</v>
      </c>
      <c r="AI20" s="54">
        <v>-368.19999999999993</v>
      </c>
      <c r="AJ20" s="54">
        <v>-373</v>
      </c>
      <c r="AK20" s="54">
        <v>-390.7</v>
      </c>
      <c r="AL20" s="56">
        <v>-421</v>
      </c>
      <c r="AM20" s="54">
        <v>-418.1</v>
      </c>
      <c r="AN20" s="54">
        <v>-426.1</v>
      </c>
      <c r="AO20" s="54">
        <v>-430.1</v>
      </c>
      <c r="AP20" s="56">
        <v>-423.6</v>
      </c>
      <c r="AQ20" s="55">
        <v>-411.7</v>
      </c>
      <c r="AR20" s="54">
        <v>-416.4</v>
      </c>
      <c r="AS20" s="54">
        <v>-415.1</v>
      </c>
      <c r="AT20" s="54">
        <v>-422.8</v>
      </c>
      <c r="AU20" s="55">
        <v>-418.3</v>
      </c>
      <c r="AV20" s="54">
        <v>-421.1</v>
      </c>
      <c r="AW20" s="54">
        <v>-424</v>
      </c>
      <c r="AX20" s="54">
        <v>-435</v>
      </c>
      <c r="AY20" s="55">
        <v>-428.5</v>
      </c>
      <c r="AZ20" s="54">
        <v>-410.8</v>
      </c>
      <c r="BA20" s="54">
        <v>-518.4</v>
      </c>
      <c r="BB20" s="54">
        <v>-521.5</v>
      </c>
      <c r="BC20" s="55">
        <v>-516.9</v>
      </c>
      <c r="BD20" s="54">
        <v>-514.29196290000004</v>
      </c>
      <c r="BE20" s="54">
        <v>-514</v>
      </c>
      <c r="BF20" s="54">
        <v>-466.9</v>
      </c>
      <c r="BG20" s="55">
        <v>-457.5</v>
      </c>
      <c r="BH20" s="54">
        <v>-453.3</v>
      </c>
      <c r="BI20" s="54">
        <v>-449.3</v>
      </c>
      <c r="BJ20" s="54">
        <v>-425.1</v>
      </c>
      <c r="BK20" s="55">
        <v>-453</v>
      </c>
      <c r="BL20" s="54"/>
      <c r="BM20" s="54"/>
      <c r="BN20" s="54"/>
    </row>
    <row r="21" spans="1:66" s="41" customFormat="1" ht="10.8">
      <c r="A21" s="50" t="s">
        <v>31</v>
      </c>
      <c r="B21" s="50" t="s">
        <v>32</v>
      </c>
      <c r="C21" s="51">
        <v>0</v>
      </c>
      <c r="D21" s="52">
        <v>0</v>
      </c>
      <c r="E21" s="52">
        <v>0</v>
      </c>
      <c r="F21" s="53">
        <v>0</v>
      </c>
      <c r="G21" s="51">
        <v>-30.3</v>
      </c>
      <c r="H21" s="52">
        <v>-39.1</v>
      </c>
      <c r="I21" s="52">
        <v>-36.1</v>
      </c>
      <c r="J21" s="53">
        <v>-35.299999999999997</v>
      </c>
      <c r="K21" s="52">
        <v>-36.6</v>
      </c>
      <c r="L21" s="52">
        <v>-38.200000000000003</v>
      </c>
      <c r="M21" s="52">
        <v>-38.200000000000003</v>
      </c>
      <c r="N21" s="52">
        <v>-37.200000000000003</v>
      </c>
      <c r="O21" s="51">
        <v>-37.299999999999997</v>
      </c>
      <c r="P21" s="52">
        <v>-40</v>
      </c>
      <c r="Q21" s="52">
        <v>-20</v>
      </c>
      <c r="R21" s="53">
        <v>-31.9</v>
      </c>
      <c r="S21" s="54">
        <v>-36.200000000000003</v>
      </c>
      <c r="T21" s="54">
        <v>-20</v>
      </c>
      <c r="U21" s="54">
        <v>-23.2</v>
      </c>
      <c r="V21" s="54">
        <v>-20</v>
      </c>
      <c r="W21" s="55">
        <v>-20</v>
      </c>
      <c r="X21" s="54">
        <v>-20</v>
      </c>
      <c r="Y21" s="54">
        <v>-20</v>
      </c>
      <c r="Z21" s="56">
        <v>-20</v>
      </c>
      <c r="AA21" s="54">
        <v>-20</v>
      </c>
      <c r="AB21" s="54">
        <v>-20</v>
      </c>
      <c r="AC21" s="54">
        <v>-20</v>
      </c>
      <c r="AD21" s="56">
        <v>-20</v>
      </c>
      <c r="AE21" s="55">
        <v>0</v>
      </c>
      <c r="AF21" s="54">
        <v>0</v>
      </c>
      <c r="AG21" s="54">
        <v>0</v>
      </c>
      <c r="AH21" s="56">
        <v>0</v>
      </c>
      <c r="AI21" s="54">
        <v>0</v>
      </c>
      <c r="AJ21" s="54" t="s">
        <v>28</v>
      </c>
      <c r="AK21" s="54" t="s">
        <v>28</v>
      </c>
      <c r="AL21" s="56" t="s">
        <v>28</v>
      </c>
      <c r="AM21" s="54">
        <v>0</v>
      </c>
      <c r="AN21" s="54" t="s">
        <v>28</v>
      </c>
      <c r="AO21" s="54" t="s">
        <v>28</v>
      </c>
      <c r="AP21" s="56" t="s">
        <v>28</v>
      </c>
      <c r="AQ21" s="59" t="s">
        <v>28</v>
      </c>
      <c r="AR21" s="54" t="s">
        <v>28</v>
      </c>
      <c r="AS21" s="54" t="s">
        <v>28</v>
      </c>
      <c r="AT21" s="54" t="s">
        <v>28</v>
      </c>
      <c r="AU21" s="59" t="s">
        <v>28</v>
      </c>
      <c r="AV21" s="60" t="s">
        <v>28</v>
      </c>
      <c r="AW21" s="60" t="s">
        <v>28</v>
      </c>
      <c r="AX21" s="60" t="s">
        <v>28</v>
      </c>
      <c r="AY21" s="59" t="s">
        <v>28</v>
      </c>
      <c r="AZ21" s="60" t="s">
        <v>28</v>
      </c>
      <c r="BA21" s="60" t="s">
        <v>28</v>
      </c>
      <c r="BB21" s="60" t="s">
        <v>28</v>
      </c>
      <c r="BC21" s="59" t="s">
        <v>28</v>
      </c>
      <c r="BD21" s="60" t="s">
        <v>28</v>
      </c>
      <c r="BE21" s="60" t="s">
        <v>28</v>
      </c>
      <c r="BF21" s="60" t="s">
        <v>28</v>
      </c>
      <c r="BG21" s="59" t="s">
        <v>28</v>
      </c>
      <c r="BH21" s="60" t="s">
        <v>28</v>
      </c>
      <c r="BI21" s="60" t="s">
        <v>28</v>
      </c>
      <c r="BJ21" s="60" t="s">
        <v>28</v>
      </c>
      <c r="BK21" s="59" t="s">
        <v>28</v>
      </c>
      <c r="BL21" s="60"/>
      <c r="BM21" s="60"/>
      <c r="BN21" s="60"/>
    </row>
    <row r="22" spans="1:66" s="41" customFormat="1" ht="10.8">
      <c r="A22" s="50" t="s">
        <v>33</v>
      </c>
      <c r="B22" s="61" t="s">
        <v>34</v>
      </c>
      <c r="C22" s="51">
        <v>0</v>
      </c>
      <c r="D22" s="52">
        <v>0</v>
      </c>
      <c r="E22" s="52">
        <v>0</v>
      </c>
      <c r="F22" s="53">
        <v>0</v>
      </c>
      <c r="G22" s="51">
        <v>0</v>
      </c>
      <c r="H22" s="52">
        <v>0</v>
      </c>
      <c r="I22" s="52">
        <v>0</v>
      </c>
      <c r="J22" s="53">
        <v>0</v>
      </c>
      <c r="K22" s="52">
        <v>0</v>
      </c>
      <c r="L22" s="52">
        <v>0</v>
      </c>
      <c r="M22" s="52">
        <v>0</v>
      </c>
      <c r="N22" s="52">
        <v>0</v>
      </c>
      <c r="O22" s="51">
        <v>0</v>
      </c>
      <c r="P22" s="52">
        <v>0</v>
      </c>
      <c r="Q22" s="52">
        <v>0</v>
      </c>
      <c r="R22" s="53">
        <v>0</v>
      </c>
      <c r="S22" s="54">
        <v>0</v>
      </c>
      <c r="T22" s="54">
        <v>0</v>
      </c>
      <c r="U22" s="54">
        <v>0</v>
      </c>
      <c r="V22" s="54">
        <v>-141.39999999999998</v>
      </c>
      <c r="W22" s="55">
        <v>-77.7</v>
      </c>
      <c r="X22" s="54">
        <v>-70.7</v>
      </c>
      <c r="Y22" s="54">
        <v>-71.5</v>
      </c>
      <c r="Z22" s="56">
        <v>-65.5</v>
      </c>
      <c r="AA22" s="54">
        <v>-69.5</v>
      </c>
      <c r="AB22" s="54">
        <v>-72.100000000000009</v>
      </c>
      <c r="AC22" s="54">
        <v>-62.099999999999994</v>
      </c>
      <c r="AD22" s="56">
        <v>-49.3</v>
      </c>
      <c r="AE22" s="55">
        <v>-125.1</v>
      </c>
      <c r="AF22" s="54">
        <v>-133.9</v>
      </c>
      <c r="AG22" s="54">
        <v>-158.19999999999999</v>
      </c>
      <c r="AH22" s="56">
        <v>-136.69999999999999</v>
      </c>
      <c r="AI22" s="54">
        <v>-177.2</v>
      </c>
      <c r="AJ22" s="54">
        <v>-111.3</v>
      </c>
      <c r="AK22" s="54">
        <v>-153.1</v>
      </c>
      <c r="AL22" s="56">
        <v>-138</v>
      </c>
      <c r="AM22" s="54">
        <v>-128.6</v>
      </c>
      <c r="AN22" s="54">
        <v>-130.6</v>
      </c>
      <c r="AO22" s="54">
        <v>-134.5</v>
      </c>
      <c r="AP22" s="56">
        <v>0</v>
      </c>
      <c r="AQ22" s="55">
        <v>0</v>
      </c>
      <c r="AR22" s="54">
        <v>0</v>
      </c>
      <c r="AS22" s="54">
        <v>0</v>
      </c>
      <c r="AT22" s="54">
        <v>0</v>
      </c>
      <c r="AU22" s="55">
        <v>0</v>
      </c>
      <c r="AV22" s="54">
        <v>0</v>
      </c>
      <c r="AW22" s="54">
        <v>0</v>
      </c>
      <c r="AX22" s="54">
        <v>0</v>
      </c>
      <c r="AY22" s="55">
        <v>0</v>
      </c>
      <c r="AZ22" s="54">
        <v>0</v>
      </c>
      <c r="BA22" s="54">
        <v>0</v>
      </c>
      <c r="BB22" s="54">
        <v>0</v>
      </c>
      <c r="BC22" s="55">
        <v>0</v>
      </c>
      <c r="BD22" s="54">
        <v>0</v>
      </c>
      <c r="BE22" s="54">
        <v>0</v>
      </c>
      <c r="BF22" s="54">
        <v>0</v>
      </c>
      <c r="BG22" s="55">
        <v>0</v>
      </c>
      <c r="BH22" s="54">
        <v>0</v>
      </c>
      <c r="BI22" s="54">
        <v>0.1</v>
      </c>
      <c r="BJ22" s="54">
        <v>-3.1</v>
      </c>
      <c r="BK22" s="55">
        <v>-1.8</v>
      </c>
      <c r="BL22" s="54"/>
      <c r="BM22" s="54"/>
      <c r="BN22" s="54"/>
    </row>
    <row r="23" spans="1:66" s="41" customFormat="1" ht="10.8">
      <c r="A23" s="50" t="s">
        <v>35</v>
      </c>
      <c r="B23" s="62" t="s">
        <v>36</v>
      </c>
      <c r="C23" s="51"/>
      <c r="D23" s="52"/>
      <c r="E23" s="52"/>
      <c r="F23" s="53"/>
      <c r="G23" s="51"/>
      <c r="H23" s="52"/>
      <c r="I23" s="52"/>
      <c r="J23" s="53"/>
      <c r="K23" s="52"/>
      <c r="L23" s="52"/>
      <c r="M23" s="52"/>
      <c r="N23" s="52"/>
      <c r="O23" s="51"/>
      <c r="P23" s="52"/>
      <c r="Q23" s="52"/>
      <c r="R23" s="53"/>
      <c r="S23" s="54"/>
      <c r="T23" s="54"/>
      <c r="U23" s="54"/>
      <c r="V23" s="54"/>
      <c r="W23" s="55"/>
      <c r="X23" s="54"/>
      <c r="Y23" s="54"/>
      <c r="Z23" s="56"/>
      <c r="AA23" s="54"/>
      <c r="AB23" s="54"/>
      <c r="AC23" s="54"/>
      <c r="AD23" s="56"/>
      <c r="AE23" s="55"/>
      <c r="AF23" s="54"/>
      <c r="AG23" s="54"/>
      <c r="AH23" s="56"/>
      <c r="AI23" s="54"/>
      <c r="AJ23" s="54"/>
      <c r="AK23" s="54"/>
      <c r="AL23" s="56"/>
      <c r="AM23" s="54"/>
      <c r="AN23" s="54"/>
      <c r="AO23" s="54"/>
      <c r="AP23" s="56"/>
      <c r="AQ23" s="55"/>
      <c r="AR23" s="54"/>
      <c r="AS23" s="54"/>
      <c r="AT23" s="54"/>
      <c r="AU23" s="55">
        <v>224.5</v>
      </c>
      <c r="AV23" s="54">
        <v>224.5</v>
      </c>
      <c r="AW23" s="54">
        <v>201.4</v>
      </c>
      <c r="AX23" s="54">
        <v>215</v>
      </c>
      <c r="AY23" s="55">
        <v>259.89999999999998</v>
      </c>
      <c r="AZ23" s="54">
        <v>267.3</v>
      </c>
      <c r="BA23" s="54">
        <v>256.3</v>
      </c>
      <c r="BB23" s="54">
        <v>220.3</v>
      </c>
      <c r="BC23" s="55">
        <v>181.5</v>
      </c>
      <c r="BD23" s="54">
        <v>370.19456963618819</v>
      </c>
      <c r="BE23" s="54">
        <v>370</v>
      </c>
      <c r="BF23" s="54">
        <v>316</v>
      </c>
      <c r="BG23" s="55">
        <v>250</v>
      </c>
      <c r="BH23" s="54">
        <v>198.6</v>
      </c>
      <c r="BI23" s="54">
        <v>184.3</v>
      </c>
      <c r="BJ23" s="54">
        <v>280.5</v>
      </c>
      <c r="BK23" s="55">
        <v>243.6</v>
      </c>
      <c r="BL23" s="54"/>
      <c r="BM23" s="54"/>
      <c r="BN23" s="54"/>
    </row>
    <row r="24" spans="1:66" s="41" customFormat="1" ht="10.8">
      <c r="A24" s="50" t="s">
        <v>37</v>
      </c>
      <c r="B24" s="62" t="s">
        <v>38</v>
      </c>
      <c r="C24" s="51"/>
      <c r="D24" s="52"/>
      <c r="E24" s="52"/>
      <c r="F24" s="53"/>
      <c r="G24" s="51"/>
      <c r="H24" s="52"/>
      <c r="I24" s="52"/>
      <c r="J24" s="53"/>
      <c r="K24" s="52"/>
      <c r="L24" s="52"/>
      <c r="M24" s="52"/>
      <c r="N24" s="52"/>
      <c r="O24" s="51"/>
      <c r="P24" s="52"/>
      <c r="Q24" s="52"/>
      <c r="R24" s="53"/>
      <c r="S24" s="54"/>
      <c r="T24" s="54"/>
      <c r="U24" s="54"/>
      <c r="V24" s="54"/>
      <c r="W24" s="55"/>
      <c r="X24" s="54"/>
      <c r="Y24" s="54"/>
      <c r="Z24" s="56"/>
      <c r="AA24" s="54"/>
      <c r="AB24" s="54"/>
      <c r="AC24" s="54"/>
      <c r="AD24" s="56"/>
      <c r="AE24" s="55"/>
      <c r="AF24" s="54"/>
      <c r="AG24" s="54"/>
      <c r="AH24" s="56"/>
      <c r="AI24" s="54"/>
      <c r="AJ24" s="54"/>
      <c r="AK24" s="54"/>
      <c r="AL24" s="56"/>
      <c r="AM24" s="54"/>
      <c r="AN24" s="54"/>
      <c r="AO24" s="54"/>
      <c r="AP24" s="56">
        <v>0</v>
      </c>
      <c r="AQ24" s="55">
        <v>0</v>
      </c>
      <c r="AR24" s="54">
        <v>0</v>
      </c>
      <c r="AS24" s="54">
        <v>0</v>
      </c>
      <c r="AT24" s="54">
        <v>0</v>
      </c>
      <c r="AU24" s="55">
        <v>0</v>
      </c>
      <c r="AV24" s="54">
        <v>0</v>
      </c>
      <c r="AW24" s="54">
        <v>0</v>
      </c>
      <c r="AX24" s="54">
        <v>0</v>
      </c>
      <c r="AY24" s="55">
        <v>0</v>
      </c>
      <c r="AZ24" s="54">
        <v>0</v>
      </c>
      <c r="BA24" s="54">
        <v>0</v>
      </c>
      <c r="BB24" s="54">
        <v>0</v>
      </c>
      <c r="BC24" s="55">
        <v>0</v>
      </c>
      <c r="BD24" s="54">
        <v>0</v>
      </c>
      <c r="BE24" s="54">
        <v>0</v>
      </c>
      <c r="BF24" s="54">
        <v>-49.6</v>
      </c>
      <c r="BG24" s="55">
        <v>-76.2</v>
      </c>
      <c r="BH24" s="54">
        <v>-31.7</v>
      </c>
      <c r="BI24" s="54">
        <v>-41</v>
      </c>
      <c r="BJ24" s="54">
        <v>-544.5</v>
      </c>
      <c r="BK24" s="55">
        <v>-965.7</v>
      </c>
      <c r="BL24" s="54"/>
      <c r="BM24" s="54"/>
      <c r="BN24" s="54"/>
    </row>
    <row r="25" spans="1:66" s="41" customFormat="1" ht="21.6">
      <c r="A25" s="50" t="s">
        <v>39</v>
      </c>
      <c r="B25" s="62" t="s">
        <v>40</v>
      </c>
      <c r="C25" s="51"/>
      <c r="D25" s="52"/>
      <c r="E25" s="52"/>
      <c r="F25" s="53"/>
      <c r="G25" s="51"/>
      <c r="H25" s="52"/>
      <c r="I25" s="52"/>
      <c r="J25" s="53"/>
      <c r="K25" s="52"/>
      <c r="L25" s="52"/>
      <c r="M25" s="52"/>
      <c r="N25" s="52"/>
      <c r="O25" s="51"/>
      <c r="P25" s="52"/>
      <c r="Q25" s="52"/>
      <c r="R25" s="53"/>
      <c r="S25" s="54"/>
      <c r="T25" s="54"/>
      <c r="U25" s="54"/>
      <c r="V25" s="54"/>
      <c r="W25" s="55"/>
      <c r="X25" s="54"/>
      <c r="Y25" s="54"/>
      <c r="Z25" s="56"/>
      <c r="AA25" s="54"/>
      <c r="AB25" s="54"/>
      <c r="AC25" s="54"/>
      <c r="AD25" s="56"/>
      <c r="AE25" s="55"/>
      <c r="AF25" s="54"/>
      <c r="AG25" s="54"/>
      <c r="AH25" s="56"/>
      <c r="AI25" s="54"/>
      <c r="AJ25" s="54"/>
      <c r="AK25" s="54"/>
      <c r="AL25" s="56"/>
      <c r="AM25" s="54"/>
      <c r="AN25" s="54"/>
      <c r="AO25" s="54"/>
      <c r="AP25" s="56">
        <v>0</v>
      </c>
      <c r="AQ25" s="55">
        <v>0</v>
      </c>
      <c r="AR25" s="54">
        <v>0</v>
      </c>
      <c r="AS25" s="54">
        <v>0</v>
      </c>
      <c r="AT25" s="54">
        <v>0</v>
      </c>
      <c r="AU25" s="55">
        <v>0</v>
      </c>
      <c r="AV25" s="54">
        <v>0</v>
      </c>
      <c r="AW25" s="54">
        <v>0</v>
      </c>
      <c r="AX25" s="54">
        <v>0</v>
      </c>
      <c r="AY25" s="55">
        <v>0</v>
      </c>
      <c r="AZ25" s="54">
        <v>0</v>
      </c>
      <c r="BA25" s="54">
        <v>0</v>
      </c>
      <c r="BB25" s="54">
        <v>0</v>
      </c>
      <c r="BC25" s="55">
        <v>0</v>
      </c>
      <c r="BD25" s="54">
        <v>0</v>
      </c>
      <c r="BE25" s="54">
        <v>0</v>
      </c>
      <c r="BF25" s="54">
        <v>0</v>
      </c>
      <c r="BG25" s="55">
        <v>0</v>
      </c>
      <c r="BH25" s="54">
        <v>0.6</v>
      </c>
      <c r="BI25" s="54">
        <v>0</v>
      </c>
      <c r="BJ25" s="54">
        <v>111.8</v>
      </c>
      <c r="BK25" s="55">
        <v>259.2</v>
      </c>
      <c r="BL25" s="54"/>
      <c r="BM25" s="54"/>
      <c r="BN25" s="54"/>
    </row>
    <row r="26" spans="1:66" s="41" customFormat="1" ht="10.8">
      <c r="A26" s="50" t="s">
        <v>41</v>
      </c>
      <c r="B26" s="61" t="s">
        <v>42</v>
      </c>
      <c r="C26" s="51"/>
      <c r="D26" s="52"/>
      <c r="E26" s="52"/>
      <c r="F26" s="53"/>
      <c r="G26" s="51"/>
      <c r="H26" s="52"/>
      <c r="I26" s="52"/>
      <c r="J26" s="53"/>
      <c r="K26" s="52"/>
      <c r="L26" s="52"/>
      <c r="M26" s="52"/>
      <c r="N26" s="52"/>
      <c r="O26" s="51"/>
      <c r="P26" s="52"/>
      <c r="Q26" s="52"/>
      <c r="R26" s="53"/>
      <c r="S26" s="54"/>
      <c r="T26" s="54"/>
      <c r="U26" s="54"/>
      <c r="V26" s="54"/>
      <c r="W26" s="55"/>
      <c r="X26" s="54"/>
      <c r="Y26" s="54"/>
      <c r="Z26" s="56"/>
      <c r="AA26" s="54"/>
      <c r="AB26" s="54"/>
      <c r="AC26" s="54"/>
      <c r="AD26" s="56"/>
      <c r="AE26" s="55"/>
      <c r="AF26" s="54"/>
      <c r="AG26" s="54"/>
      <c r="AH26" s="56"/>
      <c r="AI26" s="54"/>
      <c r="AJ26" s="54"/>
      <c r="AK26" s="54"/>
      <c r="AL26" s="56"/>
      <c r="AM26" s="54"/>
      <c r="AN26" s="54"/>
      <c r="AO26" s="54"/>
      <c r="AP26" s="56">
        <v>-115.7</v>
      </c>
      <c r="AQ26" s="55">
        <v>-120.8</v>
      </c>
      <c r="AR26" s="54">
        <v>-147.19999999999999</v>
      </c>
      <c r="AS26" s="54">
        <v>-158.6</v>
      </c>
      <c r="AT26" s="54">
        <v>-134.9</v>
      </c>
      <c r="AU26" s="55">
        <v>-136</v>
      </c>
      <c r="AV26" s="54">
        <v>-210.6</v>
      </c>
      <c r="AW26" s="54">
        <v>-126.1</v>
      </c>
      <c r="AX26" s="54">
        <v>-185.5</v>
      </c>
      <c r="AY26" s="55">
        <v>-142.30000000000001</v>
      </c>
      <c r="AZ26" s="54">
        <v>-148.80000000000001</v>
      </c>
      <c r="BA26" s="54">
        <v>-105.7</v>
      </c>
      <c r="BB26" s="54">
        <v>-67.400000000000006</v>
      </c>
      <c r="BC26" s="55">
        <v>-104</v>
      </c>
      <c r="BD26" s="54">
        <v>0</v>
      </c>
      <c r="BE26" s="54">
        <v>0</v>
      </c>
      <c r="BF26" s="54">
        <v>0</v>
      </c>
      <c r="BG26" s="55">
        <v>0</v>
      </c>
      <c r="BH26" s="54">
        <v>0</v>
      </c>
      <c r="BI26" s="54">
        <v>0</v>
      </c>
      <c r="BJ26" s="54">
        <v>0</v>
      </c>
      <c r="BK26" s="55">
        <v>-8.9</v>
      </c>
      <c r="BL26" s="54"/>
      <c r="BM26" s="54"/>
      <c r="BN26" s="54"/>
    </row>
    <row r="27" spans="1:66" s="41" customFormat="1" ht="10.8">
      <c r="A27" s="63" t="s">
        <v>37</v>
      </c>
      <c r="B27" s="62" t="s">
        <v>43</v>
      </c>
      <c r="C27" s="51"/>
      <c r="D27" s="52"/>
      <c r="E27" s="52"/>
      <c r="F27" s="53"/>
      <c r="G27" s="51"/>
      <c r="H27" s="52"/>
      <c r="I27" s="52"/>
      <c r="J27" s="53"/>
      <c r="K27" s="52"/>
      <c r="L27" s="52"/>
      <c r="M27" s="52"/>
      <c r="N27" s="52"/>
      <c r="O27" s="51"/>
      <c r="P27" s="52"/>
      <c r="Q27" s="52"/>
      <c r="R27" s="53"/>
      <c r="S27" s="54"/>
      <c r="T27" s="54"/>
      <c r="U27" s="54"/>
      <c r="V27" s="54"/>
      <c r="W27" s="55"/>
      <c r="X27" s="54"/>
      <c r="Y27" s="54"/>
      <c r="Z27" s="56"/>
      <c r="AA27" s="54"/>
      <c r="AB27" s="54"/>
      <c r="AC27" s="54"/>
      <c r="AD27" s="56"/>
      <c r="AE27" s="55"/>
      <c r="AF27" s="54"/>
      <c r="AG27" s="54"/>
      <c r="AH27" s="56"/>
      <c r="AI27" s="54"/>
      <c r="AJ27" s="54"/>
      <c r="AK27" s="54"/>
      <c r="AL27" s="56"/>
      <c r="AM27" s="54"/>
      <c r="AN27" s="54"/>
      <c r="AO27" s="54"/>
      <c r="AP27" s="56">
        <v>-0.6</v>
      </c>
      <c r="AQ27" s="55">
        <v>-0.4</v>
      </c>
      <c r="AR27" s="54">
        <v>-1</v>
      </c>
      <c r="AS27" s="54">
        <v>-1.2</v>
      </c>
      <c r="AT27" s="54">
        <v>-0.1</v>
      </c>
      <c r="AU27" s="55">
        <v>-0.3</v>
      </c>
      <c r="AV27" s="54">
        <v>-1.8</v>
      </c>
      <c r="AW27" s="54">
        <v>-0.5</v>
      </c>
      <c r="AX27" s="54">
        <v>-3.3</v>
      </c>
      <c r="AY27" s="55">
        <v>-1.2</v>
      </c>
      <c r="AZ27" s="54">
        <v>-18.5</v>
      </c>
      <c r="BA27" s="54">
        <v>-26.5</v>
      </c>
      <c r="BB27" s="54">
        <v>-48.3</v>
      </c>
      <c r="BC27" s="55">
        <v>-125</v>
      </c>
      <c r="BD27" s="54">
        <v>-23.74159067974027</v>
      </c>
      <c r="BE27" s="54">
        <v>-25.5</v>
      </c>
      <c r="BF27" s="54">
        <v>-24.9</v>
      </c>
      <c r="BG27" s="55">
        <v>-26</v>
      </c>
      <c r="BH27" s="54">
        <v>-25.5</v>
      </c>
      <c r="BI27" s="54">
        <v>-23.3</v>
      </c>
      <c r="BJ27" s="54">
        <v>-19.100000000000001</v>
      </c>
      <c r="BK27" s="55">
        <v>-20.5</v>
      </c>
      <c r="BL27" s="54"/>
      <c r="BM27" s="54"/>
      <c r="BN27" s="54"/>
    </row>
    <row r="28" spans="1:66" s="41" customFormat="1" ht="10.8">
      <c r="A28" s="57" t="s">
        <v>44</v>
      </c>
      <c r="B28" s="57" t="s">
        <v>45</v>
      </c>
      <c r="C28" s="35">
        <v>0</v>
      </c>
      <c r="D28" s="36">
        <v>0</v>
      </c>
      <c r="E28" s="36">
        <v>0</v>
      </c>
      <c r="F28" s="37">
        <v>0</v>
      </c>
      <c r="G28" s="35">
        <v>-9.6999999999999993</v>
      </c>
      <c r="H28" s="36">
        <v>-0.9</v>
      </c>
      <c r="I28" s="36">
        <v>-3.9</v>
      </c>
      <c r="J28" s="37">
        <v>-4.7</v>
      </c>
      <c r="K28" s="36">
        <v>-3.4</v>
      </c>
      <c r="L28" s="36">
        <v>-1.8</v>
      </c>
      <c r="M28" s="36">
        <v>-1.8</v>
      </c>
      <c r="N28" s="36">
        <v>-2.8</v>
      </c>
      <c r="O28" s="35">
        <v>-2.7</v>
      </c>
      <c r="P28" s="36">
        <v>0</v>
      </c>
      <c r="Q28" s="36">
        <v>-20</v>
      </c>
      <c r="R28" s="37">
        <v>-8.1</v>
      </c>
      <c r="S28" s="38">
        <v>-3.8</v>
      </c>
      <c r="T28" s="38">
        <v>-20</v>
      </c>
      <c r="U28" s="38">
        <v>-16.8</v>
      </c>
      <c r="V28" s="38">
        <v>-33.299999999999997</v>
      </c>
      <c r="W28" s="39">
        <v>-97.7</v>
      </c>
      <c r="X28" s="38">
        <v>-90.7</v>
      </c>
      <c r="Y28" s="38">
        <v>-91.5</v>
      </c>
      <c r="Z28" s="40">
        <v>-85.4</v>
      </c>
      <c r="AA28" s="38">
        <v>-89.4</v>
      </c>
      <c r="AB28" s="38">
        <v>-92.2</v>
      </c>
      <c r="AC28" s="38">
        <v>-82.2</v>
      </c>
      <c r="AD28" s="40">
        <v>-69.3</v>
      </c>
      <c r="AE28" s="39">
        <v>0</v>
      </c>
      <c r="AF28" s="38">
        <v>0</v>
      </c>
      <c r="AG28" s="38">
        <v>0</v>
      </c>
      <c r="AH28" s="40">
        <v>0</v>
      </c>
      <c r="AI28" s="38">
        <v>0</v>
      </c>
      <c r="AJ28" s="38">
        <v>0</v>
      </c>
      <c r="AK28" s="38">
        <v>0</v>
      </c>
      <c r="AL28" s="40">
        <v>0</v>
      </c>
      <c r="AM28" s="38">
        <v>0</v>
      </c>
      <c r="AN28" s="38">
        <v>0</v>
      </c>
      <c r="AO28" s="38">
        <v>0</v>
      </c>
      <c r="AP28" s="40" t="s">
        <v>28</v>
      </c>
      <c r="AQ28" s="39" t="s">
        <v>28</v>
      </c>
      <c r="AR28" s="38" t="s">
        <v>28</v>
      </c>
      <c r="AS28" s="38" t="s">
        <v>28</v>
      </c>
      <c r="AT28" s="38" t="s">
        <v>28</v>
      </c>
      <c r="AU28" s="39" t="s">
        <v>28</v>
      </c>
      <c r="AV28" s="38" t="s">
        <v>28</v>
      </c>
      <c r="AW28" s="38" t="s">
        <v>28</v>
      </c>
      <c r="AX28" s="38" t="s">
        <v>28</v>
      </c>
      <c r="AY28" s="39" t="s">
        <v>28</v>
      </c>
      <c r="AZ28" s="38" t="s">
        <v>28</v>
      </c>
      <c r="BA28" s="38" t="s">
        <v>28</v>
      </c>
      <c r="BB28" s="38" t="s">
        <v>28</v>
      </c>
      <c r="BC28" s="39" t="s">
        <v>28</v>
      </c>
      <c r="BD28" s="38" t="s">
        <v>28</v>
      </c>
      <c r="BE28" s="38" t="s">
        <v>28</v>
      </c>
      <c r="BF28" s="38" t="s">
        <v>28</v>
      </c>
      <c r="BG28" s="39" t="s">
        <v>28</v>
      </c>
      <c r="BH28" s="38" t="s">
        <v>28</v>
      </c>
      <c r="BI28" s="38" t="s">
        <v>28</v>
      </c>
      <c r="BJ28" s="38" t="s">
        <v>28</v>
      </c>
      <c r="BK28" s="39" t="s">
        <v>28</v>
      </c>
      <c r="BL28" s="38"/>
      <c r="BM28" s="38"/>
      <c r="BN28" s="38"/>
    </row>
    <row r="29" spans="1:66" s="41" customFormat="1" ht="10.8">
      <c r="A29" s="64" t="s">
        <v>46</v>
      </c>
      <c r="B29" s="64" t="s">
        <v>47</v>
      </c>
      <c r="C29" s="35">
        <v>38.1</v>
      </c>
      <c r="D29" s="36">
        <v>9</v>
      </c>
      <c r="E29" s="36">
        <v>141.19999999999999</v>
      </c>
      <c r="F29" s="37">
        <v>91.8</v>
      </c>
      <c r="G29" s="35">
        <v>30.7</v>
      </c>
      <c r="H29" s="36">
        <v>58.4</v>
      </c>
      <c r="I29" s="36">
        <v>89.9</v>
      </c>
      <c r="J29" s="37">
        <v>79.7</v>
      </c>
      <c r="K29" s="36">
        <v>0</v>
      </c>
      <c r="L29" s="36">
        <v>63.5</v>
      </c>
      <c r="M29" s="36">
        <v>54.8</v>
      </c>
      <c r="N29" s="36">
        <v>65.5</v>
      </c>
      <c r="O29" s="35">
        <v>55.4</v>
      </c>
      <c r="P29" s="36">
        <v>38.9</v>
      </c>
      <c r="Q29" s="36">
        <v>32.200000000000003</v>
      </c>
      <c r="R29" s="37">
        <v>26.5</v>
      </c>
      <c r="S29" s="38">
        <v>62.1</v>
      </c>
      <c r="T29" s="38">
        <v>59.8</v>
      </c>
      <c r="U29" s="38">
        <v>40.4</v>
      </c>
      <c r="V29" s="38">
        <v>32.700000000000003</v>
      </c>
      <c r="W29" s="39">
        <v>41.6</v>
      </c>
      <c r="X29" s="38">
        <v>42.1</v>
      </c>
      <c r="Y29" s="38">
        <v>40.4</v>
      </c>
      <c r="Z29" s="40">
        <v>44.4</v>
      </c>
      <c r="AA29" s="38">
        <v>37.6</v>
      </c>
      <c r="AB29" s="38">
        <v>51.4</v>
      </c>
      <c r="AC29" s="38">
        <v>39.1</v>
      </c>
      <c r="AD29" s="40">
        <v>34.700000000000003</v>
      </c>
      <c r="AE29" s="39" t="s">
        <v>28</v>
      </c>
      <c r="AF29" s="38" t="s">
        <v>28</v>
      </c>
      <c r="AG29" s="38" t="s">
        <v>28</v>
      </c>
      <c r="AH29" s="40" t="s">
        <v>28</v>
      </c>
      <c r="AI29" s="38" t="s">
        <v>28</v>
      </c>
      <c r="AJ29" s="38" t="s">
        <v>28</v>
      </c>
      <c r="AK29" s="38" t="s">
        <v>28</v>
      </c>
      <c r="AL29" s="40" t="s">
        <v>28</v>
      </c>
      <c r="AM29" s="38" t="s">
        <v>28</v>
      </c>
      <c r="AN29" s="38" t="s">
        <v>28</v>
      </c>
      <c r="AO29" s="38" t="s">
        <v>28</v>
      </c>
      <c r="AP29" s="40" t="s">
        <v>28</v>
      </c>
      <c r="AQ29" s="39" t="s">
        <v>28</v>
      </c>
      <c r="AR29" s="38" t="s">
        <v>28</v>
      </c>
      <c r="AS29" s="38" t="s">
        <v>28</v>
      </c>
      <c r="AT29" s="38" t="s">
        <v>28</v>
      </c>
      <c r="AU29" s="39" t="s">
        <v>28</v>
      </c>
      <c r="AV29" s="38" t="s">
        <v>28</v>
      </c>
      <c r="AW29" s="38" t="s">
        <v>28</v>
      </c>
      <c r="AX29" s="38" t="s">
        <v>28</v>
      </c>
      <c r="AY29" s="39" t="s">
        <v>28</v>
      </c>
      <c r="AZ29" s="38" t="s">
        <v>28</v>
      </c>
      <c r="BA29" s="38" t="s">
        <v>28</v>
      </c>
      <c r="BB29" s="38" t="s">
        <v>28</v>
      </c>
      <c r="BC29" s="39" t="s">
        <v>28</v>
      </c>
      <c r="BD29" s="38" t="s">
        <v>28</v>
      </c>
      <c r="BE29" s="38" t="s">
        <v>28</v>
      </c>
      <c r="BF29" s="38" t="s">
        <v>28</v>
      </c>
      <c r="BG29" s="39" t="s">
        <v>28</v>
      </c>
      <c r="BH29" s="38" t="s">
        <v>28</v>
      </c>
      <c r="BI29" s="38" t="s">
        <v>28</v>
      </c>
      <c r="BJ29" s="38" t="s">
        <v>28</v>
      </c>
      <c r="BK29" s="39" t="s">
        <v>28</v>
      </c>
      <c r="BL29" s="38"/>
      <c r="BM29" s="38"/>
      <c r="BN29" s="38"/>
    </row>
    <row r="30" spans="1:66" s="72" customFormat="1" ht="11.4" thickBot="1">
      <c r="A30" s="65"/>
      <c r="B30" s="65"/>
      <c r="C30" s="66"/>
      <c r="D30" s="67"/>
      <c r="E30" s="67"/>
      <c r="F30" s="68"/>
      <c r="G30" s="66"/>
      <c r="H30" s="67"/>
      <c r="I30" s="67"/>
      <c r="J30" s="68"/>
      <c r="K30" s="67"/>
      <c r="L30" s="67"/>
      <c r="M30" s="67"/>
      <c r="N30" s="67"/>
      <c r="O30" s="66"/>
      <c r="P30" s="67"/>
      <c r="Q30" s="67"/>
      <c r="R30" s="68"/>
      <c r="S30" s="69"/>
      <c r="T30" s="69"/>
      <c r="U30" s="69"/>
      <c r="V30" s="69"/>
      <c r="W30" s="70"/>
      <c r="X30" s="69"/>
      <c r="Y30" s="69"/>
      <c r="Z30" s="71"/>
      <c r="AA30" s="69"/>
      <c r="AB30" s="69"/>
      <c r="AC30" s="69"/>
      <c r="AD30" s="71"/>
      <c r="AE30" s="70"/>
      <c r="AF30" s="69"/>
      <c r="AG30" s="69"/>
      <c r="AH30" s="71"/>
      <c r="AI30" s="69"/>
      <c r="AJ30" s="69"/>
      <c r="AK30" s="69"/>
      <c r="AL30" s="71"/>
      <c r="AM30" s="69"/>
      <c r="AN30" s="69"/>
      <c r="AO30" s="69"/>
      <c r="AP30" s="71"/>
      <c r="AQ30" s="70"/>
      <c r="AR30" s="69"/>
      <c r="AS30" s="69"/>
      <c r="AT30" s="69"/>
      <c r="AU30" s="70"/>
      <c r="AV30" s="69"/>
      <c r="AW30" s="69"/>
      <c r="AX30" s="69"/>
      <c r="AY30" s="70"/>
      <c r="AZ30" s="69"/>
      <c r="BA30" s="69"/>
      <c r="BB30" s="69"/>
      <c r="BC30" s="70"/>
      <c r="BD30" s="69"/>
      <c r="BE30" s="69"/>
      <c r="BF30" s="69"/>
      <c r="BG30" s="70"/>
      <c r="BH30" s="69"/>
      <c r="BI30" s="69"/>
      <c r="BJ30" s="69"/>
      <c r="BK30" s="70"/>
      <c r="BL30" s="69"/>
      <c r="BM30" s="69"/>
      <c r="BN30" s="69"/>
    </row>
    <row r="31" spans="1:66" s="78" customFormat="1" ht="22.2" thickBot="1">
      <c r="A31" s="73" t="s">
        <v>48</v>
      </c>
      <c r="B31" s="74" t="s">
        <v>49</v>
      </c>
      <c r="C31" s="75" t="s">
        <v>28</v>
      </c>
      <c r="D31" s="76" t="s">
        <v>28</v>
      </c>
      <c r="E31" s="76" t="s">
        <v>28</v>
      </c>
      <c r="F31" s="77" t="s">
        <v>28</v>
      </c>
      <c r="G31" s="75" t="s">
        <v>28</v>
      </c>
      <c r="H31" s="76" t="s">
        <v>28</v>
      </c>
      <c r="I31" s="76" t="s">
        <v>28</v>
      </c>
      <c r="J31" s="77" t="s">
        <v>28</v>
      </c>
      <c r="K31" s="76" t="s">
        <v>28</v>
      </c>
      <c r="L31" s="76" t="s">
        <v>28</v>
      </c>
      <c r="M31" s="76" t="s">
        <v>28</v>
      </c>
      <c r="N31" s="76" t="s">
        <v>28</v>
      </c>
      <c r="O31" s="75" t="s">
        <v>28</v>
      </c>
      <c r="P31" s="76" t="s">
        <v>28</v>
      </c>
      <c r="Q31" s="76" t="s">
        <v>28</v>
      </c>
      <c r="R31" s="77" t="s">
        <v>28</v>
      </c>
      <c r="S31" s="76" t="s">
        <v>28</v>
      </c>
      <c r="T31" s="76" t="s">
        <v>28</v>
      </c>
      <c r="U31" s="76" t="s">
        <v>28</v>
      </c>
      <c r="V31" s="76">
        <f t="shared" ref="V31:AO31" si="5">SUM(V15,V18,V28,V29)</f>
        <v>5326.5</v>
      </c>
      <c r="W31" s="75">
        <f t="shared" si="5"/>
        <v>5845.7000000000007</v>
      </c>
      <c r="X31" s="76">
        <f t="shared" si="5"/>
        <v>6157.5000000000009</v>
      </c>
      <c r="Y31" s="76">
        <f t="shared" si="5"/>
        <v>6485.5999999999985</v>
      </c>
      <c r="Z31" s="77">
        <f t="shared" si="5"/>
        <v>6797.2</v>
      </c>
      <c r="AA31" s="76">
        <f t="shared" si="5"/>
        <v>7016.9000000000005</v>
      </c>
      <c r="AB31" s="76">
        <f t="shared" si="5"/>
        <v>6853.1999999999989</v>
      </c>
      <c r="AC31" s="76">
        <f t="shared" si="5"/>
        <v>7279.1</v>
      </c>
      <c r="AD31" s="77">
        <f t="shared" si="5"/>
        <v>7285.9999999999991</v>
      </c>
      <c r="AE31" s="75">
        <f t="shared" si="5"/>
        <v>6565.6999999999989</v>
      </c>
      <c r="AF31" s="76">
        <f t="shared" si="5"/>
        <v>6965.3</v>
      </c>
      <c r="AG31" s="76">
        <f t="shared" si="5"/>
        <v>6978.2999999999993</v>
      </c>
      <c r="AH31" s="77">
        <f t="shared" si="5"/>
        <v>6983.4</v>
      </c>
      <c r="AI31" s="76">
        <f t="shared" si="5"/>
        <v>7647.2000000000007</v>
      </c>
      <c r="AJ31" s="76">
        <f t="shared" si="5"/>
        <v>7641.3999999999987</v>
      </c>
      <c r="AK31" s="76">
        <f t="shared" si="5"/>
        <v>7842.199999999998</v>
      </c>
      <c r="AL31" s="77">
        <f t="shared" si="5"/>
        <v>7920.0999999999985</v>
      </c>
      <c r="AM31" s="76">
        <f t="shared" si="5"/>
        <v>8346.4000000000015</v>
      </c>
      <c r="AN31" s="76">
        <f t="shared" si="5"/>
        <v>8952.6</v>
      </c>
      <c r="AO31" s="76">
        <f t="shared" si="5"/>
        <v>9232.3000000000011</v>
      </c>
      <c r="AP31" s="77">
        <f>SUM(AP32:AP34)</f>
        <v>9193.6000000000022</v>
      </c>
      <c r="AQ31" s="75">
        <f t="shared" ref="AQ31:BK31" si="6">SUM(AQ32:AQ34)</f>
        <v>9227.4</v>
      </c>
      <c r="AR31" s="76">
        <f t="shared" si="6"/>
        <v>10184.4</v>
      </c>
      <c r="AS31" s="76">
        <f t="shared" si="6"/>
        <v>10217.6</v>
      </c>
      <c r="AT31" s="76">
        <f t="shared" si="6"/>
        <v>10911.199999999999</v>
      </c>
      <c r="AU31" s="75">
        <f t="shared" si="6"/>
        <v>10982.8</v>
      </c>
      <c r="AV31" s="76">
        <f t="shared" si="6"/>
        <v>11215.3</v>
      </c>
      <c r="AW31" s="76">
        <f t="shared" si="6"/>
        <v>11741.7</v>
      </c>
      <c r="AX31" s="76">
        <f t="shared" si="6"/>
        <v>11933.800000000003</v>
      </c>
      <c r="AY31" s="75">
        <f t="shared" si="6"/>
        <v>12732</v>
      </c>
      <c r="AZ31" s="76">
        <f t="shared" si="6"/>
        <v>12811.199999999999</v>
      </c>
      <c r="BA31" s="76">
        <f t="shared" si="6"/>
        <v>13316.2</v>
      </c>
      <c r="BB31" s="76">
        <f t="shared" si="6"/>
        <v>14591.699999999997</v>
      </c>
      <c r="BC31" s="75">
        <f t="shared" si="6"/>
        <v>14328.5</v>
      </c>
      <c r="BD31" s="76">
        <f t="shared" si="6"/>
        <v>16136.856604525643</v>
      </c>
      <c r="BE31" s="76">
        <f t="shared" si="6"/>
        <v>16216.395588469195</v>
      </c>
      <c r="BF31" s="76">
        <f t="shared" si="6"/>
        <v>17220.300000000003</v>
      </c>
      <c r="BG31" s="75">
        <f t="shared" si="6"/>
        <v>17268.400000000001</v>
      </c>
      <c r="BH31" s="76">
        <f t="shared" si="6"/>
        <v>17536.599999999999</v>
      </c>
      <c r="BI31" s="76">
        <f t="shared" si="6"/>
        <v>17590.099999999999</v>
      </c>
      <c r="BJ31" s="76">
        <f t="shared" si="6"/>
        <v>16846.599999999999</v>
      </c>
      <c r="BK31" s="75">
        <f t="shared" si="6"/>
        <v>16257.099999999999</v>
      </c>
      <c r="BL31" s="76"/>
      <c r="BM31" s="76"/>
      <c r="BN31" s="76"/>
    </row>
    <row r="32" spans="1:66" s="41" customFormat="1" ht="10.8">
      <c r="A32" s="79" t="s">
        <v>50</v>
      </c>
      <c r="B32" s="80" t="s">
        <v>51</v>
      </c>
      <c r="C32" s="81" t="s">
        <v>28</v>
      </c>
      <c r="D32" s="82" t="s">
        <v>28</v>
      </c>
      <c r="E32" s="82" t="s">
        <v>28</v>
      </c>
      <c r="F32" s="83" t="s">
        <v>28</v>
      </c>
      <c r="G32" s="81" t="s">
        <v>28</v>
      </c>
      <c r="H32" s="82" t="s">
        <v>28</v>
      </c>
      <c r="I32" s="82" t="s">
        <v>28</v>
      </c>
      <c r="J32" s="83" t="s">
        <v>28</v>
      </c>
      <c r="K32" s="82" t="s">
        <v>28</v>
      </c>
      <c r="L32" s="82" t="s">
        <v>28</v>
      </c>
      <c r="M32" s="82" t="s">
        <v>28</v>
      </c>
      <c r="N32" s="82" t="s">
        <v>28</v>
      </c>
      <c r="O32" s="81" t="s">
        <v>28</v>
      </c>
      <c r="P32" s="82" t="s">
        <v>28</v>
      </c>
      <c r="Q32" s="82" t="s">
        <v>28</v>
      </c>
      <c r="R32" s="83" t="s">
        <v>28</v>
      </c>
      <c r="S32" s="82" t="s">
        <v>28</v>
      </c>
      <c r="T32" s="82" t="s">
        <v>28</v>
      </c>
      <c r="U32" s="82" t="s">
        <v>28</v>
      </c>
      <c r="V32" s="82">
        <v>5293.8</v>
      </c>
      <c r="W32" s="81">
        <v>5801.8</v>
      </c>
      <c r="X32" s="82">
        <v>6078.8</v>
      </c>
      <c r="Y32" s="82">
        <v>6247.6999999999989</v>
      </c>
      <c r="Z32" s="83">
        <v>6252.8</v>
      </c>
      <c r="AA32" s="82">
        <v>6649.9</v>
      </c>
      <c r="AB32" s="82">
        <v>6598.7999999999993</v>
      </c>
      <c r="AC32" s="82">
        <v>7110.2</v>
      </c>
      <c r="AD32" s="83">
        <v>7025.2999999999993</v>
      </c>
      <c r="AE32" s="81">
        <v>6565.6999999999989</v>
      </c>
      <c r="AF32" s="82">
        <v>6965.3</v>
      </c>
      <c r="AG32" s="82">
        <v>6978.2999999999993</v>
      </c>
      <c r="AH32" s="83">
        <v>6983.4</v>
      </c>
      <c r="AI32" s="82">
        <v>7647.2000000000007</v>
      </c>
      <c r="AJ32" s="82">
        <v>7641.3999999999987</v>
      </c>
      <c r="AK32" s="82">
        <v>7842.199999999998</v>
      </c>
      <c r="AL32" s="83">
        <v>7920.0999999999985</v>
      </c>
      <c r="AM32" s="82">
        <v>8346.4000000000015</v>
      </c>
      <c r="AN32" s="82">
        <v>8314.9</v>
      </c>
      <c r="AO32" s="82">
        <v>8612.4</v>
      </c>
      <c r="AP32" s="83">
        <v>8553.1000000000022</v>
      </c>
      <c r="AQ32" s="81">
        <v>8606.5</v>
      </c>
      <c r="AR32" s="82">
        <v>9565.1999999999989</v>
      </c>
      <c r="AS32" s="82">
        <v>9587.1</v>
      </c>
      <c r="AT32" s="82">
        <v>10299.099999999999</v>
      </c>
      <c r="AU32" s="81">
        <v>10351.5</v>
      </c>
      <c r="AV32" s="82">
        <v>10561.099999999999</v>
      </c>
      <c r="AW32" s="82">
        <v>11101</v>
      </c>
      <c r="AX32" s="82">
        <v>11288.800000000003</v>
      </c>
      <c r="AY32" s="81">
        <v>11657</v>
      </c>
      <c r="AZ32" s="82">
        <v>11748.199999999999</v>
      </c>
      <c r="BA32" s="82">
        <v>12222.800000000001</v>
      </c>
      <c r="BB32" s="82">
        <v>12462.399999999998</v>
      </c>
      <c r="BC32" s="81">
        <v>12052.3</v>
      </c>
      <c r="BD32" s="82">
        <v>13903.856604525643</v>
      </c>
      <c r="BE32" s="82">
        <v>13952.995588469195</v>
      </c>
      <c r="BF32" s="82">
        <v>14912.900000000003</v>
      </c>
      <c r="BG32" s="81">
        <v>14951.7</v>
      </c>
      <c r="BH32" s="82">
        <v>15322.399999999998</v>
      </c>
      <c r="BI32" s="82">
        <v>15356.599999999999</v>
      </c>
      <c r="BJ32" s="82">
        <v>15124.999999999998</v>
      </c>
      <c r="BK32" s="81">
        <v>14369.499999999998</v>
      </c>
      <c r="BL32" s="82"/>
      <c r="BM32" s="82"/>
      <c r="BN32" s="82"/>
    </row>
    <row r="33" spans="1:66" s="41" customFormat="1" ht="10.8">
      <c r="A33" s="43" t="s">
        <v>52</v>
      </c>
      <c r="B33" s="80" t="s">
        <v>53</v>
      </c>
      <c r="C33" s="48" t="s">
        <v>28</v>
      </c>
      <c r="D33" s="47" t="s">
        <v>28</v>
      </c>
      <c r="E33" s="47" t="s">
        <v>28</v>
      </c>
      <c r="F33" s="49" t="s">
        <v>28</v>
      </c>
      <c r="G33" s="48" t="s">
        <v>28</v>
      </c>
      <c r="H33" s="47" t="s">
        <v>28</v>
      </c>
      <c r="I33" s="47" t="s">
        <v>28</v>
      </c>
      <c r="J33" s="49" t="s">
        <v>28</v>
      </c>
      <c r="K33" s="47" t="s">
        <v>28</v>
      </c>
      <c r="L33" s="47" t="s">
        <v>28</v>
      </c>
      <c r="M33" s="47" t="s">
        <v>28</v>
      </c>
      <c r="N33" s="47" t="s">
        <v>28</v>
      </c>
      <c r="O33" s="48" t="s">
        <v>28</v>
      </c>
      <c r="P33" s="47" t="s">
        <v>28</v>
      </c>
      <c r="Q33" s="47" t="s">
        <v>28</v>
      </c>
      <c r="R33" s="49" t="s">
        <v>28</v>
      </c>
      <c r="S33" s="47" t="s">
        <v>28</v>
      </c>
      <c r="T33" s="47" t="s">
        <v>28</v>
      </c>
      <c r="U33" s="47" t="s">
        <v>28</v>
      </c>
      <c r="V33" s="47">
        <v>0</v>
      </c>
      <c r="W33" s="48">
        <v>2.2999999999999972</v>
      </c>
      <c r="X33" s="47">
        <v>36.599999999999994</v>
      </c>
      <c r="Y33" s="47">
        <v>197.5</v>
      </c>
      <c r="Z33" s="49">
        <v>500</v>
      </c>
      <c r="AA33" s="47">
        <v>329.4</v>
      </c>
      <c r="AB33" s="47">
        <v>203</v>
      </c>
      <c r="AC33" s="47">
        <v>129.80000000000001</v>
      </c>
      <c r="AD33" s="49">
        <v>226</v>
      </c>
      <c r="AE33" s="48">
        <v>0</v>
      </c>
      <c r="AF33" s="47">
        <v>0</v>
      </c>
      <c r="AG33" s="47">
        <v>0</v>
      </c>
      <c r="AH33" s="49">
        <v>0</v>
      </c>
      <c r="AI33" s="47">
        <v>0</v>
      </c>
      <c r="AJ33" s="47">
        <v>0</v>
      </c>
      <c r="AK33" s="47">
        <v>0</v>
      </c>
      <c r="AL33" s="49">
        <v>0</v>
      </c>
      <c r="AM33" s="47">
        <v>0</v>
      </c>
      <c r="AN33" s="47">
        <v>637.70000000000005</v>
      </c>
      <c r="AO33" s="47">
        <v>619.9</v>
      </c>
      <c r="AP33" s="83">
        <v>640.5</v>
      </c>
      <c r="AQ33" s="48">
        <v>620.9</v>
      </c>
      <c r="AR33" s="47">
        <v>619.20000000000005</v>
      </c>
      <c r="AS33" s="47">
        <v>630.5</v>
      </c>
      <c r="AT33" s="47">
        <v>612.1</v>
      </c>
      <c r="AU33" s="48">
        <v>631.29999999999995</v>
      </c>
      <c r="AV33" s="47">
        <v>654.20000000000005</v>
      </c>
      <c r="AW33" s="47">
        <v>640.70000000000005</v>
      </c>
      <c r="AX33" s="47">
        <v>645</v>
      </c>
      <c r="AY33" s="48">
        <v>1075</v>
      </c>
      <c r="AZ33" s="47">
        <v>1063</v>
      </c>
      <c r="BA33" s="47">
        <v>1093.4000000000001</v>
      </c>
      <c r="BB33" s="47">
        <v>2129.3000000000002</v>
      </c>
      <c r="BC33" s="48">
        <v>2276.1999999999998</v>
      </c>
      <c r="BD33" s="47">
        <v>2233</v>
      </c>
      <c r="BE33" s="47">
        <v>2263.4</v>
      </c>
      <c r="BF33" s="47">
        <v>2307.4</v>
      </c>
      <c r="BG33" s="81">
        <v>2316.6999999999998</v>
      </c>
      <c r="BH33" s="47">
        <v>2214.1999999999998</v>
      </c>
      <c r="BI33" s="47">
        <v>2233.5</v>
      </c>
      <c r="BJ33" s="47">
        <v>1721.6</v>
      </c>
      <c r="BK33" s="81">
        <v>1887.6000000000001</v>
      </c>
      <c r="BL33" s="47"/>
      <c r="BM33" s="47"/>
      <c r="BN33" s="47"/>
    </row>
    <row r="34" spans="1:66" s="41" customFormat="1" ht="10.8">
      <c r="A34" s="43" t="s">
        <v>54</v>
      </c>
      <c r="B34" s="80" t="s">
        <v>55</v>
      </c>
      <c r="C34" s="48" t="s">
        <v>28</v>
      </c>
      <c r="D34" s="47" t="s">
        <v>28</v>
      </c>
      <c r="E34" s="47" t="s">
        <v>28</v>
      </c>
      <c r="F34" s="49" t="s">
        <v>28</v>
      </c>
      <c r="G34" s="48" t="s">
        <v>28</v>
      </c>
      <c r="H34" s="47" t="s">
        <v>28</v>
      </c>
      <c r="I34" s="47" t="s">
        <v>28</v>
      </c>
      <c r="J34" s="49" t="s">
        <v>28</v>
      </c>
      <c r="K34" s="47" t="s">
        <v>28</v>
      </c>
      <c r="L34" s="47" t="s">
        <v>28</v>
      </c>
      <c r="M34" s="47" t="s">
        <v>28</v>
      </c>
      <c r="N34" s="47" t="s">
        <v>28</v>
      </c>
      <c r="O34" s="48" t="s">
        <v>28</v>
      </c>
      <c r="P34" s="47" t="s">
        <v>28</v>
      </c>
      <c r="Q34" s="47" t="s">
        <v>28</v>
      </c>
      <c r="R34" s="49" t="s">
        <v>28</v>
      </c>
      <c r="S34" s="47" t="s">
        <v>28</v>
      </c>
      <c r="T34" s="47" t="s">
        <v>28</v>
      </c>
      <c r="U34" s="47" t="s">
        <v>28</v>
      </c>
      <c r="V34" s="47">
        <v>32.700000000000003</v>
      </c>
      <c r="W34" s="48">
        <v>41.6</v>
      </c>
      <c r="X34" s="47">
        <v>42.1</v>
      </c>
      <c r="Y34" s="47">
        <v>40.4</v>
      </c>
      <c r="Z34" s="49">
        <v>44.4</v>
      </c>
      <c r="AA34" s="47">
        <v>37.6</v>
      </c>
      <c r="AB34" s="47">
        <v>51.4</v>
      </c>
      <c r="AC34" s="47">
        <v>39.1</v>
      </c>
      <c r="AD34" s="49">
        <v>34.700000000000003</v>
      </c>
      <c r="AE34" s="48">
        <v>0</v>
      </c>
      <c r="AF34" s="47">
        <v>0</v>
      </c>
      <c r="AG34" s="47">
        <v>0</v>
      </c>
      <c r="AH34" s="49">
        <v>0</v>
      </c>
      <c r="AI34" s="47">
        <v>0</v>
      </c>
      <c r="AJ34" s="47">
        <v>0</v>
      </c>
      <c r="AK34" s="47">
        <v>0</v>
      </c>
      <c r="AL34" s="49">
        <v>0</v>
      </c>
      <c r="AM34" s="47">
        <v>0</v>
      </c>
      <c r="AN34" s="47">
        <v>0</v>
      </c>
      <c r="AO34" s="47">
        <v>0</v>
      </c>
      <c r="AP34" s="83">
        <v>0</v>
      </c>
      <c r="AQ34" s="48">
        <v>0</v>
      </c>
      <c r="AR34" s="47">
        <v>0</v>
      </c>
      <c r="AS34" s="47">
        <v>0</v>
      </c>
      <c r="AT34" s="47">
        <v>0</v>
      </c>
      <c r="AU34" s="48">
        <v>0</v>
      </c>
      <c r="AV34" s="47">
        <v>0</v>
      </c>
      <c r="AW34" s="47">
        <v>0</v>
      </c>
      <c r="AX34" s="47">
        <v>0</v>
      </c>
      <c r="AY34" s="48">
        <v>0</v>
      </c>
      <c r="AZ34" s="47">
        <v>0</v>
      </c>
      <c r="BA34" s="47">
        <v>0</v>
      </c>
      <c r="BB34" s="47">
        <v>0</v>
      </c>
      <c r="BC34" s="48">
        <v>0</v>
      </c>
      <c r="BD34" s="47">
        <v>0</v>
      </c>
      <c r="BE34" s="47">
        <v>0</v>
      </c>
      <c r="BF34" s="47">
        <v>0</v>
      </c>
      <c r="BG34" s="81">
        <v>0</v>
      </c>
      <c r="BH34" s="47">
        <v>0</v>
      </c>
      <c r="BI34" s="47">
        <v>0</v>
      </c>
      <c r="BJ34" s="47">
        <v>0</v>
      </c>
      <c r="BK34" s="81">
        <v>0</v>
      </c>
      <c r="BL34" s="47"/>
      <c r="BM34" s="47"/>
      <c r="BN34" s="47"/>
    </row>
    <row r="35" spans="1:66" s="78" customFormat="1" ht="11.4" thickBot="1">
      <c r="A35" s="84"/>
      <c r="B35" s="84"/>
      <c r="C35" s="85"/>
      <c r="D35" s="86"/>
      <c r="E35" s="86"/>
      <c r="F35" s="87"/>
      <c r="G35" s="85"/>
      <c r="H35" s="86"/>
      <c r="I35" s="86"/>
      <c r="J35" s="87"/>
      <c r="K35" s="86"/>
      <c r="L35" s="86"/>
      <c r="M35" s="86"/>
      <c r="N35" s="86"/>
      <c r="O35" s="85"/>
      <c r="P35" s="86"/>
      <c r="Q35" s="86"/>
      <c r="R35" s="87"/>
      <c r="S35" s="86"/>
      <c r="T35" s="86"/>
      <c r="U35" s="86"/>
      <c r="V35" s="86"/>
      <c r="W35" s="85"/>
      <c r="X35" s="86"/>
      <c r="Y35" s="86"/>
      <c r="Z35" s="87"/>
      <c r="AA35" s="86"/>
      <c r="AB35" s="86"/>
      <c r="AC35" s="86"/>
      <c r="AD35" s="87"/>
      <c r="AE35" s="85"/>
      <c r="AF35" s="86"/>
      <c r="AG35" s="86"/>
      <c r="AH35" s="87"/>
      <c r="AI35" s="86"/>
      <c r="AJ35" s="86"/>
      <c r="AK35" s="86"/>
      <c r="AL35" s="87"/>
      <c r="AM35" s="86"/>
      <c r="AN35" s="86"/>
      <c r="AO35" s="86"/>
      <c r="AP35" s="87"/>
      <c r="AQ35" s="85"/>
      <c r="AR35" s="86"/>
      <c r="AS35" s="86"/>
      <c r="AT35" s="86"/>
      <c r="AU35" s="85"/>
      <c r="AV35" s="86"/>
      <c r="AW35" s="86"/>
      <c r="AX35" s="86"/>
      <c r="AY35" s="85"/>
      <c r="AZ35" s="86"/>
      <c r="BA35" s="86"/>
      <c r="BB35" s="86"/>
      <c r="BC35" s="85"/>
      <c r="BD35" s="86"/>
      <c r="BE35" s="86"/>
      <c r="BF35" s="86"/>
      <c r="BG35" s="85"/>
      <c r="BH35" s="86"/>
      <c r="BI35" s="86"/>
      <c r="BJ35" s="86"/>
      <c r="BK35" s="85"/>
      <c r="BL35" s="86"/>
      <c r="BM35" s="86"/>
      <c r="BN35" s="86"/>
    </row>
    <row r="36" spans="1:66" s="78" customFormat="1" ht="22.2" thickBot="1">
      <c r="A36" s="73" t="s">
        <v>56</v>
      </c>
      <c r="B36" s="74" t="s">
        <v>57</v>
      </c>
      <c r="C36" s="75">
        <v>2883.8</v>
      </c>
      <c r="D36" s="76">
        <v>3005.3999999999996</v>
      </c>
      <c r="E36" s="76">
        <v>3111.0999999999995</v>
      </c>
      <c r="F36" s="77">
        <v>2982.7999999999997</v>
      </c>
      <c r="G36" s="75">
        <v>3255.2999999999988</v>
      </c>
      <c r="H36" s="76">
        <v>3248.0999999999995</v>
      </c>
      <c r="I36" s="76">
        <v>3798.4</v>
      </c>
      <c r="J36" s="77">
        <v>3811.5999999999995</v>
      </c>
      <c r="K36" s="76">
        <v>3752.0999999999995</v>
      </c>
      <c r="L36" s="76">
        <v>3885.3999999999996</v>
      </c>
      <c r="M36" s="76">
        <v>4166.1000000000013</v>
      </c>
      <c r="N36" s="76">
        <v>4186.4000000000005</v>
      </c>
      <c r="O36" s="75">
        <v>4517.6000000000004</v>
      </c>
      <c r="P36" s="76">
        <v>4491.5000000000009</v>
      </c>
      <c r="Q36" s="76">
        <v>4889.6999999999989</v>
      </c>
      <c r="R36" s="77">
        <v>4843.8999999999996</v>
      </c>
      <c r="S36" s="76">
        <v>5016.3999999999996</v>
      </c>
      <c r="T36" s="76">
        <v>5089.9000000000005</v>
      </c>
      <c r="U36" s="76">
        <v>5481.0999999999985</v>
      </c>
      <c r="V36" s="76">
        <v>5481.2</v>
      </c>
      <c r="W36" s="75">
        <v>6001.1000000000013</v>
      </c>
      <c r="X36" s="76">
        <v>6298.9000000000005</v>
      </c>
      <c r="Y36" s="76">
        <v>6628.5999999999985</v>
      </c>
      <c r="Z36" s="77">
        <v>6928.0999999999995</v>
      </c>
      <c r="AA36" s="76">
        <v>7155.8</v>
      </c>
      <c r="AB36" s="76" t="s">
        <v>28</v>
      </c>
      <c r="AC36" s="76" t="s">
        <v>28</v>
      </c>
      <c r="AD36" s="77" t="s">
        <v>28</v>
      </c>
      <c r="AE36" s="75" t="s">
        <v>28</v>
      </c>
      <c r="AF36" s="76" t="s">
        <v>28</v>
      </c>
      <c r="AG36" s="76" t="s">
        <v>28</v>
      </c>
      <c r="AH36" s="77" t="s">
        <v>28</v>
      </c>
      <c r="AI36" s="76" t="s">
        <v>28</v>
      </c>
      <c r="AJ36" s="76" t="s">
        <v>28</v>
      </c>
      <c r="AK36" s="76" t="s">
        <v>28</v>
      </c>
      <c r="AL36" s="77" t="s">
        <v>28</v>
      </c>
      <c r="AM36" s="76" t="s">
        <v>28</v>
      </c>
      <c r="AN36" s="76" t="s">
        <v>28</v>
      </c>
      <c r="AO36" s="76" t="s">
        <v>28</v>
      </c>
      <c r="AP36" s="77" t="s">
        <v>28</v>
      </c>
      <c r="AQ36" s="75" t="s">
        <v>28</v>
      </c>
      <c r="AR36" s="76" t="s">
        <v>28</v>
      </c>
      <c r="AS36" s="76" t="s">
        <v>28</v>
      </c>
      <c r="AT36" s="76" t="s">
        <v>28</v>
      </c>
      <c r="AU36" s="75" t="s">
        <v>28</v>
      </c>
      <c r="AV36" s="76" t="s">
        <v>28</v>
      </c>
      <c r="AW36" s="76" t="s">
        <v>28</v>
      </c>
      <c r="AX36" s="76" t="s">
        <v>28</v>
      </c>
      <c r="AY36" s="75" t="s">
        <v>28</v>
      </c>
      <c r="AZ36" s="76" t="s">
        <v>28</v>
      </c>
      <c r="BA36" s="76" t="s">
        <v>28</v>
      </c>
      <c r="BB36" s="76" t="s">
        <v>28</v>
      </c>
      <c r="BC36" s="75" t="s">
        <v>28</v>
      </c>
      <c r="BD36" s="76" t="s">
        <v>28</v>
      </c>
      <c r="BE36" s="76" t="s">
        <v>28</v>
      </c>
      <c r="BF36" s="88" t="s">
        <v>28</v>
      </c>
      <c r="BG36" s="75" t="s">
        <v>28</v>
      </c>
      <c r="BH36" s="76" t="s">
        <v>28</v>
      </c>
      <c r="BI36" s="76" t="s">
        <v>28</v>
      </c>
      <c r="BJ36" s="76" t="s">
        <v>28</v>
      </c>
      <c r="BK36" s="75" t="s">
        <v>28</v>
      </c>
      <c r="BL36" s="76"/>
      <c r="BM36" s="76"/>
      <c r="BN36" s="76"/>
    </row>
    <row r="37" spans="1:66" s="78" customFormat="1" ht="10.8">
      <c r="A37" s="89" t="s">
        <v>50</v>
      </c>
      <c r="B37" s="90" t="s">
        <v>51</v>
      </c>
      <c r="C37" s="91">
        <v>2821.6000000000004</v>
      </c>
      <c r="D37" s="92">
        <v>2996.3999999999996</v>
      </c>
      <c r="E37" s="92">
        <v>2969.8999999999996</v>
      </c>
      <c r="F37" s="93">
        <v>2890.9999999999995</v>
      </c>
      <c r="G37" s="91">
        <v>3224.599999999999</v>
      </c>
      <c r="H37" s="92">
        <v>3189.6999999999994</v>
      </c>
      <c r="I37" s="92">
        <v>3708.5</v>
      </c>
      <c r="J37" s="93">
        <v>3731.8999999999996</v>
      </c>
      <c r="K37" s="92">
        <v>3752.1</v>
      </c>
      <c r="L37" s="92">
        <v>3821.8999999999996</v>
      </c>
      <c r="M37" s="92">
        <v>4111.3000000000011</v>
      </c>
      <c r="N37" s="92">
        <v>4120.9000000000005</v>
      </c>
      <c r="O37" s="91">
        <v>4462.2000000000007</v>
      </c>
      <c r="P37" s="92">
        <v>4452.6000000000013</v>
      </c>
      <c r="Q37" s="92">
        <v>4845.7999999999993</v>
      </c>
      <c r="R37" s="93">
        <v>4817.3999999999996</v>
      </c>
      <c r="S37" s="86">
        <v>4954.2999999999993</v>
      </c>
      <c r="T37" s="86">
        <v>5005.5</v>
      </c>
      <c r="U37" s="86">
        <v>5440.6999999999989</v>
      </c>
      <c r="V37" s="86">
        <v>5435.2</v>
      </c>
      <c r="W37" s="85">
        <v>5879.5000000000009</v>
      </c>
      <c r="X37" s="86">
        <v>6149.5</v>
      </c>
      <c r="Y37" s="86">
        <v>6319.1999999999989</v>
      </c>
      <c r="Z37" s="87">
        <v>6318.3</v>
      </c>
      <c r="AA37" s="86">
        <v>6719.4</v>
      </c>
      <c r="AB37" s="86" t="s">
        <v>28</v>
      </c>
      <c r="AC37" s="86" t="s">
        <v>28</v>
      </c>
      <c r="AD37" s="87" t="s">
        <v>28</v>
      </c>
      <c r="AE37" s="85" t="s">
        <v>28</v>
      </c>
      <c r="AF37" s="86" t="s">
        <v>28</v>
      </c>
      <c r="AG37" s="86" t="s">
        <v>28</v>
      </c>
      <c r="AH37" s="87" t="s">
        <v>28</v>
      </c>
      <c r="AI37" s="86" t="s">
        <v>28</v>
      </c>
      <c r="AJ37" s="86" t="s">
        <v>28</v>
      </c>
      <c r="AK37" s="86" t="s">
        <v>28</v>
      </c>
      <c r="AL37" s="87" t="s">
        <v>28</v>
      </c>
      <c r="AM37" s="86" t="s">
        <v>28</v>
      </c>
      <c r="AN37" s="86" t="s">
        <v>28</v>
      </c>
      <c r="AO37" s="86" t="s">
        <v>28</v>
      </c>
      <c r="AP37" s="87" t="s">
        <v>28</v>
      </c>
      <c r="AQ37" s="85" t="s">
        <v>28</v>
      </c>
      <c r="AR37" s="86" t="s">
        <v>28</v>
      </c>
      <c r="AS37" s="86" t="s">
        <v>28</v>
      </c>
      <c r="AT37" s="86" t="s">
        <v>28</v>
      </c>
      <c r="AU37" s="85" t="s">
        <v>28</v>
      </c>
      <c r="AV37" s="86" t="s">
        <v>28</v>
      </c>
      <c r="AW37" s="86" t="s">
        <v>28</v>
      </c>
      <c r="AX37" s="86" t="s">
        <v>28</v>
      </c>
      <c r="AY37" s="85" t="s">
        <v>28</v>
      </c>
      <c r="AZ37" s="86" t="s">
        <v>28</v>
      </c>
      <c r="BA37" s="86" t="s">
        <v>28</v>
      </c>
      <c r="BB37" s="86" t="s">
        <v>28</v>
      </c>
      <c r="BC37" s="85" t="s">
        <v>28</v>
      </c>
      <c r="BD37" s="86" t="s">
        <v>28</v>
      </c>
      <c r="BE37" s="86" t="s">
        <v>28</v>
      </c>
      <c r="BF37" s="94" t="s">
        <v>28</v>
      </c>
      <c r="BG37" s="85" t="s">
        <v>28</v>
      </c>
      <c r="BH37" s="86" t="s">
        <v>28</v>
      </c>
      <c r="BI37" s="86" t="s">
        <v>28</v>
      </c>
      <c r="BJ37" s="86" t="s">
        <v>28</v>
      </c>
      <c r="BK37" s="85" t="s">
        <v>28</v>
      </c>
      <c r="BL37" s="86"/>
      <c r="BM37" s="86"/>
      <c r="BN37" s="86"/>
    </row>
    <row r="38" spans="1:66" s="78" customFormat="1" ht="10.8">
      <c r="A38" s="84" t="s">
        <v>52</v>
      </c>
      <c r="B38" s="90" t="s">
        <v>53</v>
      </c>
      <c r="C38" s="91">
        <v>24.1</v>
      </c>
      <c r="D38" s="92">
        <v>0</v>
      </c>
      <c r="E38" s="92">
        <v>0</v>
      </c>
      <c r="F38" s="93">
        <v>0</v>
      </c>
      <c r="G38" s="91">
        <v>0</v>
      </c>
      <c r="H38" s="92">
        <v>0</v>
      </c>
      <c r="I38" s="92">
        <v>0</v>
      </c>
      <c r="J38" s="93">
        <v>0</v>
      </c>
      <c r="K38" s="92">
        <v>0</v>
      </c>
      <c r="L38" s="92">
        <v>0</v>
      </c>
      <c r="M38" s="92">
        <v>0</v>
      </c>
      <c r="N38" s="92">
        <v>0</v>
      </c>
      <c r="O38" s="91">
        <v>0</v>
      </c>
      <c r="P38" s="92">
        <v>0</v>
      </c>
      <c r="Q38" s="92">
        <v>11.7</v>
      </c>
      <c r="R38" s="93">
        <v>0</v>
      </c>
      <c r="S38" s="86">
        <v>0</v>
      </c>
      <c r="T38" s="86">
        <v>24.6</v>
      </c>
      <c r="U38" s="86">
        <v>0</v>
      </c>
      <c r="V38" s="86">
        <v>13.299999999999997</v>
      </c>
      <c r="W38" s="85">
        <v>80</v>
      </c>
      <c r="X38" s="86">
        <v>107.3</v>
      </c>
      <c r="Y38" s="86">
        <v>269</v>
      </c>
      <c r="Z38" s="87">
        <v>565.4</v>
      </c>
      <c r="AA38" s="86">
        <v>398.8</v>
      </c>
      <c r="AB38" s="86" t="s">
        <v>28</v>
      </c>
      <c r="AC38" s="86" t="s">
        <v>28</v>
      </c>
      <c r="AD38" s="87" t="s">
        <v>28</v>
      </c>
      <c r="AE38" s="85" t="s">
        <v>28</v>
      </c>
      <c r="AF38" s="86" t="s">
        <v>28</v>
      </c>
      <c r="AG38" s="86" t="s">
        <v>28</v>
      </c>
      <c r="AH38" s="87" t="s">
        <v>28</v>
      </c>
      <c r="AI38" s="86" t="s">
        <v>28</v>
      </c>
      <c r="AJ38" s="86" t="s">
        <v>28</v>
      </c>
      <c r="AK38" s="86" t="s">
        <v>28</v>
      </c>
      <c r="AL38" s="87" t="s">
        <v>28</v>
      </c>
      <c r="AM38" s="86" t="s">
        <v>28</v>
      </c>
      <c r="AN38" s="86" t="s">
        <v>28</v>
      </c>
      <c r="AO38" s="86" t="s">
        <v>28</v>
      </c>
      <c r="AP38" s="87" t="s">
        <v>28</v>
      </c>
      <c r="AQ38" s="85" t="s">
        <v>28</v>
      </c>
      <c r="AR38" s="86" t="s">
        <v>28</v>
      </c>
      <c r="AS38" s="86" t="s">
        <v>28</v>
      </c>
      <c r="AT38" s="86" t="s">
        <v>28</v>
      </c>
      <c r="AU38" s="85" t="s">
        <v>28</v>
      </c>
      <c r="AV38" s="86" t="s">
        <v>28</v>
      </c>
      <c r="AW38" s="86" t="s">
        <v>28</v>
      </c>
      <c r="AX38" s="86" t="s">
        <v>28</v>
      </c>
      <c r="AY38" s="85" t="s">
        <v>28</v>
      </c>
      <c r="AZ38" s="86" t="s">
        <v>28</v>
      </c>
      <c r="BA38" s="86" t="s">
        <v>28</v>
      </c>
      <c r="BB38" s="86" t="s">
        <v>28</v>
      </c>
      <c r="BC38" s="85" t="s">
        <v>28</v>
      </c>
      <c r="BD38" s="86" t="s">
        <v>28</v>
      </c>
      <c r="BE38" s="86" t="s">
        <v>28</v>
      </c>
      <c r="BF38" s="94" t="s">
        <v>28</v>
      </c>
      <c r="BG38" s="85" t="s">
        <v>28</v>
      </c>
      <c r="BH38" s="86" t="s">
        <v>28</v>
      </c>
      <c r="BI38" s="86" t="s">
        <v>28</v>
      </c>
      <c r="BJ38" s="86" t="s">
        <v>28</v>
      </c>
      <c r="BK38" s="85" t="s">
        <v>28</v>
      </c>
      <c r="BL38" s="86"/>
      <c r="BM38" s="86"/>
      <c r="BN38" s="86"/>
    </row>
    <row r="39" spans="1:66" s="78" customFormat="1" ht="10.8">
      <c r="A39" s="84" t="s">
        <v>54</v>
      </c>
      <c r="B39" s="90" t="s">
        <v>55</v>
      </c>
      <c r="C39" s="91">
        <v>38.1</v>
      </c>
      <c r="D39" s="92">
        <v>9</v>
      </c>
      <c r="E39" s="92">
        <v>141.19999999999999</v>
      </c>
      <c r="F39" s="93">
        <v>91.8</v>
      </c>
      <c r="G39" s="91">
        <v>30.7</v>
      </c>
      <c r="H39" s="92">
        <v>58.4</v>
      </c>
      <c r="I39" s="92">
        <v>89.9</v>
      </c>
      <c r="J39" s="93">
        <v>79.7</v>
      </c>
      <c r="K39" s="92">
        <v>0</v>
      </c>
      <c r="L39" s="92">
        <v>63.5</v>
      </c>
      <c r="M39" s="92">
        <v>54.8</v>
      </c>
      <c r="N39" s="92">
        <v>65.5</v>
      </c>
      <c r="O39" s="91">
        <v>55.4</v>
      </c>
      <c r="P39" s="92">
        <v>38.9</v>
      </c>
      <c r="Q39" s="92">
        <v>32.200000000000003</v>
      </c>
      <c r="R39" s="93">
        <v>26.5</v>
      </c>
      <c r="S39" s="86">
        <v>62.1</v>
      </c>
      <c r="T39" s="86">
        <v>59.8</v>
      </c>
      <c r="U39" s="86">
        <v>40.4</v>
      </c>
      <c r="V39" s="86">
        <v>32.700000000000003</v>
      </c>
      <c r="W39" s="85">
        <v>41.6</v>
      </c>
      <c r="X39" s="86">
        <v>42.1</v>
      </c>
      <c r="Y39" s="86">
        <v>40.4</v>
      </c>
      <c r="Z39" s="87">
        <v>44.4</v>
      </c>
      <c r="AA39" s="86">
        <v>37.6</v>
      </c>
      <c r="AB39" s="86" t="s">
        <v>28</v>
      </c>
      <c r="AC39" s="86" t="s">
        <v>28</v>
      </c>
      <c r="AD39" s="87" t="s">
        <v>28</v>
      </c>
      <c r="AE39" s="85" t="s">
        <v>28</v>
      </c>
      <c r="AF39" s="86" t="s">
        <v>28</v>
      </c>
      <c r="AG39" s="86" t="s">
        <v>28</v>
      </c>
      <c r="AH39" s="87" t="s">
        <v>28</v>
      </c>
      <c r="AI39" s="86" t="s">
        <v>28</v>
      </c>
      <c r="AJ39" s="86" t="s">
        <v>28</v>
      </c>
      <c r="AK39" s="86" t="s">
        <v>28</v>
      </c>
      <c r="AL39" s="87" t="s">
        <v>28</v>
      </c>
      <c r="AM39" s="86" t="s">
        <v>28</v>
      </c>
      <c r="AN39" s="86" t="s">
        <v>28</v>
      </c>
      <c r="AO39" s="86" t="s">
        <v>28</v>
      </c>
      <c r="AP39" s="87" t="s">
        <v>28</v>
      </c>
      <c r="AQ39" s="85" t="s">
        <v>28</v>
      </c>
      <c r="AR39" s="86" t="s">
        <v>28</v>
      </c>
      <c r="AS39" s="86" t="s">
        <v>28</v>
      </c>
      <c r="AT39" s="86" t="s">
        <v>28</v>
      </c>
      <c r="AU39" s="85" t="s">
        <v>28</v>
      </c>
      <c r="AV39" s="86" t="s">
        <v>28</v>
      </c>
      <c r="AW39" s="86" t="s">
        <v>28</v>
      </c>
      <c r="AX39" s="86" t="s">
        <v>28</v>
      </c>
      <c r="AY39" s="85" t="s">
        <v>28</v>
      </c>
      <c r="AZ39" s="86" t="s">
        <v>28</v>
      </c>
      <c r="BA39" s="86" t="s">
        <v>28</v>
      </c>
      <c r="BB39" s="86" t="s">
        <v>28</v>
      </c>
      <c r="BC39" s="85" t="s">
        <v>28</v>
      </c>
      <c r="BD39" s="86" t="s">
        <v>28</v>
      </c>
      <c r="BE39" s="86" t="s">
        <v>28</v>
      </c>
      <c r="BF39" s="94" t="s">
        <v>28</v>
      </c>
      <c r="BG39" s="85" t="s">
        <v>28</v>
      </c>
      <c r="BH39" s="86" t="s">
        <v>28</v>
      </c>
      <c r="BI39" s="86" t="s">
        <v>28</v>
      </c>
      <c r="BJ39" s="86" t="s">
        <v>28</v>
      </c>
      <c r="BK39" s="85" t="s">
        <v>28</v>
      </c>
      <c r="BL39" s="86"/>
      <c r="BM39" s="86"/>
      <c r="BN39" s="86"/>
    </row>
    <row r="40" spans="1:66" s="99" customFormat="1" ht="10.8">
      <c r="A40" s="95"/>
      <c r="B40" s="95"/>
      <c r="C40" s="96"/>
      <c r="D40" s="97"/>
      <c r="E40" s="97"/>
      <c r="F40" s="98"/>
      <c r="G40" s="96"/>
      <c r="H40" s="97"/>
      <c r="I40" s="97"/>
      <c r="J40" s="98"/>
      <c r="K40" s="97"/>
      <c r="L40" s="97"/>
      <c r="M40" s="97"/>
      <c r="N40" s="97"/>
      <c r="O40" s="96"/>
      <c r="P40" s="97"/>
      <c r="Q40" s="97"/>
      <c r="R40" s="98"/>
      <c r="S40" s="97"/>
      <c r="T40" s="97"/>
      <c r="U40" s="97"/>
      <c r="V40" s="97"/>
      <c r="W40" s="96"/>
      <c r="X40" s="97"/>
      <c r="Y40" s="97"/>
      <c r="Z40" s="98"/>
      <c r="AA40" s="97"/>
      <c r="AB40" s="97"/>
      <c r="AC40" s="97"/>
      <c r="AD40" s="98"/>
      <c r="AE40" s="96"/>
      <c r="AF40" s="97"/>
      <c r="AG40" s="97"/>
      <c r="AH40" s="98"/>
      <c r="AI40" s="97"/>
      <c r="AJ40" s="97"/>
      <c r="AK40" s="97"/>
      <c r="AL40" s="98"/>
      <c r="AM40" s="97"/>
      <c r="AN40" s="97"/>
      <c r="AO40" s="97"/>
      <c r="AP40" s="98"/>
      <c r="AQ40" s="96"/>
      <c r="AR40" s="97"/>
      <c r="AS40" s="97"/>
      <c r="AT40" s="97"/>
      <c r="AU40" s="96"/>
      <c r="AV40" s="97"/>
      <c r="AW40" s="97"/>
      <c r="AX40" s="97"/>
      <c r="AY40" s="96"/>
      <c r="AZ40" s="97"/>
      <c r="BA40" s="97"/>
      <c r="BB40" s="97"/>
      <c r="BC40" s="96"/>
      <c r="BD40" s="97"/>
      <c r="BE40" s="97"/>
      <c r="BF40" s="97"/>
      <c r="BG40" s="96"/>
      <c r="BH40" s="97"/>
      <c r="BI40" s="97"/>
      <c r="BJ40" s="97"/>
      <c r="BK40" s="96"/>
      <c r="BL40" s="97"/>
      <c r="BM40" s="97"/>
      <c r="BN40" s="97"/>
    </row>
    <row r="41" spans="1:66" s="33" customFormat="1" ht="21" customHeight="1">
      <c r="A41" s="26" t="s">
        <v>58</v>
      </c>
      <c r="B41" s="26" t="s">
        <v>59</v>
      </c>
      <c r="C41" s="100"/>
      <c r="D41" s="101"/>
      <c r="E41" s="101"/>
      <c r="F41" s="102"/>
      <c r="G41" s="100"/>
      <c r="H41" s="101"/>
      <c r="I41" s="101"/>
      <c r="J41" s="102"/>
      <c r="K41" s="101"/>
      <c r="L41" s="101"/>
      <c r="M41" s="101"/>
      <c r="N41" s="101"/>
      <c r="O41" s="100"/>
      <c r="P41" s="101"/>
      <c r="Q41" s="101"/>
      <c r="R41" s="102"/>
      <c r="S41" s="103"/>
      <c r="T41" s="103"/>
      <c r="U41" s="103"/>
      <c r="V41" s="103"/>
      <c r="W41" s="104"/>
      <c r="X41" s="103"/>
      <c r="Y41" s="103"/>
      <c r="Z41" s="105"/>
      <c r="AA41" s="103"/>
      <c r="AB41" s="103"/>
      <c r="AC41" s="103"/>
      <c r="AD41" s="105"/>
      <c r="AE41" s="104"/>
      <c r="AF41" s="103"/>
      <c r="AG41" s="103"/>
      <c r="AH41" s="105"/>
      <c r="AI41" s="103"/>
      <c r="AJ41" s="103"/>
      <c r="AK41" s="103"/>
      <c r="AL41" s="105"/>
      <c r="AM41" s="103"/>
      <c r="AN41" s="103"/>
      <c r="AO41" s="103"/>
      <c r="AP41" s="105"/>
      <c r="AQ41" s="104"/>
      <c r="AR41" s="103"/>
      <c r="AS41" s="103"/>
      <c r="AT41" s="103"/>
      <c r="AU41" s="104"/>
      <c r="AV41" s="103"/>
      <c r="AW41" s="103"/>
      <c r="AX41" s="103"/>
      <c r="AY41" s="104"/>
      <c r="AZ41" s="103"/>
      <c r="BA41" s="103"/>
      <c r="BB41" s="103"/>
      <c r="BC41" s="104"/>
      <c r="BD41" s="103"/>
      <c r="BE41" s="103"/>
      <c r="BF41" s="103"/>
      <c r="BG41" s="104"/>
      <c r="BH41" s="103"/>
      <c r="BI41" s="103"/>
      <c r="BJ41" s="103"/>
      <c r="BK41" s="104"/>
      <c r="BL41" s="103"/>
      <c r="BM41" s="103"/>
      <c r="BN41" s="103"/>
    </row>
    <row r="42" spans="1:66" s="41" customFormat="1" ht="10.8">
      <c r="A42" s="43" t="s">
        <v>60</v>
      </c>
      <c r="B42" s="80" t="s">
        <v>61</v>
      </c>
      <c r="C42" s="44" t="s">
        <v>28</v>
      </c>
      <c r="D42" s="45" t="s">
        <v>28</v>
      </c>
      <c r="E42" s="45" t="s">
        <v>28</v>
      </c>
      <c r="F42" s="46" t="s">
        <v>28</v>
      </c>
      <c r="G42" s="44">
        <v>2057.4</v>
      </c>
      <c r="H42" s="45">
        <v>1983.4</v>
      </c>
      <c r="I42" s="45">
        <v>2188.3000000000002</v>
      </c>
      <c r="J42" s="46">
        <v>2580.3000000000002</v>
      </c>
      <c r="K42" s="45">
        <v>2619.3000000000002</v>
      </c>
      <c r="L42" s="45">
        <v>2503.4</v>
      </c>
      <c r="M42" s="45">
        <v>2416</v>
      </c>
      <c r="N42" s="45">
        <v>2432</v>
      </c>
      <c r="O42" s="44">
        <v>2398.1</v>
      </c>
      <c r="P42" s="45">
        <v>2496</v>
      </c>
      <c r="Q42" s="45">
        <v>2581.6</v>
      </c>
      <c r="R42" s="46">
        <v>2581.6</v>
      </c>
      <c r="S42" s="47">
        <v>2725.1</v>
      </c>
      <c r="T42" s="47">
        <v>2806.1</v>
      </c>
      <c r="U42" s="47">
        <v>3056.2</v>
      </c>
      <c r="V42" s="47">
        <v>3176.6</v>
      </c>
      <c r="W42" s="48">
        <v>3414.8</v>
      </c>
      <c r="X42" s="47">
        <v>3345.7000000000003</v>
      </c>
      <c r="Y42" s="47">
        <v>3349.6</v>
      </c>
      <c r="Z42" s="49">
        <v>3285.7999999999997</v>
      </c>
      <c r="AA42" s="47">
        <v>3229.5</v>
      </c>
      <c r="AB42" s="47">
        <v>2974.8</v>
      </c>
      <c r="AC42" s="47">
        <v>2844.5</v>
      </c>
      <c r="AD42" s="49">
        <v>2900.1</v>
      </c>
      <c r="AE42" s="48">
        <v>3077.3</v>
      </c>
      <c r="AF42" s="47">
        <v>3186.1</v>
      </c>
      <c r="AG42" s="47">
        <v>3349.7</v>
      </c>
      <c r="AH42" s="49">
        <v>3291.1</v>
      </c>
      <c r="AI42" s="47">
        <v>3588.3</v>
      </c>
      <c r="AJ42" s="47">
        <v>3927.1</v>
      </c>
      <c r="AK42" s="47">
        <v>4039.2</v>
      </c>
      <c r="AL42" s="49">
        <v>3935.1</v>
      </c>
      <c r="AM42" s="47">
        <v>4108.3999999999996</v>
      </c>
      <c r="AN42" s="47">
        <v>4194.3999999999996</v>
      </c>
      <c r="AO42" s="47">
        <v>4249.2</v>
      </c>
      <c r="AP42" s="49">
        <v>4121.5</v>
      </c>
      <c r="AQ42" s="48">
        <v>4261.1000000000004</v>
      </c>
      <c r="AR42" s="47">
        <v>4561</v>
      </c>
      <c r="AS42" s="47">
        <v>4775.8</v>
      </c>
      <c r="AT42" s="47">
        <v>4552.9000000000005</v>
      </c>
      <c r="AU42" s="48">
        <v>4738.6000000000004</v>
      </c>
      <c r="AV42" s="47">
        <v>5136</v>
      </c>
      <c r="AW42" s="47">
        <v>5434.3</v>
      </c>
      <c r="AX42" s="47">
        <v>5370.9000000000005</v>
      </c>
      <c r="AY42" s="48">
        <v>5595.3</v>
      </c>
      <c r="AZ42" s="47">
        <v>5961.3</v>
      </c>
      <c r="BA42" s="47">
        <v>6008.9</v>
      </c>
      <c r="BB42" s="47">
        <v>6056.5</v>
      </c>
      <c r="BC42" s="48">
        <v>6426</v>
      </c>
      <c r="BD42" s="47">
        <v>6233.6</v>
      </c>
      <c r="BE42" s="47">
        <v>6133.7</v>
      </c>
      <c r="BF42" s="47">
        <v>6179.2</v>
      </c>
      <c r="BG42" s="48">
        <v>6468.7</v>
      </c>
      <c r="BH42" s="47">
        <v>6659</v>
      </c>
      <c r="BI42" s="47">
        <v>7053.2</v>
      </c>
      <c r="BJ42" s="47">
        <v>7402.7</v>
      </c>
      <c r="BK42" s="48">
        <v>7592.6</v>
      </c>
      <c r="BL42" s="47"/>
      <c r="BM42" s="47"/>
      <c r="BN42" s="47"/>
    </row>
    <row r="43" spans="1:66" s="41" customFormat="1" ht="10.8">
      <c r="A43" s="43" t="s">
        <v>62</v>
      </c>
      <c r="B43" s="80" t="s">
        <v>63</v>
      </c>
      <c r="C43" s="44" t="s">
        <v>28</v>
      </c>
      <c r="D43" s="45" t="s">
        <v>28</v>
      </c>
      <c r="E43" s="45" t="s">
        <v>28</v>
      </c>
      <c r="F43" s="46" t="s">
        <v>28</v>
      </c>
      <c r="G43" s="44" t="s">
        <v>28</v>
      </c>
      <c r="H43" s="45" t="s">
        <v>28</v>
      </c>
      <c r="I43" s="45" t="s">
        <v>28</v>
      </c>
      <c r="J43" s="46" t="s">
        <v>28</v>
      </c>
      <c r="K43" s="45" t="s">
        <v>28</v>
      </c>
      <c r="L43" s="45" t="s">
        <v>28</v>
      </c>
      <c r="M43" s="45" t="s">
        <v>28</v>
      </c>
      <c r="N43" s="45" t="s">
        <v>28</v>
      </c>
      <c r="O43" s="44" t="s">
        <v>28</v>
      </c>
      <c r="P43" s="45" t="s">
        <v>28</v>
      </c>
      <c r="Q43" s="45" t="s">
        <v>28</v>
      </c>
      <c r="R43" s="46" t="s">
        <v>28</v>
      </c>
      <c r="S43" s="47" t="s">
        <v>28</v>
      </c>
      <c r="T43" s="47" t="s">
        <v>28</v>
      </c>
      <c r="U43" s="47" t="s">
        <v>28</v>
      </c>
      <c r="V43" s="47">
        <v>329</v>
      </c>
      <c r="W43" s="48">
        <v>285.2</v>
      </c>
      <c r="X43" s="47">
        <v>140.80000000000001</v>
      </c>
      <c r="Y43" s="47">
        <v>372.4</v>
      </c>
      <c r="Z43" s="49">
        <v>444.1</v>
      </c>
      <c r="AA43" s="47">
        <v>475</v>
      </c>
      <c r="AB43" s="47" t="s">
        <v>28</v>
      </c>
      <c r="AC43" s="47" t="s">
        <v>28</v>
      </c>
      <c r="AD43" s="49" t="s">
        <v>28</v>
      </c>
      <c r="AE43" s="48" t="s">
        <v>28</v>
      </c>
      <c r="AF43" s="47" t="s">
        <v>28</v>
      </c>
      <c r="AG43" s="47" t="s">
        <v>28</v>
      </c>
      <c r="AH43" s="49" t="s">
        <v>28</v>
      </c>
      <c r="AI43" s="47" t="s">
        <v>28</v>
      </c>
      <c r="AJ43" s="47" t="s">
        <v>28</v>
      </c>
      <c r="AK43" s="47" t="s">
        <v>28</v>
      </c>
      <c r="AL43" s="49" t="s">
        <v>28</v>
      </c>
      <c r="AM43" s="47" t="s">
        <v>28</v>
      </c>
      <c r="AN43" s="47" t="s">
        <v>28</v>
      </c>
      <c r="AO43" s="47" t="s">
        <v>28</v>
      </c>
      <c r="AP43" s="49" t="s">
        <v>28</v>
      </c>
      <c r="AQ43" s="47" t="s">
        <v>28</v>
      </c>
      <c r="AR43" s="47" t="s">
        <v>28</v>
      </c>
      <c r="AS43" s="47" t="s">
        <v>28</v>
      </c>
      <c r="AT43" s="49" t="s">
        <v>28</v>
      </c>
      <c r="AU43" s="47" t="s">
        <v>28</v>
      </c>
      <c r="AV43" s="47" t="s">
        <v>28</v>
      </c>
      <c r="AW43" s="47" t="s">
        <v>28</v>
      </c>
      <c r="AX43" s="49" t="s">
        <v>28</v>
      </c>
      <c r="AY43" s="47" t="s">
        <v>28</v>
      </c>
      <c r="AZ43" s="47" t="s">
        <v>28</v>
      </c>
      <c r="BA43" s="47" t="s">
        <v>28</v>
      </c>
      <c r="BB43" s="49" t="s">
        <v>28</v>
      </c>
      <c r="BC43" s="47" t="s">
        <v>28</v>
      </c>
      <c r="BD43" s="47" t="s">
        <v>28</v>
      </c>
      <c r="BE43" s="47" t="s">
        <v>28</v>
      </c>
      <c r="BF43" s="106" t="s">
        <v>28</v>
      </c>
      <c r="BG43" s="47" t="s">
        <v>28</v>
      </c>
      <c r="BH43" s="47" t="s">
        <v>28</v>
      </c>
      <c r="BI43" s="47" t="s">
        <v>28</v>
      </c>
      <c r="BJ43" s="106" t="s">
        <v>28</v>
      </c>
      <c r="BK43" s="47" t="s">
        <v>28</v>
      </c>
      <c r="BL43" s="47"/>
      <c r="BM43" s="47"/>
      <c r="BN43" s="47"/>
    </row>
    <row r="44" spans="1:66" s="41" customFormat="1" ht="10.8">
      <c r="A44" s="43" t="s">
        <v>64</v>
      </c>
      <c r="B44" s="80" t="s">
        <v>65</v>
      </c>
      <c r="C44" s="44" t="s">
        <v>28</v>
      </c>
      <c r="D44" s="45" t="s">
        <v>28</v>
      </c>
      <c r="E44" s="45" t="s">
        <v>28</v>
      </c>
      <c r="F44" s="46" t="s">
        <v>28</v>
      </c>
      <c r="G44" s="44">
        <v>0</v>
      </c>
      <c r="H44" s="45">
        <v>0</v>
      </c>
      <c r="I44" s="45">
        <v>0.1</v>
      </c>
      <c r="J44" s="46">
        <v>1.3</v>
      </c>
      <c r="K44" s="45">
        <v>1.7</v>
      </c>
      <c r="L44" s="45">
        <v>2.2000000000000002</v>
      </c>
      <c r="M44" s="45">
        <v>2.2000000000000002</v>
      </c>
      <c r="N44" s="45">
        <v>2.2000000000000002</v>
      </c>
      <c r="O44" s="44">
        <v>2.2000000000000002</v>
      </c>
      <c r="P44" s="45">
        <v>4.0999999999999996</v>
      </c>
      <c r="Q44" s="45">
        <v>4.5999999999999996</v>
      </c>
      <c r="R44" s="46">
        <v>5.0999999999999996</v>
      </c>
      <c r="S44" s="47">
        <v>5.6</v>
      </c>
      <c r="T44" s="47">
        <v>6.3</v>
      </c>
      <c r="U44" s="47">
        <v>7.1</v>
      </c>
      <c r="V44" s="47">
        <v>7.9</v>
      </c>
      <c r="W44" s="48">
        <v>8.6999999999999993</v>
      </c>
      <c r="X44" s="47">
        <v>9.4</v>
      </c>
      <c r="Y44" s="47">
        <v>12.2</v>
      </c>
      <c r="Z44" s="49">
        <v>13</v>
      </c>
      <c r="AA44" s="47">
        <v>13.6</v>
      </c>
      <c r="AB44" s="47">
        <v>14.2</v>
      </c>
      <c r="AC44" s="47">
        <v>10.3</v>
      </c>
      <c r="AD44" s="49">
        <v>10.3</v>
      </c>
      <c r="AE44" s="48">
        <v>10.3</v>
      </c>
      <c r="AF44" s="47">
        <v>10.3</v>
      </c>
      <c r="AG44" s="47">
        <v>10.3</v>
      </c>
      <c r="AH44" s="49">
        <v>10.3</v>
      </c>
      <c r="AI44" s="47">
        <v>0</v>
      </c>
      <c r="AJ44" s="47">
        <v>0</v>
      </c>
      <c r="AK44" s="47">
        <v>0</v>
      </c>
      <c r="AL44" s="49">
        <v>0</v>
      </c>
      <c r="AM44" s="47">
        <v>0</v>
      </c>
      <c r="AN44" s="47">
        <v>0</v>
      </c>
      <c r="AO44" s="47">
        <v>0</v>
      </c>
      <c r="AP44" s="49"/>
      <c r="AQ44" s="48"/>
      <c r="AR44" s="47"/>
      <c r="AS44" s="47"/>
      <c r="AT44" s="47"/>
      <c r="AU44" s="48"/>
      <c r="AV44" s="47"/>
      <c r="AW44" s="47"/>
      <c r="AX44" s="47"/>
      <c r="AY44" s="48"/>
      <c r="AZ44" s="47"/>
      <c r="BA44" s="47"/>
      <c r="BB44" s="47"/>
      <c r="BC44" s="48"/>
      <c r="BD44" s="47"/>
      <c r="BE44" s="47"/>
      <c r="BF44" s="47"/>
      <c r="BG44" s="48"/>
      <c r="BH44" s="47"/>
      <c r="BI44" s="47"/>
      <c r="BJ44" s="47"/>
      <c r="BK44" s="48"/>
      <c r="BL44" s="47"/>
      <c r="BM44" s="47"/>
      <c r="BN44" s="47"/>
    </row>
    <row r="45" spans="1:66" s="41" customFormat="1" ht="10.8">
      <c r="A45" s="43" t="s">
        <v>66</v>
      </c>
      <c r="B45" s="80" t="s">
        <v>67</v>
      </c>
      <c r="C45" s="44" t="s">
        <v>28</v>
      </c>
      <c r="D45" s="45" t="s">
        <v>28</v>
      </c>
      <c r="E45" s="45" t="s">
        <v>28</v>
      </c>
      <c r="F45" s="46" t="s">
        <v>28</v>
      </c>
      <c r="G45" s="44">
        <v>13.5</v>
      </c>
      <c r="H45" s="45">
        <v>22.8</v>
      </c>
      <c r="I45" s="45">
        <v>31.6</v>
      </c>
      <c r="J45" s="46">
        <v>27.7</v>
      </c>
      <c r="K45" s="45">
        <v>26.1</v>
      </c>
      <c r="L45" s="45">
        <v>19.3</v>
      </c>
      <c r="M45" s="45">
        <v>13.7</v>
      </c>
      <c r="N45" s="45">
        <v>15.3</v>
      </c>
      <c r="O45" s="44">
        <v>8.6999999999999993</v>
      </c>
      <c r="P45" s="45">
        <v>8.6999999999999993</v>
      </c>
      <c r="Q45" s="45">
        <v>0.4</v>
      </c>
      <c r="R45" s="46">
        <v>1.8</v>
      </c>
      <c r="S45" s="47">
        <v>18</v>
      </c>
      <c r="T45" s="47">
        <v>22.2</v>
      </c>
      <c r="U45" s="47">
        <v>0.2</v>
      </c>
      <c r="V45" s="47">
        <v>0</v>
      </c>
      <c r="W45" s="48">
        <v>0</v>
      </c>
      <c r="X45" s="47">
        <v>11</v>
      </c>
      <c r="Y45" s="47">
        <v>0</v>
      </c>
      <c r="Z45" s="49">
        <v>0</v>
      </c>
      <c r="AA45" s="47">
        <v>0</v>
      </c>
      <c r="AB45" s="47">
        <v>0</v>
      </c>
      <c r="AC45" s="47">
        <v>0</v>
      </c>
      <c r="AD45" s="49">
        <v>0</v>
      </c>
      <c r="AE45" s="48">
        <v>0</v>
      </c>
      <c r="AF45" s="47">
        <v>0</v>
      </c>
      <c r="AG45" s="47">
        <v>0</v>
      </c>
      <c r="AH45" s="49">
        <v>0</v>
      </c>
      <c r="AI45" s="47">
        <v>0</v>
      </c>
      <c r="AJ45" s="47">
        <v>0</v>
      </c>
      <c r="AK45" s="47">
        <v>0</v>
      </c>
      <c r="AL45" s="49">
        <v>30</v>
      </c>
      <c r="AM45" s="47">
        <v>0</v>
      </c>
      <c r="AN45" s="47">
        <v>0</v>
      </c>
      <c r="AO45" s="47">
        <v>0</v>
      </c>
      <c r="AP45" s="49">
        <v>77.099999999999994</v>
      </c>
      <c r="AQ45" s="48">
        <v>82</v>
      </c>
      <c r="AR45" s="47">
        <v>73.599999999999994</v>
      </c>
      <c r="AS45" s="47">
        <v>89.6</v>
      </c>
      <c r="AT45" s="47">
        <v>103</v>
      </c>
      <c r="AU45" s="48">
        <v>110</v>
      </c>
      <c r="AV45" s="47">
        <v>125.9</v>
      </c>
      <c r="AW45" s="47">
        <v>103.4</v>
      </c>
      <c r="AX45" s="47">
        <v>130.6</v>
      </c>
      <c r="AY45" s="48">
        <v>141.4</v>
      </c>
      <c r="AZ45" s="47">
        <v>158.6</v>
      </c>
      <c r="BA45" s="47">
        <v>176.9</v>
      </c>
      <c r="BB45" s="47">
        <v>157.1</v>
      </c>
      <c r="BC45" s="48">
        <v>64</v>
      </c>
      <c r="BD45" s="47">
        <v>68</v>
      </c>
      <c r="BE45" s="47">
        <v>78.599999999999994</v>
      </c>
      <c r="BF45" s="47">
        <v>60.9</v>
      </c>
      <c r="BG45" s="48">
        <v>61.5</v>
      </c>
      <c r="BH45" s="47">
        <v>91.9</v>
      </c>
      <c r="BI45" s="47">
        <v>102.6</v>
      </c>
      <c r="BJ45" s="47">
        <v>100.3</v>
      </c>
      <c r="BK45" s="48">
        <v>71.099999999999994</v>
      </c>
      <c r="BL45" s="47"/>
      <c r="BM45" s="47"/>
      <c r="BN45" s="47"/>
    </row>
    <row r="46" spans="1:66" s="41" customFormat="1" ht="10.8">
      <c r="A46" s="43" t="s">
        <v>68</v>
      </c>
      <c r="B46" s="80" t="s">
        <v>69</v>
      </c>
      <c r="C46" s="44" t="s">
        <v>28</v>
      </c>
      <c r="D46" s="45" t="s">
        <v>28</v>
      </c>
      <c r="E46" s="45" t="s">
        <v>28</v>
      </c>
      <c r="F46" s="46" t="s">
        <v>28</v>
      </c>
      <c r="G46" s="44">
        <v>274.2</v>
      </c>
      <c r="H46" s="45">
        <v>274.2</v>
      </c>
      <c r="I46" s="45">
        <v>274.2</v>
      </c>
      <c r="J46" s="46">
        <v>274.2</v>
      </c>
      <c r="K46" s="45">
        <v>290.8</v>
      </c>
      <c r="L46" s="45">
        <v>290.8</v>
      </c>
      <c r="M46" s="45">
        <v>290.8</v>
      </c>
      <c r="N46" s="45">
        <v>290.8</v>
      </c>
      <c r="O46" s="44">
        <v>326.89999999999998</v>
      </c>
      <c r="P46" s="45">
        <v>326.89999999999998</v>
      </c>
      <c r="Q46" s="45">
        <v>326.89999999999998</v>
      </c>
      <c r="R46" s="46">
        <v>326.89999999999998</v>
      </c>
      <c r="S46" s="47">
        <v>361.7</v>
      </c>
      <c r="T46" s="47">
        <v>361.7</v>
      </c>
      <c r="U46" s="47">
        <v>361.7</v>
      </c>
      <c r="V46" s="47">
        <v>364.6</v>
      </c>
      <c r="W46" s="48">
        <v>405.9</v>
      </c>
      <c r="X46" s="47">
        <v>405.9</v>
      </c>
      <c r="Y46" s="47">
        <v>405.9</v>
      </c>
      <c r="Z46" s="49">
        <v>405.9</v>
      </c>
      <c r="AA46" s="47">
        <v>437.6</v>
      </c>
      <c r="AB46" s="47">
        <v>437.6</v>
      </c>
      <c r="AC46" s="47">
        <v>437.6</v>
      </c>
      <c r="AD46" s="49">
        <v>437.6</v>
      </c>
      <c r="AE46" s="48">
        <v>459.3</v>
      </c>
      <c r="AF46" s="47">
        <v>459.3</v>
      </c>
      <c r="AG46" s="47">
        <v>459.3</v>
      </c>
      <c r="AH46" s="49">
        <v>459.3</v>
      </c>
      <c r="AI46" s="47">
        <v>495.8</v>
      </c>
      <c r="AJ46" s="47">
        <v>495.8</v>
      </c>
      <c r="AK46" s="47">
        <v>495.8</v>
      </c>
      <c r="AL46" s="49">
        <v>495.8</v>
      </c>
      <c r="AM46" s="47">
        <v>521.5</v>
      </c>
      <c r="AN46" s="47">
        <v>521.5</v>
      </c>
      <c r="AO46" s="47">
        <v>521.5</v>
      </c>
      <c r="AP46" s="49">
        <v>521.5</v>
      </c>
      <c r="AQ46" s="48">
        <v>567.1</v>
      </c>
      <c r="AR46" s="47">
        <v>567.1</v>
      </c>
      <c r="AS46" s="47">
        <v>567.1</v>
      </c>
      <c r="AT46" s="47">
        <v>567.1</v>
      </c>
      <c r="AU46" s="48">
        <v>626.9</v>
      </c>
      <c r="AV46" s="47">
        <v>626.9</v>
      </c>
      <c r="AW46" s="47">
        <v>626.9</v>
      </c>
      <c r="AX46" s="47">
        <v>626.9</v>
      </c>
      <c r="AY46" s="48">
        <v>701</v>
      </c>
      <c r="AZ46" s="47">
        <v>701</v>
      </c>
      <c r="BA46" s="47">
        <v>701</v>
      </c>
      <c r="BB46" s="47">
        <v>701</v>
      </c>
      <c r="BC46" s="48">
        <v>784.9</v>
      </c>
      <c r="BD46" s="47">
        <v>747.5</v>
      </c>
      <c r="BE46" s="47">
        <v>747.5</v>
      </c>
      <c r="BF46" s="47">
        <v>816.8</v>
      </c>
      <c r="BG46" s="48">
        <v>816.8</v>
      </c>
      <c r="BH46" s="47">
        <v>816.8</v>
      </c>
      <c r="BI46" s="47">
        <v>816.8</v>
      </c>
      <c r="BJ46" s="47">
        <v>893.1</v>
      </c>
      <c r="BK46" s="48">
        <v>893.1</v>
      </c>
      <c r="BL46" s="47"/>
      <c r="BM46" s="47"/>
      <c r="BN46" s="47"/>
    </row>
    <row r="47" spans="1:66" s="41" customFormat="1" ht="10.8">
      <c r="A47" s="43" t="s">
        <v>70</v>
      </c>
      <c r="B47" s="80" t="s">
        <v>71</v>
      </c>
      <c r="C47" s="44" t="s">
        <v>28</v>
      </c>
      <c r="D47" s="45" t="s">
        <v>28</v>
      </c>
      <c r="E47" s="45" t="s">
        <v>28</v>
      </c>
      <c r="F47" s="46" t="s">
        <v>28</v>
      </c>
      <c r="G47" s="44">
        <v>17.2</v>
      </c>
      <c r="H47" s="45">
        <v>35.6</v>
      </c>
      <c r="I47" s="45">
        <v>58.3</v>
      </c>
      <c r="J47" s="46">
        <v>52</v>
      </c>
      <c r="K47" s="45">
        <v>33.9</v>
      </c>
      <c r="L47" s="45">
        <v>44.3</v>
      </c>
      <c r="M47" s="45">
        <v>39</v>
      </c>
      <c r="N47" s="45">
        <v>48</v>
      </c>
      <c r="O47" s="44">
        <v>44.5</v>
      </c>
      <c r="P47" s="45">
        <v>26.1</v>
      </c>
      <c r="Q47" s="45">
        <v>27.2</v>
      </c>
      <c r="R47" s="46">
        <v>19.7</v>
      </c>
      <c r="S47" s="47">
        <v>38.4</v>
      </c>
      <c r="T47" s="47">
        <v>31.3</v>
      </c>
      <c r="U47" s="47">
        <v>33.200000000000003</v>
      </c>
      <c r="V47" s="47">
        <v>24.8</v>
      </c>
      <c r="W47" s="48">
        <v>32.9</v>
      </c>
      <c r="X47" s="47">
        <v>21.7</v>
      </c>
      <c r="Y47" s="47">
        <v>28.2</v>
      </c>
      <c r="Z47" s="49">
        <v>31.4</v>
      </c>
      <c r="AA47" s="47">
        <v>24</v>
      </c>
      <c r="AB47" s="47">
        <v>36.6</v>
      </c>
      <c r="AC47" s="47">
        <v>28.9</v>
      </c>
      <c r="AD47" s="49">
        <v>24.5</v>
      </c>
      <c r="AE47" s="48">
        <v>57.8</v>
      </c>
      <c r="AF47" s="47">
        <v>49.3</v>
      </c>
      <c r="AG47" s="47">
        <v>56.7</v>
      </c>
      <c r="AH47" s="49">
        <v>33.799999999999997</v>
      </c>
      <c r="AI47" s="47">
        <v>46.1</v>
      </c>
      <c r="AJ47" s="47">
        <v>37.9</v>
      </c>
      <c r="AK47" s="47">
        <v>57.2</v>
      </c>
      <c r="AL47" s="49">
        <v>74.3</v>
      </c>
      <c r="AM47" s="47">
        <v>64.099999999999994</v>
      </c>
      <c r="AN47" s="47">
        <v>76.3</v>
      </c>
      <c r="AO47" s="47">
        <v>87.7</v>
      </c>
      <c r="AP47" s="49"/>
      <c r="AQ47" s="48"/>
      <c r="AR47" s="47"/>
      <c r="AS47" s="47"/>
      <c r="AT47" s="47"/>
      <c r="AU47" s="48"/>
      <c r="AV47" s="47"/>
      <c r="AW47" s="47"/>
      <c r="AX47" s="47"/>
      <c r="AY47" s="48"/>
      <c r="AZ47" s="47"/>
      <c r="BA47" s="47"/>
      <c r="BB47" s="47"/>
      <c r="BC47" s="48"/>
      <c r="BD47" s="47"/>
      <c r="BE47" s="47"/>
      <c r="BF47" s="47"/>
      <c r="BG47" s="48"/>
      <c r="BH47" s="47"/>
      <c r="BI47" s="47"/>
      <c r="BJ47" s="47"/>
      <c r="BK47" s="48"/>
      <c r="BL47" s="47"/>
      <c r="BM47" s="47"/>
      <c r="BN47" s="47"/>
    </row>
    <row r="48" spans="1:66" s="41" customFormat="1" ht="10.8">
      <c r="A48" s="43" t="s">
        <v>72</v>
      </c>
      <c r="B48" s="80" t="s">
        <v>73</v>
      </c>
      <c r="C48" s="44" t="s">
        <v>28</v>
      </c>
      <c r="D48" s="45" t="s">
        <v>28</v>
      </c>
      <c r="E48" s="45" t="s">
        <v>28</v>
      </c>
      <c r="F48" s="46" t="s">
        <v>28</v>
      </c>
      <c r="G48" s="44">
        <v>0</v>
      </c>
      <c r="H48" s="45">
        <v>0</v>
      </c>
      <c r="I48" s="45">
        <v>0</v>
      </c>
      <c r="J48" s="46">
        <v>0</v>
      </c>
      <c r="K48" s="45">
        <v>0</v>
      </c>
      <c r="L48" s="45">
        <v>0</v>
      </c>
      <c r="M48" s="45">
        <v>0</v>
      </c>
      <c r="N48" s="45">
        <v>0</v>
      </c>
      <c r="O48" s="44">
        <v>0</v>
      </c>
      <c r="P48" s="45">
        <v>0</v>
      </c>
      <c r="Q48" s="45">
        <v>0</v>
      </c>
      <c r="R48" s="46">
        <v>12</v>
      </c>
      <c r="S48" s="47">
        <v>1.2</v>
      </c>
      <c r="T48" s="47">
        <v>0.9</v>
      </c>
      <c r="U48" s="47">
        <v>33.4</v>
      </c>
      <c r="V48" s="47">
        <v>0</v>
      </c>
      <c r="W48" s="48">
        <v>0</v>
      </c>
      <c r="X48" s="47">
        <v>0</v>
      </c>
      <c r="Y48" s="47">
        <v>0</v>
      </c>
      <c r="Z48" s="49">
        <v>0</v>
      </c>
      <c r="AA48" s="47">
        <v>0</v>
      </c>
      <c r="AB48" s="47">
        <v>0.7</v>
      </c>
      <c r="AC48" s="47">
        <v>0</v>
      </c>
      <c r="AD48" s="49">
        <v>0</v>
      </c>
      <c r="AE48" s="48">
        <v>0</v>
      </c>
      <c r="AF48" s="47">
        <v>0</v>
      </c>
      <c r="AG48" s="47">
        <v>0</v>
      </c>
      <c r="AH48" s="49">
        <v>0</v>
      </c>
      <c r="AI48" s="47">
        <v>0</v>
      </c>
      <c r="AJ48" s="47">
        <v>0</v>
      </c>
      <c r="AK48" s="47">
        <v>0</v>
      </c>
      <c r="AL48" s="49">
        <v>0</v>
      </c>
      <c r="AM48" s="47">
        <v>0</v>
      </c>
      <c r="AN48" s="47">
        <v>0</v>
      </c>
      <c r="AO48" s="47">
        <v>0</v>
      </c>
      <c r="AP48" s="49"/>
      <c r="AQ48" s="48"/>
      <c r="AR48" s="47"/>
      <c r="AS48" s="47"/>
      <c r="AT48" s="47"/>
      <c r="AU48" s="48"/>
      <c r="AV48" s="47"/>
      <c r="AW48" s="47"/>
      <c r="AX48" s="47"/>
      <c r="AY48" s="48"/>
      <c r="AZ48" s="47"/>
      <c r="BA48" s="47"/>
      <c r="BB48" s="47"/>
      <c r="BC48" s="48"/>
      <c r="BD48" s="47"/>
      <c r="BE48" s="47"/>
      <c r="BF48" s="47"/>
      <c r="BG48" s="48"/>
      <c r="BH48" s="47"/>
      <c r="BI48" s="47"/>
      <c r="BJ48" s="47"/>
      <c r="BK48" s="48"/>
      <c r="BL48" s="47"/>
      <c r="BM48" s="47"/>
      <c r="BN48" s="47"/>
    </row>
    <row r="49" spans="1:66" s="41" customFormat="1" ht="10.8">
      <c r="A49" s="43" t="s">
        <v>74</v>
      </c>
      <c r="B49" s="80" t="s">
        <v>75</v>
      </c>
      <c r="C49" s="44"/>
      <c r="D49" s="45"/>
      <c r="E49" s="45"/>
      <c r="F49" s="46"/>
      <c r="G49" s="44"/>
      <c r="H49" s="45"/>
      <c r="I49" s="45"/>
      <c r="J49" s="46"/>
      <c r="K49" s="45"/>
      <c r="L49" s="45"/>
      <c r="M49" s="45"/>
      <c r="N49" s="45"/>
      <c r="O49" s="44"/>
      <c r="P49" s="45"/>
      <c r="Q49" s="45"/>
      <c r="R49" s="46"/>
      <c r="S49" s="47"/>
      <c r="T49" s="47"/>
      <c r="U49" s="47"/>
      <c r="V49" s="47"/>
      <c r="W49" s="48"/>
      <c r="X49" s="47"/>
      <c r="Y49" s="47"/>
      <c r="Z49" s="49"/>
      <c r="AA49" s="47"/>
      <c r="AB49" s="47"/>
      <c r="AC49" s="47"/>
      <c r="AD49" s="49"/>
      <c r="AE49" s="48"/>
      <c r="AF49" s="47"/>
      <c r="AG49" s="47"/>
      <c r="AH49" s="49"/>
      <c r="AI49" s="47"/>
      <c r="AJ49" s="47"/>
      <c r="AK49" s="47"/>
      <c r="AL49" s="49"/>
      <c r="AM49" s="47"/>
      <c r="AN49" s="47"/>
      <c r="AO49" s="47"/>
      <c r="AP49" s="49">
        <v>0</v>
      </c>
      <c r="AQ49" s="48">
        <v>0</v>
      </c>
      <c r="AR49" s="47">
        <v>0</v>
      </c>
      <c r="AS49" s="47">
        <v>0</v>
      </c>
      <c r="AT49" s="47">
        <v>0</v>
      </c>
      <c r="AU49" s="48">
        <v>0</v>
      </c>
      <c r="AV49" s="47">
        <v>0</v>
      </c>
      <c r="AW49" s="47">
        <v>0</v>
      </c>
      <c r="AX49" s="47">
        <v>0</v>
      </c>
      <c r="AY49" s="48">
        <v>0</v>
      </c>
      <c r="AZ49" s="47">
        <v>0</v>
      </c>
      <c r="BA49" s="47">
        <v>2.8</v>
      </c>
      <c r="BB49" s="47">
        <v>3.5</v>
      </c>
      <c r="BC49" s="48">
        <v>0</v>
      </c>
      <c r="BD49" s="47">
        <v>0</v>
      </c>
      <c r="BE49" s="47">
        <v>0</v>
      </c>
      <c r="BF49" s="47">
        <v>0</v>
      </c>
      <c r="BG49" s="48">
        <v>0</v>
      </c>
      <c r="BH49" s="47">
        <v>0</v>
      </c>
      <c r="BI49" s="47">
        <v>0</v>
      </c>
      <c r="BJ49" s="47">
        <v>0</v>
      </c>
      <c r="BK49" s="48">
        <v>0</v>
      </c>
      <c r="BL49" s="47"/>
      <c r="BM49" s="47"/>
      <c r="BN49" s="47"/>
    </row>
    <row r="50" spans="1:66" s="41" customFormat="1" ht="11.4" thickBot="1">
      <c r="A50" s="43" t="s">
        <v>76</v>
      </c>
      <c r="B50" s="80" t="s">
        <v>77</v>
      </c>
      <c r="C50" s="44" t="s">
        <v>28</v>
      </c>
      <c r="D50" s="45" t="s">
        <v>28</v>
      </c>
      <c r="E50" s="45" t="s">
        <v>28</v>
      </c>
      <c r="F50" s="46" t="s">
        <v>28</v>
      </c>
      <c r="G50" s="44">
        <v>0</v>
      </c>
      <c r="H50" s="45">
        <v>0</v>
      </c>
      <c r="I50" s="45">
        <v>0</v>
      </c>
      <c r="J50" s="46">
        <v>0</v>
      </c>
      <c r="K50" s="45">
        <v>0</v>
      </c>
      <c r="L50" s="45">
        <v>0</v>
      </c>
      <c r="M50" s="45">
        <v>0</v>
      </c>
      <c r="N50" s="45">
        <v>0</v>
      </c>
      <c r="O50" s="44">
        <v>0</v>
      </c>
      <c r="P50" s="45">
        <v>0</v>
      </c>
      <c r="Q50" s="45">
        <v>0</v>
      </c>
      <c r="R50" s="46">
        <v>0</v>
      </c>
      <c r="S50" s="47">
        <v>0</v>
      </c>
      <c r="T50" s="47">
        <v>0</v>
      </c>
      <c r="U50" s="47">
        <v>0</v>
      </c>
      <c r="V50" s="47">
        <v>0</v>
      </c>
      <c r="W50" s="48">
        <v>0</v>
      </c>
      <c r="X50" s="47">
        <v>0</v>
      </c>
      <c r="Y50" s="47">
        <v>0</v>
      </c>
      <c r="Z50" s="49">
        <v>0</v>
      </c>
      <c r="AA50" s="47">
        <v>0</v>
      </c>
      <c r="AB50" s="47">
        <v>0</v>
      </c>
      <c r="AC50" s="47">
        <v>26.7</v>
      </c>
      <c r="AD50" s="49">
        <v>0</v>
      </c>
      <c r="AE50" s="48">
        <v>0</v>
      </c>
      <c r="AF50" s="47">
        <v>0</v>
      </c>
      <c r="AG50" s="47">
        <v>61</v>
      </c>
      <c r="AH50" s="49">
        <v>147</v>
      </c>
      <c r="AI50" s="47">
        <v>0</v>
      </c>
      <c r="AJ50" s="47">
        <v>0</v>
      </c>
      <c r="AK50" s="47">
        <v>0</v>
      </c>
      <c r="AL50" s="49">
        <v>75.900000000000006</v>
      </c>
      <c r="AM50" s="47">
        <v>39.299999999999997</v>
      </c>
      <c r="AN50" s="47">
        <v>120.9</v>
      </c>
      <c r="AO50" s="47">
        <v>132.6</v>
      </c>
      <c r="AP50" s="49">
        <v>273.5</v>
      </c>
      <c r="AQ50" s="48">
        <v>255.2</v>
      </c>
      <c r="AR50" s="47">
        <v>129.1</v>
      </c>
      <c r="AS50" s="47">
        <v>0</v>
      </c>
      <c r="AT50" s="47">
        <v>0</v>
      </c>
      <c r="AU50" s="48">
        <v>0</v>
      </c>
      <c r="AV50" s="47">
        <v>0</v>
      </c>
      <c r="AW50" s="47">
        <v>0</v>
      </c>
      <c r="AX50" s="47">
        <v>0</v>
      </c>
      <c r="AY50" s="48">
        <v>0</v>
      </c>
      <c r="AZ50" s="47">
        <v>0</v>
      </c>
      <c r="BA50" s="47">
        <v>0</v>
      </c>
      <c r="BB50" s="47">
        <v>0</v>
      </c>
      <c r="BC50" s="48">
        <v>0</v>
      </c>
      <c r="BD50" s="47">
        <v>0</v>
      </c>
      <c r="BE50" s="47">
        <v>0</v>
      </c>
      <c r="BF50" s="47">
        <v>0</v>
      </c>
      <c r="BG50" s="48">
        <v>0</v>
      </c>
      <c r="BH50" s="47">
        <v>0</v>
      </c>
      <c r="BI50" s="47">
        <v>0</v>
      </c>
      <c r="BJ50" s="47">
        <v>0</v>
      </c>
      <c r="BK50" s="48">
        <v>0</v>
      </c>
      <c r="BL50" s="47"/>
      <c r="BM50" s="47"/>
      <c r="BN50" s="47"/>
    </row>
    <row r="51" spans="1:66" s="78" customFormat="1" ht="22.2" thickBot="1">
      <c r="A51" s="73" t="s">
        <v>78</v>
      </c>
      <c r="B51" s="73" t="s">
        <v>79</v>
      </c>
      <c r="C51" s="107" t="s">
        <v>28</v>
      </c>
      <c r="D51" s="108" t="s">
        <v>28</v>
      </c>
      <c r="E51" s="108" t="s">
        <v>28</v>
      </c>
      <c r="F51" s="109" t="s">
        <v>28</v>
      </c>
      <c r="G51" s="107" t="s">
        <v>28</v>
      </c>
      <c r="H51" s="108" t="s">
        <v>28</v>
      </c>
      <c r="I51" s="108" t="s">
        <v>28</v>
      </c>
      <c r="J51" s="109" t="s">
        <v>28</v>
      </c>
      <c r="K51" s="108" t="s">
        <v>28</v>
      </c>
      <c r="L51" s="108" t="s">
        <v>28</v>
      </c>
      <c r="M51" s="108" t="s">
        <v>28</v>
      </c>
      <c r="N51" s="108" t="s">
        <v>28</v>
      </c>
      <c r="O51" s="107" t="s">
        <v>28</v>
      </c>
      <c r="P51" s="108" t="s">
        <v>28</v>
      </c>
      <c r="Q51" s="108" t="s">
        <v>28</v>
      </c>
      <c r="R51" s="109" t="s">
        <v>28</v>
      </c>
      <c r="S51" s="108" t="s">
        <v>28</v>
      </c>
      <c r="T51" s="108" t="s">
        <v>28</v>
      </c>
      <c r="U51" s="108" t="s">
        <v>28</v>
      </c>
      <c r="V51" s="108">
        <v>3244.9</v>
      </c>
      <c r="W51" s="107">
        <v>3577.1000000000004</v>
      </c>
      <c r="X51" s="108">
        <v>3652.9</v>
      </c>
      <c r="Y51" s="108">
        <v>3423.4999999999995</v>
      </c>
      <c r="Z51" s="109">
        <v>3292</v>
      </c>
      <c r="AA51" s="108">
        <v>3229.7</v>
      </c>
      <c r="AB51" s="108">
        <v>3463.8999999999996</v>
      </c>
      <c r="AC51" s="108">
        <v>3348</v>
      </c>
      <c r="AD51" s="109">
        <v>3372.5</v>
      </c>
      <c r="AE51" s="107">
        <v>3604.7000000000007</v>
      </c>
      <c r="AF51" s="108">
        <v>3705.0000000000005</v>
      </c>
      <c r="AG51" s="108">
        <v>3937</v>
      </c>
      <c r="AH51" s="109">
        <v>3941.5000000000005</v>
      </c>
      <c r="AI51" s="108">
        <v>4130.2000000000007</v>
      </c>
      <c r="AJ51" s="108">
        <v>4460.7999999999993</v>
      </c>
      <c r="AK51" s="108">
        <v>4592.2</v>
      </c>
      <c r="AL51" s="109">
        <v>4611.0999999999995</v>
      </c>
      <c r="AM51" s="108">
        <v>4733.3</v>
      </c>
      <c r="AN51" s="108">
        <v>4913.0999999999995</v>
      </c>
      <c r="AO51" s="108">
        <v>4991</v>
      </c>
      <c r="AP51" s="109">
        <f t="shared" ref="AP51:BK51" si="7">SUM(AP42,AP44:AP50)</f>
        <v>4993.6000000000004</v>
      </c>
      <c r="AQ51" s="107">
        <f t="shared" si="7"/>
        <v>5165.4000000000005</v>
      </c>
      <c r="AR51" s="108">
        <f t="shared" si="7"/>
        <v>5330.8000000000011</v>
      </c>
      <c r="AS51" s="108">
        <f t="shared" si="7"/>
        <v>5432.5000000000009</v>
      </c>
      <c r="AT51" s="108">
        <f t="shared" si="7"/>
        <v>5223.0000000000009</v>
      </c>
      <c r="AU51" s="107">
        <f t="shared" si="7"/>
        <v>5475.5</v>
      </c>
      <c r="AV51" s="108">
        <f t="shared" si="7"/>
        <v>5888.7999999999993</v>
      </c>
      <c r="AW51" s="108">
        <f t="shared" si="7"/>
        <v>6164.5999999999995</v>
      </c>
      <c r="AX51" s="108">
        <f t="shared" si="7"/>
        <v>6128.4000000000005</v>
      </c>
      <c r="AY51" s="107">
        <f t="shared" si="7"/>
        <v>6437.7</v>
      </c>
      <c r="AZ51" s="108">
        <f t="shared" si="7"/>
        <v>6820.9000000000005</v>
      </c>
      <c r="BA51" s="108">
        <f t="shared" si="7"/>
        <v>6889.5999999999995</v>
      </c>
      <c r="BB51" s="108">
        <f t="shared" si="7"/>
        <v>6918.1</v>
      </c>
      <c r="BC51" s="107">
        <f t="shared" si="7"/>
        <v>7274.9</v>
      </c>
      <c r="BD51" s="108">
        <f t="shared" si="7"/>
        <v>7049.1</v>
      </c>
      <c r="BE51" s="108">
        <f t="shared" si="7"/>
        <v>6959.8</v>
      </c>
      <c r="BF51" s="108">
        <f t="shared" si="7"/>
        <v>7056.9</v>
      </c>
      <c r="BG51" s="107">
        <f t="shared" si="7"/>
        <v>7347</v>
      </c>
      <c r="BH51" s="108">
        <f t="shared" si="7"/>
        <v>7567.7</v>
      </c>
      <c r="BI51" s="108">
        <f t="shared" si="7"/>
        <v>7972.6</v>
      </c>
      <c r="BJ51" s="108">
        <f t="shared" si="7"/>
        <v>8396.1</v>
      </c>
      <c r="BK51" s="107">
        <f t="shared" si="7"/>
        <v>8556.8000000000011</v>
      </c>
      <c r="BL51" s="108"/>
      <c r="BM51" s="108"/>
      <c r="BN51" s="108"/>
    </row>
    <row r="52" spans="1:66" s="78" customFormat="1" ht="11.4" thickBot="1">
      <c r="A52" s="110"/>
      <c r="B52" s="110"/>
      <c r="C52" s="91"/>
      <c r="D52" s="92"/>
      <c r="E52" s="92"/>
      <c r="F52" s="93"/>
      <c r="G52" s="91"/>
      <c r="H52" s="92"/>
      <c r="I52" s="92"/>
      <c r="J52" s="93"/>
      <c r="K52" s="92"/>
      <c r="L52" s="92"/>
      <c r="M52" s="92"/>
      <c r="N52" s="92"/>
      <c r="O52" s="91"/>
      <c r="P52" s="92"/>
      <c r="Q52" s="92"/>
      <c r="R52" s="93"/>
      <c r="S52" s="86"/>
      <c r="T52" s="86"/>
      <c r="U52" s="86"/>
      <c r="V52" s="86"/>
      <c r="W52" s="85"/>
      <c r="X52" s="86"/>
      <c r="Y52" s="86"/>
      <c r="Z52" s="87"/>
      <c r="AA52" s="86"/>
      <c r="AB52" s="86"/>
      <c r="AC52" s="86"/>
      <c r="AD52" s="87"/>
      <c r="AE52" s="85"/>
      <c r="AF52" s="86"/>
      <c r="AG52" s="86"/>
      <c r="AH52" s="87"/>
      <c r="AI52" s="86"/>
      <c r="AJ52" s="86"/>
      <c r="AK52" s="86"/>
      <c r="AL52" s="87"/>
      <c r="AM52" s="86"/>
      <c r="AN52" s="86"/>
      <c r="AO52" s="86"/>
      <c r="AP52" s="87"/>
      <c r="AQ52" s="85"/>
      <c r="AR52" s="86"/>
      <c r="AS52" s="86"/>
      <c r="AT52" s="86"/>
      <c r="AU52" s="85"/>
      <c r="AV52" s="86"/>
      <c r="AW52" s="86"/>
      <c r="AX52" s="86"/>
      <c r="AY52" s="85"/>
      <c r="AZ52" s="86"/>
      <c r="BA52" s="86"/>
      <c r="BB52" s="86"/>
      <c r="BC52" s="85"/>
      <c r="BD52" s="86"/>
      <c r="BE52" s="86"/>
      <c r="BF52" s="86"/>
      <c r="BG52" s="85"/>
      <c r="BH52" s="86"/>
      <c r="BI52" s="86"/>
      <c r="BJ52" s="86"/>
      <c r="BK52" s="85"/>
      <c r="BL52" s="86"/>
      <c r="BM52" s="86"/>
      <c r="BN52" s="86"/>
    </row>
    <row r="53" spans="1:66" s="78" customFormat="1" ht="22.2" thickBot="1">
      <c r="A53" s="73" t="s">
        <v>80</v>
      </c>
      <c r="B53" s="73" t="s">
        <v>81</v>
      </c>
      <c r="C53" s="107">
        <v>1678.5</v>
      </c>
      <c r="D53" s="108">
        <v>1792.3</v>
      </c>
      <c r="E53" s="108">
        <v>1907</v>
      </c>
      <c r="F53" s="109">
        <v>1819.4</v>
      </c>
      <c r="G53" s="107">
        <v>2362.2999999999997</v>
      </c>
      <c r="H53" s="108">
        <v>2316</v>
      </c>
      <c r="I53" s="108">
        <v>2552.5</v>
      </c>
      <c r="J53" s="109">
        <v>2935.5</v>
      </c>
      <c r="K53" s="108">
        <v>2971.8</v>
      </c>
      <c r="L53" s="108">
        <v>2860.0000000000005</v>
      </c>
      <c r="M53" s="108">
        <v>2761.7</v>
      </c>
      <c r="N53" s="108">
        <v>2788.3</v>
      </c>
      <c r="O53" s="107">
        <v>2780.3999999999996</v>
      </c>
      <c r="P53" s="108">
        <v>2861.7999999999997</v>
      </c>
      <c r="Q53" s="108">
        <v>2940.7</v>
      </c>
      <c r="R53" s="109">
        <v>2947.1</v>
      </c>
      <c r="S53" s="108">
        <v>3149.9999999999995</v>
      </c>
      <c r="T53" s="108">
        <v>3228.5</v>
      </c>
      <c r="U53" s="108">
        <v>3491.7999999999993</v>
      </c>
      <c r="V53" s="108">
        <v>3573.9</v>
      </c>
      <c r="W53" s="107">
        <v>3862.3</v>
      </c>
      <c r="X53" s="108">
        <v>3793.7000000000003</v>
      </c>
      <c r="Y53" s="108">
        <v>3795.8999999999996</v>
      </c>
      <c r="Z53" s="109">
        <v>3736.1</v>
      </c>
      <c r="AA53" s="108">
        <v>3704.7</v>
      </c>
      <c r="AB53" s="108" t="s">
        <v>28</v>
      </c>
      <c r="AC53" s="108" t="s">
        <v>28</v>
      </c>
      <c r="AD53" s="109" t="s">
        <v>28</v>
      </c>
      <c r="AE53" s="107" t="s">
        <v>28</v>
      </c>
      <c r="AF53" s="108" t="s">
        <v>28</v>
      </c>
      <c r="AG53" s="108" t="s">
        <v>28</v>
      </c>
      <c r="AH53" s="109" t="s">
        <v>28</v>
      </c>
      <c r="AI53" s="108" t="s">
        <v>28</v>
      </c>
      <c r="AJ53" s="108" t="s">
        <v>28</v>
      </c>
      <c r="AK53" s="108" t="s">
        <v>28</v>
      </c>
      <c r="AL53" s="109" t="s">
        <v>28</v>
      </c>
      <c r="AM53" s="108" t="s">
        <v>28</v>
      </c>
      <c r="AN53" s="108" t="s">
        <v>28</v>
      </c>
      <c r="AO53" s="108" t="s">
        <v>28</v>
      </c>
      <c r="AP53" s="109" t="s">
        <v>28</v>
      </c>
      <c r="AQ53" s="107" t="s">
        <v>28</v>
      </c>
      <c r="AR53" s="108" t="s">
        <v>28</v>
      </c>
      <c r="AS53" s="108" t="s">
        <v>28</v>
      </c>
      <c r="AT53" s="108" t="s">
        <v>28</v>
      </c>
      <c r="AU53" s="107" t="s">
        <v>28</v>
      </c>
      <c r="AV53" s="108" t="s">
        <v>28</v>
      </c>
      <c r="AW53" s="108" t="s">
        <v>28</v>
      </c>
      <c r="AX53" s="108" t="s">
        <v>28</v>
      </c>
      <c r="AY53" s="107" t="s">
        <v>28</v>
      </c>
      <c r="AZ53" s="108" t="s">
        <v>28</v>
      </c>
      <c r="BA53" s="108" t="s">
        <v>28</v>
      </c>
      <c r="BB53" s="108" t="s">
        <v>28</v>
      </c>
      <c r="BC53" s="107" t="s">
        <v>28</v>
      </c>
      <c r="BD53" s="108" t="s">
        <v>28</v>
      </c>
      <c r="BE53" s="108" t="s">
        <v>28</v>
      </c>
      <c r="BF53" s="108" t="s">
        <v>28</v>
      </c>
      <c r="BG53" s="107" t="s">
        <v>28</v>
      </c>
      <c r="BH53" s="108" t="s">
        <v>28</v>
      </c>
      <c r="BI53" s="108" t="s">
        <v>28</v>
      </c>
      <c r="BJ53" s="108" t="s">
        <v>28</v>
      </c>
      <c r="BK53" s="107" t="s">
        <v>28</v>
      </c>
      <c r="BL53" s="108"/>
      <c r="BM53" s="108"/>
      <c r="BN53" s="108"/>
    </row>
    <row r="54" spans="1:66" s="78" customFormat="1" ht="10.8">
      <c r="A54" s="110"/>
      <c r="B54" s="110"/>
      <c r="C54" s="91"/>
      <c r="D54" s="92"/>
      <c r="E54" s="92"/>
      <c r="F54" s="93"/>
      <c r="G54" s="91"/>
      <c r="H54" s="92"/>
      <c r="I54" s="92"/>
      <c r="J54" s="93"/>
      <c r="K54" s="92"/>
      <c r="L54" s="92"/>
      <c r="M54" s="92"/>
      <c r="N54" s="92"/>
      <c r="O54" s="91"/>
      <c r="P54" s="92"/>
      <c r="Q54" s="92"/>
      <c r="R54" s="93"/>
      <c r="S54" s="86"/>
      <c r="T54" s="86"/>
      <c r="U54" s="86"/>
      <c r="V54" s="86"/>
      <c r="W54" s="85"/>
      <c r="X54" s="86"/>
      <c r="Y54" s="86"/>
      <c r="Z54" s="87"/>
      <c r="AA54" s="86"/>
      <c r="AB54" s="86"/>
      <c r="AC54" s="86"/>
      <c r="AD54" s="87"/>
      <c r="AE54" s="85"/>
      <c r="AF54" s="86"/>
      <c r="AG54" s="86"/>
      <c r="AH54" s="87"/>
      <c r="AI54" s="86"/>
      <c r="AJ54" s="86"/>
      <c r="AK54" s="86"/>
      <c r="AL54" s="87"/>
      <c r="AM54" s="86"/>
      <c r="AN54" s="86"/>
      <c r="AO54" s="86"/>
      <c r="AP54" s="87"/>
      <c r="AQ54" s="85"/>
      <c r="AR54" s="86"/>
      <c r="AS54" s="86"/>
      <c r="AT54" s="86"/>
      <c r="AU54" s="85"/>
      <c r="AV54" s="86"/>
      <c r="AW54" s="86"/>
      <c r="AX54" s="86"/>
      <c r="AY54" s="85"/>
      <c r="AZ54" s="86"/>
      <c r="BA54" s="86"/>
      <c r="BB54" s="86"/>
      <c r="BC54" s="85"/>
      <c r="BD54" s="86"/>
      <c r="BE54" s="86"/>
      <c r="BF54" s="86"/>
      <c r="BG54" s="85"/>
      <c r="BH54" s="86"/>
      <c r="BI54" s="86"/>
      <c r="BJ54" s="86"/>
      <c r="BK54" s="85"/>
      <c r="BL54" s="86"/>
      <c r="BM54" s="86"/>
      <c r="BN54" s="86"/>
    </row>
    <row r="55" spans="1:66" s="78" customFormat="1" ht="10.8">
      <c r="A55" s="111" t="s">
        <v>82</v>
      </c>
      <c r="B55" s="111" t="s">
        <v>83</v>
      </c>
      <c r="C55" s="112">
        <f>C58</f>
        <v>0.13739999999999999</v>
      </c>
      <c r="D55" s="113">
        <f t="shared" ref="D55:U55" si="8">D58</f>
        <v>0.1341</v>
      </c>
      <c r="E55" s="113">
        <f t="shared" si="8"/>
        <v>0.1305</v>
      </c>
      <c r="F55" s="114">
        <f t="shared" si="8"/>
        <v>0.13120000000000001</v>
      </c>
      <c r="G55" s="112">
        <f t="shared" si="8"/>
        <v>0.11020000000000001</v>
      </c>
      <c r="H55" s="113">
        <f t="shared" si="8"/>
        <v>0.11219999999999999</v>
      </c>
      <c r="I55" s="113">
        <f t="shared" si="8"/>
        <v>0.11899999999999999</v>
      </c>
      <c r="J55" s="114">
        <f t="shared" si="8"/>
        <v>0.10390000000000001</v>
      </c>
      <c r="K55" s="112">
        <f t="shared" si="8"/>
        <v>0.10100000000000001</v>
      </c>
      <c r="L55" s="113">
        <f t="shared" si="8"/>
        <v>0.1087</v>
      </c>
      <c r="M55" s="113">
        <f t="shared" si="8"/>
        <v>0.1207</v>
      </c>
      <c r="N55" s="114">
        <f t="shared" si="8"/>
        <v>0.1201</v>
      </c>
      <c r="O55" s="112">
        <f t="shared" si="8"/>
        <v>0.13</v>
      </c>
      <c r="P55" s="113">
        <f t="shared" si="8"/>
        <v>0.12559999999999999</v>
      </c>
      <c r="Q55" s="113">
        <f t="shared" si="8"/>
        <v>0.13300000000000001</v>
      </c>
      <c r="R55" s="114">
        <f t="shared" si="8"/>
        <v>0.13150000000000001</v>
      </c>
      <c r="S55" s="112">
        <f t="shared" si="8"/>
        <v>0.12740000000000001</v>
      </c>
      <c r="T55" s="113">
        <f t="shared" si="8"/>
        <v>0.12609999999999999</v>
      </c>
      <c r="U55" s="113">
        <f t="shared" si="8"/>
        <v>0.12559999999999999</v>
      </c>
      <c r="V55" s="114">
        <f t="shared" ref="V55:AA55" si="9">ROUND(V31/(V53*12.5),4)</f>
        <v>0.1192</v>
      </c>
      <c r="W55" s="112">
        <f t="shared" si="9"/>
        <v>0.1211</v>
      </c>
      <c r="X55" s="113">
        <f t="shared" si="9"/>
        <v>0.1298</v>
      </c>
      <c r="Y55" s="113">
        <f t="shared" si="9"/>
        <v>0.13669999999999999</v>
      </c>
      <c r="Z55" s="114">
        <f t="shared" si="9"/>
        <v>0.14549999999999999</v>
      </c>
      <c r="AA55" s="112">
        <f t="shared" si="9"/>
        <v>0.1515</v>
      </c>
      <c r="AB55" s="113">
        <f t="shared" ref="AB55:BK55" si="10">AB56</f>
        <v>0.1583</v>
      </c>
      <c r="AC55" s="113">
        <f t="shared" si="10"/>
        <v>0.1739</v>
      </c>
      <c r="AD55" s="114">
        <f t="shared" si="10"/>
        <v>0.17280000000000001</v>
      </c>
      <c r="AE55" s="112">
        <f t="shared" si="10"/>
        <v>0.1457</v>
      </c>
      <c r="AF55" s="113">
        <f t="shared" si="10"/>
        <v>0.15040000000000001</v>
      </c>
      <c r="AG55" s="113">
        <f t="shared" si="10"/>
        <v>0.14180000000000001</v>
      </c>
      <c r="AH55" s="114">
        <f t="shared" si="10"/>
        <v>0.14169999999999999</v>
      </c>
      <c r="AI55" s="113">
        <f t="shared" si="10"/>
        <v>0.14810000000000001</v>
      </c>
      <c r="AJ55" s="113">
        <f t="shared" si="10"/>
        <v>0.13700000000000001</v>
      </c>
      <c r="AK55" s="113">
        <f t="shared" si="10"/>
        <v>0.1366</v>
      </c>
      <c r="AL55" s="114">
        <f t="shared" si="10"/>
        <v>0.13739999999999999</v>
      </c>
      <c r="AM55" s="113">
        <f t="shared" si="10"/>
        <v>0.1411</v>
      </c>
      <c r="AN55" s="113">
        <f t="shared" si="10"/>
        <v>0.14580000000000001</v>
      </c>
      <c r="AO55" s="113">
        <f t="shared" si="10"/>
        <v>0.14799999999999999</v>
      </c>
      <c r="AP55" s="114">
        <f t="shared" si="10"/>
        <v>0.14729999999999999</v>
      </c>
      <c r="AQ55" s="112">
        <f t="shared" si="10"/>
        <v>0.1429</v>
      </c>
      <c r="AR55" s="113">
        <f t="shared" si="10"/>
        <v>0.15279999999999999</v>
      </c>
      <c r="AS55" s="113">
        <f t="shared" si="10"/>
        <v>0.15049999999999999</v>
      </c>
      <c r="AT55" s="113">
        <f t="shared" si="10"/>
        <v>0.1671</v>
      </c>
      <c r="AU55" s="112">
        <f t="shared" si="10"/>
        <v>0.1605</v>
      </c>
      <c r="AV55" s="113">
        <f t="shared" si="10"/>
        <v>0.15240000000000001</v>
      </c>
      <c r="AW55" s="113">
        <f t="shared" si="10"/>
        <v>0.15240000000000001</v>
      </c>
      <c r="AX55" s="113">
        <f t="shared" si="10"/>
        <v>0.15579999999999999</v>
      </c>
      <c r="AY55" s="112">
        <f t="shared" si="10"/>
        <v>0.15820000000000001</v>
      </c>
      <c r="AZ55" s="113">
        <f t="shared" si="10"/>
        <v>0.15029999999999999</v>
      </c>
      <c r="BA55" s="113">
        <f t="shared" si="10"/>
        <v>0.15459999999999999</v>
      </c>
      <c r="BB55" s="113">
        <f t="shared" si="10"/>
        <v>0.16869999999999999</v>
      </c>
      <c r="BC55" s="112">
        <f t="shared" si="10"/>
        <v>0.15759999999999999</v>
      </c>
      <c r="BD55" s="113">
        <f t="shared" si="10"/>
        <v>0.18310000000000001</v>
      </c>
      <c r="BE55" s="113">
        <f t="shared" si="10"/>
        <v>0.18640000000000001</v>
      </c>
      <c r="BF55" s="113">
        <f t="shared" si="10"/>
        <v>0.19520000000000001</v>
      </c>
      <c r="BG55" s="112">
        <f t="shared" si="10"/>
        <v>0.188</v>
      </c>
      <c r="BH55" s="113">
        <f t="shared" si="10"/>
        <v>0.18540000000000001</v>
      </c>
      <c r="BI55" s="113">
        <f t="shared" si="10"/>
        <v>0.17649999999999999</v>
      </c>
      <c r="BJ55" s="113">
        <f t="shared" si="10"/>
        <v>0.1605</v>
      </c>
      <c r="BK55" s="112">
        <f t="shared" si="10"/>
        <v>0.152</v>
      </c>
      <c r="BL55" s="113"/>
      <c r="BM55" s="113"/>
      <c r="BN55" s="113"/>
    </row>
    <row r="56" spans="1:66" s="120" customFormat="1" ht="10.8">
      <c r="A56" s="115" t="s">
        <v>84</v>
      </c>
      <c r="B56" s="116" t="s">
        <v>85</v>
      </c>
      <c r="C56" s="117" t="s">
        <v>28</v>
      </c>
      <c r="D56" s="118" t="s">
        <v>28</v>
      </c>
      <c r="E56" s="118" t="s">
        <v>28</v>
      </c>
      <c r="F56" s="119" t="s">
        <v>28</v>
      </c>
      <c r="G56" s="117" t="s">
        <v>28</v>
      </c>
      <c r="H56" s="118" t="s">
        <v>28</v>
      </c>
      <c r="I56" s="118" t="s">
        <v>28</v>
      </c>
      <c r="J56" s="119" t="s">
        <v>28</v>
      </c>
      <c r="K56" s="117" t="s">
        <v>28</v>
      </c>
      <c r="L56" s="118" t="s">
        <v>28</v>
      </c>
      <c r="M56" s="118" t="s">
        <v>28</v>
      </c>
      <c r="N56" s="119" t="s">
        <v>28</v>
      </c>
      <c r="O56" s="117" t="s">
        <v>28</v>
      </c>
      <c r="P56" s="118" t="s">
        <v>28</v>
      </c>
      <c r="Q56" s="118" t="s">
        <v>28</v>
      </c>
      <c r="R56" s="119" t="s">
        <v>28</v>
      </c>
      <c r="S56" s="117" t="s">
        <v>28</v>
      </c>
      <c r="T56" s="118" t="s">
        <v>28</v>
      </c>
      <c r="U56" s="118" t="s">
        <v>28</v>
      </c>
      <c r="V56" s="119">
        <f t="shared" ref="V56:BK56" si="11">ROUND(V31/(V51*12.5),4)</f>
        <v>0.1313</v>
      </c>
      <c r="W56" s="117">
        <f t="shared" si="11"/>
        <v>0.13070000000000001</v>
      </c>
      <c r="X56" s="118">
        <f t="shared" si="11"/>
        <v>0.13489999999999999</v>
      </c>
      <c r="Y56" s="118">
        <f t="shared" si="11"/>
        <v>0.15160000000000001</v>
      </c>
      <c r="Z56" s="119">
        <f t="shared" si="11"/>
        <v>0.16520000000000001</v>
      </c>
      <c r="AA56" s="117">
        <f t="shared" si="11"/>
        <v>0.17380000000000001</v>
      </c>
      <c r="AB56" s="118">
        <f t="shared" si="11"/>
        <v>0.1583</v>
      </c>
      <c r="AC56" s="118">
        <f t="shared" si="11"/>
        <v>0.1739</v>
      </c>
      <c r="AD56" s="119">
        <f t="shared" si="11"/>
        <v>0.17280000000000001</v>
      </c>
      <c r="AE56" s="117">
        <f t="shared" si="11"/>
        <v>0.1457</v>
      </c>
      <c r="AF56" s="118">
        <f t="shared" si="11"/>
        <v>0.15040000000000001</v>
      </c>
      <c r="AG56" s="118">
        <f t="shared" si="11"/>
        <v>0.14180000000000001</v>
      </c>
      <c r="AH56" s="119">
        <f t="shared" si="11"/>
        <v>0.14169999999999999</v>
      </c>
      <c r="AI56" s="118">
        <f t="shared" si="11"/>
        <v>0.14810000000000001</v>
      </c>
      <c r="AJ56" s="118">
        <f t="shared" si="11"/>
        <v>0.13700000000000001</v>
      </c>
      <c r="AK56" s="118">
        <f t="shared" si="11"/>
        <v>0.1366</v>
      </c>
      <c r="AL56" s="119">
        <f t="shared" si="11"/>
        <v>0.13739999999999999</v>
      </c>
      <c r="AM56" s="118">
        <f t="shared" si="11"/>
        <v>0.1411</v>
      </c>
      <c r="AN56" s="118">
        <f t="shared" si="11"/>
        <v>0.14580000000000001</v>
      </c>
      <c r="AO56" s="118">
        <f t="shared" si="11"/>
        <v>0.14799999999999999</v>
      </c>
      <c r="AP56" s="119">
        <f t="shared" si="11"/>
        <v>0.14729999999999999</v>
      </c>
      <c r="AQ56" s="117">
        <f t="shared" si="11"/>
        <v>0.1429</v>
      </c>
      <c r="AR56" s="118">
        <f t="shared" si="11"/>
        <v>0.15279999999999999</v>
      </c>
      <c r="AS56" s="118">
        <f t="shared" si="11"/>
        <v>0.15049999999999999</v>
      </c>
      <c r="AT56" s="118">
        <f t="shared" si="11"/>
        <v>0.1671</v>
      </c>
      <c r="AU56" s="117">
        <f t="shared" si="11"/>
        <v>0.1605</v>
      </c>
      <c r="AV56" s="118">
        <f t="shared" si="11"/>
        <v>0.15240000000000001</v>
      </c>
      <c r="AW56" s="118">
        <f t="shared" si="11"/>
        <v>0.15240000000000001</v>
      </c>
      <c r="AX56" s="118">
        <f t="shared" si="11"/>
        <v>0.15579999999999999</v>
      </c>
      <c r="AY56" s="117">
        <f t="shared" si="11"/>
        <v>0.15820000000000001</v>
      </c>
      <c r="AZ56" s="118">
        <f t="shared" si="11"/>
        <v>0.15029999999999999</v>
      </c>
      <c r="BA56" s="118">
        <f t="shared" si="11"/>
        <v>0.15459999999999999</v>
      </c>
      <c r="BB56" s="118">
        <f t="shared" si="11"/>
        <v>0.16869999999999999</v>
      </c>
      <c r="BC56" s="117">
        <f t="shared" si="11"/>
        <v>0.15759999999999999</v>
      </c>
      <c r="BD56" s="118">
        <f t="shared" si="11"/>
        <v>0.18310000000000001</v>
      </c>
      <c r="BE56" s="118">
        <f t="shared" si="11"/>
        <v>0.18640000000000001</v>
      </c>
      <c r="BF56" s="118">
        <f t="shared" si="11"/>
        <v>0.19520000000000001</v>
      </c>
      <c r="BG56" s="117">
        <f t="shared" si="11"/>
        <v>0.188</v>
      </c>
      <c r="BH56" s="118">
        <f t="shared" si="11"/>
        <v>0.18540000000000001</v>
      </c>
      <c r="BI56" s="118">
        <f t="shared" si="11"/>
        <v>0.17649999999999999</v>
      </c>
      <c r="BJ56" s="118">
        <f t="shared" si="11"/>
        <v>0.1605</v>
      </c>
      <c r="BK56" s="117">
        <f t="shared" si="11"/>
        <v>0.152</v>
      </c>
      <c r="BL56" s="118"/>
      <c r="BM56" s="118"/>
      <c r="BN56" s="118"/>
    </row>
    <row r="57" spans="1:66" s="120" customFormat="1" ht="10.8">
      <c r="A57" s="115" t="s">
        <v>86</v>
      </c>
      <c r="B57" s="116" t="s">
        <v>87</v>
      </c>
      <c r="C57" s="117" t="s">
        <v>28</v>
      </c>
      <c r="D57" s="118" t="s">
        <v>28</v>
      </c>
      <c r="E57" s="118" t="s">
        <v>28</v>
      </c>
      <c r="F57" s="119" t="s">
        <v>28</v>
      </c>
      <c r="G57" s="117" t="s">
        <v>28</v>
      </c>
      <c r="H57" s="118" t="s">
        <v>28</v>
      </c>
      <c r="I57" s="118" t="s">
        <v>28</v>
      </c>
      <c r="J57" s="119" t="s">
        <v>28</v>
      </c>
      <c r="K57" s="117" t="s">
        <v>28</v>
      </c>
      <c r="L57" s="118" t="s">
        <v>28</v>
      </c>
      <c r="M57" s="118" t="s">
        <v>28</v>
      </c>
      <c r="N57" s="119" t="s">
        <v>28</v>
      </c>
      <c r="O57" s="117" t="s">
        <v>28</v>
      </c>
      <c r="P57" s="118" t="s">
        <v>28</v>
      </c>
      <c r="Q57" s="118" t="s">
        <v>28</v>
      </c>
      <c r="R57" s="119" t="s">
        <v>28</v>
      </c>
      <c r="S57" s="117" t="s">
        <v>28</v>
      </c>
      <c r="T57" s="118" t="s">
        <v>28</v>
      </c>
      <c r="U57" s="118" t="s">
        <v>28</v>
      </c>
      <c r="V57" s="119" t="s">
        <v>28</v>
      </c>
      <c r="W57" s="117" t="s">
        <v>28</v>
      </c>
      <c r="X57" s="118" t="s">
        <v>28</v>
      </c>
      <c r="Y57" s="118" t="s">
        <v>28</v>
      </c>
      <c r="Z57" s="119" t="s">
        <v>28</v>
      </c>
      <c r="AA57" s="117" t="s">
        <v>28</v>
      </c>
      <c r="AB57" s="118" t="s">
        <v>28</v>
      </c>
      <c r="AC57" s="118" t="s">
        <v>28</v>
      </c>
      <c r="AD57" s="119" t="s">
        <v>28</v>
      </c>
      <c r="AE57" s="117" t="s">
        <v>28</v>
      </c>
      <c r="AF57" s="118" t="s">
        <v>28</v>
      </c>
      <c r="AG57" s="118" t="s">
        <v>28</v>
      </c>
      <c r="AH57" s="119" t="s">
        <v>28</v>
      </c>
      <c r="AI57" s="118" t="s">
        <v>28</v>
      </c>
      <c r="AJ57" s="118" t="s">
        <v>28</v>
      </c>
      <c r="AK57" s="118" t="s">
        <v>28</v>
      </c>
      <c r="AL57" s="119" t="s">
        <v>28</v>
      </c>
      <c r="AM57" s="118" t="s">
        <v>28</v>
      </c>
      <c r="AN57" s="118" t="s">
        <v>28</v>
      </c>
      <c r="AO57" s="118" t="s">
        <v>28</v>
      </c>
      <c r="AP57" s="119" t="s">
        <v>28</v>
      </c>
      <c r="AQ57" s="117" t="s">
        <v>28</v>
      </c>
      <c r="AR57" s="118" t="s">
        <v>28</v>
      </c>
      <c r="AS57" s="118" t="s">
        <v>28</v>
      </c>
      <c r="AT57" s="118" t="s">
        <v>28</v>
      </c>
      <c r="AU57" s="117">
        <v>0.16046899826499861</v>
      </c>
      <c r="AV57" s="118">
        <v>0.15238554544219537</v>
      </c>
      <c r="AW57" s="118">
        <v>0.1523823119099374</v>
      </c>
      <c r="AX57" s="118">
        <v>0.1532</v>
      </c>
      <c r="AY57" s="117">
        <v>0.15579999999999999</v>
      </c>
      <c r="AZ57" s="118">
        <v>0.14729999999999999</v>
      </c>
      <c r="BA57" s="118">
        <v>0.15179999999999999</v>
      </c>
      <c r="BB57" s="118">
        <v>0.16639999999999999</v>
      </c>
      <c r="BC57" s="117">
        <v>0.15570000000000001</v>
      </c>
      <c r="BD57" s="118">
        <v>0.1807</v>
      </c>
      <c r="BE57" s="118">
        <v>0.18379999999999999</v>
      </c>
      <c r="BF57" s="118">
        <v>0.1928</v>
      </c>
      <c r="BG57" s="117">
        <v>0.18629999999999999</v>
      </c>
      <c r="BH57" s="118">
        <v>0.184</v>
      </c>
      <c r="BI57" s="118">
        <v>0.17519999999999999</v>
      </c>
      <c r="BJ57" s="118">
        <v>0.15820000000000001</v>
      </c>
      <c r="BK57" s="117">
        <v>0.14990000000000001</v>
      </c>
      <c r="BL57" s="118"/>
      <c r="BM57" s="118"/>
      <c r="BN57" s="118"/>
    </row>
    <row r="58" spans="1:66" s="120" customFormat="1" ht="10.8">
      <c r="A58" s="116" t="s">
        <v>88</v>
      </c>
      <c r="B58" s="116" t="s">
        <v>89</v>
      </c>
      <c r="C58" s="117">
        <f t="shared" ref="C58:AA58" si="12">ROUND(C36/(C53*12.5),4)</f>
        <v>0.13739999999999999</v>
      </c>
      <c r="D58" s="118">
        <f t="shared" si="12"/>
        <v>0.1341</v>
      </c>
      <c r="E58" s="118">
        <f t="shared" si="12"/>
        <v>0.1305</v>
      </c>
      <c r="F58" s="119">
        <f t="shared" si="12"/>
        <v>0.13120000000000001</v>
      </c>
      <c r="G58" s="117">
        <f t="shared" si="12"/>
        <v>0.11020000000000001</v>
      </c>
      <c r="H58" s="118">
        <f t="shared" si="12"/>
        <v>0.11219999999999999</v>
      </c>
      <c r="I58" s="118">
        <f t="shared" si="12"/>
        <v>0.11899999999999999</v>
      </c>
      <c r="J58" s="119">
        <f t="shared" si="12"/>
        <v>0.10390000000000001</v>
      </c>
      <c r="K58" s="117">
        <f t="shared" si="12"/>
        <v>0.10100000000000001</v>
      </c>
      <c r="L58" s="118">
        <f t="shared" si="12"/>
        <v>0.1087</v>
      </c>
      <c r="M58" s="118">
        <f t="shared" si="12"/>
        <v>0.1207</v>
      </c>
      <c r="N58" s="119">
        <f t="shared" si="12"/>
        <v>0.1201</v>
      </c>
      <c r="O58" s="117">
        <f t="shared" si="12"/>
        <v>0.13</v>
      </c>
      <c r="P58" s="118">
        <f t="shared" si="12"/>
        <v>0.12559999999999999</v>
      </c>
      <c r="Q58" s="118">
        <f t="shared" si="12"/>
        <v>0.13300000000000001</v>
      </c>
      <c r="R58" s="119">
        <f t="shared" si="12"/>
        <v>0.13150000000000001</v>
      </c>
      <c r="S58" s="117">
        <f t="shared" si="12"/>
        <v>0.12740000000000001</v>
      </c>
      <c r="T58" s="118">
        <f t="shared" si="12"/>
        <v>0.12609999999999999</v>
      </c>
      <c r="U58" s="118">
        <f t="shared" si="12"/>
        <v>0.12559999999999999</v>
      </c>
      <c r="V58" s="119">
        <f t="shared" si="12"/>
        <v>0.1227</v>
      </c>
      <c r="W58" s="117">
        <f t="shared" si="12"/>
        <v>0.12429999999999999</v>
      </c>
      <c r="X58" s="118">
        <f t="shared" si="12"/>
        <v>0.1328</v>
      </c>
      <c r="Y58" s="118">
        <f t="shared" si="12"/>
        <v>0.13969999999999999</v>
      </c>
      <c r="Z58" s="119">
        <f t="shared" si="12"/>
        <v>0.14829999999999999</v>
      </c>
      <c r="AA58" s="117">
        <f t="shared" si="12"/>
        <v>0.1545</v>
      </c>
      <c r="AB58" s="118" t="s">
        <v>28</v>
      </c>
      <c r="AC58" s="118" t="s">
        <v>28</v>
      </c>
      <c r="AD58" s="119" t="s">
        <v>28</v>
      </c>
      <c r="AE58" s="117" t="s">
        <v>28</v>
      </c>
      <c r="AF58" s="118" t="s">
        <v>28</v>
      </c>
      <c r="AG58" s="118" t="s">
        <v>28</v>
      </c>
      <c r="AH58" s="119" t="s">
        <v>28</v>
      </c>
      <c r="AI58" s="118" t="s">
        <v>28</v>
      </c>
      <c r="AJ58" s="118" t="s">
        <v>28</v>
      </c>
      <c r="AK58" s="118" t="s">
        <v>28</v>
      </c>
      <c r="AL58" s="119" t="s">
        <v>28</v>
      </c>
      <c r="AM58" s="118" t="s">
        <v>28</v>
      </c>
      <c r="AN58" s="118" t="s">
        <v>28</v>
      </c>
      <c r="AO58" s="118" t="s">
        <v>28</v>
      </c>
      <c r="AP58" s="119" t="s">
        <v>28</v>
      </c>
      <c r="AQ58" s="117" t="s">
        <v>28</v>
      </c>
      <c r="AR58" s="118" t="s">
        <v>28</v>
      </c>
      <c r="AS58" s="118" t="s">
        <v>28</v>
      </c>
      <c r="AT58" s="118" t="s">
        <v>28</v>
      </c>
      <c r="AU58" s="117" t="s">
        <v>28</v>
      </c>
      <c r="AV58" s="118" t="s">
        <v>28</v>
      </c>
      <c r="AW58" s="118" t="s">
        <v>28</v>
      </c>
      <c r="AX58" s="118" t="s">
        <v>28</v>
      </c>
      <c r="AY58" s="117" t="s">
        <v>28</v>
      </c>
      <c r="AZ58" s="118" t="s">
        <v>28</v>
      </c>
      <c r="BA58" s="118" t="s">
        <v>28</v>
      </c>
      <c r="BB58" s="118" t="s">
        <v>28</v>
      </c>
      <c r="BC58" s="117" t="s">
        <v>28</v>
      </c>
      <c r="BD58" s="118" t="s">
        <v>28</v>
      </c>
      <c r="BE58" s="118" t="s">
        <v>28</v>
      </c>
      <c r="BF58" s="118" t="s">
        <v>28</v>
      </c>
      <c r="BG58" s="117" t="s">
        <v>28</v>
      </c>
      <c r="BH58" s="118" t="s">
        <v>28</v>
      </c>
      <c r="BI58" s="118" t="s">
        <v>28</v>
      </c>
      <c r="BJ58" s="118" t="s">
        <v>28</v>
      </c>
      <c r="BK58" s="117" t="s">
        <v>28</v>
      </c>
      <c r="BL58" s="118"/>
      <c r="BM58" s="118"/>
      <c r="BN58" s="118"/>
    </row>
    <row r="59" spans="1:66" s="78" customFormat="1" ht="10.8">
      <c r="A59" s="121"/>
      <c r="B59" s="121"/>
      <c r="C59" s="122"/>
      <c r="D59" s="123"/>
      <c r="E59" s="123"/>
      <c r="F59" s="124"/>
      <c r="G59" s="122"/>
      <c r="H59" s="123"/>
      <c r="I59" s="123"/>
      <c r="J59" s="124"/>
      <c r="K59" s="122"/>
      <c r="L59" s="123"/>
      <c r="M59" s="123"/>
      <c r="N59" s="124"/>
      <c r="O59" s="122"/>
      <c r="P59" s="123"/>
      <c r="Q59" s="123"/>
      <c r="R59" s="124"/>
      <c r="S59" s="122"/>
      <c r="T59" s="123"/>
      <c r="U59" s="123"/>
      <c r="V59" s="124"/>
      <c r="W59" s="122"/>
      <c r="X59" s="123"/>
      <c r="Y59" s="123"/>
      <c r="Z59" s="124"/>
      <c r="AA59" s="122"/>
      <c r="AB59" s="123"/>
      <c r="AC59" s="123"/>
      <c r="AD59" s="124"/>
      <c r="AE59" s="122"/>
      <c r="AF59" s="123"/>
      <c r="AG59" s="123"/>
      <c r="AH59" s="124"/>
      <c r="AI59" s="123"/>
      <c r="AJ59" s="123"/>
      <c r="AK59" s="123"/>
      <c r="AL59" s="124"/>
      <c r="AM59" s="123"/>
      <c r="AN59" s="123"/>
      <c r="AO59" s="123"/>
      <c r="AP59" s="124"/>
      <c r="AQ59" s="122"/>
      <c r="AR59" s="123"/>
      <c r="AS59" s="123"/>
      <c r="AT59" s="123"/>
      <c r="AU59" s="122"/>
      <c r="AV59" s="123"/>
      <c r="AW59" s="123"/>
      <c r="AX59" s="123"/>
      <c r="AY59" s="122"/>
      <c r="AZ59" s="123"/>
      <c r="BA59" s="123"/>
      <c r="BB59" s="123"/>
      <c r="BC59" s="122"/>
      <c r="BD59" s="123"/>
      <c r="BE59" s="123"/>
      <c r="BF59" s="123"/>
      <c r="BG59" s="122"/>
      <c r="BH59" s="123"/>
      <c r="BI59" s="123"/>
      <c r="BJ59" s="123"/>
      <c r="BK59" s="122"/>
      <c r="BL59" s="123"/>
      <c r="BM59" s="123"/>
      <c r="BN59" s="123"/>
    </row>
    <row r="60" spans="1:66" s="129" customFormat="1" ht="10.8">
      <c r="A60" s="125" t="s">
        <v>90</v>
      </c>
      <c r="B60" s="125" t="s">
        <v>91</v>
      </c>
      <c r="C60" s="126">
        <f>C63</f>
        <v>0.13450000000000001</v>
      </c>
      <c r="D60" s="127">
        <f t="shared" ref="D60:U60" si="13">D63</f>
        <v>0.13370000000000001</v>
      </c>
      <c r="E60" s="127">
        <f t="shared" si="13"/>
        <v>0.1246</v>
      </c>
      <c r="F60" s="128">
        <f t="shared" si="13"/>
        <v>0.12709999999999999</v>
      </c>
      <c r="G60" s="126">
        <f t="shared" si="13"/>
        <v>0.10920000000000001</v>
      </c>
      <c r="H60" s="127">
        <f t="shared" si="13"/>
        <v>0.11020000000000001</v>
      </c>
      <c r="I60" s="127">
        <f t="shared" si="13"/>
        <v>0.1162</v>
      </c>
      <c r="J60" s="128">
        <f t="shared" si="13"/>
        <v>0.1017</v>
      </c>
      <c r="K60" s="126">
        <f t="shared" si="13"/>
        <v>0.10100000000000001</v>
      </c>
      <c r="L60" s="127">
        <f t="shared" si="13"/>
        <v>0.1069</v>
      </c>
      <c r="M60" s="127">
        <f t="shared" si="13"/>
        <v>0.1191</v>
      </c>
      <c r="N60" s="128">
        <f t="shared" si="13"/>
        <v>0.1182</v>
      </c>
      <c r="O60" s="126">
        <f t="shared" si="13"/>
        <v>0.12839999999999999</v>
      </c>
      <c r="P60" s="127">
        <f t="shared" si="13"/>
        <v>0.1245</v>
      </c>
      <c r="Q60" s="127">
        <f t="shared" si="13"/>
        <v>0.1318</v>
      </c>
      <c r="R60" s="128">
        <f t="shared" si="13"/>
        <v>0.1308</v>
      </c>
      <c r="S60" s="126">
        <f t="shared" si="13"/>
        <v>0.1258</v>
      </c>
      <c r="T60" s="127">
        <f t="shared" si="13"/>
        <v>0.124</v>
      </c>
      <c r="U60" s="127">
        <f t="shared" si="13"/>
        <v>0.12470000000000001</v>
      </c>
      <c r="V60" s="128">
        <f t="shared" ref="V60:AA60" si="14">ROUND(V32/(V53*12.5),4)</f>
        <v>0.11849999999999999</v>
      </c>
      <c r="W60" s="126">
        <f t="shared" si="14"/>
        <v>0.1202</v>
      </c>
      <c r="X60" s="127">
        <f t="shared" si="14"/>
        <v>0.12820000000000001</v>
      </c>
      <c r="Y60" s="127">
        <f t="shared" si="14"/>
        <v>0.13170000000000001</v>
      </c>
      <c r="Z60" s="128">
        <f t="shared" si="14"/>
        <v>0.13389999999999999</v>
      </c>
      <c r="AA60" s="126">
        <f t="shared" si="14"/>
        <v>0.14360000000000001</v>
      </c>
      <c r="AB60" s="127">
        <f t="shared" ref="AB60:BK60" si="15">AB61</f>
        <v>0.15240000000000001</v>
      </c>
      <c r="AC60" s="127">
        <f t="shared" si="15"/>
        <v>0.1699</v>
      </c>
      <c r="AD60" s="128">
        <f t="shared" si="15"/>
        <v>0.1666</v>
      </c>
      <c r="AE60" s="126">
        <f t="shared" si="15"/>
        <v>0.1457</v>
      </c>
      <c r="AF60" s="127">
        <f t="shared" si="15"/>
        <v>0.15040000000000001</v>
      </c>
      <c r="AG60" s="127">
        <f t="shared" si="15"/>
        <v>0.14180000000000001</v>
      </c>
      <c r="AH60" s="128">
        <f t="shared" si="15"/>
        <v>0.14169999999999999</v>
      </c>
      <c r="AI60" s="127">
        <f t="shared" si="15"/>
        <v>0.14810000000000001</v>
      </c>
      <c r="AJ60" s="127">
        <f t="shared" si="15"/>
        <v>0.13700000000000001</v>
      </c>
      <c r="AK60" s="127">
        <f t="shared" si="15"/>
        <v>0.1366</v>
      </c>
      <c r="AL60" s="128">
        <f t="shared" si="15"/>
        <v>0.13739999999999999</v>
      </c>
      <c r="AM60" s="127">
        <f t="shared" si="15"/>
        <v>0.1411</v>
      </c>
      <c r="AN60" s="127">
        <f t="shared" si="15"/>
        <v>0.13539999999999999</v>
      </c>
      <c r="AO60" s="127">
        <f t="shared" si="15"/>
        <v>0.13800000000000001</v>
      </c>
      <c r="AP60" s="128">
        <f t="shared" si="15"/>
        <v>0.13700000000000001</v>
      </c>
      <c r="AQ60" s="126">
        <f t="shared" si="15"/>
        <v>0.1333</v>
      </c>
      <c r="AR60" s="127">
        <f t="shared" si="15"/>
        <v>0.14349999999999999</v>
      </c>
      <c r="AS60" s="127">
        <f t="shared" si="15"/>
        <v>0.14119999999999999</v>
      </c>
      <c r="AT60" s="127">
        <f t="shared" si="15"/>
        <v>0.15770000000000001</v>
      </c>
      <c r="AU60" s="126">
        <f t="shared" si="15"/>
        <v>0.1512</v>
      </c>
      <c r="AV60" s="127">
        <f t="shared" si="15"/>
        <v>0.14349999999999999</v>
      </c>
      <c r="AW60" s="127">
        <f t="shared" si="15"/>
        <v>0.14410000000000001</v>
      </c>
      <c r="AX60" s="127">
        <f t="shared" si="15"/>
        <v>0.1474</v>
      </c>
      <c r="AY60" s="126">
        <f t="shared" si="15"/>
        <v>0.1449</v>
      </c>
      <c r="AZ60" s="127">
        <f t="shared" si="15"/>
        <v>0.13780000000000001</v>
      </c>
      <c r="BA60" s="127">
        <f t="shared" si="15"/>
        <v>0.1419</v>
      </c>
      <c r="BB60" s="127">
        <f t="shared" si="15"/>
        <v>0.14410000000000001</v>
      </c>
      <c r="BC60" s="126">
        <f t="shared" si="15"/>
        <v>0.13250000000000001</v>
      </c>
      <c r="BD60" s="127">
        <f t="shared" si="15"/>
        <v>0.1578</v>
      </c>
      <c r="BE60" s="127">
        <f t="shared" si="15"/>
        <v>0.16039999999999999</v>
      </c>
      <c r="BF60" s="127">
        <f t="shared" si="15"/>
        <v>0.1691</v>
      </c>
      <c r="BG60" s="126">
        <f t="shared" si="15"/>
        <v>0.1628</v>
      </c>
      <c r="BH60" s="127">
        <f t="shared" si="15"/>
        <v>0.16200000000000001</v>
      </c>
      <c r="BI60" s="127">
        <f t="shared" si="15"/>
        <v>0.15409999999999999</v>
      </c>
      <c r="BJ60" s="127">
        <f t="shared" si="15"/>
        <v>0.14410000000000001</v>
      </c>
      <c r="BK60" s="126">
        <f t="shared" si="15"/>
        <v>0.1343</v>
      </c>
      <c r="BL60" s="127"/>
      <c r="BM60" s="127"/>
      <c r="BN60" s="127"/>
    </row>
    <row r="61" spans="1:66" s="120" customFormat="1" ht="10.8">
      <c r="A61" s="130" t="s">
        <v>92</v>
      </c>
      <c r="B61" s="130" t="s">
        <v>93</v>
      </c>
      <c r="C61" s="131" t="s">
        <v>28</v>
      </c>
      <c r="D61" s="132" t="s">
        <v>28</v>
      </c>
      <c r="E61" s="132" t="s">
        <v>28</v>
      </c>
      <c r="F61" s="133" t="s">
        <v>28</v>
      </c>
      <c r="G61" s="131" t="s">
        <v>28</v>
      </c>
      <c r="H61" s="132" t="s">
        <v>28</v>
      </c>
      <c r="I61" s="132" t="s">
        <v>28</v>
      </c>
      <c r="J61" s="133" t="s">
        <v>28</v>
      </c>
      <c r="K61" s="131" t="s">
        <v>28</v>
      </c>
      <c r="L61" s="132" t="s">
        <v>28</v>
      </c>
      <c r="M61" s="132" t="s">
        <v>28</v>
      </c>
      <c r="N61" s="133" t="s">
        <v>28</v>
      </c>
      <c r="O61" s="131" t="s">
        <v>28</v>
      </c>
      <c r="P61" s="132" t="s">
        <v>28</v>
      </c>
      <c r="Q61" s="132" t="s">
        <v>28</v>
      </c>
      <c r="R61" s="133" t="s">
        <v>28</v>
      </c>
      <c r="S61" s="131" t="s">
        <v>28</v>
      </c>
      <c r="T61" s="132" t="s">
        <v>28</v>
      </c>
      <c r="U61" s="132" t="s">
        <v>28</v>
      </c>
      <c r="V61" s="133">
        <f t="shared" ref="V61:BK61" si="16">ROUND(V32/(V51*12.5),4)</f>
        <v>0.1305</v>
      </c>
      <c r="W61" s="131">
        <f t="shared" si="16"/>
        <v>0.1298</v>
      </c>
      <c r="X61" s="132">
        <f t="shared" si="16"/>
        <v>0.1331</v>
      </c>
      <c r="Y61" s="132">
        <f t="shared" si="16"/>
        <v>0.14599999999999999</v>
      </c>
      <c r="Z61" s="133">
        <f t="shared" si="16"/>
        <v>0.152</v>
      </c>
      <c r="AA61" s="131">
        <f t="shared" si="16"/>
        <v>0.16470000000000001</v>
      </c>
      <c r="AB61" s="132">
        <f t="shared" si="16"/>
        <v>0.15240000000000001</v>
      </c>
      <c r="AC61" s="132">
        <f t="shared" si="16"/>
        <v>0.1699</v>
      </c>
      <c r="AD61" s="133">
        <f t="shared" si="16"/>
        <v>0.1666</v>
      </c>
      <c r="AE61" s="131">
        <f t="shared" si="16"/>
        <v>0.1457</v>
      </c>
      <c r="AF61" s="132">
        <f t="shared" si="16"/>
        <v>0.15040000000000001</v>
      </c>
      <c r="AG61" s="132">
        <f t="shared" si="16"/>
        <v>0.14180000000000001</v>
      </c>
      <c r="AH61" s="133">
        <f t="shared" si="16"/>
        <v>0.14169999999999999</v>
      </c>
      <c r="AI61" s="132">
        <f t="shared" si="16"/>
        <v>0.14810000000000001</v>
      </c>
      <c r="AJ61" s="132">
        <f t="shared" si="16"/>
        <v>0.13700000000000001</v>
      </c>
      <c r="AK61" s="132">
        <f t="shared" si="16"/>
        <v>0.1366</v>
      </c>
      <c r="AL61" s="133">
        <f t="shared" si="16"/>
        <v>0.13739999999999999</v>
      </c>
      <c r="AM61" s="132">
        <f t="shared" si="16"/>
        <v>0.1411</v>
      </c>
      <c r="AN61" s="132">
        <f t="shared" si="16"/>
        <v>0.13539999999999999</v>
      </c>
      <c r="AO61" s="132">
        <f t="shared" si="16"/>
        <v>0.13800000000000001</v>
      </c>
      <c r="AP61" s="133">
        <f t="shared" si="16"/>
        <v>0.13700000000000001</v>
      </c>
      <c r="AQ61" s="131">
        <f t="shared" si="16"/>
        <v>0.1333</v>
      </c>
      <c r="AR61" s="132">
        <f t="shared" si="16"/>
        <v>0.14349999999999999</v>
      </c>
      <c r="AS61" s="132">
        <f t="shared" si="16"/>
        <v>0.14119999999999999</v>
      </c>
      <c r="AT61" s="132">
        <f t="shared" si="16"/>
        <v>0.15770000000000001</v>
      </c>
      <c r="AU61" s="131">
        <f t="shared" si="16"/>
        <v>0.1512</v>
      </c>
      <c r="AV61" s="132">
        <f t="shared" si="16"/>
        <v>0.14349999999999999</v>
      </c>
      <c r="AW61" s="132">
        <f t="shared" si="16"/>
        <v>0.14410000000000001</v>
      </c>
      <c r="AX61" s="132">
        <f t="shared" si="16"/>
        <v>0.1474</v>
      </c>
      <c r="AY61" s="131">
        <f t="shared" si="16"/>
        <v>0.1449</v>
      </c>
      <c r="AZ61" s="132">
        <f t="shared" si="16"/>
        <v>0.13780000000000001</v>
      </c>
      <c r="BA61" s="132">
        <f t="shared" si="16"/>
        <v>0.1419</v>
      </c>
      <c r="BB61" s="132">
        <f t="shared" si="16"/>
        <v>0.14410000000000001</v>
      </c>
      <c r="BC61" s="131">
        <f t="shared" si="16"/>
        <v>0.13250000000000001</v>
      </c>
      <c r="BD61" s="132">
        <f t="shared" si="16"/>
        <v>0.1578</v>
      </c>
      <c r="BE61" s="132">
        <f t="shared" si="16"/>
        <v>0.16039999999999999</v>
      </c>
      <c r="BF61" s="132">
        <f t="shared" si="16"/>
        <v>0.1691</v>
      </c>
      <c r="BG61" s="131">
        <f t="shared" si="16"/>
        <v>0.1628</v>
      </c>
      <c r="BH61" s="132">
        <f t="shared" si="16"/>
        <v>0.16200000000000001</v>
      </c>
      <c r="BI61" s="132">
        <f t="shared" si="16"/>
        <v>0.15409999999999999</v>
      </c>
      <c r="BJ61" s="132">
        <f t="shared" si="16"/>
        <v>0.14410000000000001</v>
      </c>
      <c r="BK61" s="131">
        <f t="shared" si="16"/>
        <v>0.1343</v>
      </c>
      <c r="BL61" s="132"/>
      <c r="BM61" s="132"/>
      <c r="BN61" s="132"/>
    </row>
    <row r="62" spans="1:66" s="120" customFormat="1" ht="10.8">
      <c r="A62" s="130" t="s">
        <v>94</v>
      </c>
      <c r="B62" s="130" t="s">
        <v>95</v>
      </c>
      <c r="C62" s="131" t="s">
        <v>28</v>
      </c>
      <c r="D62" s="132" t="s">
        <v>28</v>
      </c>
      <c r="E62" s="132" t="s">
        <v>28</v>
      </c>
      <c r="F62" s="133" t="s">
        <v>28</v>
      </c>
      <c r="G62" s="131" t="s">
        <v>28</v>
      </c>
      <c r="H62" s="132" t="s">
        <v>28</v>
      </c>
      <c r="I62" s="132" t="s">
        <v>28</v>
      </c>
      <c r="J62" s="133" t="s">
        <v>28</v>
      </c>
      <c r="K62" s="131" t="s">
        <v>28</v>
      </c>
      <c r="L62" s="132" t="s">
        <v>28</v>
      </c>
      <c r="M62" s="132" t="s">
        <v>28</v>
      </c>
      <c r="N62" s="133" t="s">
        <v>28</v>
      </c>
      <c r="O62" s="131" t="s">
        <v>28</v>
      </c>
      <c r="P62" s="132" t="s">
        <v>28</v>
      </c>
      <c r="Q62" s="132" t="s">
        <v>28</v>
      </c>
      <c r="R62" s="133" t="s">
        <v>28</v>
      </c>
      <c r="S62" s="131" t="s">
        <v>28</v>
      </c>
      <c r="T62" s="132" t="s">
        <v>28</v>
      </c>
      <c r="U62" s="132" t="s">
        <v>28</v>
      </c>
      <c r="V62" s="133" t="s">
        <v>28</v>
      </c>
      <c r="W62" s="131" t="s">
        <v>28</v>
      </c>
      <c r="X62" s="132" t="s">
        <v>28</v>
      </c>
      <c r="Y62" s="132" t="s">
        <v>28</v>
      </c>
      <c r="Z62" s="133" t="s">
        <v>28</v>
      </c>
      <c r="AA62" s="131" t="s">
        <v>28</v>
      </c>
      <c r="AB62" s="132" t="s">
        <v>28</v>
      </c>
      <c r="AC62" s="132" t="s">
        <v>28</v>
      </c>
      <c r="AD62" s="133" t="s">
        <v>28</v>
      </c>
      <c r="AE62" s="131" t="s">
        <v>28</v>
      </c>
      <c r="AF62" s="132" t="s">
        <v>28</v>
      </c>
      <c r="AG62" s="132" t="s">
        <v>28</v>
      </c>
      <c r="AH62" s="133" t="s">
        <v>28</v>
      </c>
      <c r="AI62" s="132" t="s">
        <v>28</v>
      </c>
      <c r="AJ62" s="132" t="s">
        <v>28</v>
      </c>
      <c r="AK62" s="132" t="s">
        <v>28</v>
      </c>
      <c r="AL62" s="133" t="s">
        <v>28</v>
      </c>
      <c r="AM62" s="132" t="s">
        <v>28</v>
      </c>
      <c r="AN62" s="132" t="s">
        <v>28</v>
      </c>
      <c r="AO62" s="132" t="s">
        <v>28</v>
      </c>
      <c r="AP62" s="133" t="s">
        <v>28</v>
      </c>
      <c r="AQ62" s="131" t="s">
        <v>28</v>
      </c>
      <c r="AR62" s="132" t="s">
        <v>28</v>
      </c>
      <c r="AS62" s="132" t="s">
        <v>28</v>
      </c>
      <c r="AT62" s="132" t="s">
        <v>28</v>
      </c>
      <c r="AU62" s="131">
        <v>0.15124536572002556</v>
      </c>
      <c r="AV62" s="132">
        <v>0.14349816601005297</v>
      </c>
      <c r="AW62" s="132">
        <v>0.14406774162151639</v>
      </c>
      <c r="AX62" s="132">
        <v>0.14480000000000001</v>
      </c>
      <c r="AY62" s="131">
        <v>0.1424</v>
      </c>
      <c r="AZ62" s="132">
        <v>0.1348</v>
      </c>
      <c r="BA62" s="132">
        <v>0.1391</v>
      </c>
      <c r="BB62" s="132">
        <v>0.14180000000000001</v>
      </c>
      <c r="BC62" s="131">
        <v>0.13070000000000001</v>
      </c>
      <c r="BD62" s="132">
        <v>0.1537</v>
      </c>
      <c r="BE62" s="132">
        <v>0.15620000000000001</v>
      </c>
      <c r="BF62" s="132">
        <v>0.1656</v>
      </c>
      <c r="BG62" s="131">
        <v>0.16009999999999999</v>
      </c>
      <c r="BH62" s="132">
        <v>0.15989999999999999</v>
      </c>
      <c r="BI62" s="132">
        <v>0.15229999999999999</v>
      </c>
      <c r="BJ62" s="132">
        <v>0.1416</v>
      </c>
      <c r="BK62" s="131">
        <v>0.13220000000000001</v>
      </c>
      <c r="BL62" s="132"/>
      <c r="BM62" s="132"/>
      <c r="BN62" s="132"/>
    </row>
    <row r="63" spans="1:66" s="120" customFormat="1" ht="10.8">
      <c r="A63" s="134" t="s">
        <v>96</v>
      </c>
      <c r="B63" s="130" t="s">
        <v>97</v>
      </c>
      <c r="C63" s="131">
        <f t="shared" ref="C63:AA63" si="17">ROUND(C37/(C53*12.5),4)</f>
        <v>0.13450000000000001</v>
      </c>
      <c r="D63" s="132">
        <f t="shared" si="17"/>
        <v>0.13370000000000001</v>
      </c>
      <c r="E63" s="132">
        <f t="shared" si="17"/>
        <v>0.1246</v>
      </c>
      <c r="F63" s="133">
        <f t="shared" si="17"/>
        <v>0.12709999999999999</v>
      </c>
      <c r="G63" s="131">
        <f t="shared" si="17"/>
        <v>0.10920000000000001</v>
      </c>
      <c r="H63" s="132">
        <f t="shared" si="17"/>
        <v>0.11020000000000001</v>
      </c>
      <c r="I63" s="132">
        <f t="shared" si="17"/>
        <v>0.1162</v>
      </c>
      <c r="J63" s="133">
        <f t="shared" si="17"/>
        <v>0.1017</v>
      </c>
      <c r="K63" s="131">
        <f t="shared" si="17"/>
        <v>0.10100000000000001</v>
      </c>
      <c r="L63" s="132">
        <f t="shared" si="17"/>
        <v>0.1069</v>
      </c>
      <c r="M63" s="132">
        <f t="shared" si="17"/>
        <v>0.1191</v>
      </c>
      <c r="N63" s="133">
        <f t="shared" si="17"/>
        <v>0.1182</v>
      </c>
      <c r="O63" s="131">
        <f t="shared" si="17"/>
        <v>0.12839999999999999</v>
      </c>
      <c r="P63" s="132">
        <f t="shared" si="17"/>
        <v>0.1245</v>
      </c>
      <c r="Q63" s="132">
        <f t="shared" si="17"/>
        <v>0.1318</v>
      </c>
      <c r="R63" s="133">
        <f t="shared" si="17"/>
        <v>0.1308</v>
      </c>
      <c r="S63" s="131">
        <f t="shared" si="17"/>
        <v>0.1258</v>
      </c>
      <c r="T63" s="132">
        <f t="shared" si="17"/>
        <v>0.124</v>
      </c>
      <c r="U63" s="132">
        <f t="shared" si="17"/>
        <v>0.12470000000000001</v>
      </c>
      <c r="V63" s="133">
        <f t="shared" si="17"/>
        <v>0.1217</v>
      </c>
      <c r="W63" s="131">
        <f t="shared" si="17"/>
        <v>0.12180000000000001</v>
      </c>
      <c r="X63" s="132">
        <f t="shared" si="17"/>
        <v>0.12970000000000001</v>
      </c>
      <c r="Y63" s="132">
        <f t="shared" si="17"/>
        <v>0.13320000000000001</v>
      </c>
      <c r="Z63" s="133">
        <f t="shared" si="17"/>
        <v>0.1353</v>
      </c>
      <c r="AA63" s="131">
        <f t="shared" si="17"/>
        <v>0.14510000000000001</v>
      </c>
      <c r="AB63" s="132" t="s">
        <v>28</v>
      </c>
      <c r="AC63" s="132" t="s">
        <v>28</v>
      </c>
      <c r="AD63" s="133" t="s">
        <v>28</v>
      </c>
      <c r="AE63" s="131" t="s">
        <v>28</v>
      </c>
      <c r="AF63" s="132" t="s">
        <v>28</v>
      </c>
      <c r="AG63" s="132" t="s">
        <v>28</v>
      </c>
      <c r="AH63" s="133" t="s">
        <v>28</v>
      </c>
      <c r="AI63" s="132" t="s">
        <v>28</v>
      </c>
      <c r="AJ63" s="132" t="s">
        <v>28</v>
      </c>
      <c r="AK63" s="132" t="s">
        <v>28</v>
      </c>
      <c r="AL63" s="133" t="s">
        <v>28</v>
      </c>
      <c r="AM63" s="132" t="s">
        <v>28</v>
      </c>
      <c r="AN63" s="132" t="s">
        <v>28</v>
      </c>
      <c r="AO63" s="132" t="s">
        <v>28</v>
      </c>
      <c r="AP63" s="133" t="s">
        <v>28</v>
      </c>
      <c r="AQ63" s="131" t="s">
        <v>28</v>
      </c>
      <c r="AR63" s="132" t="s">
        <v>28</v>
      </c>
      <c r="AS63" s="132" t="s">
        <v>28</v>
      </c>
      <c r="AT63" s="132" t="s">
        <v>28</v>
      </c>
      <c r="AU63" s="131" t="s">
        <v>28</v>
      </c>
      <c r="AV63" s="132" t="s">
        <v>28</v>
      </c>
      <c r="AW63" s="132" t="s">
        <v>28</v>
      </c>
      <c r="AX63" s="132" t="s">
        <v>28</v>
      </c>
      <c r="AY63" s="131" t="s">
        <v>28</v>
      </c>
      <c r="AZ63" s="132" t="s">
        <v>28</v>
      </c>
      <c r="BA63" s="132" t="s">
        <v>28</v>
      </c>
      <c r="BB63" s="132" t="s">
        <v>28</v>
      </c>
      <c r="BC63" s="131" t="s">
        <v>28</v>
      </c>
      <c r="BD63" s="132" t="s">
        <v>28</v>
      </c>
      <c r="BE63" s="132" t="s">
        <v>28</v>
      </c>
      <c r="BF63" s="132" t="s">
        <v>28</v>
      </c>
      <c r="BG63" s="131" t="s">
        <v>28</v>
      </c>
      <c r="BH63" s="132" t="s">
        <v>28</v>
      </c>
      <c r="BI63" s="132" t="s">
        <v>28</v>
      </c>
      <c r="BJ63" s="132" t="s">
        <v>28</v>
      </c>
      <c r="BK63" s="131" t="s">
        <v>28</v>
      </c>
      <c r="BL63" s="132"/>
      <c r="BM63" s="132"/>
      <c r="BN63" s="132"/>
    </row>
    <row r="64" spans="1:66">
      <c r="AU64" s="135"/>
      <c r="AV64" s="136"/>
      <c r="AW64" s="136"/>
      <c r="AX64" s="136"/>
      <c r="AY64" s="135"/>
      <c r="AZ64" s="136"/>
      <c r="BA64" s="136"/>
      <c r="BB64" s="136"/>
      <c r="BC64" s="135"/>
      <c r="BD64" s="136"/>
      <c r="BE64" s="136"/>
      <c r="BF64" s="136"/>
      <c r="BG64" s="135"/>
      <c r="BH64" s="136"/>
      <c r="BI64" s="136"/>
      <c r="BJ64" s="136"/>
      <c r="BK64" s="135"/>
      <c r="BL64" s="136"/>
      <c r="BM64" s="136"/>
      <c r="BN64" s="136"/>
    </row>
    <row r="65" spans="1:66" s="139" customFormat="1">
      <c r="A65" s="43" t="s">
        <v>98</v>
      </c>
      <c r="B65" s="43" t="s">
        <v>98</v>
      </c>
      <c r="C65" s="41"/>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137">
        <v>0.06</v>
      </c>
      <c r="AV65" s="138">
        <v>0.06</v>
      </c>
      <c r="AW65" s="138">
        <v>0.06</v>
      </c>
      <c r="AX65" s="138">
        <v>0.06</v>
      </c>
      <c r="AY65" s="137">
        <v>0.06</v>
      </c>
      <c r="AZ65" s="138">
        <v>0.06</v>
      </c>
      <c r="BA65" s="138">
        <v>0.06</v>
      </c>
      <c r="BB65" s="138">
        <v>0.06</v>
      </c>
      <c r="BC65" s="137">
        <v>0.06</v>
      </c>
      <c r="BD65" s="138">
        <v>0.06</v>
      </c>
      <c r="BE65" s="138">
        <v>0.06</v>
      </c>
      <c r="BF65" s="138">
        <v>0.06</v>
      </c>
      <c r="BG65" s="137">
        <v>0.06</v>
      </c>
      <c r="BH65" s="138">
        <v>0.06</v>
      </c>
      <c r="BI65" s="138">
        <v>0.06</v>
      </c>
      <c r="BJ65" s="138">
        <v>0.06</v>
      </c>
      <c r="BK65" s="137">
        <v>0.06</v>
      </c>
      <c r="BL65" s="138"/>
      <c r="BM65" s="138"/>
      <c r="BN65" s="138"/>
    </row>
    <row r="66" spans="1:66" s="139" customFormat="1">
      <c r="A66" s="43" t="s">
        <v>99</v>
      </c>
      <c r="B66" s="43" t="s">
        <v>100</v>
      </c>
      <c r="C66" s="140"/>
      <c r="D66" s="140"/>
      <c r="E66" s="140"/>
      <c r="F66" s="140"/>
      <c r="G66" s="140"/>
      <c r="H66" s="140"/>
      <c r="I66" s="140"/>
      <c r="J66" s="140"/>
      <c r="K66" s="140"/>
      <c r="L66" s="140"/>
      <c r="M66" s="140"/>
      <c r="N66" s="140"/>
      <c r="O66" s="140"/>
      <c r="P66" s="140"/>
      <c r="Q66" s="140"/>
      <c r="R66" s="140"/>
      <c r="S66" s="140"/>
      <c r="T66" s="140"/>
      <c r="U66" s="140"/>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137">
        <v>0.08</v>
      </c>
      <c r="AV66" s="138">
        <v>0.08</v>
      </c>
      <c r="AW66" s="138">
        <v>0.08</v>
      </c>
      <c r="AX66" s="138">
        <v>0.08</v>
      </c>
      <c r="AY66" s="137">
        <v>0.08</v>
      </c>
      <c r="AZ66" s="138">
        <v>0.08</v>
      </c>
      <c r="BA66" s="138">
        <v>0.08</v>
      </c>
      <c r="BB66" s="138">
        <v>0.08</v>
      </c>
      <c r="BC66" s="137">
        <v>0.08</v>
      </c>
      <c r="BD66" s="138">
        <v>0.08</v>
      </c>
      <c r="BE66" s="138">
        <v>0.08</v>
      </c>
      <c r="BF66" s="138">
        <v>0.08</v>
      </c>
      <c r="BG66" s="137">
        <v>0.08</v>
      </c>
      <c r="BH66" s="138">
        <v>0.08</v>
      </c>
      <c r="BI66" s="138">
        <v>0.08</v>
      </c>
      <c r="BJ66" s="138">
        <v>0.08</v>
      </c>
      <c r="BK66" s="137">
        <v>0.08</v>
      </c>
      <c r="BL66" s="138"/>
      <c r="BM66" s="138"/>
      <c r="BN66" s="138"/>
    </row>
    <row r="67" spans="1:66" s="139" customFormat="1">
      <c r="A67" s="43" t="s">
        <v>101</v>
      </c>
      <c r="B67" s="43" t="s">
        <v>102</v>
      </c>
      <c r="C67" s="41"/>
      <c r="D67" s="41"/>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137">
        <v>1.9E-2</v>
      </c>
      <c r="AV67" s="138">
        <v>1.9E-2</v>
      </c>
      <c r="AW67" s="138">
        <v>1.9E-2</v>
      </c>
      <c r="AX67" s="138">
        <v>1.9E-2</v>
      </c>
      <c r="AY67" s="137">
        <v>2.5000000000000001E-2</v>
      </c>
      <c r="AZ67" s="138">
        <v>2.5000000000000001E-2</v>
      </c>
      <c r="BA67" s="138">
        <v>2.5000000000000001E-2</v>
      </c>
      <c r="BB67" s="138">
        <v>2.5000000000000001E-2</v>
      </c>
      <c r="BC67" s="137">
        <v>2.5000000000000001E-2</v>
      </c>
      <c r="BD67" s="138">
        <v>2.5000000000000001E-2</v>
      </c>
      <c r="BE67" s="138">
        <v>2.5000000000000001E-2</v>
      </c>
      <c r="BF67" s="138">
        <v>2.5000000000000001E-2</v>
      </c>
      <c r="BG67" s="137">
        <v>2.5000000000000001E-2</v>
      </c>
      <c r="BH67" s="138">
        <v>2.5000000000000001E-2</v>
      </c>
      <c r="BI67" s="138">
        <v>2.5000000000000001E-2</v>
      </c>
      <c r="BJ67" s="138">
        <v>2.5000000000000001E-2</v>
      </c>
      <c r="BK67" s="137">
        <v>2.5000000000000001E-2</v>
      </c>
      <c r="BL67" s="138"/>
      <c r="BM67" s="138"/>
      <c r="BN67" s="138"/>
    </row>
    <row r="68" spans="1:66" s="139" customFormat="1">
      <c r="A68" s="43" t="s">
        <v>103</v>
      </c>
      <c r="B68" s="43" t="s">
        <v>104</v>
      </c>
      <c r="C68" s="41"/>
      <c r="D68" s="41"/>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c r="AS68" s="41"/>
      <c r="AT68" s="41"/>
      <c r="AU68" s="137">
        <v>5.0000000000000001E-3</v>
      </c>
      <c r="AV68" s="138">
        <v>5.0000000000000001E-3</v>
      </c>
      <c r="AW68" s="138">
        <v>5.0000000000000001E-3</v>
      </c>
      <c r="AX68" s="138">
        <v>5.0000000000000001E-3</v>
      </c>
      <c r="AY68" s="137">
        <v>5.0000000000000001E-3</v>
      </c>
      <c r="AZ68" s="138">
        <v>5.0000000000000001E-3</v>
      </c>
      <c r="BA68" s="138">
        <v>5.0000000000000001E-3</v>
      </c>
      <c r="BB68" s="138">
        <v>5.0000000000000001E-3</v>
      </c>
      <c r="BC68" s="137">
        <v>5.0000000000000001E-3</v>
      </c>
      <c r="BD68" s="138">
        <v>5.0000000000000001E-3</v>
      </c>
      <c r="BE68" s="138">
        <v>5.0000000000000001E-3</v>
      </c>
      <c r="BF68" s="138">
        <v>5.0000000000000001E-3</v>
      </c>
      <c r="BG68" s="137">
        <v>5.0000000000000001E-3</v>
      </c>
      <c r="BH68" s="138">
        <v>5.0000000000000001E-3</v>
      </c>
      <c r="BI68" s="138">
        <v>5.0000000000000001E-3</v>
      </c>
      <c r="BJ68" s="138">
        <v>7.4999999999999997E-3</v>
      </c>
      <c r="BK68" s="137">
        <v>7.4999999999999997E-3</v>
      </c>
      <c r="BL68" s="138"/>
      <c r="BM68" s="138"/>
      <c r="BN68" s="138"/>
    </row>
    <row r="69" spans="1:66" s="139" customFormat="1">
      <c r="A69" s="43" t="s">
        <v>105</v>
      </c>
      <c r="B69" s="43" t="s">
        <v>106</v>
      </c>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137">
        <v>0</v>
      </c>
      <c r="AV69" s="138">
        <v>0</v>
      </c>
      <c r="AW69" s="138">
        <v>0</v>
      </c>
      <c r="AX69" s="138">
        <v>0</v>
      </c>
      <c r="AY69" s="137">
        <v>0</v>
      </c>
      <c r="AZ69" s="138">
        <v>0</v>
      </c>
      <c r="BA69" s="138">
        <v>0</v>
      </c>
      <c r="BB69" s="138">
        <v>0</v>
      </c>
      <c r="BC69" s="137">
        <v>0</v>
      </c>
      <c r="BD69" s="138">
        <v>0</v>
      </c>
      <c r="BE69" s="138">
        <v>0</v>
      </c>
      <c r="BF69" s="138">
        <v>0</v>
      </c>
      <c r="BG69" s="137">
        <v>0</v>
      </c>
      <c r="BH69" s="138">
        <v>0</v>
      </c>
      <c r="BI69" s="138">
        <v>0</v>
      </c>
      <c r="BJ69" s="138">
        <v>0</v>
      </c>
      <c r="BK69" s="137">
        <v>0</v>
      </c>
      <c r="BL69" s="138"/>
      <c r="BM69" s="138"/>
      <c r="BN69" s="138"/>
    </row>
    <row r="70" spans="1:66" s="139" customFormat="1">
      <c r="A70" s="43" t="s">
        <v>107</v>
      </c>
      <c r="B70" s="43" t="s">
        <v>108</v>
      </c>
      <c r="C70" s="140"/>
      <c r="D70" s="140"/>
      <c r="E70" s="140"/>
      <c r="F70" s="140"/>
      <c r="G70" s="140"/>
      <c r="H70" s="140"/>
      <c r="I70" s="140"/>
      <c r="J70" s="140"/>
      <c r="K70" s="140"/>
      <c r="L70" s="140"/>
      <c r="M70" s="140"/>
      <c r="N70" s="140"/>
      <c r="O70" s="140"/>
      <c r="P70" s="140"/>
      <c r="Q70" s="140"/>
      <c r="R70" s="140"/>
      <c r="S70" s="140"/>
      <c r="T70" s="140"/>
      <c r="U70" s="140"/>
      <c r="V70" s="140"/>
      <c r="W70" s="140"/>
      <c r="X70" s="140"/>
      <c r="Y70" s="140"/>
      <c r="Z70" s="140"/>
      <c r="AA70" s="140"/>
      <c r="AB70" s="140"/>
      <c r="AC70" s="140"/>
      <c r="AD70" s="140"/>
      <c r="AE70" s="140"/>
      <c r="AF70" s="41"/>
      <c r="AG70" s="41"/>
      <c r="AH70" s="41"/>
      <c r="AI70" s="41"/>
      <c r="AJ70" s="41"/>
      <c r="AK70" s="41"/>
      <c r="AL70" s="41"/>
      <c r="AM70" s="41"/>
      <c r="AN70" s="41"/>
      <c r="AO70" s="41"/>
      <c r="AP70" s="41"/>
      <c r="AQ70" s="41"/>
      <c r="AR70" s="41"/>
      <c r="AS70" s="41"/>
      <c r="AT70" s="41"/>
      <c r="AU70" s="141">
        <v>2.9600000000000001E-2</v>
      </c>
      <c r="AV70" s="142">
        <v>2.9489999999999999E-2</v>
      </c>
      <c r="AW70" s="142">
        <v>2.9600000000000001E-2</v>
      </c>
      <c r="AX70" s="142">
        <v>2.9610000000000001E-2</v>
      </c>
      <c r="AY70" s="141">
        <v>2.9579999999999999E-2</v>
      </c>
      <c r="AZ70" s="142">
        <v>2.9610000000000001E-2</v>
      </c>
      <c r="BA70" s="142">
        <v>2.964E-2</v>
      </c>
      <c r="BB70" s="142">
        <v>2.9530000000000001E-2</v>
      </c>
      <c r="BC70" s="141">
        <v>0</v>
      </c>
      <c r="BD70" s="142">
        <v>0</v>
      </c>
      <c r="BE70" s="142">
        <v>0</v>
      </c>
      <c r="BF70" s="142">
        <v>0</v>
      </c>
      <c r="BG70" s="141">
        <v>0</v>
      </c>
      <c r="BH70" s="142">
        <v>0</v>
      </c>
      <c r="BI70" s="142">
        <v>0</v>
      </c>
      <c r="BJ70" s="142">
        <v>0</v>
      </c>
      <c r="BK70" s="141">
        <v>0</v>
      </c>
      <c r="BL70" s="142"/>
      <c r="BM70" s="142"/>
      <c r="BN70" s="142"/>
    </row>
    <row r="71" spans="1:66" s="139" customFormat="1">
      <c r="A71" s="43" t="s">
        <v>109</v>
      </c>
      <c r="B71" s="43" t="s">
        <v>110</v>
      </c>
      <c r="C71" s="41"/>
      <c r="D71" s="4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141">
        <v>0</v>
      </c>
      <c r="AV71" s="142">
        <v>3.0000000000000001E-5</v>
      </c>
      <c r="AW71" s="142">
        <v>4.0000000000000003E-5</v>
      </c>
      <c r="AX71" s="142">
        <v>6.0000000000000002E-5</v>
      </c>
      <c r="AY71" s="141">
        <v>5.0000000000000002E-5</v>
      </c>
      <c r="AZ71" s="142">
        <v>3.0000000000000001E-5</v>
      </c>
      <c r="BA71" s="142">
        <v>2.0000000000000002E-5</v>
      </c>
      <c r="BB71" s="142">
        <v>2.0000000000000002E-5</v>
      </c>
      <c r="BC71" s="141">
        <v>2.0000000000000002E-5</v>
      </c>
      <c r="BD71" s="142">
        <v>2.0000000000000002E-5</v>
      </c>
      <c r="BE71" s="142">
        <v>1.0000000000000001E-5</v>
      </c>
      <c r="BF71" s="142">
        <v>2.0000000000000002E-5</v>
      </c>
      <c r="BG71" s="141">
        <v>2.0000000000000002E-5</v>
      </c>
      <c r="BH71" s="142">
        <v>3.0000000000000001E-5</v>
      </c>
      <c r="BI71" s="142">
        <v>3.0000000000000001E-5</v>
      </c>
      <c r="BJ71" s="142">
        <v>1.0000000000000001E-5</v>
      </c>
      <c r="BK71" s="141">
        <v>1.0000000000000001E-5</v>
      </c>
      <c r="BL71" s="142"/>
      <c r="BM71" s="142"/>
      <c r="BN71" s="142"/>
    </row>
    <row r="72" spans="1:66" s="139" customFormat="1">
      <c r="A72" s="43" t="s">
        <v>111</v>
      </c>
      <c r="B72" s="43" t="s">
        <v>112</v>
      </c>
      <c r="C72" s="41"/>
      <c r="D72" s="4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c r="AS72" s="41"/>
      <c r="AT72" s="41"/>
      <c r="AU72" s="141"/>
      <c r="AV72" s="142"/>
      <c r="AW72" s="142"/>
      <c r="AX72" s="142"/>
      <c r="AY72" s="141"/>
      <c r="AZ72" s="142"/>
      <c r="BA72" s="142"/>
      <c r="BB72" s="142"/>
      <c r="BC72" s="141"/>
      <c r="BD72" s="142"/>
      <c r="BE72" s="142"/>
      <c r="BF72" s="142"/>
      <c r="BG72" s="141"/>
      <c r="BH72" s="142"/>
      <c r="BI72" s="142"/>
      <c r="BJ72" s="142"/>
      <c r="BK72" s="137">
        <v>1.2999999999999999E-3</v>
      </c>
      <c r="BL72" s="142"/>
      <c r="BM72" s="142"/>
      <c r="BN72" s="142"/>
    </row>
    <row r="73" spans="1:66" s="149" customFormat="1" ht="10.8">
      <c r="A73" s="143" t="s">
        <v>113</v>
      </c>
      <c r="B73" s="143" t="s">
        <v>114</v>
      </c>
      <c r="C73" s="144"/>
      <c r="D73" s="145"/>
      <c r="E73" s="145"/>
      <c r="F73" s="146"/>
      <c r="G73" s="144"/>
      <c r="H73" s="145"/>
      <c r="I73" s="145"/>
      <c r="J73" s="146"/>
      <c r="K73" s="144"/>
      <c r="L73" s="145"/>
      <c r="M73" s="145"/>
      <c r="N73" s="146"/>
      <c r="O73" s="144"/>
      <c r="P73" s="145"/>
      <c r="Q73" s="145"/>
      <c r="R73" s="146"/>
      <c r="S73" s="144"/>
      <c r="T73" s="145"/>
      <c r="U73" s="145"/>
      <c r="V73" s="146"/>
      <c r="W73" s="144"/>
      <c r="X73" s="145"/>
      <c r="Y73" s="145"/>
      <c r="Z73" s="146"/>
      <c r="AA73" s="144"/>
      <c r="AB73" s="145"/>
      <c r="AC73" s="145"/>
      <c r="AD73" s="146"/>
      <c r="AE73" s="144"/>
      <c r="AF73" s="145"/>
      <c r="AG73" s="145"/>
      <c r="AH73" s="146"/>
      <c r="AI73" s="145"/>
      <c r="AJ73" s="145"/>
      <c r="AK73" s="145"/>
      <c r="AL73" s="146"/>
      <c r="AM73" s="145"/>
      <c r="AN73" s="145"/>
      <c r="AO73" s="145"/>
      <c r="AP73" s="146"/>
      <c r="AQ73" s="144"/>
      <c r="AR73" s="145"/>
      <c r="AS73" s="145"/>
      <c r="AT73" s="145"/>
      <c r="AU73" s="147">
        <f t="shared" ref="AU73:BA73" si="18">SUM(AU65,AU67,AU68,AU69*0.75,AU70,AU71)</f>
        <v>0.11360000000000001</v>
      </c>
      <c r="AV73" s="148">
        <f t="shared" si="18"/>
        <v>0.11352000000000001</v>
      </c>
      <c r="AW73" s="148">
        <f t="shared" si="18"/>
        <v>0.11364</v>
      </c>
      <c r="AX73" s="148">
        <f t="shared" si="18"/>
        <v>0.11367000000000001</v>
      </c>
      <c r="AY73" s="147">
        <f t="shared" si="18"/>
        <v>0.11962999999999999</v>
      </c>
      <c r="AZ73" s="148">
        <f t="shared" si="18"/>
        <v>0.11964</v>
      </c>
      <c r="BA73" s="148">
        <f t="shared" si="18"/>
        <v>0.11966</v>
      </c>
      <c r="BB73" s="148">
        <f>SUM(BB65,BB67,BB68,BB69*0.75,BB70,BB71)</f>
        <v>0.11955</v>
      </c>
      <c r="BC73" s="147">
        <f t="shared" ref="BC73:BJ73" si="19">SUM(BC65,BC67,BC68,BC69*0.75,BC70,BC71)</f>
        <v>9.0020000000000003E-2</v>
      </c>
      <c r="BD73" s="148">
        <f t="shared" si="19"/>
        <v>9.0020000000000003E-2</v>
      </c>
      <c r="BE73" s="148">
        <f t="shared" si="19"/>
        <v>9.0009999999999993E-2</v>
      </c>
      <c r="BF73" s="148">
        <f t="shared" si="19"/>
        <v>9.0020000000000003E-2</v>
      </c>
      <c r="BG73" s="147">
        <f t="shared" si="19"/>
        <v>9.0020000000000003E-2</v>
      </c>
      <c r="BH73" s="148">
        <f t="shared" si="19"/>
        <v>9.0029999999999999E-2</v>
      </c>
      <c r="BI73" s="148">
        <f t="shared" si="19"/>
        <v>9.0029999999999999E-2</v>
      </c>
      <c r="BJ73" s="148">
        <f t="shared" si="19"/>
        <v>9.2509999999999995E-2</v>
      </c>
      <c r="BK73" s="147">
        <f>SUM(BK65,BK67,BK68,BK69*0.75,BK70,BK71,BK72)</f>
        <v>9.3809999999999991E-2</v>
      </c>
      <c r="BL73" s="148"/>
      <c r="BM73" s="148"/>
      <c r="BN73" s="148"/>
    </row>
    <row r="74" spans="1:66" s="149" customFormat="1" ht="10.8">
      <c r="A74" s="143" t="s">
        <v>115</v>
      </c>
      <c r="B74" s="143" t="s">
        <v>116</v>
      </c>
      <c r="C74" s="144"/>
      <c r="D74" s="145"/>
      <c r="E74" s="145"/>
      <c r="F74" s="146"/>
      <c r="G74" s="144"/>
      <c r="H74" s="145"/>
      <c r="I74" s="145"/>
      <c r="J74" s="146"/>
      <c r="K74" s="144"/>
      <c r="L74" s="145"/>
      <c r="M74" s="145"/>
      <c r="N74" s="146"/>
      <c r="O74" s="144"/>
      <c r="P74" s="145"/>
      <c r="Q74" s="145"/>
      <c r="R74" s="146"/>
      <c r="S74" s="144"/>
      <c r="T74" s="145"/>
      <c r="U74" s="145"/>
      <c r="V74" s="146"/>
      <c r="W74" s="144"/>
      <c r="X74" s="145"/>
      <c r="Y74" s="145"/>
      <c r="Z74" s="146"/>
      <c r="AA74" s="144"/>
      <c r="AB74" s="145"/>
      <c r="AC74" s="145"/>
      <c r="AD74" s="146"/>
      <c r="AE74" s="144"/>
      <c r="AF74" s="145"/>
      <c r="AG74" s="145"/>
      <c r="AH74" s="146"/>
      <c r="AI74" s="145"/>
      <c r="AJ74" s="145"/>
      <c r="AK74" s="145"/>
      <c r="AL74" s="146"/>
      <c r="AM74" s="145"/>
      <c r="AN74" s="145"/>
      <c r="AO74" s="145"/>
      <c r="AP74" s="146"/>
      <c r="AQ74" s="144"/>
      <c r="AR74" s="145"/>
      <c r="AS74" s="145"/>
      <c r="AT74" s="145"/>
      <c r="AU74" s="147">
        <f t="shared" ref="AU74:BA74" si="20">SUM(AU66,AU67,AU68,AU69,AU70,AU71)</f>
        <v>0.1336</v>
      </c>
      <c r="AV74" s="148">
        <f t="shared" si="20"/>
        <v>0.13352</v>
      </c>
      <c r="AW74" s="148">
        <f t="shared" si="20"/>
        <v>0.13364000000000001</v>
      </c>
      <c r="AX74" s="148">
        <f t="shared" si="20"/>
        <v>0.13367000000000001</v>
      </c>
      <c r="AY74" s="147">
        <f t="shared" si="20"/>
        <v>0.13963</v>
      </c>
      <c r="AZ74" s="148">
        <f t="shared" si="20"/>
        <v>0.13964000000000001</v>
      </c>
      <c r="BA74" s="148">
        <f t="shared" si="20"/>
        <v>0.13966000000000001</v>
      </c>
      <c r="BB74" s="148">
        <f>SUM(BB66,BB67,BB68,BB69,BB70,BB71)</f>
        <v>0.13955000000000001</v>
      </c>
      <c r="BC74" s="147">
        <f t="shared" ref="BC74:BJ74" si="21">SUM(BC66,BC67,BC68,BC69,BC70,BC71)</f>
        <v>0.11002000000000002</v>
      </c>
      <c r="BD74" s="148">
        <f t="shared" si="21"/>
        <v>0.11002000000000002</v>
      </c>
      <c r="BE74" s="148">
        <f t="shared" si="21"/>
        <v>0.11001000000000001</v>
      </c>
      <c r="BF74" s="148">
        <f t="shared" si="21"/>
        <v>0.11002000000000002</v>
      </c>
      <c r="BG74" s="147">
        <f t="shared" si="21"/>
        <v>0.11002000000000002</v>
      </c>
      <c r="BH74" s="148">
        <f t="shared" si="21"/>
        <v>0.11003000000000002</v>
      </c>
      <c r="BI74" s="148">
        <f t="shared" si="21"/>
        <v>0.11003000000000002</v>
      </c>
      <c r="BJ74" s="148">
        <f t="shared" si="21"/>
        <v>0.11251000000000001</v>
      </c>
      <c r="BK74" s="147">
        <f>SUM(BK66,BK67,BK68,BK69,BK70,BK71,BK72)</f>
        <v>0.11381000000000001</v>
      </c>
      <c r="BL74" s="148"/>
      <c r="BM74" s="148"/>
      <c r="BN74" s="148"/>
    </row>
  </sheetData>
  <mergeCells count="17">
    <mergeCell ref="AQ10:AT10"/>
    <mergeCell ref="AU10:AX10"/>
    <mergeCell ref="AY10:BB10"/>
    <mergeCell ref="BC10:BF10"/>
    <mergeCell ref="BG10:BJ10"/>
    <mergeCell ref="AM10:AP10"/>
    <mergeCell ref="A10:A11"/>
    <mergeCell ref="B10:B11"/>
    <mergeCell ref="C10:F10"/>
    <mergeCell ref="G10:J10"/>
    <mergeCell ref="K10:N10"/>
    <mergeCell ref="O10:R10"/>
    <mergeCell ref="S10:V10"/>
    <mergeCell ref="W10:Z10"/>
    <mergeCell ref="AA10:AD10"/>
    <mergeCell ref="AE10:AH10"/>
    <mergeCell ref="AI10:AL10"/>
  </mergeCells>
  <hyperlinks>
    <hyperlink ref="A1:B1" location="'Spis tresci_Table of content'!Print_Area" display="Go back to Table of content" xr:uid="{239F8244-69E3-4A90-A6AB-1C29F2F0B775}"/>
    <hyperlink ref="A1" location="'Spis tresci_Table of content'!A1" display="Go back to Table of content" xr:uid="{B184F26E-CADF-4F01-AD9F-756F21DD318A}"/>
    <hyperlink ref="B1" location="'Spis tresci_Table of content'!A1" display="Powrót do spisu treści" xr:uid="{35DAEF72-34B4-4D45-AF5F-2E8BFF517485}"/>
  </hyperlinks>
  <pageMargins left="0.23622047244094491" right="0.23622047244094491" top="0.74803149606299213" bottom="0.74803149606299213" header="0.31496062992125984" footer="0.31496062992125984"/>
  <pageSetup paperSize="9" scale="14" orientation="portrait" r:id="rId1"/>
  <legacyDrawing r:id="rId2"/>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21</vt:i4>
      </vt:variant>
      <vt:variant>
        <vt:lpstr>Nazwane zakresy</vt:lpstr>
      </vt:variant>
      <vt:variant>
        <vt:i4>17</vt:i4>
      </vt:variant>
    </vt:vector>
  </HeadingPairs>
  <TitlesOfParts>
    <vt:vector size="38" baseType="lpstr">
      <vt:lpstr>Spis tresci_Table of content</vt:lpstr>
      <vt:lpstr>Kluczowe informacje_Key data</vt:lpstr>
      <vt:lpstr>RZiS_P&amp;L</vt:lpstr>
      <vt:lpstr>RZiS B. Korp._P&amp;L Corporate</vt:lpstr>
      <vt:lpstr>RZiS B. Detaliczna_P&amp;L Retail</vt:lpstr>
      <vt:lpstr>Wynik odsetkowy_Interest income</vt:lpstr>
      <vt:lpstr>Marża odsetkowa_NIM</vt:lpstr>
      <vt:lpstr>Wynik prowizyjny_F&amp;C income</vt:lpstr>
      <vt:lpstr>Pozost. dochody_Other income</vt:lpstr>
      <vt:lpstr>Koszty działania_Operating cost</vt:lpstr>
      <vt:lpstr>Koszty ryzyka_Cost of risk</vt:lpstr>
      <vt:lpstr>Bilans_BS</vt:lpstr>
      <vt:lpstr>Kredyty_loans</vt:lpstr>
      <vt:lpstr>Jakość portfela_Portf. quality</vt:lpstr>
      <vt:lpstr>Aktywa finans_Financial assets</vt:lpstr>
      <vt:lpstr>Depozyty_Deposits</vt:lpstr>
      <vt:lpstr>Łączny współ kap_TCR</vt:lpstr>
      <vt:lpstr>Pozostałe informacje_other info</vt:lpstr>
      <vt:lpstr>Depozyty i zobow_Deposits_old</vt:lpstr>
      <vt:lpstr>Kredyty_loans_old</vt:lpstr>
      <vt:lpstr>Łączny współ kap_TCR_GROUP_old</vt:lpstr>
      <vt:lpstr>Bilans_BS!Obszar_wydruku</vt:lpstr>
      <vt:lpstr>'Depozyty i zobow_Deposits_old'!Obszar_wydruku</vt:lpstr>
      <vt:lpstr>Depozyty_Deposits!Obszar_wydruku</vt:lpstr>
      <vt:lpstr>'Kluczowe informacje_Key data'!Obszar_wydruku</vt:lpstr>
      <vt:lpstr>'Koszty działania_Operating cost'!Obszar_wydruku</vt:lpstr>
      <vt:lpstr>'Koszty ryzyka_Cost of risk'!Obszar_wydruku</vt:lpstr>
      <vt:lpstr>Kredyty_loans_old!Obszar_wydruku</vt:lpstr>
      <vt:lpstr>'Łączny współ kap_TCR'!Obszar_wydruku</vt:lpstr>
      <vt:lpstr>'Łączny współ kap_TCR_GROUP_old'!Obszar_wydruku</vt:lpstr>
      <vt:lpstr>'Marża odsetkowa_NIM'!Obszar_wydruku</vt:lpstr>
      <vt:lpstr>'Pozost. dochody_Other income'!Obszar_wydruku</vt:lpstr>
      <vt:lpstr>'Pozostałe informacje_other info'!Obszar_wydruku</vt:lpstr>
      <vt:lpstr>'RZiS B. Detaliczna_P&amp;L Retail'!Obszar_wydruku</vt:lpstr>
      <vt:lpstr>'RZiS B. Korp._P&amp;L Corporate'!Obszar_wydruku</vt:lpstr>
      <vt:lpstr>'RZiS_P&amp;L'!Obszar_wydruku</vt:lpstr>
      <vt:lpstr>'Spis tresci_Table of content'!Obszar_wydruku</vt:lpstr>
      <vt:lpstr>'Wynik prowizyjny_F&amp;C income'!Obszar_wydruku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